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olive\Downloads\"/>
    </mc:Choice>
  </mc:AlternateContent>
  <bookViews>
    <workbookView xWindow="0" yWindow="600" windowWidth="19200" windowHeight="11505" activeTab="4"/>
  </bookViews>
  <sheets>
    <sheet name="Dhan" sheetId="1" r:id="rId1"/>
    <sheet name="Zerodha" sheetId="2" r:id="rId2"/>
    <sheet name="Kotak" sheetId="3" r:id="rId3"/>
    <sheet name="Master Data" sheetId="4" state="hidden" r:id="rId4"/>
    <sheet name="Trade" sheetId="5" r:id="rId5"/>
    <sheet name="Old Transactions" sheetId="6" state="hidden" r:id="rId6"/>
    <sheet name="Holding" sheetId="7" r:id="rId7"/>
    <sheet name="P&amp;L Sunita" sheetId="8" r:id="rId8"/>
    <sheet name="Avg Rate" sheetId="9" r:id="rId9"/>
    <sheet name="Options" sheetId="10" r:id="rId10"/>
    <sheet name="RECO" sheetId="11" r:id="rId11"/>
    <sheet name="F&amp;O Lots" sheetId="12" r:id="rId12"/>
  </sheets>
  <calcPr calcId="152511"/>
  <extLst>
    <ext uri="GoogleSheetsCustomDataVersion1">
      <go:sheetsCustomData xmlns:go="http://customooxmlschemas.google.com/" r:id="rId16" roundtripDataSignature="AMtx7mjdWeo6Re1rpzSNHAUAh21N+d6DZA=="/>
    </ext>
  </extLst>
</workbook>
</file>

<file path=xl/calcChain.xml><?xml version="1.0" encoding="utf-8"?>
<calcChain xmlns="http://schemas.openxmlformats.org/spreadsheetml/2006/main">
  <c r="H14" i="11" l="1"/>
  <c r="E14" i="11"/>
  <c r="H13" i="11"/>
  <c r="E13" i="11"/>
  <c r="H12" i="11"/>
  <c r="E12" i="11"/>
  <c r="H11" i="11"/>
  <c r="E11" i="11"/>
  <c r="H10" i="11"/>
  <c r="E10" i="11"/>
  <c r="H9" i="11"/>
  <c r="E9" i="11"/>
  <c r="H8" i="11"/>
  <c r="E8" i="11"/>
  <c r="H7" i="11"/>
  <c r="E7" i="11"/>
  <c r="H6" i="11"/>
  <c r="E6" i="11"/>
  <c r="H5" i="11"/>
  <c r="E5" i="11"/>
  <c r="H4" i="11"/>
  <c r="E4" i="11"/>
  <c r="H3" i="11"/>
  <c r="E3" i="11"/>
  <c r="H2" i="11"/>
  <c r="E2" i="11"/>
  <c r="AG160" i="10"/>
  <c r="AF160" i="10"/>
  <c r="AH160" i="10" s="1"/>
  <c r="B160" i="10" s="1"/>
  <c r="AD160" i="10"/>
  <c r="AC160" i="10"/>
  <c r="AA160" i="10"/>
  <c r="C160" i="10" s="1"/>
  <c r="Z160" i="10"/>
  <c r="AB160" i="10" s="1"/>
  <c r="D160" i="10" s="1"/>
  <c r="Y160" i="10"/>
  <c r="J160" i="10" s="1"/>
  <c r="H160" i="10"/>
  <c r="E160" i="10"/>
  <c r="AG159" i="10"/>
  <c r="AF159" i="10"/>
  <c r="AD159" i="10"/>
  <c r="AC159" i="10"/>
  <c r="AA159" i="10"/>
  <c r="C159" i="10" s="1"/>
  <c r="Z159" i="10"/>
  <c r="Y159" i="10"/>
  <c r="E159" i="10"/>
  <c r="AG153" i="10"/>
  <c r="AF153" i="10"/>
  <c r="AD153" i="10"/>
  <c r="I153" i="10" s="1"/>
  <c r="AC153" i="10"/>
  <c r="Z153" i="10"/>
  <c r="AA153" i="10" s="1"/>
  <c r="C153" i="10" s="1"/>
  <c r="Y153" i="10"/>
  <c r="H153" i="10" s="1"/>
  <c r="M153" i="10"/>
  <c r="J153" i="10"/>
  <c r="G153" i="10"/>
  <c r="AG152" i="10"/>
  <c r="AF152" i="10"/>
  <c r="AD152" i="10"/>
  <c r="AC152" i="10"/>
  <c r="Z152" i="10"/>
  <c r="AA152" i="10" s="1"/>
  <c r="C152" i="10" s="1"/>
  <c r="Y152" i="10"/>
  <c r="H152" i="10" s="1"/>
  <c r="M152" i="10"/>
  <c r="J152" i="10"/>
  <c r="I152" i="10"/>
  <c r="G152" i="10"/>
  <c r="A152" i="10"/>
  <c r="AG151" i="10"/>
  <c r="AF151" i="10"/>
  <c r="AE151" i="10"/>
  <c r="AD151" i="10"/>
  <c r="AC151" i="10"/>
  <c r="Z151" i="10"/>
  <c r="Y151" i="10"/>
  <c r="M151" i="10"/>
  <c r="F151" i="10"/>
  <c r="A151" i="10"/>
  <c r="AG150" i="10"/>
  <c r="AF150" i="10"/>
  <c r="AD150" i="10"/>
  <c r="AC150" i="10"/>
  <c r="AE150" i="10" s="1"/>
  <c r="AB150" i="10"/>
  <c r="D150" i="10" s="1"/>
  <c r="Z150" i="10"/>
  <c r="AA150" i="10" s="1"/>
  <c r="C150" i="10" s="1"/>
  <c r="Y150" i="10"/>
  <c r="H150" i="10" s="1"/>
  <c r="M150" i="10"/>
  <c r="J150" i="10"/>
  <c r="I150" i="10"/>
  <c r="G150" i="10"/>
  <c r="A150" i="10"/>
  <c r="AG149" i="10"/>
  <c r="AF149" i="10"/>
  <c r="AE149" i="10"/>
  <c r="AD149" i="10"/>
  <c r="AC149" i="10"/>
  <c r="A149" i="10" s="1"/>
  <c r="Z149" i="10"/>
  <c r="AA149" i="10" s="1"/>
  <c r="C149" i="10" s="1"/>
  <c r="Y149" i="10"/>
  <c r="M149" i="10"/>
  <c r="J149" i="10"/>
  <c r="G149" i="10"/>
  <c r="AH148" i="10"/>
  <c r="AG148" i="10"/>
  <c r="AF148" i="10"/>
  <c r="AD148" i="10"/>
  <c r="AC148" i="10"/>
  <c r="Z148" i="10"/>
  <c r="AA148" i="10" s="1"/>
  <c r="Y148" i="10"/>
  <c r="H148" i="10" s="1"/>
  <c r="M148" i="10"/>
  <c r="J148" i="10"/>
  <c r="I148" i="10"/>
  <c r="G148" i="10"/>
  <c r="C148" i="10"/>
  <c r="AG147" i="10"/>
  <c r="AF147" i="10"/>
  <c r="AD147" i="10"/>
  <c r="AC147" i="10"/>
  <c r="Z147" i="10"/>
  <c r="AA147" i="10" s="1"/>
  <c r="C147" i="10" s="1"/>
  <c r="Y147" i="10"/>
  <c r="J147" i="10" s="1"/>
  <c r="M147" i="10"/>
  <c r="G147" i="10"/>
  <c r="AG146" i="10"/>
  <c r="AF146" i="10"/>
  <c r="AD146" i="10"/>
  <c r="AC146" i="10"/>
  <c r="AE146" i="10" s="1"/>
  <c r="Z146" i="10"/>
  <c r="AA146" i="10" s="1"/>
  <c r="C146" i="10" s="1"/>
  <c r="Y146" i="10"/>
  <c r="H146" i="10" s="1"/>
  <c r="M146" i="10"/>
  <c r="J146" i="10"/>
  <c r="I146" i="10"/>
  <c r="G146" i="10"/>
  <c r="A146" i="10"/>
  <c r="AG145" i="10"/>
  <c r="AF145" i="10"/>
  <c r="F145" i="10" s="1"/>
  <c r="AE145" i="10"/>
  <c r="AD145" i="10"/>
  <c r="AC145" i="10"/>
  <c r="Z145" i="10"/>
  <c r="Y145" i="10"/>
  <c r="G145" i="10" s="1"/>
  <c r="M145" i="10"/>
  <c r="A145" i="10"/>
  <c r="AG144" i="10"/>
  <c r="AF144" i="10"/>
  <c r="AD144" i="10"/>
  <c r="AC144" i="10"/>
  <c r="AE144" i="10" s="1"/>
  <c r="AB144" i="10"/>
  <c r="D144" i="10" s="1"/>
  <c r="Z144" i="10"/>
  <c r="AA144" i="10" s="1"/>
  <c r="C144" i="10" s="1"/>
  <c r="Y144" i="10"/>
  <c r="H144" i="10" s="1"/>
  <c r="M144" i="10"/>
  <c r="J144" i="10"/>
  <c r="I144" i="10"/>
  <c r="G144" i="10"/>
  <c r="AG143" i="10"/>
  <c r="AF143" i="10"/>
  <c r="AE143" i="10"/>
  <c r="AD143" i="10"/>
  <c r="AC143" i="10"/>
  <c r="Z143" i="10"/>
  <c r="AA143" i="10" s="1"/>
  <c r="C143" i="10" s="1"/>
  <c r="Y143" i="10"/>
  <c r="M143" i="10"/>
  <c r="J143" i="10"/>
  <c r="G143" i="10"/>
  <c r="AG142" i="10"/>
  <c r="AF142" i="10"/>
  <c r="AD142" i="10"/>
  <c r="AC142" i="10"/>
  <c r="Z142" i="10"/>
  <c r="AA142" i="10" s="1"/>
  <c r="C142" i="10" s="1"/>
  <c r="Y142" i="10"/>
  <c r="H142" i="10" s="1"/>
  <c r="M142" i="10"/>
  <c r="J142" i="10"/>
  <c r="I142" i="10"/>
  <c r="G142" i="10"/>
  <c r="AG141" i="10"/>
  <c r="AF141" i="10"/>
  <c r="AD141" i="10"/>
  <c r="AC141" i="10"/>
  <c r="Z141" i="10"/>
  <c r="AA141" i="10" s="1"/>
  <c r="C141" i="10" s="1"/>
  <c r="Y141" i="10"/>
  <c r="J141" i="10" s="1"/>
  <c r="M141" i="10"/>
  <c r="G141" i="10"/>
  <c r="F141" i="10"/>
  <c r="AG140" i="10"/>
  <c r="AF140" i="10"/>
  <c r="AD140" i="10"/>
  <c r="AC140" i="10"/>
  <c r="Z140" i="10"/>
  <c r="AA140" i="10" s="1"/>
  <c r="C140" i="10" s="1"/>
  <c r="Y140" i="10"/>
  <c r="H140" i="10" s="1"/>
  <c r="M140" i="10"/>
  <c r="J140" i="10"/>
  <c r="I140" i="10"/>
  <c r="G140" i="10"/>
  <c r="AG139" i="10"/>
  <c r="H139" i="10" s="1"/>
  <c r="AF139" i="10"/>
  <c r="AE139" i="10"/>
  <c r="AD139" i="10"/>
  <c r="AC139" i="10"/>
  <c r="Z139" i="10"/>
  <c r="AA139" i="10" s="1"/>
  <c r="C139" i="10" s="1"/>
  <c r="Y139" i="10"/>
  <c r="I139" i="10" s="1"/>
  <c r="M139" i="10"/>
  <c r="G139" i="10"/>
  <c r="AG138" i="10"/>
  <c r="AF138" i="10"/>
  <c r="AH138" i="10" s="1"/>
  <c r="AD138" i="10"/>
  <c r="G138" i="10" s="1"/>
  <c r="AC138" i="10"/>
  <c r="Z138" i="10"/>
  <c r="AA138" i="10" s="1"/>
  <c r="C138" i="10" s="1"/>
  <c r="Y138" i="10"/>
  <c r="H138" i="10" s="1"/>
  <c r="M138" i="10"/>
  <c r="J138" i="10"/>
  <c r="I138" i="10"/>
  <c r="AG137" i="10"/>
  <c r="AF137" i="10"/>
  <c r="AD137" i="10"/>
  <c r="AC137" i="10"/>
  <c r="AB137" i="10" s="1"/>
  <c r="D137" i="10" s="1"/>
  <c r="Z137" i="10"/>
  <c r="AA137" i="10" s="1"/>
  <c r="C137" i="10" s="1"/>
  <c r="Y137" i="10"/>
  <c r="I137" i="10" s="1"/>
  <c r="M137" i="10"/>
  <c r="G137" i="10"/>
  <c r="AG136" i="10"/>
  <c r="AF136" i="10"/>
  <c r="AD136" i="10"/>
  <c r="AC136" i="10"/>
  <c r="Z136" i="10"/>
  <c r="AA136" i="10" s="1"/>
  <c r="Y136" i="10"/>
  <c r="H136" i="10" s="1"/>
  <c r="M136" i="10"/>
  <c r="J136" i="10"/>
  <c r="I136" i="10"/>
  <c r="G136" i="10"/>
  <c r="C136" i="10"/>
  <c r="AG135" i="10"/>
  <c r="AF135" i="10"/>
  <c r="AE135" i="10"/>
  <c r="AD135" i="10"/>
  <c r="AC135" i="10"/>
  <c r="Z135" i="10"/>
  <c r="Y135" i="10"/>
  <c r="M135" i="10"/>
  <c r="H135" i="10"/>
  <c r="AG134" i="10"/>
  <c r="AF134" i="10"/>
  <c r="AE134" i="10"/>
  <c r="AD134" i="10"/>
  <c r="AC134" i="10"/>
  <c r="AB134" i="10"/>
  <c r="D134" i="10" s="1"/>
  <c r="Z134" i="10"/>
  <c r="Y134" i="10"/>
  <c r="M134" i="10"/>
  <c r="A134" i="10" s="1"/>
  <c r="AG133" i="10"/>
  <c r="AF133" i="10"/>
  <c r="AH133" i="10" s="1"/>
  <c r="B133" i="10" s="1"/>
  <c r="AE133" i="10"/>
  <c r="AD133" i="10"/>
  <c r="AC133" i="10"/>
  <c r="A133" i="10" s="1"/>
  <c r="AB133" i="10"/>
  <c r="D133" i="10" s="1"/>
  <c r="Z133" i="10"/>
  <c r="Y133" i="10"/>
  <c r="I133" i="10" s="1"/>
  <c r="M133" i="10"/>
  <c r="G133" i="10"/>
  <c r="AG132" i="10"/>
  <c r="AF132" i="10"/>
  <c r="AD132" i="10"/>
  <c r="G132" i="10" s="1"/>
  <c r="AC132" i="10"/>
  <c r="Z132" i="10"/>
  <c r="AA132" i="10" s="1"/>
  <c r="C132" i="10" s="1"/>
  <c r="Y132" i="10"/>
  <c r="H132" i="10" s="1"/>
  <c r="M132" i="10"/>
  <c r="AH131" i="10"/>
  <c r="B131" i="10" s="1"/>
  <c r="AG131" i="10"/>
  <c r="AF131" i="10"/>
  <c r="AE131" i="10"/>
  <c r="AD131" i="10"/>
  <c r="AC131" i="10"/>
  <c r="AB131" i="10"/>
  <c r="D131" i="10" s="1"/>
  <c r="AA131" i="10"/>
  <c r="C131" i="10" s="1"/>
  <c r="Z131" i="10"/>
  <c r="Y131" i="10"/>
  <c r="J131" i="10" s="1"/>
  <c r="M131" i="10"/>
  <c r="I131" i="10"/>
  <c r="H131" i="10"/>
  <c r="G131" i="10"/>
  <c r="A131" i="10"/>
  <c r="AG130" i="10"/>
  <c r="AF130" i="10"/>
  <c r="AH130" i="10" s="1"/>
  <c r="AD130" i="10"/>
  <c r="AC130" i="10"/>
  <c r="AE130" i="10" s="1"/>
  <c r="AB130" i="10"/>
  <c r="D130" i="10" s="1"/>
  <c r="Z130" i="10"/>
  <c r="Y130" i="10"/>
  <c r="M130" i="10"/>
  <c r="AG129" i="10"/>
  <c r="AF129" i="10"/>
  <c r="AD129" i="10"/>
  <c r="AC129" i="10"/>
  <c r="Z129" i="10"/>
  <c r="AA129" i="10" s="1"/>
  <c r="Y129" i="10"/>
  <c r="M129" i="10"/>
  <c r="J129" i="10"/>
  <c r="I129" i="10"/>
  <c r="H129" i="10"/>
  <c r="G129" i="10"/>
  <c r="C129" i="10"/>
  <c r="AG128" i="10"/>
  <c r="AF128" i="10"/>
  <c r="AD128" i="10"/>
  <c r="I128" i="10" s="1"/>
  <c r="AC128" i="10"/>
  <c r="AB128" i="10" s="1"/>
  <c r="D128" i="10" s="1"/>
  <c r="AA128" i="10"/>
  <c r="C128" i="10" s="1"/>
  <c r="Z128" i="10"/>
  <c r="Y128" i="10"/>
  <c r="M128" i="10"/>
  <c r="J128" i="10"/>
  <c r="H128" i="10"/>
  <c r="G128" i="10"/>
  <c r="F128" i="10"/>
  <c r="AH127" i="10"/>
  <c r="B127" i="10" s="1"/>
  <c r="AG127" i="10"/>
  <c r="AF127" i="10"/>
  <c r="F127" i="10" s="1"/>
  <c r="AD127" i="10"/>
  <c r="AC127" i="10"/>
  <c r="AE127" i="10" s="1"/>
  <c r="AB127" i="10"/>
  <c r="D127" i="10" s="1"/>
  <c r="Z127" i="10"/>
  <c r="AA127" i="10" s="1"/>
  <c r="C127" i="10" s="1"/>
  <c r="E127" i="10" s="1"/>
  <c r="Y127" i="10"/>
  <c r="M127" i="10"/>
  <c r="J127" i="10"/>
  <c r="I127" i="10"/>
  <c r="H127" i="10"/>
  <c r="G127" i="10"/>
  <c r="A127" i="10"/>
  <c r="AG126" i="10"/>
  <c r="AF126" i="10"/>
  <c r="AD126" i="10"/>
  <c r="AC126" i="10"/>
  <c r="Z126" i="10"/>
  <c r="Y126" i="10"/>
  <c r="M126" i="10"/>
  <c r="AG125" i="10"/>
  <c r="J125" i="10" s="1"/>
  <c r="AF125" i="10"/>
  <c r="AD125" i="10"/>
  <c r="AC125" i="10"/>
  <c r="AA125" i="10"/>
  <c r="C125" i="10" s="1"/>
  <c r="Z125" i="10"/>
  <c r="AB125" i="10" s="1"/>
  <c r="D125" i="10" s="1"/>
  <c r="Y125" i="10"/>
  <c r="M125" i="10"/>
  <c r="I125" i="10"/>
  <c r="H125" i="10"/>
  <c r="G125" i="10"/>
  <c r="AG124" i="10"/>
  <c r="AF124" i="10"/>
  <c r="AD124" i="10"/>
  <c r="AC124" i="10"/>
  <c r="Z124" i="10"/>
  <c r="Y124" i="10"/>
  <c r="M124" i="10"/>
  <c r="AG123" i="10"/>
  <c r="J123" i="10" s="1"/>
  <c r="AF123" i="10"/>
  <c r="AD123" i="10"/>
  <c r="AC123" i="10"/>
  <c r="AA123" i="10"/>
  <c r="C123" i="10" s="1"/>
  <c r="Z123" i="10"/>
  <c r="AB123" i="10" s="1"/>
  <c r="D123" i="10" s="1"/>
  <c r="Y123" i="10"/>
  <c r="M123" i="10"/>
  <c r="I123" i="10"/>
  <c r="H123" i="10"/>
  <c r="G123" i="10"/>
  <c r="AG122" i="10"/>
  <c r="AF122" i="10"/>
  <c r="AD122" i="10"/>
  <c r="AC122" i="10"/>
  <c r="Z122" i="10"/>
  <c r="Y122" i="10"/>
  <c r="M122" i="10"/>
  <c r="AG121" i="10"/>
  <c r="J121" i="10" s="1"/>
  <c r="AF121" i="10"/>
  <c r="AD121" i="10"/>
  <c r="AC121" i="10"/>
  <c r="AA121" i="10"/>
  <c r="C121" i="10" s="1"/>
  <c r="Z121" i="10"/>
  <c r="AB121" i="10" s="1"/>
  <c r="D121" i="10" s="1"/>
  <c r="Y121" i="10"/>
  <c r="M121" i="10"/>
  <c r="I121" i="10"/>
  <c r="H121" i="10"/>
  <c r="G121" i="10"/>
  <c r="AG120" i="10"/>
  <c r="AF120" i="10"/>
  <c r="AD120" i="10"/>
  <c r="AC120" i="10"/>
  <c r="Z120" i="10"/>
  <c r="Y120" i="10"/>
  <c r="M120" i="10"/>
  <c r="AG119" i="10"/>
  <c r="J119" i="10" s="1"/>
  <c r="AF119" i="10"/>
  <c r="AD119" i="10"/>
  <c r="AC119" i="10"/>
  <c r="AA119" i="10"/>
  <c r="C119" i="10" s="1"/>
  <c r="Z119" i="10"/>
  <c r="AB119" i="10" s="1"/>
  <c r="D119" i="10" s="1"/>
  <c r="Y119" i="10"/>
  <c r="M119" i="10"/>
  <c r="I119" i="10"/>
  <c r="H119" i="10"/>
  <c r="G119" i="10"/>
  <c r="AG118" i="10"/>
  <c r="AF118" i="10"/>
  <c r="AD118" i="10"/>
  <c r="AC118" i="10"/>
  <c r="AA118" i="10"/>
  <c r="C118" i="10" s="1"/>
  <c r="Z118" i="10"/>
  <c r="Y118" i="10"/>
  <c r="M118" i="10"/>
  <c r="G118" i="10"/>
  <c r="AH117" i="10"/>
  <c r="AG117" i="10"/>
  <c r="J117" i="10" s="1"/>
  <c r="AF117" i="10"/>
  <c r="AD117" i="10"/>
  <c r="AC117" i="10"/>
  <c r="AE117" i="10" s="1"/>
  <c r="AA117" i="10"/>
  <c r="C117" i="10" s="1"/>
  <c r="Z117" i="10"/>
  <c r="AB117" i="10" s="1"/>
  <c r="D117" i="10" s="1"/>
  <c r="Y117" i="10"/>
  <c r="M117" i="10"/>
  <c r="I117" i="10"/>
  <c r="H117" i="10"/>
  <c r="G117" i="10"/>
  <c r="A117" i="10"/>
  <c r="AG116" i="10"/>
  <c r="J116" i="10" s="1"/>
  <c r="AF116" i="10"/>
  <c r="AD116" i="10"/>
  <c r="AC116" i="10"/>
  <c r="AE116" i="10" s="1"/>
  <c r="AB116" i="10"/>
  <c r="D116" i="10" s="1"/>
  <c r="AA116" i="10"/>
  <c r="C116" i="10" s="1"/>
  <c r="Z116" i="10"/>
  <c r="Y116" i="10"/>
  <c r="M116" i="10"/>
  <c r="I116" i="10"/>
  <c r="H116" i="10"/>
  <c r="G116" i="10"/>
  <c r="A116" i="10"/>
  <c r="AG115" i="10"/>
  <c r="AF115" i="10"/>
  <c r="AH115" i="10" s="1"/>
  <c r="AE115" i="10"/>
  <c r="AD115" i="10"/>
  <c r="AC115" i="10"/>
  <c r="AB115" i="10" s="1"/>
  <c r="Z115" i="10"/>
  <c r="Y115" i="10"/>
  <c r="H115" i="10" s="1"/>
  <c r="M115" i="10"/>
  <c r="A115" i="10" s="1"/>
  <c r="J115" i="10"/>
  <c r="F115" i="10"/>
  <c r="D115" i="10"/>
  <c r="AG114" i="10"/>
  <c r="J114" i="10" s="1"/>
  <c r="AF114" i="10"/>
  <c r="AD114" i="10"/>
  <c r="AC114" i="10"/>
  <c r="AE114" i="10" s="1"/>
  <c r="Z114" i="10"/>
  <c r="AB114" i="10" s="1"/>
  <c r="D114" i="10" s="1"/>
  <c r="Y114" i="10"/>
  <c r="M114" i="10"/>
  <c r="I114" i="10"/>
  <c r="G114" i="10"/>
  <c r="A114" i="10"/>
  <c r="AG113" i="10"/>
  <c r="AF113" i="10"/>
  <c r="AH113" i="10" s="1"/>
  <c r="AD113" i="10"/>
  <c r="AC113" i="10"/>
  <c r="Z113" i="10"/>
  <c r="AA113" i="10" s="1"/>
  <c r="C113" i="10" s="1"/>
  <c r="Y113" i="10"/>
  <c r="H113" i="10" s="1"/>
  <c r="M113" i="10"/>
  <c r="J113" i="10"/>
  <c r="F113" i="10"/>
  <c r="AG112" i="10"/>
  <c r="J112" i="10" s="1"/>
  <c r="AF112" i="10"/>
  <c r="F112" i="10" s="1"/>
  <c r="AD112" i="10"/>
  <c r="AC112" i="10"/>
  <c r="AE112" i="10" s="1"/>
  <c r="AB112" i="10"/>
  <c r="D112" i="10" s="1"/>
  <c r="Z112" i="10"/>
  <c r="AA112" i="10" s="1"/>
  <c r="C112" i="10" s="1"/>
  <c r="Y112" i="10"/>
  <c r="M112" i="10"/>
  <c r="I112" i="10"/>
  <c r="H112" i="10"/>
  <c r="G112" i="10"/>
  <c r="A112" i="10"/>
  <c r="AG111" i="10"/>
  <c r="AF111" i="10"/>
  <c r="AH111" i="10" s="1"/>
  <c r="AD111" i="10"/>
  <c r="AC111" i="10"/>
  <c r="AB111" i="10" s="1"/>
  <c r="Z111" i="10"/>
  <c r="Y111" i="10"/>
  <c r="M111" i="10"/>
  <c r="F111" i="10"/>
  <c r="D111" i="10"/>
  <c r="AH110" i="10"/>
  <c r="AG110" i="10"/>
  <c r="J110" i="10" s="1"/>
  <c r="AF110" i="10"/>
  <c r="AD110" i="10"/>
  <c r="AC110" i="10"/>
  <c r="AE110" i="10" s="1"/>
  <c r="A110" i="10" s="1"/>
  <c r="AB110" i="10"/>
  <c r="D110" i="10" s="1"/>
  <c r="AA110" i="10"/>
  <c r="C110" i="10" s="1"/>
  <c r="Z110" i="10"/>
  <c r="Y110" i="10"/>
  <c r="M110" i="10"/>
  <c r="I110" i="10"/>
  <c r="H110" i="10"/>
  <c r="G110" i="10"/>
  <c r="AG109" i="10"/>
  <c r="AF109" i="10"/>
  <c r="AE109" i="10"/>
  <c r="A109" i="10" s="1"/>
  <c r="AD109" i="10"/>
  <c r="AC109" i="10"/>
  <c r="Z109" i="10"/>
  <c r="Y109" i="10"/>
  <c r="H109" i="10" s="1"/>
  <c r="M109" i="10"/>
  <c r="J109" i="10"/>
  <c r="AH108" i="10"/>
  <c r="B108" i="10" s="1"/>
  <c r="AG108" i="10"/>
  <c r="AF108" i="10"/>
  <c r="AD108" i="10"/>
  <c r="AC108" i="10"/>
  <c r="AE108" i="10" s="1"/>
  <c r="AB108" i="10"/>
  <c r="D108" i="10" s="1"/>
  <c r="AA108" i="10"/>
  <c r="C108" i="10" s="1"/>
  <c r="Z108" i="10"/>
  <c r="Y108" i="10"/>
  <c r="M108" i="10"/>
  <c r="J108" i="10"/>
  <c r="I108" i="10"/>
  <c r="H108" i="10"/>
  <c r="G108" i="10"/>
  <c r="A108" i="10"/>
  <c r="AG107" i="10"/>
  <c r="AF107" i="10"/>
  <c r="AD107" i="10"/>
  <c r="AC107" i="10"/>
  <c r="AB107" i="10" s="1"/>
  <c r="Z107" i="10"/>
  <c r="Y107" i="10"/>
  <c r="M107" i="10"/>
  <c r="F107" i="10"/>
  <c r="D107" i="10"/>
  <c r="AG106" i="10"/>
  <c r="H106" i="10" s="1"/>
  <c r="AF106" i="10"/>
  <c r="F106" i="10" s="1"/>
  <c r="AD106" i="10"/>
  <c r="AC106" i="10"/>
  <c r="Z106" i="10"/>
  <c r="AA106" i="10" s="1"/>
  <c r="C106" i="10" s="1"/>
  <c r="Y106" i="10"/>
  <c r="M106" i="10"/>
  <c r="J106" i="10"/>
  <c r="I106" i="10"/>
  <c r="G106" i="10"/>
  <c r="AG105" i="10"/>
  <c r="AF105" i="10"/>
  <c r="AD105" i="10"/>
  <c r="I105" i="10" s="1"/>
  <c r="AC105" i="10"/>
  <c r="Z105" i="10"/>
  <c r="AA105" i="10" s="1"/>
  <c r="C105" i="10" s="1"/>
  <c r="Y105" i="10"/>
  <c r="H105" i="10" s="1"/>
  <c r="M105" i="10"/>
  <c r="J105" i="10"/>
  <c r="G105" i="10"/>
  <c r="F105" i="10"/>
  <c r="AG104" i="10"/>
  <c r="J104" i="10" s="1"/>
  <c r="AF104" i="10"/>
  <c r="AD104" i="10"/>
  <c r="AC104" i="10"/>
  <c r="AE104" i="10" s="1"/>
  <c r="AA104" i="10"/>
  <c r="C104" i="10" s="1"/>
  <c r="Z104" i="10"/>
  <c r="AB104" i="10" s="1"/>
  <c r="Y104" i="10"/>
  <c r="M104" i="10"/>
  <c r="I104" i="10"/>
  <c r="H104" i="10"/>
  <c r="G104" i="10"/>
  <c r="D104" i="10"/>
  <c r="A104" i="10"/>
  <c r="AG103" i="10"/>
  <c r="AF103" i="10"/>
  <c r="AH103" i="10" s="1"/>
  <c r="AE103" i="10"/>
  <c r="AD103" i="10"/>
  <c r="AC103" i="10"/>
  <c r="Z103" i="10"/>
  <c r="Y103" i="10"/>
  <c r="H103" i="10" s="1"/>
  <c r="M103" i="10"/>
  <c r="J103" i="10"/>
  <c r="B103" i="10"/>
  <c r="A103" i="10"/>
  <c r="AG102" i="10"/>
  <c r="AF102" i="10"/>
  <c r="AH102" i="10" s="1"/>
  <c r="B102" i="10" s="1"/>
  <c r="AD102" i="10"/>
  <c r="G102" i="10" s="1"/>
  <c r="AC102" i="10"/>
  <c r="AE102" i="10" s="1"/>
  <c r="AB102" i="10"/>
  <c r="D102" i="10" s="1"/>
  <c r="AA102" i="10"/>
  <c r="Z102" i="10"/>
  <c r="Y102" i="10"/>
  <c r="M102" i="10"/>
  <c r="A102" i="10" s="1"/>
  <c r="J102" i="10"/>
  <c r="I102" i="10"/>
  <c r="H102" i="10"/>
  <c r="F102" i="10"/>
  <c r="C102" i="10"/>
  <c r="AG101" i="10"/>
  <c r="AF101" i="10"/>
  <c r="AH101" i="10" s="1"/>
  <c r="AE101" i="10"/>
  <c r="AD101" i="10"/>
  <c r="I101" i="10" s="1"/>
  <c r="AC101" i="10"/>
  <c r="Z101" i="10"/>
  <c r="AB101" i="10" s="1"/>
  <c r="D101" i="10" s="1"/>
  <c r="Y101" i="10"/>
  <c r="M101" i="10"/>
  <c r="F101" i="10"/>
  <c r="A101" i="10"/>
  <c r="AH100" i="10"/>
  <c r="AG100" i="10"/>
  <c r="F100" i="10" s="1"/>
  <c r="AF100" i="10"/>
  <c r="AD100" i="10"/>
  <c r="G100" i="10" s="1"/>
  <c r="AC100" i="10"/>
  <c r="AE100" i="10" s="1"/>
  <c r="AB100" i="10"/>
  <c r="D100" i="10" s="1"/>
  <c r="AA100" i="10"/>
  <c r="Z100" i="10"/>
  <c r="Y100" i="10"/>
  <c r="M100" i="10"/>
  <c r="A100" i="10" s="1"/>
  <c r="J100" i="10"/>
  <c r="I100" i="10"/>
  <c r="H100" i="10"/>
  <c r="C100" i="10"/>
  <c r="B100" i="10"/>
  <c r="AG99" i="10"/>
  <c r="AF99" i="10"/>
  <c r="AH99" i="10" s="1"/>
  <c r="AE99" i="10"/>
  <c r="A99" i="10" s="1"/>
  <c r="AD99" i="10"/>
  <c r="AC99" i="10"/>
  <c r="Z99" i="10"/>
  <c r="AB99" i="10" s="1"/>
  <c r="D99" i="10" s="1"/>
  <c r="Y99" i="10"/>
  <c r="M99" i="10"/>
  <c r="F99" i="10"/>
  <c r="AH98" i="10"/>
  <c r="B98" i="10" s="1"/>
  <c r="AG98" i="10"/>
  <c r="F98" i="10" s="1"/>
  <c r="AF98" i="10"/>
  <c r="AD98" i="10"/>
  <c r="G98" i="10" s="1"/>
  <c r="AC98" i="10"/>
  <c r="AE98" i="10" s="1"/>
  <c r="AB98" i="10"/>
  <c r="D98" i="10" s="1"/>
  <c r="AA98" i="10"/>
  <c r="Z98" i="10"/>
  <c r="Y98" i="10"/>
  <c r="M98" i="10"/>
  <c r="J98" i="10"/>
  <c r="I98" i="10"/>
  <c r="H98" i="10"/>
  <c r="C98" i="10"/>
  <c r="AG97" i="10"/>
  <c r="AF97" i="10"/>
  <c r="AH97" i="10" s="1"/>
  <c r="AE97" i="10"/>
  <c r="A97" i="10" s="1"/>
  <c r="AD97" i="10"/>
  <c r="I97" i="10" s="1"/>
  <c r="AC97" i="10"/>
  <c r="Z97" i="10"/>
  <c r="Y97" i="10"/>
  <c r="M97" i="10"/>
  <c r="G97" i="10"/>
  <c r="F97" i="10"/>
  <c r="AH96" i="10"/>
  <c r="B96" i="10" s="1"/>
  <c r="AG96" i="10"/>
  <c r="F96" i="10" s="1"/>
  <c r="AF96" i="10"/>
  <c r="AD96" i="10"/>
  <c r="G96" i="10" s="1"/>
  <c r="AC96" i="10"/>
  <c r="AE96" i="10" s="1"/>
  <c r="AA96" i="10"/>
  <c r="Z96" i="10"/>
  <c r="Y96" i="10"/>
  <c r="M96" i="10"/>
  <c r="A96" i="10" s="1"/>
  <c r="J96" i="10"/>
  <c r="I96" i="10"/>
  <c r="H96" i="10"/>
  <c r="C96" i="10"/>
  <c r="AG95" i="10"/>
  <c r="AF95" i="10"/>
  <c r="AE95" i="10"/>
  <c r="AD95" i="10"/>
  <c r="I95" i="10" s="1"/>
  <c r="AC95" i="10"/>
  <c r="Z95" i="10"/>
  <c r="Y95" i="10"/>
  <c r="G95" i="10" s="1"/>
  <c r="M95" i="10"/>
  <c r="F95" i="10"/>
  <c r="A95" i="10"/>
  <c r="AH94" i="10"/>
  <c r="B94" i="10" s="1"/>
  <c r="AG94" i="10"/>
  <c r="F94" i="10" s="1"/>
  <c r="AF94" i="10"/>
  <c r="AD94" i="10"/>
  <c r="G94" i="10" s="1"/>
  <c r="AC94" i="10"/>
  <c r="AA94" i="10"/>
  <c r="Z94" i="10"/>
  <c r="Y94" i="10"/>
  <c r="M94" i="10"/>
  <c r="J94" i="10"/>
  <c r="I94" i="10"/>
  <c r="H94" i="10"/>
  <c r="C94" i="10"/>
  <c r="AG93" i="10"/>
  <c r="AF93" i="10"/>
  <c r="AE93" i="10"/>
  <c r="AD93" i="10"/>
  <c r="I93" i="10" s="1"/>
  <c r="AC93" i="10"/>
  <c r="Z93" i="10"/>
  <c r="Y93" i="10"/>
  <c r="M93" i="10"/>
  <c r="G93" i="10"/>
  <c r="A93" i="10"/>
  <c r="AH92" i="10"/>
  <c r="B92" i="10" s="1"/>
  <c r="AG92" i="10"/>
  <c r="F92" i="10" s="1"/>
  <c r="AF92" i="10"/>
  <c r="AD92" i="10"/>
  <c r="G92" i="10" s="1"/>
  <c r="AC92" i="10"/>
  <c r="AE92" i="10" s="1"/>
  <c r="AB92" i="10"/>
  <c r="D92" i="10" s="1"/>
  <c r="AA92" i="10"/>
  <c r="Z92" i="10"/>
  <c r="Y92" i="10"/>
  <c r="M92" i="10"/>
  <c r="J92" i="10"/>
  <c r="I92" i="10"/>
  <c r="H92" i="10"/>
  <c r="C92" i="10"/>
  <c r="AG91" i="10"/>
  <c r="AF91" i="10"/>
  <c r="AE91" i="10"/>
  <c r="AD91" i="10"/>
  <c r="I91" i="10" s="1"/>
  <c r="AC91" i="10"/>
  <c r="Z91" i="10"/>
  <c r="Y91" i="10"/>
  <c r="M91" i="10"/>
  <c r="G91" i="10"/>
  <c r="F91" i="10"/>
  <c r="A91" i="10"/>
  <c r="AG90" i="10"/>
  <c r="F90" i="10" s="1"/>
  <c r="AF90" i="10"/>
  <c r="AD90" i="10"/>
  <c r="G90" i="10" s="1"/>
  <c r="AC90" i="10"/>
  <c r="AB90" i="10"/>
  <c r="D90" i="10" s="1"/>
  <c r="AA90" i="10"/>
  <c r="Z90" i="10"/>
  <c r="Y90" i="10"/>
  <c r="M90" i="10"/>
  <c r="I90" i="10"/>
  <c r="C90" i="10"/>
  <c r="AG89" i="10"/>
  <c r="AF89" i="10"/>
  <c r="AD89" i="10"/>
  <c r="I89" i="10" s="1"/>
  <c r="AC89" i="10"/>
  <c r="Z89" i="10"/>
  <c r="Y89" i="10"/>
  <c r="M89" i="10"/>
  <c r="AH88" i="10"/>
  <c r="AG88" i="10"/>
  <c r="F88" i="10" s="1"/>
  <c r="AF88" i="10"/>
  <c r="AD88" i="10"/>
  <c r="AC88" i="10"/>
  <c r="AB88" i="10"/>
  <c r="D88" i="10" s="1"/>
  <c r="AA88" i="10"/>
  <c r="Z88" i="10"/>
  <c r="Y88" i="10"/>
  <c r="M88" i="10"/>
  <c r="H88" i="10"/>
  <c r="C88" i="10"/>
  <c r="AG87" i="10"/>
  <c r="AF87" i="10"/>
  <c r="AH87" i="10" s="1"/>
  <c r="AE87" i="10"/>
  <c r="AD87" i="10"/>
  <c r="AC87" i="10"/>
  <c r="Z87" i="10"/>
  <c r="AB87" i="10" s="1"/>
  <c r="D87" i="10" s="1"/>
  <c r="Y87" i="10"/>
  <c r="J87" i="10" s="1"/>
  <c r="M87" i="10"/>
  <c r="G87" i="10"/>
  <c r="B87" i="10"/>
  <c r="A87" i="10"/>
  <c r="AG86" i="10"/>
  <c r="AF86" i="10"/>
  <c r="AD86" i="10"/>
  <c r="G86" i="10" s="1"/>
  <c r="AC86" i="10"/>
  <c r="AA86" i="10"/>
  <c r="Z86" i="10"/>
  <c r="Y86" i="10"/>
  <c r="M86" i="10"/>
  <c r="J86" i="10"/>
  <c r="I86" i="10"/>
  <c r="C86" i="10"/>
  <c r="AG85" i="10"/>
  <c r="H85" i="10" s="1"/>
  <c r="AF85" i="10"/>
  <c r="AE85" i="10"/>
  <c r="AD85" i="10"/>
  <c r="I85" i="10" s="1"/>
  <c r="AC85" i="10"/>
  <c r="AA85" i="10"/>
  <c r="C85" i="10" s="1"/>
  <c r="Z85" i="10"/>
  <c r="AB85" i="10" s="1"/>
  <c r="D85" i="10" s="1"/>
  <c r="Y85" i="10"/>
  <c r="M85" i="10"/>
  <c r="G85" i="10"/>
  <c r="F85" i="10"/>
  <c r="A85" i="10"/>
  <c r="AG84" i="10"/>
  <c r="F84" i="10" s="1"/>
  <c r="AF84" i="10"/>
  <c r="AD84" i="10"/>
  <c r="G84" i="10" s="1"/>
  <c r="AC84" i="10"/>
  <c r="AB84" i="10"/>
  <c r="AA84" i="10"/>
  <c r="Z84" i="10"/>
  <c r="Y84" i="10"/>
  <c r="M84" i="10"/>
  <c r="I84" i="10"/>
  <c r="D84" i="10"/>
  <c r="C84" i="10"/>
  <c r="AG83" i="10"/>
  <c r="AF83" i="10"/>
  <c r="F83" i="10" s="1"/>
  <c r="AD83" i="10"/>
  <c r="AC83" i="10"/>
  <c r="Z83" i="10"/>
  <c r="Y83" i="10"/>
  <c r="M83" i="10"/>
  <c r="H83" i="10"/>
  <c r="AH82" i="10"/>
  <c r="AG82" i="10"/>
  <c r="F82" i="10" s="1"/>
  <c r="AF82" i="10"/>
  <c r="AD82" i="10"/>
  <c r="AC82" i="10"/>
  <c r="AB82" i="10"/>
  <c r="D82" i="10" s="1"/>
  <c r="AA82" i="10"/>
  <c r="Z82" i="10"/>
  <c r="Y82" i="10"/>
  <c r="M82" i="10"/>
  <c r="H82" i="10"/>
  <c r="C82" i="10"/>
  <c r="AG81" i="10"/>
  <c r="AF81" i="10"/>
  <c r="AE81" i="10"/>
  <c r="AD81" i="10"/>
  <c r="AC81" i="10"/>
  <c r="Z81" i="10"/>
  <c r="AB81" i="10" s="1"/>
  <c r="D81" i="10" s="1"/>
  <c r="Y81" i="10"/>
  <c r="M81" i="10"/>
  <c r="A81" i="10" s="1"/>
  <c r="H81" i="10"/>
  <c r="AG80" i="10"/>
  <c r="AH80" i="10" s="1"/>
  <c r="AF80" i="10"/>
  <c r="AE80" i="10"/>
  <c r="AD80" i="10"/>
  <c r="AC80" i="10"/>
  <c r="AB80" i="10" s="1"/>
  <c r="D80" i="10" s="1"/>
  <c r="Z80" i="10"/>
  <c r="Y80" i="10"/>
  <c r="M80" i="10"/>
  <c r="J80" i="10"/>
  <c r="F80" i="10"/>
  <c r="AG79" i="10"/>
  <c r="J79" i="10" s="1"/>
  <c r="AF79" i="10"/>
  <c r="AD79" i="10"/>
  <c r="AC79" i="10"/>
  <c r="Z79" i="10"/>
  <c r="AB79" i="10" s="1"/>
  <c r="D79" i="10" s="1"/>
  <c r="Y79" i="10"/>
  <c r="M79" i="10"/>
  <c r="AG78" i="10"/>
  <c r="AF78" i="10"/>
  <c r="AH78" i="10" s="1"/>
  <c r="AD78" i="10"/>
  <c r="AC78" i="10"/>
  <c r="Z78" i="10"/>
  <c r="Y78" i="10"/>
  <c r="AA78" i="10" s="1"/>
  <c r="C78" i="10" s="1"/>
  <c r="M78" i="10"/>
  <c r="J78" i="10"/>
  <c r="H78" i="10"/>
  <c r="F78" i="10"/>
  <c r="B78" i="10"/>
  <c r="AG77" i="10"/>
  <c r="AF77" i="10"/>
  <c r="AD77" i="10"/>
  <c r="AC77" i="10"/>
  <c r="AE77" i="10" s="1"/>
  <c r="Z77" i="10"/>
  <c r="Y77" i="10"/>
  <c r="M77" i="10"/>
  <c r="I77" i="10"/>
  <c r="G77" i="10"/>
  <c r="A77" i="10"/>
  <c r="AG76" i="10"/>
  <c r="F76" i="10" s="1"/>
  <c r="AF76" i="10"/>
  <c r="AE76" i="10"/>
  <c r="AD76" i="10"/>
  <c r="AC76" i="10"/>
  <c r="AB76" i="10" s="1"/>
  <c r="Z76" i="10"/>
  <c r="Y76" i="10"/>
  <c r="J76" i="10" s="1"/>
  <c r="M76" i="10"/>
  <c r="A76" i="10" s="1"/>
  <c r="D76" i="10"/>
  <c r="B76" i="10"/>
  <c r="AG75" i="10"/>
  <c r="J75" i="10" s="1"/>
  <c r="AF75" i="10"/>
  <c r="F75" i="10" s="1"/>
  <c r="AD75" i="10"/>
  <c r="G75" i="10" s="1"/>
  <c r="AC75" i="10"/>
  <c r="AB75" i="10"/>
  <c r="D75" i="10" s="1"/>
  <c r="AA75" i="10"/>
  <c r="Z75" i="10"/>
  <c r="Y75" i="10"/>
  <c r="M75" i="10"/>
  <c r="H75" i="10"/>
  <c r="C75" i="10"/>
  <c r="AG74" i="10"/>
  <c r="AF74" i="10"/>
  <c r="AD74" i="10"/>
  <c r="AC74" i="10"/>
  <c r="AB74" i="10" s="1"/>
  <c r="D74" i="10" s="1"/>
  <c r="AA74" i="10"/>
  <c r="C74" i="10" s="1"/>
  <c r="Z74" i="10"/>
  <c r="Y74" i="10"/>
  <c r="M74" i="10"/>
  <c r="AG73" i="10"/>
  <c r="J73" i="10" s="1"/>
  <c r="AF73" i="10"/>
  <c r="AD73" i="10"/>
  <c r="AC73" i="10"/>
  <c r="Z73" i="10"/>
  <c r="AB73" i="10" s="1"/>
  <c r="D73" i="10" s="1"/>
  <c r="Y73" i="10"/>
  <c r="M73" i="10"/>
  <c r="AG72" i="10"/>
  <c r="AF72" i="10"/>
  <c r="AH72" i="10" s="1"/>
  <c r="AD72" i="10"/>
  <c r="AC72" i="10"/>
  <c r="Z72" i="10"/>
  <c r="AA72" i="10" s="1"/>
  <c r="C72" i="10" s="1"/>
  <c r="Y72" i="10"/>
  <c r="H72" i="10" s="1"/>
  <c r="M72" i="10"/>
  <c r="J72" i="10"/>
  <c r="B72" i="10"/>
  <c r="AG71" i="10"/>
  <c r="H71" i="10" s="1"/>
  <c r="AF71" i="10"/>
  <c r="F71" i="10" s="1"/>
  <c r="AD71" i="10"/>
  <c r="I71" i="10" s="1"/>
  <c r="AC71" i="10"/>
  <c r="Z71" i="10"/>
  <c r="AA71" i="10" s="1"/>
  <c r="Y71" i="10"/>
  <c r="M71" i="10"/>
  <c r="J71" i="10"/>
  <c r="C71" i="10"/>
  <c r="AG70" i="10"/>
  <c r="AF70" i="10"/>
  <c r="AH70" i="10" s="1"/>
  <c r="AD70" i="10"/>
  <c r="AC70" i="10"/>
  <c r="Z70" i="10"/>
  <c r="AA70" i="10" s="1"/>
  <c r="C70" i="10" s="1"/>
  <c r="Y70" i="10"/>
  <c r="H70" i="10" s="1"/>
  <c r="M70" i="10"/>
  <c r="J70" i="10"/>
  <c r="B70" i="10"/>
  <c r="AG69" i="10"/>
  <c r="H69" i="10" s="1"/>
  <c r="AF69" i="10"/>
  <c r="F69" i="10" s="1"/>
  <c r="AD69" i="10"/>
  <c r="I69" i="10" s="1"/>
  <c r="AC69" i="10"/>
  <c r="Z69" i="10"/>
  <c r="AA69" i="10" s="1"/>
  <c r="C69" i="10" s="1"/>
  <c r="Y69" i="10"/>
  <c r="M69" i="10"/>
  <c r="J69" i="10"/>
  <c r="G69" i="10"/>
  <c r="AG68" i="10"/>
  <c r="AF68" i="10"/>
  <c r="AD68" i="10"/>
  <c r="AC68" i="10"/>
  <c r="Z68" i="10"/>
  <c r="AA68" i="10" s="1"/>
  <c r="C68" i="10" s="1"/>
  <c r="Y68" i="10"/>
  <c r="H68" i="10" s="1"/>
  <c r="AG67" i="10"/>
  <c r="AF67" i="10"/>
  <c r="AH67" i="10" s="1"/>
  <c r="AD67" i="10"/>
  <c r="AC67" i="10"/>
  <c r="Z67" i="10"/>
  <c r="AA67" i="10" s="1"/>
  <c r="C67" i="10" s="1"/>
  <c r="Y67" i="10"/>
  <c r="J67" i="10" s="1"/>
  <c r="H67" i="10"/>
  <c r="AH66" i="10"/>
  <c r="AG66" i="10"/>
  <c r="F66" i="10" s="1"/>
  <c r="AF66" i="10"/>
  <c r="AD66" i="10"/>
  <c r="G66" i="10" s="1"/>
  <c r="AC66" i="10"/>
  <c r="Z66" i="10"/>
  <c r="Y66" i="10"/>
  <c r="H66" i="10" s="1"/>
  <c r="I66" i="10"/>
  <c r="B66" i="10"/>
  <c r="AG65" i="10"/>
  <c r="AF65" i="10"/>
  <c r="AD65" i="10"/>
  <c r="AC65" i="10"/>
  <c r="Z65" i="10"/>
  <c r="Y65" i="10"/>
  <c r="H65" i="10" s="1"/>
  <c r="J65" i="10"/>
  <c r="G65" i="10"/>
  <c r="AH64" i="10"/>
  <c r="B64" i="10" s="1"/>
  <c r="AG64" i="10"/>
  <c r="AF64" i="10"/>
  <c r="AE64" i="10"/>
  <c r="A64" i="10" s="1"/>
  <c r="AD64" i="10"/>
  <c r="AC64" i="10"/>
  <c r="AB64" i="10"/>
  <c r="D64" i="10" s="1"/>
  <c r="Z64" i="10"/>
  <c r="Y64" i="10"/>
  <c r="J64" i="10" s="1"/>
  <c r="I64" i="10"/>
  <c r="G64" i="10"/>
  <c r="F64" i="10"/>
  <c r="AH63" i="10"/>
  <c r="B63" i="10" s="1"/>
  <c r="AG63" i="10"/>
  <c r="F63" i="10" s="1"/>
  <c r="AF63" i="10"/>
  <c r="AD63" i="10"/>
  <c r="G63" i="10" s="1"/>
  <c r="AC63" i="10"/>
  <c r="AB63" i="10"/>
  <c r="D63" i="10" s="1"/>
  <c r="Z63" i="10"/>
  <c r="Y63" i="10"/>
  <c r="AA63" i="10" s="1"/>
  <c r="C63" i="10" s="1"/>
  <c r="J63" i="10"/>
  <c r="H63" i="10"/>
  <c r="AG62" i="10"/>
  <c r="AF62" i="10"/>
  <c r="AD62" i="10"/>
  <c r="AE62" i="10" s="1"/>
  <c r="A62" i="10" s="1"/>
  <c r="AC62" i="10"/>
  <c r="AB62" i="10" s="1"/>
  <c r="D62" i="10" s="1"/>
  <c r="AA62" i="10"/>
  <c r="C62" i="10" s="1"/>
  <c r="Z62" i="10"/>
  <c r="Y62" i="10"/>
  <c r="J62" i="10"/>
  <c r="I62" i="10"/>
  <c r="F62" i="10"/>
  <c r="AG61" i="10"/>
  <c r="AF61" i="10"/>
  <c r="AD61" i="10"/>
  <c r="AC61" i="10"/>
  <c r="AE61" i="10" s="1"/>
  <c r="A61" i="10" s="1"/>
  <c r="AA61" i="10"/>
  <c r="C61" i="10" s="1"/>
  <c r="Z61" i="10"/>
  <c r="Y61" i="10"/>
  <c r="I61" i="10"/>
  <c r="G61" i="10"/>
  <c r="F61" i="10"/>
  <c r="AG60" i="10"/>
  <c r="AF60" i="10"/>
  <c r="AD60" i="10"/>
  <c r="AC60" i="10"/>
  <c r="AE60" i="10" s="1"/>
  <c r="AA60" i="10"/>
  <c r="C60" i="10" s="1"/>
  <c r="Z60" i="10"/>
  <c r="Y60" i="10"/>
  <c r="I60" i="10"/>
  <c r="G60" i="10"/>
  <c r="A60" i="10"/>
  <c r="AG59" i="10"/>
  <c r="AF59" i="10"/>
  <c r="AH59" i="10" s="1"/>
  <c r="AD59" i="10"/>
  <c r="G59" i="10" s="1"/>
  <c r="AC59" i="10"/>
  <c r="Z59" i="10"/>
  <c r="AA59" i="10" s="1"/>
  <c r="Y59" i="10"/>
  <c r="H59" i="10" s="1"/>
  <c r="I59" i="10"/>
  <c r="F59" i="10"/>
  <c r="C59" i="10"/>
  <c r="AG58" i="10"/>
  <c r="AH58" i="10" s="1"/>
  <c r="AF58" i="10"/>
  <c r="AE58" i="10"/>
  <c r="A58" i="10" s="1"/>
  <c r="AD58" i="10"/>
  <c r="AC58" i="10"/>
  <c r="AB58" i="10"/>
  <c r="D58" i="10" s="1"/>
  <c r="Z58" i="10"/>
  <c r="Y58" i="10"/>
  <c r="AG57" i="10"/>
  <c r="AF57" i="10"/>
  <c r="AD57" i="10"/>
  <c r="AC57" i="10"/>
  <c r="AE57" i="10" s="1"/>
  <c r="AA57" i="10"/>
  <c r="C57" i="10" s="1"/>
  <c r="Z57" i="10"/>
  <c r="Y57" i="10"/>
  <c r="I57" i="10"/>
  <c r="G57" i="10"/>
  <c r="A57" i="10"/>
  <c r="AG56" i="10"/>
  <c r="AF56" i="10"/>
  <c r="AH56" i="10" s="1"/>
  <c r="AD56" i="10"/>
  <c r="G56" i="10" s="1"/>
  <c r="AC56" i="10"/>
  <c r="Z56" i="10"/>
  <c r="AA56" i="10" s="1"/>
  <c r="C56" i="10" s="1"/>
  <c r="Y56" i="10"/>
  <c r="H56" i="10" s="1"/>
  <c r="I56" i="10"/>
  <c r="F56" i="10"/>
  <c r="AG55" i="10"/>
  <c r="AH55" i="10" s="1"/>
  <c r="AF55" i="10"/>
  <c r="AE55" i="10"/>
  <c r="A55" i="10" s="1"/>
  <c r="AD55" i="10"/>
  <c r="AC55" i="10"/>
  <c r="AB55" i="10"/>
  <c r="D55" i="10" s="1"/>
  <c r="Z55" i="10"/>
  <c r="Y55" i="10"/>
  <c r="AG54" i="10"/>
  <c r="AF54" i="10"/>
  <c r="AD54" i="10"/>
  <c r="AC54" i="10"/>
  <c r="AE54" i="10" s="1"/>
  <c r="AA54" i="10"/>
  <c r="C54" i="10" s="1"/>
  <c r="Z54" i="10"/>
  <c r="Y54" i="10"/>
  <c r="I54" i="10"/>
  <c r="G54" i="10"/>
  <c r="A54" i="10"/>
  <c r="AG53" i="10"/>
  <c r="AF53" i="10"/>
  <c r="AH53" i="10" s="1"/>
  <c r="AD53" i="10"/>
  <c r="G53" i="10" s="1"/>
  <c r="AC53" i="10"/>
  <c r="Z53" i="10"/>
  <c r="AA53" i="10" s="1"/>
  <c r="Y53" i="10"/>
  <c r="H53" i="10" s="1"/>
  <c r="I53" i="10"/>
  <c r="F53" i="10"/>
  <c r="C53" i="10"/>
  <c r="AG52" i="10"/>
  <c r="AH52" i="10" s="1"/>
  <c r="AF52" i="10"/>
  <c r="AE52" i="10"/>
  <c r="A52" i="10" s="1"/>
  <c r="AD52" i="10"/>
  <c r="I52" i="10" s="1"/>
  <c r="AC52" i="10"/>
  <c r="AB52" i="10"/>
  <c r="D52" i="10" s="1"/>
  <c r="Z52" i="10"/>
  <c r="Y52" i="10"/>
  <c r="AG51" i="10"/>
  <c r="AF51" i="10"/>
  <c r="AD51" i="10"/>
  <c r="AC51" i="10"/>
  <c r="AE51" i="10" s="1"/>
  <c r="AA51" i="10"/>
  <c r="C51" i="10" s="1"/>
  <c r="Z51" i="10"/>
  <c r="Y51" i="10"/>
  <c r="I51" i="10"/>
  <c r="G51" i="10"/>
  <c r="A51" i="10"/>
  <c r="AG50" i="10"/>
  <c r="AF50" i="10"/>
  <c r="AH50" i="10" s="1"/>
  <c r="AD50" i="10"/>
  <c r="G50" i="10" s="1"/>
  <c r="AC50" i="10"/>
  <c r="Z50" i="10"/>
  <c r="AA50" i="10" s="1"/>
  <c r="Y50" i="10"/>
  <c r="H50" i="10" s="1"/>
  <c r="I50" i="10"/>
  <c r="F50" i="10"/>
  <c r="C50" i="10"/>
  <c r="AG49" i="10"/>
  <c r="AH49" i="10" s="1"/>
  <c r="AF49" i="10"/>
  <c r="AE49" i="10"/>
  <c r="A49" i="10" s="1"/>
  <c r="AD49" i="10"/>
  <c r="AC49" i="10"/>
  <c r="AB49" i="10"/>
  <c r="D49" i="10" s="1"/>
  <c r="Z49" i="10"/>
  <c r="Y49" i="10"/>
  <c r="AG48" i="10"/>
  <c r="AF48" i="10"/>
  <c r="AD48" i="10"/>
  <c r="AC48" i="10"/>
  <c r="AE48" i="10" s="1"/>
  <c r="AA48" i="10"/>
  <c r="C48" i="10" s="1"/>
  <c r="Z48" i="10"/>
  <c r="Y48" i="10"/>
  <c r="I48" i="10"/>
  <c r="G48" i="10"/>
  <c r="A48" i="10"/>
  <c r="AG47" i="10"/>
  <c r="AF47" i="10"/>
  <c r="AH47" i="10" s="1"/>
  <c r="AD47" i="10"/>
  <c r="G47" i="10" s="1"/>
  <c r="AC47" i="10"/>
  <c r="Z47" i="10"/>
  <c r="AA47" i="10" s="1"/>
  <c r="C47" i="10" s="1"/>
  <c r="Y47" i="10"/>
  <c r="H47" i="10" s="1"/>
  <c r="I47" i="10"/>
  <c r="F47" i="10"/>
  <c r="AG46" i="10"/>
  <c r="AH46" i="10" s="1"/>
  <c r="AF46" i="10"/>
  <c r="AE46" i="10"/>
  <c r="AD46" i="10"/>
  <c r="AC46" i="10"/>
  <c r="AB46" i="10"/>
  <c r="D46" i="10" s="1"/>
  <c r="Z46" i="10"/>
  <c r="Y46" i="10"/>
  <c r="A46" i="10"/>
  <c r="AG45" i="10"/>
  <c r="AF45" i="10"/>
  <c r="AD45" i="10"/>
  <c r="AC45" i="10"/>
  <c r="AE45" i="10" s="1"/>
  <c r="AA45" i="10"/>
  <c r="C45" i="10" s="1"/>
  <c r="Z45" i="10"/>
  <c r="Y45" i="10"/>
  <c r="I45" i="10"/>
  <c r="G45" i="10"/>
  <c r="A45" i="10"/>
  <c r="AG44" i="10"/>
  <c r="AF44" i="10"/>
  <c r="AH44" i="10" s="1"/>
  <c r="AD44" i="10"/>
  <c r="G44" i="10" s="1"/>
  <c r="AC44" i="10"/>
  <c r="Z44" i="10"/>
  <c r="AA44" i="10" s="1"/>
  <c r="Y44" i="10"/>
  <c r="H44" i="10" s="1"/>
  <c r="I44" i="10"/>
  <c r="F44" i="10"/>
  <c r="C44" i="10"/>
  <c r="AG43" i="10"/>
  <c r="AH43" i="10" s="1"/>
  <c r="AF43" i="10"/>
  <c r="AE43" i="10"/>
  <c r="AD43" i="10"/>
  <c r="AC43" i="10"/>
  <c r="AB43" i="10"/>
  <c r="D43" i="10" s="1"/>
  <c r="Z43" i="10"/>
  <c r="Y43" i="10"/>
  <c r="A43" i="10"/>
  <c r="AG42" i="10"/>
  <c r="AF42" i="10"/>
  <c r="AD42" i="10"/>
  <c r="AC42" i="10"/>
  <c r="AE42" i="10" s="1"/>
  <c r="AA42" i="10"/>
  <c r="C42" i="10" s="1"/>
  <c r="Z42" i="10"/>
  <c r="Y42" i="10"/>
  <c r="I42" i="10"/>
  <c r="G42" i="10"/>
  <c r="A42" i="10"/>
  <c r="AG41" i="10"/>
  <c r="AF41" i="10"/>
  <c r="AH41" i="10" s="1"/>
  <c r="AD41" i="10"/>
  <c r="I41" i="10" s="1"/>
  <c r="AC41" i="10"/>
  <c r="Z41" i="10"/>
  <c r="AA41" i="10" s="1"/>
  <c r="C41" i="10" s="1"/>
  <c r="Y41" i="10"/>
  <c r="H41" i="10" s="1"/>
  <c r="L41" i="10"/>
  <c r="J41" i="10"/>
  <c r="F41" i="10"/>
  <c r="AG40" i="10"/>
  <c r="AF40" i="10"/>
  <c r="AD40" i="10"/>
  <c r="AC40" i="10"/>
  <c r="AE40" i="10" s="1"/>
  <c r="Z40" i="10"/>
  <c r="Y40" i="10"/>
  <c r="J40" i="10" s="1"/>
  <c r="I40" i="10"/>
  <c r="H40" i="10"/>
  <c r="G40" i="10"/>
  <c r="AH39" i="10"/>
  <c r="AG39" i="10"/>
  <c r="F39" i="10" s="1"/>
  <c r="AF39" i="10"/>
  <c r="AD39" i="10"/>
  <c r="G39" i="10" s="1"/>
  <c r="AC39" i="10"/>
  <c r="A39" i="10" s="1"/>
  <c r="AB39" i="10"/>
  <c r="D39" i="10" s="1"/>
  <c r="Z39" i="10"/>
  <c r="Y39" i="10"/>
  <c r="AA39" i="10" s="1"/>
  <c r="C39" i="10" s="1"/>
  <c r="J39" i="10"/>
  <c r="H39" i="10"/>
  <c r="B39" i="10"/>
  <c r="AG38" i="10"/>
  <c r="AF38" i="10"/>
  <c r="AH38" i="10" s="1"/>
  <c r="AD38" i="10"/>
  <c r="AC38" i="10"/>
  <c r="AB38" i="10" s="1"/>
  <c r="Z38" i="10"/>
  <c r="AA38" i="10" s="1"/>
  <c r="C38" i="10" s="1"/>
  <c r="Y38" i="10"/>
  <c r="H38" i="10" s="1"/>
  <c r="J38" i="10"/>
  <c r="F38" i="10"/>
  <c r="D38" i="10"/>
  <c r="AG37" i="10"/>
  <c r="AF37" i="10"/>
  <c r="AD37" i="10"/>
  <c r="AC37" i="10"/>
  <c r="AE37" i="10" s="1"/>
  <c r="Z37" i="10"/>
  <c r="Y37" i="10"/>
  <c r="J37" i="10" s="1"/>
  <c r="I37" i="10"/>
  <c r="H37" i="10"/>
  <c r="G37" i="10"/>
  <c r="AH36" i="10"/>
  <c r="AG36" i="10"/>
  <c r="F36" i="10" s="1"/>
  <c r="AF36" i="10"/>
  <c r="AD36" i="10"/>
  <c r="G36" i="10" s="1"/>
  <c r="AC36" i="10"/>
  <c r="AB36" i="10"/>
  <c r="D36" i="10" s="1"/>
  <c r="Z36" i="10"/>
  <c r="Y36" i="10"/>
  <c r="AA36" i="10" s="1"/>
  <c r="C36" i="10" s="1"/>
  <c r="J36" i="10"/>
  <c r="H36" i="10"/>
  <c r="B36" i="10"/>
  <c r="AG35" i="10"/>
  <c r="AF35" i="10"/>
  <c r="AH35" i="10" s="1"/>
  <c r="AD35" i="10"/>
  <c r="AC35" i="10"/>
  <c r="AB35" i="10" s="1"/>
  <c r="Z35" i="10"/>
  <c r="AA35" i="10" s="1"/>
  <c r="C35" i="10" s="1"/>
  <c r="Y35" i="10"/>
  <c r="H35" i="10" s="1"/>
  <c r="J35" i="10"/>
  <c r="F35" i="10"/>
  <c r="D35" i="10"/>
  <c r="AG34" i="10"/>
  <c r="AF34" i="10"/>
  <c r="AD34" i="10"/>
  <c r="AC34" i="10"/>
  <c r="AE34" i="10" s="1"/>
  <c r="Z34" i="10"/>
  <c r="Y34" i="10"/>
  <c r="J34" i="10" s="1"/>
  <c r="I34" i="10"/>
  <c r="H34" i="10"/>
  <c r="G34" i="10"/>
  <c r="AH33" i="10"/>
  <c r="B33" i="10" s="1"/>
  <c r="AG33" i="10"/>
  <c r="F33" i="10" s="1"/>
  <c r="AF33" i="10"/>
  <c r="AD33" i="10"/>
  <c r="G33" i="10" s="1"/>
  <c r="AC33" i="10"/>
  <c r="A33" i="10" s="1"/>
  <c r="AB33" i="10"/>
  <c r="Z33" i="10"/>
  <c r="Y33" i="10"/>
  <c r="AA33" i="10" s="1"/>
  <c r="C33" i="10" s="1"/>
  <c r="J33" i="10"/>
  <c r="H33" i="10"/>
  <c r="D33" i="10"/>
  <c r="AG32" i="10"/>
  <c r="AF32" i="10"/>
  <c r="AD32" i="10"/>
  <c r="AC32" i="10"/>
  <c r="Z32" i="10"/>
  <c r="AA32" i="10" s="1"/>
  <c r="C32" i="10" s="1"/>
  <c r="Y32" i="10"/>
  <c r="H32" i="10" s="1"/>
  <c r="J32" i="10"/>
  <c r="F32" i="10"/>
  <c r="AH31" i="10"/>
  <c r="AG31" i="10"/>
  <c r="AF31" i="10"/>
  <c r="AD31" i="10"/>
  <c r="AC31" i="10"/>
  <c r="AE31" i="10" s="1"/>
  <c r="Z31" i="10"/>
  <c r="AA31" i="10" s="1"/>
  <c r="C31" i="10" s="1"/>
  <c r="Y31" i="10"/>
  <c r="J31" i="10" s="1"/>
  <c r="I31" i="10"/>
  <c r="H31" i="10"/>
  <c r="G31" i="10"/>
  <c r="F31" i="10"/>
  <c r="B31" i="10"/>
  <c r="AH30" i="10"/>
  <c r="B30" i="10" s="1"/>
  <c r="AG30" i="10"/>
  <c r="F30" i="10" s="1"/>
  <c r="AF30" i="10"/>
  <c r="AD30" i="10"/>
  <c r="AC30" i="10"/>
  <c r="AB30" i="10"/>
  <c r="D30" i="10" s="1"/>
  <c r="Z30" i="10"/>
  <c r="Y30" i="10"/>
  <c r="AA30" i="10" s="1"/>
  <c r="C30" i="10" s="1"/>
  <c r="J30" i="10"/>
  <c r="H30" i="10"/>
  <c r="AG29" i="10"/>
  <c r="AF29" i="10"/>
  <c r="AD29" i="10"/>
  <c r="AC29" i="10"/>
  <c r="AB29" i="10" s="1"/>
  <c r="D29" i="10" s="1"/>
  <c r="Z29" i="10"/>
  <c r="AA29" i="10" s="1"/>
  <c r="C29" i="10" s="1"/>
  <c r="Y29" i="10"/>
  <c r="H29" i="10" s="1"/>
  <c r="J29" i="10"/>
  <c r="G29" i="10"/>
  <c r="F29" i="10"/>
  <c r="AH28" i="10"/>
  <c r="AG28" i="10"/>
  <c r="AF28" i="10"/>
  <c r="B28" i="10" s="1"/>
  <c r="AD28" i="10"/>
  <c r="AC28" i="10"/>
  <c r="Z28" i="10"/>
  <c r="AA28" i="10" s="1"/>
  <c r="Y28" i="10"/>
  <c r="J28" i="10" s="1"/>
  <c r="I28" i="10"/>
  <c r="H28" i="10"/>
  <c r="G28" i="10"/>
  <c r="F28" i="10"/>
  <c r="C28" i="10"/>
  <c r="AH27" i="10"/>
  <c r="AG27" i="10"/>
  <c r="F27" i="10" s="1"/>
  <c r="AF27" i="10"/>
  <c r="AD27" i="10"/>
  <c r="AE27" i="10" s="1"/>
  <c r="AC27" i="10"/>
  <c r="AB27" i="10"/>
  <c r="Z27" i="10"/>
  <c r="Y27" i="10"/>
  <c r="AA27" i="10" s="1"/>
  <c r="C27" i="10" s="1"/>
  <c r="J27" i="10"/>
  <c r="H27" i="10"/>
  <c r="D27" i="10"/>
  <c r="B27" i="10"/>
  <c r="AG26" i="10"/>
  <c r="AF26" i="10"/>
  <c r="AD26" i="10"/>
  <c r="AC26" i="10"/>
  <c r="Z26" i="10"/>
  <c r="AA26" i="10" s="1"/>
  <c r="C26" i="10" s="1"/>
  <c r="Y26" i="10"/>
  <c r="H26" i="10" s="1"/>
  <c r="J26" i="10"/>
  <c r="AG25" i="10"/>
  <c r="AF25" i="10"/>
  <c r="F25" i="10" s="1"/>
  <c r="AD25" i="10"/>
  <c r="AC25" i="10"/>
  <c r="AB25" i="10"/>
  <c r="D25" i="10" s="1"/>
  <c r="Z25" i="10"/>
  <c r="AA25" i="10" s="1"/>
  <c r="Y25" i="10"/>
  <c r="J25" i="10" s="1"/>
  <c r="I25" i="10"/>
  <c r="H25" i="10"/>
  <c r="G25" i="10"/>
  <c r="C25" i="10"/>
  <c r="AH24" i="10"/>
  <c r="B24" i="10" s="1"/>
  <c r="AG24" i="10"/>
  <c r="F24" i="10" s="1"/>
  <c r="AF24" i="10"/>
  <c r="AE24" i="10"/>
  <c r="AD24" i="10"/>
  <c r="AC24" i="10"/>
  <c r="AB24" i="10"/>
  <c r="Z24" i="10"/>
  <c r="Y24" i="10"/>
  <c r="AA24" i="10" s="1"/>
  <c r="C24" i="10" s="1"/>
  <c r="J24" i="10"/>
  <c r="H24" i="10"/>
  <c r="D24" i="10"/>
  <c r="AG23" i="10"/>
  <c r="AF23" i="10"/>
  <c r="AD23" i="10"/>
  <c r="AC23" i="10"/>
  <c r="AB23" i="10" s="1"/>
  <c r="AA23" i="10"/>
  <c r="C23" i="10" s="1"/>
  <c r="Z23" i="10"/>
  <c r="Y23" i="10"/>
  <c r="H23" i="10" s="1"/>
  <c r="J23" i="10"/>
  <c r="G23" i="10"/>
  <c r="D23" i="10"/>
  <c r="AG22" i="10"/>
  <c r="AF22" i="10"/>
  <c r="AH22" i="10" s="1"/>
  <c r="AD22" i="10"/>
  <c r="AC22" i="10"/>
  <c r="Z22" i="10"/>
  <c r="AA22" i="10" s="1"/>
  <c r="Y22" i="10"/>
  <c r="I22" i="10"/>
  <c r="H22" i="10"/>
  <c r="G22" i="10"/>
  <c r="C22" i="10"/>
  <c r="AH21" i="10"/>
  <c r="AG21" i="10"/>
  <c r="F21" i="10" s="1"/>
  <c r="AF21" i="10"/>
  <c r="AE21" i="10"/>
  <c r="AD21" i="10"/>
  <c r="G21" i="10" s="1"/>
  <c r="AC21" i="10"/>
  <c r="AB21" i="10"/>
  <c r="D21" i="10" s="1"/>
  <c r="Z21" i="10"/>
  <c r="Y21" i="10"/>
  <c r="AA21" i="10" s="1"/>
  <c r="J21" i="10"/>
  <c r="I21" i="10"/>
  <c r="H21" i="10"/>
  <c r="C21" i="10"/>
  <c r="B21" i="10"/>
  <c r="AG20" i="10"/>
  <c r="AF20" i="10"/>
  <c r="AE20" i="10"/>
  <c r="AD20" i="10"/>
  <c r="AC20" i="10"/>
  <c r="AA20" i="10"/>
  <c r="C20" i="10" s="1"/>
  <c r="Z20" i="10"/>
  <c r="Y20" i="10"/>
  <c r="H20" i="10" s="1"/>
  <c r="J20" i="10"/>
  <c r="A20" i="10"/>
  <c r="AH19" i="10"/>
  <c r="B19" i="10" s="1"/>
  <c r="AG19" i="10"/>
  <c r="AF19" i="10"/>
  <c r="AD19" i="10"/>
  <c r="AC19" i="10"/>
  <c r="AE19" i="10" s="1"/>
  <c r="AB19" i="10"/>
  <c r="D19" i="10" s="1"/>
  <c r="AA19" i="10"/>
  <c r="C19" i="10" s="1"/>
  <c r="Z19" i="10"/>
  <c r="Y19" i="10"/>
  <c r="J19" i="10" s="1"/>
  <c r="I19" i="10"/>
  <c r="H19" i="10"/>
  <c r="G19" i="10"/>
  <c r="F19" i="10"/>
  <c r="A19" i="10"/>
  <c r="E19" i="10" s="1"/>
  <c r="AH18" i="10"/>
  <c r="B18" i="10" s="1"/>
  <c r="AG18" i="10"/>
  <c r="F18" i="10" s="1"/>
  <c r="AF18" i="10"/>
  <c r="AD18" i="10"/>
  <c r="AC18" i="10"/>
  <c r="Z18" i="10"/>
  <c r="Y18" i="10"/>
  <c r="H18" i="10" s="1"/>
  <c r="AG17" i="10"/>
  <c r="AF17" i="10"/>
  <c r="AD17" i="10"/>
  <c r="AC17" i="10"/>
  <c r="AB17" i="10" s="1"/>
  <c r="D17" i="10" s="1"/>
  <c r="Z17" i="10"/>
  <c r="AA17" i="10" s="1"/>
  <c r="C17" i="10" s="1"/>
  <c r="Y17" i="10"/>
  <c r="AG16" i="10"/>
  <c r="H16" i="10" s="1"/>
  <c r="AF16" i="10"/>
  <c r="AD16" i="10"/>
  <c r="AC16" i="10"/>
  <c r="AE16" i="10" s="1"/>
  <c r="AB16" i="10"/>
  <c r="D16" i="10" s="1"/>
  <c r="Z16" i="10"/>
  <c r="AA16" i="10" s="1"/>
  <c r="C16" i="10" s="1"/>
  <c r="Y16" i="10"/>
  <c r="J16" i="10" s="1"/>
  <c r="I16" i="10"/>
  <c r="G16" i="10"/>
  <c r="AH15" i="10"/>
  <c r="AG15" i="10"/>
  <c r="F15" i="10" s="1"/>
  <c r="AF15" i="10"/>
  <c r="AD15" i="10"/>
  <c r="AC15" i="10"/>
  <c r="AB15" i="10"/>
  <c r="Z15" i="10"/>
  <c r="Y15" i="10"/>
  <c r="AA15" i="10" s="1"/>
  <c r="J15" i="10"/>
  <c r="I15" i="10"/>
  <c r="D15" i="10"/>
  <c r="C15" i="10"/>
  <c r="B15" i="10"/>
  <c r="AG14" i="10"/>
  <c r="AF14" i="10"/>
  <c r="AD14" i="10"/>
  <c r="G14" i="10" s="1"/>
  <c r="AC14" i="10"/>
  <c r="Z14" i="10"/>
  <c r="AA14" i="10" s="1"/>
  <c r="C14" i="10" s="1"/>
  <c r="Y14" i="10"/>
  <c r="AG13" i="10"/>
  <c r="H13" i="10" s="1"/>
  <c r="AF13" i="10"/>
  <c r="AD13" i="10"/>
  <c r="AC13" i="10"/>
  <c r="Z13" i="10"/>
  <c r="AA13" i="10" s="1"/>
  <c r="C13" i="10" s="1"/>
  <c r="Y13" i="10"/>
  <c r="I13" i="10"/>
  <c r="G13" i="10"/>
  <c r="AH12" i="10"/>
  <c r="B12" i="10" s="1"/>
  <c r="AG12" i="10"/>
  <c r="AF12" i="10"/>
  <c r="AE12" i="10"/>
  <c r="AD12" i="10"/>
  <c r="G12" i="10" s="1"/>
  <c r="AC12" i="10"/>
  <c r="A12" i="10" s="1"/>
  <c r="AB12" i="10"/>
  <c r="D12" i="10" s="1"/>
  <c r="Z12" i="10"/>
  <c r="Y12" i="10"/>
  <c r="J12" i="10"/>
  <c r="I12" i="10"/>
  <c r="H12" i="10"/>
  <c r="F12" i="10"/>
  <c r="AG11" i="10"/>
  <c r="AF11" i="10"/>
  <c r="AD11" i="10"/>
  <c r="AC11" i="10"/>
  <c r="AB11" i="10" s="1"/>
  <c r="D11" i="10" s="1"/>
  <c r="Z11" i="10"/>
  <c r="Y11" i="10"/>
  <c r="F11" i="10"/>
  <c r="AG10" i="10"/>
  <c r="AF10" i="10"/>
  <c r="AD10" i="10"/>
  <c r="AC10" i="10"/>
  <c r="AE10" i="10" s="1"/>
  <c r="AB10" i="10"/>
  <c r="D10" i="10" s="1"/>
  <c r="Z10" i="10"/>
  <c r="AA10" i="10" s="1"/>
  <c r="C10" i="10" s="1"/>
  <c r="Y10" i="10"/>
  <c r="J10" i="10" s="1"/>
  <c r="I10" i="10"/>
  <c r="H10" i="10"/>
  <c r="G10" i="10"/>
  <c r="AH9" i="10"/>
  <c r="AG9" i="10"/>
  <c r="AF9" i="10"/>
  <c r="AD9" i="10"/>
  <c r="G9" i="10" s="1"/>
  <c r="AC9" i="10"/>
  <c r="AB9" i="10"/>
  <c r="D9" i="10" s="1"/>
  <c r="Z9" i="10"/>
  <c r="AA9" i="10" s="1"/>
  <c r="C9" i="10" s="1"/>
  <c r="Y9" i="10"/>
  <c r="J9" i="10"/>
  <c r="I9" i="10"/>
  <c r="H9" i="10"/>
  <c r="F9" i="10"/>
  <c r="B9" i="10"/>
  <c r="AG8" i="10"/>
  <c r="J8" i="10" s="1"/>
  <c r="AF8" i="10"/>
  <c r="AD8" i="10"/>
  <c r="I8" i="10" s="1"/>
  <c r="AC8" i="10"/>
  <c r="Z8" i="10"/>
  <c r="Y8" i="10"/>
  <c r="H8" i="10"/>
  <c r="G8" i="10"/>
  <c r="AG7" i="10"/>
  <c r="J7" i="10" s="1"/>
  <c r="AF7" i="10"/>
  <c r="AD7" i="10"/>
  <c r="AC7" i="10"/>
  <c r="Z7" i="10"/>
  <c r="AA7" i="10" s="1"/>
  <c r="Y7" i="10"/>
  <c r="I7" i="10"/>
  <c r="H7" i="10"/>
  <c r="G7" i="10"/>
  <c r="F7" i="10"/>
  <c r="C7" i="10"/>
  <c r="AH6" i="10"/>
  <c r="AG6" i="10"/>
  <c r="AF6" i="10"/>
  <c r="AE6" i="10"/>
  <c r="AD6" i="10"/>
  <c r="G6" i="10" s="1"/>
  <c r="AC6" i="10"/>
  <c r="A6" i="10" s="1"/>
  <c r="AB6" i="10"/>
  <c r="D6" i="10" s="1"/>
  <c r="Z6" i="10"/>
  <c r="AA6" i="10" s="1"/>
  <c r="C6" i="10" s="1"/>
  <c r="Y6" i="10"/>
  <c r="J6" i="10" s="1"/>
  <c r="F6" i="10"/>
  <c r="E6" i="10"/>
  <c r="B6" i="10"/>
  <c r="AG5" i="10"/>
  <c r="F5" i="10" s="1"/>
  <c r="AF5" i="10"/>
  <c r="AD5" i="10"/>
  <c r="AC5" i="10"/>
  <c r="AA5" i="10"/>
  <c r="C5" i="10" s="1"/>
  <c r="Z5" i="10"/>
  <c r="AB5" i="10" s="1"/>
  <c r="D5" i="10" s="1"/>
  <c r="Y5" i="10"/>
  <c r="H5" i="10" s="1"/>
  <c r="G5" i="10"/>
  <c r="AG4" i="10"/>
  <c r="J4" i="10" s="1"/>
  <c r="AF4" i="10"/>
  <c r="F4" i="10" s="1"/>
  <c r="AD4" i="10"/>
  <c r="AC4" i="10"/>
  <c r="Z4" i="10"/>
  <c r="AA4" i="10" s="1"/>
  <c r="Y4" i="10"/>
  <c r="I4" i="10"/>
  <c r="H4" i="10"/>
  <c r="G4" i="10"/>
  <c r="C4" i="10"/>
  <c r="AH3" i="10"/>
  <c r="AG3" i="10"/>
  <c r="AF3" i="10"/>
  <c r="AE3" i="10"/>
  <c r="AD3" i="10"/>
  <c r="AC3" i="10"/>
  <c r="A3" i="10" s="1"/>
  <c r="AB3" i="10"/>
  <c r="D3" i="10" s="1"/>
  <c r="Z3" i="10"/>
  <c r="AA3" i="10" s="1"/>
  <c r="C3" i="10" s="1"/>
  <c r="Y3" i="10"/>
  <c r="J3" i="10" s="1"/>
  <c r="F3" i="10"/>
  <c r="B3" i="10"/>
  <c r="E3" i="10" s="1"/>
  <c r="AG2" i="10"/>
  <c r="F2" i="10" s="1"/>
  <c r="AF2" i="10"/>
  <c r="AD2" i="10"/>
  <c r="AC2" i="10"/>
  <c r="AA2" i="10"/>
  <c r="C2" i="10" s="1"/>
  <c r="Z2" i="10"/>
  <c r="AB2" i="10" s="1"/>
  <c r="D2" i="10" s="1"/>
  <c r="Y2" i="10"/>
  <c r="H2" i="10" s="1"/>
  <c r="G2" i="10"/>
  <c r="A2" i="10"/>
  <c r="D73" i="9"/>
  <c r="A73" i="9"/>
  <c r="F72" i="9"/>
  <c r="C72" i="9"/>
  <c r="F71" i="9"/>
  <c r="C71" i="9"/>
  <c r="F70" i="9"/>
  <c r="C70" i="9"/>
  <c r="F69" i="9"/>
  <c r="C69" i="9"/>
  <c r="F68" i="9"/>
  <c r="C68" i="9"/>
  <c r="F67" i="9"/>
  <c r="C67" i="9"/>
  <c r="C73" i="9" s="1"/>
  <c r="B73" i="9" s="1"/>
  <c r="B74" i="9" s="1"/>
  <c r="D63" i="9"/>
  <c r="A63" i="9"/>
  <c r="F62" i="9"/>
  <c r="C62" i="9"/>
  <c r="F61" i="9"/>
  <c r="C61" i="9"/>
  <c r="F60" i="9"/>
  <c r="C60" i="9"/>
  <c r="F59" i="9"/>
  <c r="C59" i="9"/>
  <c r="F58" i="9"/>
  <c r="C58" i="9"/>
  <c r="F57" i="9"/>
  <c r="C57" i="9"/>
  <c r="BD39" i="9"/>
  <c r="AK38" i="9"/>
  <c r="AD38" i="9"/>
  <c r="W38" i="9"/>
  <c r="P38" i="9"/>
  <c r="I38" i="9"/>
  <c r="B38" i="9"/>
  <c r="AM37" i="9"/>
  <c r="AF37" i="9"/>
  <c r="Y37" i="9"/>
  <c r="R37" i="9"/>
  <c r="K37" i="9"/>
  <c r="D37" i="9"/>
  <c r="AM35" i="9"/>
  <c r="AJ35" i="9"/>
  <c r="AF35" i="9"/>
  <c r="AC35" i="9"/>
  <c r="AA35" i="9"/>
  <c r="Y35" i="9"/>
  <c r="V35" i="9"/>
  <c r="R35" i="9"/>
  <c r="O35" i="9"/>
  <c r="K35" i="9"/>
  <c r="H35" i="9"/>
  <c r="F35" i="9"/>
  <c r="D35" i="9"/>
  <c r="A35" i="9"/>
  <c r="BD34" i="9"/>
  <c r="AU34" i="9"/>
  <c r="AO34" i="9"/>
  <c r="BG34" i="9" s="1"/>
  <c r="AL34" i="9"/>
  <c r="BF34" i="9" s="1"/>
  <c r="AH34" i="9"/>
  <c r="AE34" i="9"/>
  <c r="BC34" i="9" s="1"/>
  <c r="AA34" i="9"/>
  <c r="BA34" i="9" s="1"/>
  <c r="X34" i="9"/>
  <c r="AZ34" i="9" s="1"/>
  <c r="T34" i="9"/>
  <c r="AX34" i="9" s="1"/>
  <c r="Q34" i="9"/>
  <c r="AW34" i="9" s="1"/>
  <c r="M34" i="9"/>
  <c r="J34" i="9"/>
  <c r="AT34" i="9" s="1"/>
  <c r="F34" i="9"/>
  <c r="AR34" i="9" s="1"/>
  <c r="C34" i="9"/>
  <c r="AQ34" i="9" s="1"/>
  <c r="BD33" i="9"/>
  <c r="AU33" i="9"/>
  <c r="AO33" i="9"/>
  <c r="BG33" i="9" s="1"/>
  <c r="AL33" i="9"/>
  <c r="BF33" i="9" s="1"/>
  <c r="AH33" i="9"/>
  <c r="AE33" i="9"/>
  <c r="BC33" i="9" s="1"/>
  <c r="AA33" i="9"/>
  <c r="BA33" i="9" s="1"/>
  <c r="X33" i="9"/>
  <c r="AZ33" i="9" s="1"/>
  <c r="T33" i="9"/>
  <c r="AX33" i="9" s="1"/>
  <c r="Q33" i="9"/>
  <c r="AW33" i="9" s="1"/>
  <c r="M33" i="9"/>
  <c r="J33" i="9"/>
  <c r="AT33" i="9" s="1"/>
  <c r="F33" i="9"/>
  <c r="AR33" i="9" s="1"/>
  <c r="C33" i="9"/>
  <c r="AQ33" i="9" s="1"/>
  <c r="BG32" i="9"/>
  <c r="AZ32" i="9"/>
  <c r="AX32" i="9"/>
  <c r="AW32" i="9"/>
  <c r="AO32" i="9"/>
  <c r="AL32" i="9"/>
  <c r="BF32" i="9" s="1"/>
  <c r="AH32" i="9"/>
  <c r="BD32" i="9" s="1"/>
  <c r="AE32" i="9"/>
  <c r="BC32" i="9" s="1"/>
  <c r="AA32" i="9"/>
  <c r="BA32" i="9" s="1"/>
  <c r="X32" i="9"/>
  <c r="T32" i="9"/>
  <c r="Q32" i="9"/>
  <c r="M32" i="9"/>
  <c r="AU32" i="9" s="1"/>
  <c r="J32" i="9"/>
  <c r="AT32" i="9" s="1"/>
  <c r="F32" i="9"/>
  <c r="AR32" i="9" s="1"/>
  <c r="C32" i="9"/>
  <c r="AQ32" i="9" s="1"/>
  <c r="BD31" i="9"/>
  <c r="AZ31" i="9"/>
  <c r="AO31" i="9"/>
  <c r="BG31" i="9" s="1"/>
  <c r="AL31" i="9"/>
  <c r="BF31" i="9" s="1"/>
  <c r="AH31" i="9"/>
  <c r="AE31" i="9"/>
  <c r="BC31" i="9" s="1"/>
  <c r="AA31" i="9"/>
  <c r="BA31" i="9" s="1"/>
  <c r="X31" i="9"/>
  <c r="T31" i="9"/>
  <c r="AX31" i="9" s="1"/>
  <c r="Q31" i="9"/>
  <c r="AW31" i="9" s="1"/>
  <c r="M31" i="9"/>
  <c r="AU31" i="9" s="1"/>
  <c r="J31" i="9"/>
  <c r="AT31" i="9" s="1"/>
  <c r="F31" i="9"/>
  <c r="AR31" i="9" s="1"/>
  <c r="C31" i="9"/>
  <c r="AQ31" i="9" s="1"/>
  <c r="BG30" i="9"/>
  <c r="BF30" i="9"/>
  <c r="BD30" i="9"/>
  <c r="AW30" i="9"/>
  <c r="AU30" i="9"/>
  <c r="AO30" i="9"/>
  <c r="AL30" i="9"/>
  <c r="AH30" i="9"/>
  <c r="AE30" i="9"/>
  <c r="BC30" i="9" s="1"/>
  <c r="AA30" i="9"/>
  <c r="BA30" i="9" s="1"/>
  <c r="X30" i="9"/>
  <c r="AZ30" i="9" s="1"/>
  <c r="T30" i="9"/>
  <c r="AX30" i="9" s="1"/>
  <c r="Q30" i="9"/>
  <c r="M30" i="9"/>
  <c r="J30" i="9"/>
  <c r="AT30" i="9" s="1"/>
  <c r="F30" i="9"/>
  <c r="AR30" i="9" s="1"/>
  <c r="C30" i="9"/>
  <c r="AQ30" i="9" s="1"/>
  <c r="BG29" i="9"/>
  <c r="AZ29" i="9"/>
  <c r="AX29" i="9"/>
  <c r="AW29" i="9"/>
  <c r="AO29" i="9"/>
  <c r="AL29" i="9"/>
  <c r="BF29" i="9" s="1"/>
  <c r="AH29" i="9"/>
  <c r="BD29" i="9" s="1"/>
  <c r="AE29" i="9"/>
  <c r="BC29" i="9" s="1"/>
  <c r="AA29" i="9"/>
  <c r="BA29" i="9" s="1"/>
  <c r="X29" i="9"/>
  <c r="T29" i="9"/>
  <c r="Q29" i="9"/>
  <c r="M29" i="9"/>
  <c r="AU29" i="9" s="1"/>
  <c r="J29" i="9"/>
  <c r="AT29" i="9" s="1"/>
  <c r="F29" i="9"/>
  <c r="AR29" i="9" s="1"/>
  <c r="C29" i="9"/>
  <c r="AQ29" i="9" s="1"/>
  <c r="BD28" i="9"/>
  <c r="AZ28" i="9"/>
  <c r="AO28" i="9"/>
  <c r="BG28" i="9" s="1"/>
  <c r="AL28" i="9"/>
  <c r="BF28" i="9" s="1"/>
  <c r="AH28" i="9"/>
  <c r="AE28" i="9"/>
  <c r="BC28" i="9" s="1"/>
  <c r="AA28" i="9"/>
  <c r="BA28" i="9" s="1"/>
  <c r="X28" i="9"/>
  <c r="T28" i="9"/>
  <c r="AX28" i="9" s="1"/>
  <c r="Q28" i="9"/>
  <c r="AW28" i="9" s="1"/>
  <c r="M28" i="9"/>
  <c r="AU28" i="9" s="1"/>
  <c r="J28" i="9"/>
  <c r="AT28" i="9" s="1"/>
  <c r="F28" i="9"/>
  <c r="AR28" i="9" s="1"/>
  <c r="C28" i="9"/>
  <c r="AQ28" i="9" s="1"/>
  <c r="BG27" i="9"/>
  <c r="BF27" i="9"/>
  <c r="BD27" i="9"/>
  <c r="AW27" i="9"/>
  <c r="AU27" i="9"/>
  <c r="AO27" i="9"/>
  <c r="AL27" i="9"/>
  <c r="AH27" i="9"/>
  <c r="AE27" i="9"/>
  <c r="BC27" i="9" s="1"/>
  <c r="AA27" i="9"/>
  <c r="BA27" i="9" s="1"/>
  <c r="X27" i="9"/>
  <c r="AZ27" i="9" s="1"/>
  <c r="T27" i="9"/>
  <c r="AX27" i="9" s="1"/>
  <c r="Q27" i="9"/>
  <c r="M27" i="9"/>
  <c r="J27" i="9"/>
  <c r="AT27" i="9" s="1"/>
  <c r="F27" i="9"/>
  <c r="AR27" i="9" s="1"/>
  <c r="C27" i="9"/>
  <c r="AQ27" i="9" s="1"/>
  <c r="BG26" i="9"/>
  <c r="AZ26" i="9"/>
  <c r="AX26" i="9"/>
  <c r="AW26" i="9"/>
  <c r="AO26" i="9"/>
  <c r="AL26" i="9"/>
  <c r="BF26" i="9" s="1"/>
  <c r="AH26" i="9"/>
  <c r="BD26" i="9" s="1"/>
  <c r="AE26" i="9"/>
  <c r="BC26" i="9" s="1"/>
  <c r="AA26" i="9"/>
  <c r="BA26" i="9" s="1"/>
  <c r="X26" i="9"/>
  <c r="T26" i="9"/>
  <c r="Q26" i="9"/>
  <c r="M26" i="9"/>
  <c r="AU26" i="9" s="1"/>
  <c r="J26" i="9"/>
  <c r="AT26" i="9" s="1"/>
  <c r="F26" i="9"/>
  <c r="AR26" i="9" s="1"/>
  <c r="C26" i="9"/>
  <c r="AQ26" i="9" s="1"/>
  <c r="BD25" i="9"/>
  <c r="AZ25" i="9"/>
  <c r="AO25" i="9"/>
  <c r="BG25" i="9" s="1"/>
  <c r="AL25" i="9"/>
  <c r="BF25" i="9" s="1"/>
  <c r="AH25" i="9"/>
  <c r="AH35" i="9" s="1"/>
  <c r="AE25" i="9"/>
  <c r="BC25" i="9" s="1"/>
  <c r="AA25" i="9"/>
  <c r="BA25" i="9" s="1"/>
  <c r="X25" i="9"/>
  <c r="T25" i="9"/>
  <c r="AX25" i="9" s="1"/>
  <c r="Q25" i="9"/>
  <c r="AW25" i="9" s="1"/>
  <c r="M25" i="9"/>
  <c r="M35" i="9" s="1"/>
  <c r="J25" i="9"/>
  <c r="AT25" i="9" s="1"/>
  <c r="F25" i="9"/>
  <c r="AR25" i="9" s="1"/>
  <c r="C25" i="9"/>
  <c r="AQ25" i="9" s="1"/>
  <c r="BG24" i="9"/>
  <c r="BG35" i="9" s="1"/>
  <c r="BF24" i="9"/>
  <c r="BD24" i="9"/>
  <c r="AW24" i="9"/>
  <c r="AU24" i="9"/>
  <c r="AO24" i="9"/>
  <c r="AO35" i="9" s="1"/>
  <c r="AL24" i="9"/>
  <c r="AH24" i="9"/>
  <c r="AE24" i="9"/>
  <c r="AE35" i="9" s="1"/>
  <c r="AA24" i="9"/>
  <c r="BA24" i="9" s="1"/>
  <c r="BA35" i="9" s="1"/>
  <c r="X24" i="9"/>
  <c r="X35" i="9" s="1"/>
  <c r="T24" i="9"/>
  <c r="AX24" i="9" s="1"/>
  <c r="AX35" i="9" s="1"/>
  <c r="Q24" i="9"/>
  <c r="M24" i="9"/>
  <c r="J24" i="9"/>
  <c r="J35" i="9" s="1"/>
  <c r="F24" i="9"/>
  <c r="AR24" i="9" s="1"/>
  <c r="AR35" i="9" s="1"/>
  <c r="C24" i="9"/>
  <c r="C35" i="9" s="1"/>
  <c r="BF22" i="9"/>
  <c r="BC22" i="9"/>
  <c r="AZ22" i="9"/>
  <c r="AW22" i="9"/>
  <c r="AT22" i="9"/>
  <c r="AQ22" i="9"/>
  <c r="AK17" i="9"/>
  <c r="AD17" i="9"/>
  <c r="W17" i="9"/>
  <c r="P17" i="9"/>
  <c r="I17" i="9"/>
  <c r="B17" i="9"/>
  <c r="AM16" i="9"/>
  <c r="AF16" i="9"/>
  <c r="AC16" i="9"/>
  <c r="Y16" i="9"/>
  <c r="V16" i="9"/>
  <c r="R16" i="9"/>
  <c r="K16" i="9"/>
  <c r="D16" i="9"/>
  <c r="E43" i="9" s="1"/>
  <c r="I15" i="9"/>
  <c r="AM14" i="9"/>
  <c r="AJ14" i="9"/>
  <c r="AJ16" i="9" s="1"/>
  <c r="AH14" i="9"/>
  <c r="AG14" i="9" s="1"/>
  <c r="AF14" i="9"/>
  <c r="AC14" i="9"/>
  <c r="Y14" i="9"/>
  <c r="V14" i="9"/>
  <c r="R14" i="9"/>
  <c r="O14" i="9"/>
  <c r="O16" i="9" s="1"/>
  <c r="M14" i="9"/>
  <c r="AU16" i="9" s="1"/>
  <c r="J16" i="9" s="1"/>
  <c r="K14" i="9"/>
  <c r="I14" i="9"/>
  <c r="H14" i="9"/>
  <c r="H16" i="9" s="1"/>
  <c r="D14" i="9"/>
  <c r="A14" i="9"/>
  <c r="A16" i="9" s="1"/>
  <c r="BG13" i="9"/>
  <c r="BF13" i="9"/>
  <c r="AX13" i="9"/>
  <c r="AW13" i="9"/>
  <c r="AO13" i="9"/>
  <c r="AL13" i="9"/>
  <c r="AH13" i="9"/>
  <c r="BD13" i="9" s="1"/>
  <c r="AE13" i="9"/>
  <c r="BC13" i="9" s="1"/>
  <c r="AA13" i="9"/>
  <c r="BA13" i="9" s="1"/>
  <c r="X13" i="9"/>
  <c r="AZ13" i="9" s="1"/>
  <c r="T13" i="9"/>
  <c r="Q13" i="9"/>
  <c r="M13" i="9"/>
  <c r="AU13" i="9" s="1"/>
  <c r="J13" i="9"/>
  <c r="AT13" i="9" s="1"/>
  <c r="F13" i="9"/>
  <c r="AR13" i="9" s="1"/>
  <c r="C13" i="9"/>
  <c r="AQ13" i="9" s="1"/>
  <c r="BA12" i="9"/>
  <c r="AZ12" i="9"/>
  <c r="AX12" i="9"/>
  <c r="AO12" i="9"/>
  <c r="BG12" i="9" s="1"/>
  <c r="AL12" i="9"/>
  <c r="BF12" i="9" s="1"/>
  <c r="AH12" i="9"/>
  <c r="BD12" i="9" s="1"/>
  <c r="AE12" i="9"/>
  <c r="BC12" i="9" s="1"/>
  <c r="AA12" i="9"/>
  <c r="X12" i="9"/>
  <c r="T12" i="9"/>
  <c r="Q12" i="9"/>
  <c r="AW12" i="9" s="1"/>
  <c r="M12" i="9"/>
  <c r="AU12" i="9" s="1"/>
  <c r="J12" i="9"/>
  <c r="AT12" i="9" s="1"/>
  <c r="F12" i="9"/>
  <c r="AR12" i="9" s="1"/>
  <c r="C12" i="9"/>
  <c r="AQ12" i="9" s="1"/>
  <c r="BF11" i="9"/>
  <c r="BA11" i="9"/>
  <c r="AO11" i="9"/>
  <c r="BG11" i="9" s="1"/>
  <c r="AL11" i="9"/>
  <c r="AH11" i="9"/>
  <c r="BD11" i="9" s="1"/>
  <c r="AE11" i="9"/>
  <c r="BC11" i="9" s="1"/>
  <c r="AA11" i="9"/>
  <c r="X11" i="9"/>
  <c r="AZ11" i="9" s="1"/>
  <c r="T11" i="9"/>
  <c r="AX11" i="9" s="1"/>
  <c r="Q11" i="9"/>
  <c r="AW11" i="9" s="1"/>
  <c r="M11" i="9"/>
  <c r="AU11" i="9" s="1"/>
  <c r="J11" i="9"/>
  <c r="AT11" i="9" s="1"/>
  <c r="F11" i="9"/>
  <c r="AR11" i="9" s="1"/>
  <c r="C11" i="9"/>
  <c r="AQ11" i="9" s="1"/>
  <c r="BG10" i="9"/>
  <c r="BF10" i="9"/>
  <c r="AX10" i="9"/>
  <c r="AW10" i="9"/>
  <c r="AO10" i="9"/>
  <c r="AL10" i="9"/>
  <c r="AH10" i="9"/>
  <c r="BD10" i="9" s="1"/>
  <c r="AE10" i="9"/>
  <c r="BC10" i="9" s="1"/>
  <c r="AA10" i="9"/>
  <c r="BA10" i="9" s="1"/>
  <c r="X10" i="9"/>
  <c r="AZ10" i="9" s="1"/>
  <c r="T10" i="9"/>
  <c r="Q10" i="9"/>
  <c r="M10" i="9"/>
  <c r="AU10" i="9" s="1"/>
  <c r="J10" i="9"/>
  <c r="AT10" i="9" s="1"/>
  <c r="F10" i="9"/>
  <c r="AR10" i="9" s="1"/>
  <c r="C10" i="9"/>
  <c r="AQ10" i="9" s="1"/>
  <c r="BA9" i="9"/>
  <c r="AZ9" i="9"/>
  <c r="AX9" i="9"/>
  <c r="AO9" i="9"/>
  <c r="BG9" i="9" s="1"/>
  <c r="AL9" i="9"/>
  <c r="BF9" i="9" s="1"/>
  <c r="AH9" i="9"/>
  <c r="BD9" i="9" s="1"/>
  <c r="AE9" i="9"/>
  <c r="BC9" i="9" s="1"/>
  <c r="AA9" i="9"/>
  <c r="X9" i="9"/>
  <c r="T9" i="9"/>
  <c r="Q9" i="9"/>
  <c r="AW9" i="9" s="1"/>
  <c r="M9" i="9"/>
  <c r="AU9" i="9" s="1"/>
  <c r="J9" i="9"/>
  <c r="AT9" i="9" s="1"/>
  <c r="F9" i="9"/>
  <c r="AR9" i="9" s="1"/>
  <c r="C9" i="9"/>
  <c r="AQ9" i="9" s="1"/>
  <c r="BF8" i="9"/>
  <c r="BA8" i="9"/>
  <c r="AO8" i="9"/>
  <c r="BG8" i="9" s="1"/>
  <c r="AL8" i="9"/>
  <c r="AH8" i="9"/>
  <c r="BD8" i="9" s="1"/>
  <c r="AE8" i="9"/>
  <c r="BC8" i="9" s="1"/>
  <c r="AA8" i="9"/>
  <c r="X8" i="9"/>
  <c r="AZ8" i="9" s="1"/>
  <c r="T8" i="9"/>
  <c r="AX8" i="9" s="1"/>
  <c r="Q8" i="9"/>
  <c r="AW8" i="9" s="1"/>
  <c r="M8" i="9"/>
  <c r="AU8" i="9" s="1"/>
  <c r="J8" i="9"/>
  <c r="AT8" i="9" s="1"/>
  <c r="F8" i="9"/>
  <c r="AR8" i="9" s="1"/>
  <c r="C8" i="9"/>
  <c r="AQ8" i="9" s="1"/>
  <c r="BG7" i="9"/>
  <c r="BF7" i="9"/>
  <c r="AX7" i="9"/>
  <c r="AW7" i="9"/>
  <c r="AO7" i="9"/>
  <c r="AL7" i="9"/>
  <c r="AH7" i="9"/>
  <c r="BD7" i="9" s="1"/>
  <c r="AE7" i="9"/>
  <c r="BC7" i="9" s="1"/>
  <c r="AA7" i="9"/>
  <c r="BA7" i="9" s="1"/>
  <c r="X7" i="9"/>
  <c r="AZ7" i="9" s="1"/>
  <c r="T7" i="9"/>
  <c r="Q7" i="9"/>
  <c r="M7" i="9"/>
  <c r="AU7" i="9" s="1"/>
  <c r="J7" i="9"/>
  <c r="AT7" i="9" s="1"/>
  <c r="F7" i="9"/>
  <c r="AR7" i="9" s="1"/>
  <c r="C7" i="9"/>
  <c r="AQ7" i="9" s="1"/>
  <c r="BA6" i="9"/>
  <c r="AZ6" i="9"/>
  <c r="AX6" i="9"/>
  <c r="AO6" i="9"/>
  <c r="BG6" i="9" s="1"/>
  <c r="AL6" i="9"/>
  <c r="BF6" i="9" s="1"/>
  <c r="AH6" i="9"/>
  <c r="BD6" i="9" s="1"/>
  <c r="AE6" i="9"/>
  <c r="BC6" i="9" s="1"/>
  <c r="AA6" i="9"/>
  <c r="X6" i="9"/>
  <c r="T6" i="9"/>
  <c r="Q6" i="9"/>
  <c r="AW6" i="9" s="1"/>
  <c r="M6" i="9"/>
  <c r="AU6" i="9" s="1"/>
  <c r="J6" i="9"/>
  <c r="AT6" i="9" s="1"/>
  <c r="F6" i="9"/>
  <c r="AR6" i="9" s="1"/>
  <c r="C6" i="9"/>
  <c r="AQ6" i="9" s="1"/>
  <c r="BF5" i="9"/>
  <c r="BA5" i="9"/>
  <c r="AO5" i="9"/>
  <c r="AO14" i="9" s="1"/>
  <c r="AL5" i="9"/>
  <c r="AH5" i="9"/>
  <c r="BD5" i="9" s="1"/>
  <c r="AE5" i="9"/>
  <c r="BC5" i="9" s="1"/>
  <c r="AA5" i="9"/>
  <c r="X5" i="9"/>
  <c r="AZ5" i="9" s="1"/>
  <c r="T5" i="9"/>
  <c r="AX5" i="9" s="1"/>
  <c r="Q5" i="9"/>
  <c r="AW5" i="9" s="1"/>
  <c r="M5" i="9"/>
  <c r="AU5" i="9" s="1"/>
  <c r="J5" i="9"/>
  <c r="AT5" i="9" s="1"/>
  <c r="F5" i="9"/>
  <c r="AR5" i="9" s="1"/>
  <c r="C5" i="9"/>
  <c r="AQ5" i="9" s="1"/>
  <c r="BG4" i="9"/>
  <c r="BF4" i="9"/>
  <c r="AX4" i="9"/>
  <c r="AW4" i="9"/>
  <c r="AO4" i="9"/>
  <c r="AL4" i="9"/>
  <c r="AH4" i="9"/>
  <c r="BD4" i="9" s="1"/>
  <c r="AE4" i="9"/>
  <c r="BC4" i="9" s="1"/>
  <c r="AA4" i="9"/>
  <c r="BA4" i="9" s="1"/>
  <c r="BA14" i="9" s="1"/>
  <c r="X4" i="9"/>
  <c r="AZ4" i="9" s="1"/>
  <c r="T4" i="9"/>
  <c r="Q4" i="9"/>
  <c r="M4" i="9"/>
  <c r="AU4" i="9" s="1"/>
  <c r="J4" i="9"/>
  <c r="AT4" i="9" s="1"/>
  <c r="F4" i="9"/>
  <c r="AR4" i="9" s="1"/>
  <c r="C4" i="9"/>
  <c r="AQ4" i="9" s="1"/>
  <c r="BA3" i="9"/>
  <c r="AZ3" i="9"/>
  <c r="AX3" i="9"/>
  <c r="AO3" i="9"/>
  <c r="BG3" i="9" s="1"/>
  <c r="AL3" i="9"/>
  <c r="AL14" i="9" s="1"/>
  <c r="BG18" i="9" s="1"/>
  <c r="AH3" i="9"/>
  <c r="BD3" i="9" s="1"/>
  <c r="BD14" i="9" s="1"/>
  <c r="AE3" i="9"/>
  <c r="AE14" i="9" s="1"/>
  <c r="AD14" i="9" s="1"/>
  <c r="AA3" i="9"/>
  <c r="X3" i="9"/>
  <c r="T3" i="9"/>
  <c r="T14" i="9" s="1"/>
  <c r="Q3" i="9"/>
  <c r="Q14" i="9" s="1"/>
  <c r="AX18" i="9" s="1"/>
  <c r="M3" i="9"/>
  <c r="AU3" i="9" s="1"/>
  <c r="AU14" i="9" s="1"/>
  <c r="J3" i="9"/>
  <c r="J14" i="9" s="1"/>
  <c r="F3" i="9"/>
  <c r="AR3" i="9" s="1"/>
  <c r="C3" i="9"/>
  <c r="BF1" i="9"/>
  <c r="BC1" i="9"/>
  <c r="AZ1" i="9"/>
  <c r="AW1" i="9"/>
  <c r="AT1" i="9"/>
  <c r="AQ1" i="9"/>
  <c r="B430" i="8"/>
  <c r="B429" i="8"/>
  <c r="B428" i="8"/>
  <c r="B427" i="8"/>
  <c r="B426" i="8"/>
  <c r="B423" i="8"/>
  <c r="B422" i="8"/>
  <c r="B421" i="8"/>
  <c r="B420" i="8"/>
  <c r="B419" i="8"/>
  <c r="B418" i="8"/>
  <c r="B417" i="8"/>
  <c r="B416" i="8"/>
  <c r="B415" i="8"/>
  <c r="B414" i="8"/>
  <c r="B413" i="8"/>
  <c r="B412" i="8"/>
  <c r="B411" i="8"/>
  <c r="B410" i="8"/>
  <c r="B406" i="8"/>
  <c r="B405" i="8"/>
  <c r="B404" i="8"/>
  <c r="B403" i="8"/>
  <c r="B402" i="8"/>
  <c r="B399" i="8"/>
  <c r="B398" i="8"/>
  <c r="B397" i="8"/>
  <c r="B396" i="8"/>
  <c r="B395" i="8"/>
  <c r="B394" i="8"/>
  <c r="B393" i="8"/>
  <c r="B392" i="8"/>
  <c r="B391" i="8"/>
  <c r="B390" i="8"/>
  <c r="B389" i="8"/>
  <c r="B388" i="8"/>
  <c r="B387" i="8"/>
  <c r="B382" i="8"/>
  <c r="B381" i="8"/>
  <c r="B380" i="8"/>
  <c r="B379" i="8"/>
  <c r="B376" i="8"/>
  <c r="B375" i="8"/>
  <c r="B374" i="8"/>
  <c r="B373" i="8"/>
  <c r="B372" i="8"/>
  <c r="B371" i="8"/>
  <c r="B370" i="8"/>
  <c r="B369" i="8"/>
  <c r="B368" i="8"/>
  <c r="B367" i="8"/>
  <c r="B366" i="8"/>
  <c r="B365" i="8"/>
  <c r="B364" i="8"/>
  <c r="B363" i="8"/>
  <c r="B362" i="8"/>
  <c r="D357" i="8"/>
  <c r="D358" i="8" s="1"/>
  <c r="D352" i="8"/>
  <c r="D345" i="8"/>
  <c r="D309" i="8"/>
  <c r="D307" i="8"/>
  <c r="D306" i="8"/>
  <c r="D305" i="8"/>
  <c r="E303" i="8"/>
  <c r="D303" i="8"/>
  <c r="D301" i="8"/>
  <c r="D300" i="8"/>
  <c r="D299" i="8"/>
  <c r="C295" i="8"/>
  <c r="A295" i="8" s="1"/>
  <c r="I295" i="8" s="1"/>
  <c r="I294" i="8"/>
  <c r="G291" i="8"/>
  <c r="E291" i="8"/>
  <c r="E294" i="8" s="1"/>
  <c r="D291" i="8"/>
  <c r="B291" i="8"/>
  <c r="G290" i="8"/>
  <c r="G289" i="8"/>
  <c r="G288" i="8"/>
  <c r="G287" i="8"/>
  <c r="G286" i="8"/>
  <c r="G285" i="8"/>
  <c r="G284" i="8"/>
  <c r="B284" i="8"/>
  <c r="G283" i="8"/>
  <c r="G282" i="8"/>
  <c r="G281" i="8"/>
  <c r="G280" i="8"/>
  <c r="G279" i="8"/>
  <c r="F279" i="8"/>
  <c r="G278" i="8"/>
  <c r="F278" i="8"/>
  <c r="G277" i="8"/>
  <c r="F277" i="8"/>
  <c r="G276" i="8"/>
  <c r="F276" i="8"/>
  <c r="G275" i="8"/>
  <c r="F275" i="8"/>
  <c r="G274" i="8"/>
  <c r="F274" i="8"/>
  <c r="G273" i="8"/>
  <c r="F273" i="8"/>
  <c r="G272" i="8"/>
  <c r="F272" i="8"/>
  <c r="E268" i="8"/>
  <c r="E267" i="8"/>
  <c r="E266" i="8"/>
  <c r="D265" i="8"/>
  <c r="E265" i="8" s="1"/>
  <c r="B264" i="8"/>
  <c r="B263" i="8"/>
  <c r="B262" i="8"/>
  <c r="B261" i="8"/>
  <c r="B260" i="8"/>
  <c r="B259" i="8"/>
  <c r="B258" i="8"/>
  <c r="B257" i="8"/>
  <c r="B256" i="8"/>
  <c r="B255" i="8"/>
  <c r="B254" i="8"/>
  <c r="B253" i="8"/>
  <c r="B252" i="8"/>
  <c r="B251" i="8"/>
  <c r="B250" i="8"/>
  <c r="B249" i="8"/>
  <c r="B248" i="8"/>
  <c r="B247" i="8"/>
  <c r="B246" i="8"/>
  <c r="B245" i="8"/>
  <c r="B244" i="8"/>
  <c r="B243" i="8"/>
  <c r="E242" i="8"/>
  <c r="B242" i="8"/>
  <c r="E241" i="8"/>
  <c r="B241" i="8"/>
  <c r="E240" i="8"/>
  <c r="B240" i="8"/>
  <c r="E239" i="8"/>
  <c r="B239" i="8"/>
  <c r="E238" i="8"/>
  <c r="B238" i="8"/>
  <c r="E237" i="8"/>
  <c r="B237" i="8"/>
  <c r="E236" i="8"/>
  <c r="B236" i="8"/>
  <c r="E235" i="8"/>
  <c r="B235" i="8"/>
  <c r="E234" i="8"/>
  <c r="B234" i="8"/>
  <c r="E233" i="8"/>
  <c r="B233" i="8"/>
  <c r="E232" i="8"/>
  <c r="B232" i="8"/>
  <c r="E231" i="8"/>
  <c r="B231" i="8"/>
  <c r="E230" i="8"/>
  <c r="B230" i="8"/>
  <c r="E229" i="8"/>
  <c r="B229" i="8"/>
  <c r="E228" i="8"/>
  <c r="B228" i="8"/>
  <c r="E227" i="8"/>
  <c r="B227" i="8"/>
  <c r="E226" i="8"/>
  <c r="B226" i="8"/>
  <c r="E225" i="8"/>
  <c r="B225" i="8"/>
  <c r="E224" i="8"/>
  <c r="B224" i="8"/>
  <c r="E223" i="8"/>
  <c r="B223" i="8"/>
  <c r="E222" i="8"/>
  <c r="B222" i="8"/>
  <c r="E221" i="8"/>
  <c r="B221" i="8"/>
  <c r="E220" i="8"/>
  <c r="B220" i="8"/>
  <c r="E219" i="8"/>
  <c r="B219" i="8"/>
  <c r="E218" i="8"/>
  <c r="B218" i="8"/>
  <c r="E217" i="8"/>
  <c r="B217" i="8"/>
  <c r="E216" i="8"/>
  <c r="B216" i="8"/>
  <c r="E215" i="8"/>
  <c r="B215" i="8"/>
  <c r="E214" i="8"/>
  <c r="B214" i="8"/>
  <c r="E213" i="8"/>
  <c r="B213" i="8"/>
  <c r="E212" i="8"/>
  <c r="B212" i="8"/>
  <c r="E211" i="8"/>
  <c r="B211" i="8"/>
  <c r="E210" i="8"/>
  <c r="B210" i="8"/>
  <c r="E209" i="8"/>
  <c r="B209" i="8"/>
  <c r="E208" i="8"/>
  <c r="B208" i="8"/>
  <c r="E207" i="8"/>
  <c r="B207" i="8"/>
  <c r="E206" i="8"/>
  <c r="B206" i="8"/>
  <c r="E205" i="8"/>
  <c r="B205" i="8"/>
  <c r="E204" i="8"/>
  <c r="B204" i="8"/>
  <c r="E203" i="8"/>
  <c r="B203" i="8"/>
  <c r="E202" i="8"/>
  <c r="B202" i="8"/>
  <c r="E201" i="8"/>
  <c r="B201" i="8"/>
  <c r="E200" i="8"/>
  <c r="B200" i="8"/>
  <c r="E199" i="8"/>
  <c r="B199" i="8"/>
  <c r="E198" i="8"/>
  <c r="B198" i="8"/>
  <c r="E197" i="8"/>
  <c r="B197" i="8"/>
  <c r="E196" i="8"/>
  <c r="B196" i="8"/>
  <c r="E195" i="8"/>
  <c r="B195" i="8"/>
  <c r="E194" i="8"/>
  <c r="B194" i="8"/>
  <c r="E193" i="8"/>
  <c r="B193" i="8"/>
  <c r="E192" i="8"/>
  <c r="B192" i="8"/>
  <c r="E191" i="8"/>
  <c r="B191" i="8"/>
  <c r="E190" i="8"/>
  <c r="B190" i="8"/>
  <c r="E189" i="8"/>
  <c r="B189" i="8"/>
  <c r="E188" i="8"/>
  <c r="B188" i="8"/>
  <c r="E187" i="8"/>
  <c r="B187" i="8"/>
  <c r="E186" i="8"/>
  <c r="B186" i="8"/>
  <c r="E185" i="8"/>
  <c r="B185" i="8"/>
  <c r="E184" i="8"/>
  <c r="B184" i="8"/>
  <c r="E183" i="8"/>
  <c r="B183" i="8"/>
  <c r="E182" i="8"/>
  <c r="B182" i="8"/>
  <c r="E181" i="8"/>
  <c r="B181" i="8"/>
  <c r="E180" i="8"/>
  <c r="B180" i="8"/>
  <c r="E179" i="8"/>
  <c r="B179" i="8"/>
  <c r="E178" i="8"/>
  <c r="B178" i="8"/>
  <c r="E177" i="8"/>
  <c r="B177" i="8"/>
  <c r="E176" i="8"/>
  <c r="B176" i="8"/>
  <c r="E175" i="8"/>
  <c r="B175" i="8"/>
  <c r="E174" i="8"/>
  <c r="B174" i="8"/>
  <c r="E173" i="8"/>
  <c r="B173" i="8"/>
  <c r="E172" i="8"/>
  <c r="B172" i="8"/>
  <c r="E171" i="8"/>
  <c r="B171" i="8"/>
  <c r="E170" i="8"/>
  <c r="B170" i="8"/>
  <c r="E169" i="8"/>
  <c r="B169" i="8"/>
  <c r="E168" i="8"/>
  <c r="B168" i="8"/>
  <c r="E167" i="8"/>
  <c r="B167" i="8"/>
  <c r="E166" i="8"/>
  <c r="B166" i="8"/>
  <c r="E165" i="8"/>
  <c r="B165" i="8"/>
  <c r="E164" i="8"/>
  <c r="B164" i="8"/>
  <c r="E163" i="8"/>
  <c r="B163" i="8"/>
  <c r="E162" i="8"/>
  <c r="B162" i="8"/>
  <c r="E161" i="8"/>
  <c r="B161" i="8"/>
  <c r="E160" i="8"/>
  <c r="B160" i="8"/>
  <c r="E159" i="8"/>
  <c r="B159" i="8"/>
  <c r="E158" i="8"/>
  <c r="B158" i="8"/>
  <c r="E157" i="8"/>
  <c r="B157" i="8"/>
  <c r="E156" i="8"/>
  <c r="B156" i="8"/>
  <c r="E155" i="8"/>
  <c r="B155" i="8"/>
  <c r="E154" i="8"/>
  <c r="B154" i="8"/>
  <c r="E153" i="8"/>
  <c r="B153" i="8"/>
  <c r="E152" i="8"/>
  <c r="B152" i="8"/>
  <c r="E151" i="8"/>
  <c r="B151" i="8"/>
  <c r="E150" i="8"/>
  <c r="B150" i="8"/>
  <c r="E149" i="8"/>
  <c r="B149" i="8"/>
  <c r="E148" i="8"/>
  <c r="B148" i="8"/>
  <c r="E147" i="8"/>
  <c r="B147" i="8"/>
  <c r="E146" i="8"/>
  <c r="B146" i="8"/>
  <c r="E145" i="8"/>
  <c r="B145" i="8"/>
  <c r="E144" i="8"/>
  <c r="B144" i="8"/>
  <c r="E143" i="8"/>
  <c r="B143" i="8"/>
  <c r="E142" i="8"/>
  <c r="B142" i="8"/>
  <c r="E141" i="8"/>
  <c r="B141" i="8"/>
  <c r="E140" i="8"/>
  <c r="B140" i="8"/>
  <c r="E139" i="8"/>
  <c r="B139" i="8"/>
  <c r="E138" i="8"/>
  <c r="B138" i="8"/>
  <c r="E137" i="8"/>
  <c r="B137" i="8"/>
  <c r="E136" i="8"/>
  <c r="B136" i="8"/>
  <c r="E135" i="8"/>
  <c r="B135" i="8"/>
  <c r="E134" i="8"/>
  <c r="B134" i="8"/>
  <c r="E133" i="8"/>
  <c r="B133" i="8"/>
  <c r="E132" i="8"/>
  <c r="B132" i="8"/>
  <c r="E131" i="8"/>
  <c r="B131" i="8"/>
  <c r="E130" i="8"/>
  <c r="B130" i="8"/>
  <c r="E129" i="8"/>
  <c r="B129" i="8"/>
  <c r="E128" i="8"/>
  <c r="B128" i="8"/>
  <c r="E127" i="8"/>
  <c r="B127" i="8"/>
  <c r="E126" i="8"/>
  <c r="B126" i="8"/>
  <c r="E125" i="8"/>
  <c r="B125" i="8"/>
  <c r="E124" i="8"/>
  <c r="B124" i="8"/>
  <c r="E123" i="8"/>
  <c r="B123" i="8"/>
  <c r="E122" i="8"/>
  <c r="B122" i="8"/>
  <c r="E121" i="8"/>
  <c r="B121" i="8"/>
  <c r="E120" i="8"/>
  <c r="B120" i="8"/>
  <c r="E119" i="8"/>
  <c r="B119" i="8"/>
  <c r="E118" i="8"/>
  <c r="B118" i="8"/>
  <c r="E117" i="8"/>
  <c r="B117" i="8"/>
  <c r="E116" i="8"/>
  <c r="B116" i="8"/>
  <c r="E115" i="8"/>
  <c r="B115" i="8"/>
  <c r="E114" i="8"/>
  <c r="B114" i="8"/>
  <c r="E113" i="8"/>
  <c r="B113" i="8"/>
  <c r="E112" i="8"/>
  <c r="B112" i="8"/>
  <c r="E111" i="8"/>
  <c r="B111" i="8"/>
  <c r="E110" i="8"/>
  <c r="B110" i="8"/>
  <c r="E109" i="8"/>
  <c r="B109" i="8"/>
  <c r="E108" i="8"/>
  <c r="B108" i="8"/>
  <c r="E107" i="8"/>
  <c r="B107" i="8"/>
  <c r="E106" i="8"/>
  <c r="B106" i="8"/>
  <c r="E105" i="8"/>
  <c r="B105" i="8"/>
  <c r="E104" i="8"/>
  <c r="B104" i="8"/>
  <c r="E103" i="8"/>
  <c r="B103" i="8"/>
  <c r="E102" i="8"/>
  <c r="B102" i="8"/>
  <c r="E101" i="8"/>
  <c r="B101" i="8"/>
  <c r="E100" i="8"/>
  <c r="B100" i="8"/>
  <c r="E99" i="8"/>
  <c r="B99" i="8"/>
  <c r="E98" i="8"/>
  <c r="B98" i="8"/>
  <c r="E97" i="8"/>
  <c r="B97" i="8"/>
  <c r="E96" i="8"/>
  <c r="B96" i="8"/>
  <c r="E95" i="8"/>
  <c r="B95" i="8"/>
  <c r="E94" i="8"/>
  <c r="B94" i="8"/>
  <c r="E93" i="8"/>
  <c r="B93" i="8"/>
  <c r="E92" i="8"/>
  <c r="B92" i="8"/>
  <c r="E91" i="8"/>
  <c r="B91" i="8"/>
  <c r="E90" i="8"/>
  <c r="B90" i="8"/>
  <c r="E89" i="8"/>
  <c r="B89" i="8"/>
  <c r="E88" i="8"/>
  <c r="B88" i="8"/>
  <c r="E87" i="8"/>
  <c r="B87" i="8"/>
  <c r="E86" i="8"/>
  <c r="B86" i="8"/>
  <c r="E85" i="8"/>
  <c r="B85" i="8"/>
  <c r="E84" i="8"/>
  <c r="B84" i="8"/>
  <c r="E83" i="8"/>
  <c r="B83" i="8"/>
  <c r="E82" i="8"/>
  <c r="B82" i="8"/>
  <c r="E81" i="8"/>
  <c r="B81" i="8"/>
  <c r="E80" i="8"/>
  <c r="B80" i="8"/>
  <c r="E79" i="8"/>
  <c r="B79" i="8"/>
  <c r="E78" i="8"/>
  <c r="B78" i="8"/>
  <c r="E77" i="8"/>
  <c r="B77" i="8"/>
  <c r="E76" i="8"/>
  <c r="B76" i="8"/>
  <c r="E75" i="8"/>
  <c r="B75" i="8"/>
  <c r="E74" i="8"/>
  <c r="B74" i="8"/>
  <c r="E73" i="8"/>
  <c r="B73" i="8"/>
  <c r="E72" i="8"/>
  <c r="B72" i="8"/>
  <c r="E71" i="8"/>
  <c r="B71" i="8"/>
  <c r="E70" i="8"/>
  <c r="B70" i="8"/>
  <c r="E69" i="8"/>
  <c r="B69" i="8"/>
  <c r="E68" i="8"/>
  <c r="B68" i="8"/>
  <c r="E67" i="8"/>
  <c r="B67" i="8"/>
  <c r="E66" i="8"/>
  <c r="B66" i="8"/>
  <c r="E65" i="8"/>
  <c r="B65" i="8"/>
  <c r="E64" i="8"/>
  <c r="B64" i="8"/>
  <c r="E63" i="8"/>
  <c r="B63" i="8"/>
  <c r="E62" i="8"/>
  <c r="B62" i="8"/>
  <c r="E61" i="8"/>
  <c r="B61" i="8"/>
  <c r="E60" i="8"/>
  <c r="B60" i="8"/>
  <c r="E59" i="8"/>
  <c r="B59" i="8"/>
  <c r="E58" i="8"/>
  <c r="B58" i="8"/>
  <c r="E57" i="8"/>
  <c r="B57" i="8"/>
  <c r="E56" i="8"/>
  <c r="B56" i="8"/>
  <c r="E55" i="8"/>
  <c r="B55" i="8"/>
  <c r="E54" i="8"/>
  <c r="B54" i="8"/>
  <c r="E53" i="8"/>
  <c r="B53" i="8"/>
  <c r="E52" i="8"/>
  <c r="B52" i="8"/>
  <c r="E51" i="8"/>
  <c r="B51" i="8"/>
  <c r="E50" i="8"/>
  <c r="B50" i="8"/>
  <c r="E49" i="8"/>
  <c r="B49" i="8"/>
  <c r="E48" i="8"/>
  <c r="B48" i="8"/>
  <c r="E47" i="8"/>
  <c r="B47" i="8"/>
  <c r="E46" i="8"/>
  <c r="B46" i="8"/>
  <c r="E45" i="8"/>
  <c r="B45" i="8"/>
  <c r="E44" i="8"/>
  <c r="B44" i="8"/>
  <c r="E43" i="8"/>
  <c r="B43" i="8"/>
  <c r="E42" i="8"/>
  <c r="B42" i="8"/>
  <c r="E41" i="8"/>
  <c r="B41" i="8"/>
  <c r="E40" i="8"/>
  <c r="B40" i="8"/>
  <c r="E39" i="8"/>
  <c r="B39" i="8"/>
  <c r="E38" i="8"/>
  <c r="B38" i="8"/>
  <c r="E37" i="8"/>
  <c r="B37" i="8"/>
  <c r="E36" i="8"/>
  <c r="B36" i="8"/>
  <c r="E35" i="8"/>
  <c r="B35" i="8"/>
  <c r="E34" i="8"/>
  <c r="B34" i="8"/>
  <c r="E33" i="8"/>
  <c r="B33" i="8"/>
  <c r="E32" i="8"/>
  <c r="B32" i="8"/>
  <c r="E31" i="8"/>
  <c r="B31" i="8"/>
  <c r="E30" i="8"/>
  <c r="B30" i="8"/>
  <c r="E29" i="8"/>
  <c r="B29" i="8"/>
  <c r="E28" i="8"/>
  <c r="B28" i="8"/>
  <c r="E27" i="8"/>
  <c r="B27" i="8"/>
  <c r="E26" i="8"/>
  <c r="B26" i="8"/>
  <c r="E25" i="8"/>
  <c r="B25" i="8"/>
  <c r="E24" i="8"/>
  <c r="B24" i="8"/>
  <c r="E23" i="8"/>
  <c r="B23" i="8"/>
  <c r="E22" i="8"/>
  <c r="B22" i="8"/>
  <c r="E21" i="8"/>
  <c r="B21" i="8"/>
  <c r="E20" i="8"/>
  <c r="B20" i="8"/>
  <c r="E19" i="8"/>
  <c r="B19" i="8"/>
  <c r="E18" i="8"/>
  <c r="B18" i="8"/>
  <c r="E17" i="8"/>
  <c r="B17" i="8"/>
  <c r="E16" i="8"/>
  <c r="B16" i="8"/>
  <c r="E15" i="8"/>
  <c r="B15" i="8"/>
  <c r="E14" i="8"/>
  <c r="B14" i="8"/>
  <c r="E13" i="8"/>
  <c r="B13" i="8"/>
  <c r="E12" i="8"/>
  <c r="B12" i="8"/>
  <c r="E11" i="8"/>
  <c r="B11" i="8"/>
  <c r="E10" i="8"/>
  <c r="B10" i="8"/>
  <c r="E9" i="8"/>
  <c r="B9" i="8"/>
  <c r="E8" i="8"/>
  <c r="B8" i="8"/>
  <c r="E7" i="8"/>
  <c r="B7" i="8"/>
  <c r="E6" i="8"/>
  <c r="B6" i="8"/>
  <c r="E5" i="8"/>
  <c r="B5" i="8"/>
  <c r="E4" i="8"/>
  <c r="B4" i="8"/>
  <c r="E3" i="8"/>
  <c r="H294" i="8" s="1"/>
  <c r="B3" i="8"/>
  <c r="E2" i="8"/>
  <c r="B2" i="8"/>
  <c r="D1212" i="7"/>
  <c r="B1211" i="7"/>
  <c r="D1207" i="7"/>
  <c r="E1207" i="7" s="1"/>
  <c r="C1207" i="7"/>
  <c r="B1207" i="7"/>
  <c r="A1207" i="7"/>
  <c r="C1206" i="7"/>
  <c r="C1211" i="7" s="1"/>
  <c r="B1206" i="7"/>
  <c r="A1206" i="7"/>
  <c r="G1205" i="7"/>
  <c r="F1205" i="7"/>
  <c r="D1205" i="7"/>
  <c r="E1205" i="7" s="1"/>
  <c r="G1203" i="7"/>
  <c r="F1203" i="7"/>
  <c r="D1203" i="7"/>
  <c r="E1203" i="7" s="1"/>
  <c r="G1201" i="7"/>
  <c r="F1201" i="7"/>
  <c r="D1201" i="7"/>
  <c r="E1201" i="7" s="1"/>
  <c r="G1199" i="7"/>
  <c r="F1199" i="7"/>
  <c r="D1199" i="7"/>
  <c r="E1199" i="7" s="1"/>
  <c r="G1197" i="7"/>
  <c r="F1197" i="7"/>
  <c r="D1197" i="7"/>
  <c r="E1197" i="7" s="1"/>
  <c r="G1195" i="7"/>
  <c r="F1195" i="7"/>
  <c r="D1195" i="7"/>
  <c r="E1195" i="7" s="1"/>
  <c r="G1193" i="7"/>
  <c r="F1193" i="7"/>
  <c r="D1193" i="7"/>
  <c r="E1193" i="7" s="1"/>
  <c r="G1191" i="7"/>
  <c r="F1191" i="7"/>
  <c r="D1191" i="7"/>
  <c r="E1191" i="7" s="1"/>
  <c r="G1189" i="7"/>
  <c r="F1189" i="7"/>
  <c r="D1189" i="7"/>
  <c r="E1189" i="7" s="1"/>
  <c r="G1187" i="7"/>
  <c r="F1187" i="7"/>
  <c r="D1187" i="7"/>
  <c r="E1187" i="7" s="1"/>
  <c r="G1185" i="7"/>
  <c r="F1185" i="7"/>
  <c r="D1185" i="7"/>
  <c r="E1185" i="7" s="1"/>
  <c r="G1183" i="7"/>
  <c r="F1183" i="7"/>
  <c r="D1183" i="7"/>
  <c r="E1183" i="7" s="1"/>
  <c r="G1181" i="7"/>
  <c r="F1181" i="7"/>
  <c r="D1181" i="7"/>
  <c r="E1181" i="7" s="1"/>
  <c r="G1179" i="7"/>
  <c r="F1179" i="7"/>
  <c r="D1179" i="7"/>
  <c r="E1179" i="7" s="1"/>
  <c r="G1177" i="7"/>
  <c r="F1177" i="7"/>
  <c r="D1177" i="7"/>
  <c r="E1177" i="7" s="1"/>
  <c r="G1175" i="7"/>
  <c r="F1175" i="7"/>
  <c r="D1175" i="7"/>
  <c r="E1175" i="7" s="1"/>
  <c r="G1173" i="7"/>
  <c r="F1173" i="7"/>
  <c r="D1173" i="7"/>
  <c r="E1173" i="7" s="1"/>
  <c r="G1171" i="7"/>
  <c r="F1171" i="7"/>
  <c r="D1171" i="7"/>
  <c r="E1171" i="7" s="1"/>
  <c r="G1169" i="7"/>
  <c r="F1169" i="7"/>
  <c r="D1169" i="7"/>
  <c r="E1169" i="7" s="1"/>
  <c r="G1167" i="7"/>
  <c r="F1167" i="7"/>
  <c r="D1167" i="7"/>
  <c r="E1167" i="7" s="1"/>
  <c r="G1165" i="7"/>
  <c r="F1165" i="7"/>
  <c r="D1165" i="7"/>
  <c r="E1165" i="7" s="1"/>
  <c r="G1163" i="7"/>
  <c r="F1163" i="7"/>
  <c r="D1163" i="7"/>
  <c r="E1163" i="7" s="1"/>
  <c r="G1161" i="7"/>
  <c r="F1161" i="7"/>
  <c r="D1161" i="7"/>
  <c r="E1161" i="7" s="1"/>
  <c r="G1159" i="7"/>
  <c r="F1159" i="7"/>
  <c r="D1159" i="7"/>
  <c r="E1159" i="7" s="1"/>
  <c r="G1157" i="7"/>
  <c r="F1157" i="7"/>
  <c r="D1157" i="7"/>
  <c r="E1157" i="7" s="1"/>
  <c r="G1155" i="7"/>
  <c r="F1155" i="7"/>
  <c r="D1155" i="7"/>
  <c r="E1155" i="7" s="1"/>
  <c r="G1153" i="7"/>
  <c r="F1153" i="7"/>
  <c r="D1153" i="7"/>
  <c r="E1153" i="7" s="1"/>
  <c r="G1151" i="7"/>
  <c r="F1151" i="7"/>
  <c r="D1151" i="7"/>
  <c r="E1151" i="7" s="1"/>
  <c r="G1149" i="7"/>
  <c r="F1149" i="7"/>
  <c r="D1149" i="7"/>
  <c r="E1149" i="7" s="1"/>
  <c r="G1147" i="7"/>
  <c r="F1147" i="7"/>
  <c r="D1147" i="7"/>
  <c r="E1147" i="7" s="1"/>
  <c r="G1145" i="7"/>
  <c r="F1145" i="7"/>
  <c r="D1145" i="7"/>
  <c r="E1145" i="7" s="1"/>
  <c r="G1143" i="7"/>
  <c r="F1143" i="7"/>
  <c r="D1143" i="7"/>
  <c r="E1143" i="7" s="1"/>
  <c r="G1141" i="7"/>
  <c r="F1141" i="7"/>
  <c r="D1141" i="7"/>
  <c r="E1141" i="7" s="1"/>
  <c r="G1139" i="7"/>
  <c r="F1139" i="7"/>
  <c r="D1139" i="7"/>
  <c r="E1139" i="7" s="1"/>
  <c r="G1137" i="7"/>
  <c r="F1137" i="7"/>
  <c r="D1137" i="7"/>
  <c r="E1137" i="7" s="1"/>
  <c r="G1135" i="7"/>
  <c r="F1135" i="7"/>
  <c r="D1135" i="7"/>
  <c r="E1135" i="7" s="1"/>
  <c r="G1133" i="7"/>
  <c r="F1133" i="7"/>
  <c r="D1133" i="7"/>
  <c r="E1133" i="7" s="1"/>
  <c r="G1131" i="7"/>
  <c r="F1131" i="7"/>
  <c r="D1131" i="7"/>
  <c r="E1131" i="7" s="1"/>
  <c r="G1129" i="7"/>
  <c r="F1129" i="7"/>
  <c r="D1129" i="7"/>
  <c r="E1129" i="7" s="1"/>
  <c r="G1127" i="7"/>
  <c r="F1127" i="7"/>
  <c r="D1127" i="7"/>
  <c r="E1127" i="7" s="1"/>
  <c r="G1125" i="7"/>
  <c r="F1125" i="7"/>
  <c r="D1125" i="7"/>
  <c r="E1125" i="7" s="1"/>
  <c r="G1123" i="7"/>
  <c r="F1123" i="7"/>
  <c r="D1123" i="7"/>
  <c r="E1123" i="7" s="1"/>
  <c r="G1121" i="7"/>
  <c r="F1121" i="7"/>
  <c r="D1121" i="7"/>
  <c r="E1121" i="7" s="1"/>
  <c r="G1119" i="7"/>
  <c r="F1119" i="7"/>
  <c r="D1119" i="7"/>
  <c r="E1119" i="7" s="1"/>
  <c r="G1117" i="7"/>
  <c r="F1117" i="7"/>
  <c r="D1117" i="7"/>
  <c r="E1117" i="7" s="1"/>
  <c r="G1115" i="7"/>
  <c r="F1115" i="7"/>
  <c r="D1115" i="7"/>
  <c r="E1115" i="7" s="1"/>
  <c r="G1113" i="7"/>
  <c r="F1113" i="7"/>
  <c r="D1113" i="7"/>
  <c r="E1113" i="7" s="1"/>
  <c r="G1111" i="7"/>
  <c r="F1111" i="7"/>
  <c r="D1111" i="7"/>
  <c r="E1111" i="7" s="1"/>
  <c r="G1109" i="7"/>
  <c r="F1109" i="7"/>
  <c r="D1109" i="7"/>
  <c r="E1109" i="7" s="1"/>
  <c r="G1107" i="7"/>
  <c r="F1107" i="7"/>
  <c r="D1107" i="7"/>
  <c r="E1107" i="7" s="1"/>
  <c r="G1105" i="7"/>
  <c r="F1105" i="7"/>
  <c r="D1105" i="7"/>
  <c r="E1105" i="7" s="1"/>
  <c r="G1103" i="7"/>
  <c r="F1103" i="7"/>
  <c r="D1103" i="7"/>
  <c r="E1103" i="7" s="1"/>
  <c r="G1101" i="7"/>
  <c r="F1101" i="7"/>
  <c r="D1101" i="7"/>
  <c r="E1101" i="7" s="1"/>
  <c r="G1099" i="7"/>
  <c r="F1099" i="7"/>
  <c r="D1099" i="7"/>
  <c r="E1099" i="7" s="1"/>
  <c r="G1097" i="7"/>
  <c r="F1097" i="7"/>
  <c r="D1097" i="7"/>
  <c r="E1097" i="7" s="1"/>
  <c r="G1095" i="7"/>
  <c r="F1095" i="7"/>
  <c r="D1095" i="7"/>
  <c r="E1095" i="7" s="1"/>
  <c r="G1093" i="7"/>
  <c r="F1093" i="7"/>
  <c r="D1093" i="7"/>
  <c r="E1093" i="7" s="1"/>
  <c r="G1091" i="7"/>
  <c r="F1091" i="7"/>
  <c r="D1091" i="7"/>
  <c r="E1091" i="7" s="1"/>
  <c r="G1089" i="7"/>
  <c r="F1089" i="7"/>
  <c r="D1089" i="7"/>
  <c r="E1089" i="7" s="1"/>
  <c r="G1087" i="7"/>
  <c r="F1087" i="7"/>
  <c r="D1087" i="7"/>
  <c r="E1087" i="7" s="1"/>
  <c r="G1085" i="7"/>
  <c r="F1085" i="7"/>
  <c r="D1085" i="7"/>
  <c r="E1085" i="7" s="1"/>
  <c r="G1083" i="7"/>
  <c r="F1083" i="7"/>
  <c r="D1083" i="7"/>
  <c r="E1083" i="7" s="1"/>
  <c r="G1081" i="7"/>
  <c r="F1081" i="7"/>
  <c r="D1081" i="7"/>
  <c r="E1081" i="7" s="1"/>
  <c r="G1079" i="7"/>
  <c r="F1079" i="7"/>
  <c r="D1079" i="7"/>
  <c r="E1079" i="7" s="1"/>
  <c r="G1077" i="7"/>
  <c r="F1077" i="7"/>
  <c r="D1077" i="7"/>
  <c r="E1077" i="7" s="1"/>
  <c r="G1075" i="7"/>
  <c r="F1075" i="7"/>
  <c r="D1075" i="7"/>
  <c r="E1075" i="7" s="1"/>
  <c r="G1073" i="7"/>
  <c r="F1073" i="7"/>
  <c r="D1073" i="7"/>
  <c r="E1073" i="7" s="1"/>
  <c r="G1071" i="7"/>
  <c r="F1071" i="7"/>
  <c r="D1071" i="7"/>
  <c r="E1071" i="7" s="1"/>
  <c r="G1069" i="7"/>
  <c r="F1069" i="7"/>
  <c r="D1069" i="7"/>
  <c r="E1069" i="7" s="1"/>
  <c r="G1067" i="7"/>
  <c r="F1067" i="7"/>
  <c r="D1067" i="7"/>
  <c r="E1067" i="7" s="1"/>
  <c r="G1065" i="7"/>
  <c r="F1065" i="7"/>
  <c r="D1065" i="7"/>
  <c r="E1065" i="7" s="1"/>
  <c r="G1063" i="7"/>
  <c r="F1063" i="7"/>
  <c r="D1063" i="7"/>
  <c r="E1063" i="7" s="1"/>
  <c r="G1061" i="7"/>
  <c r="F1061" i="7"/>
  <c r="D1061" i="7"/>
  <c r="E1061" i="7" s="1"/>
  <c r="G1059" i="7"/>
  <c r="F1059" i="7"/>
  <c r="D1059" i="7"/>
  <c r="E1059" i="7" s="1"/>
  <c r="G1057" i="7"/>
  <c r="F1057" i="7"/>
  <c r="D1057" i="7"/>
  <c r="E1057" i="7" s="1"/>
  <c r="G1055" i="7"/>
  <c r="F1055" i="7"/>
  <c r="D1055" i="7"/>
  <c r="E1055" i="7" s="1"/>
  <c r="G1053" i="7"/>
  <c r="F1053" i="7"/>
  <c r="D1053" i="7"/>
  <c r="E1053" i="7" s="1"/>
  <c r="G1051" i="7"/>
  <c r="F1051" i="7"/>
  <c r="D1051" i="7"/>
  <c r="E1051" i="7" s="1"/>
  <c r="G1049" i="7"/>
  <c r="F1049" i="7"/>
  <c r="D1049" i="7"/>
  <c r="E1049" i="7" s="1"/>
  <c r="G1047" i="7"/>
  <c r="F1047" i="7"/>
  <c r="D1047" i="7"/>
  <c r="E1047" i="7" s="1"/>
  <c r="G1045" i="7"/>
  <c r="F1045" i="7"/>
  <c r="D1045" i="7"/>
  <c r="E1045" i="7" s="1"/>
  <c r="G1043" i="7"/>
  <c r="F1043" i="7"/>
  <c r="D1043" i="7"/>
  <c r="E1043" i="7" s="1"/>
  <c r="G1041" i="7"/>
  <c r="F1041" i="7"/>
  <c r="D1041" i="7"/>
  <c r="E1041" i="7" s="1"/>
  <c r="G1039" i="7"/>
  <c r="F1039" i="7"/>
  <c r="D1039" i="7"/>
  <c r="E1039" i="7" s="1"/>
  <c r="G1037" i="7"/>
  <c r="F1037" i="7"/>
  <c r="D1037" i="7"/>
  <c r="E1037" i="7" s="1"/>
  <c r="G1035" i="7"/>
  <c r="F1035" i="7"/>
  <c r="D1035" i="7"/>
  <c r="E1035" i="7" s="1"/>
  <c r="G1033" i="7"/>
  <c r="F1033" i="7"/>
  <c r="D1033" i="7"/>
  <c r="E1033" i="7" s="1"/>
  <c r="G1031" i="7"/>
  <c r="F1031" i="7"/>
  <c r="D1031" i="7"/>
  <c r="E1031" i="7" s="1"/>
  <c r="G1029" i="7"/>
  <c r="F1029" i="7"/>
  <c r="D1029" i="7"/>
  <c r="E1029" i="7" s="1"/>
  <c r="G1027" i="7"/>
  <c r="F1027" i="7"/>
  <c r="D1027" i="7"/>
  <c r="E1027" i="7" s="1"/>
  <c r="G1025" i="7"/>
  <c r="F1025" i="7"/>
  <c r="D1025" i="7"/>
  <c r="E1025" i="7" s="1"/>
  <c r="G1023" i="7"/>
  <c r="F1023" i="7"/>
  <c r="D1023" i="7"/>
  <c r="E1023" i="7" s="1"/>
  <c r="G1021" i="7"/>
  <c r="F1021" i="7"/>
  <c r="D1021" i="7"/>
  <c r="E1021" i="7" s="1"/>
  <c r="G1019" i="7"/>
  <c r="F1019" i="7"/>
  <c r="D1019" i="7"/>
  <c r="E1019" i="7" s="1"/>
  <c r="G1017" i="7"/>
  <c r="F1017" i="7"/>
  <c r="D1017" i="7"/>
  <c r="E1017" i="7" s="1"/>
  <c r="G1015" i="7"/>
  <c r="F1015" i="7"/>
  <c r="D1015" i="7"/>
  <c r="E1015" i="7" s="1"/>
  <c r="G1013" i="7"/>
  <c r="F1013" i="7"/>
  <c r="D1013" i="7"/>
  <c r="E1013" i="7" s="1"/>
  <c r="G1011" i="7"/>
  <c r="F1011" i="7"/>
  <c r="D1011" i="7"/>
  <c r="E1011" i="7" s="1"/>
  <c r="G1009" i="7"/>
  <c r="F1009" i="7"/>
  <c r="D1009" i="7"/>
  <c r="E1009" i="7" s="1"/>
  <c r="G1007" i="7"/>
  <c r="F1007" i="7"/>
  <c r="D1007" i="7"/>
  <c r="E1007" i="7" s="1"/>
  <c r="G1005" i="7"/>
  <c r="F1005" i="7"/>
  <c r="D1005" i="7"/>
  <c r="E1005" i="7" s="1"/>
  <c r="G1003" i="7"/>
  <c r="F1003" i="7"/>
  <c r="D1003" i="7"/>
  <c r="E1003" i="7" s="1"/>
  <c r="G1001" i="7"/>
  <c r="F1001" i="7"/>
  <c r="D1001" i="7"/>
  <c r="E1001" i="7" s="1"/>
  <c r="G999" i="7"/>
  <c r="F999" i="7"/>
  <c r="D999" i="7"/>
  <c r="E999" i="7" s="1"/>
  <c r="G997" i="7"/>
  <c r="F997" i="7"/>
  <c r="D997" i="7"/>
  <c r="E997" i="7" s="1"/>
  <c r="G995" i="7"/>
  <c r="F995" i="7"/>
  <c r="D995" i="7"/>
  <c r="E995" i="7" s="1"/>
  <c r="G993" i="7"/>
  <c r="F993" i="7"/>
  <c r="D993" i="7"/>
  <c r="E993" i="7" s="1"/>
  <c r="G991" i="7"/>
  <c r="F991" i="7"/>
  <c r="D991" i="7"/>
  <c r="E991" i="7" s="1"/>
  <c r="G989" i="7"/>
  <c r="F989" i="7"/>
  <c r="D989" i="7"/>
  <c r="E989" i="7" s="1"/>
  <c r="G987" i="7"/>
  <c r="F987" i="7"/>
  <c r="D987" i="7"/>
  <c r="E987" i="7" s="1"/>
  <c r="G985" i="7"/>
  <c r="F985" i="7"/>
  <c r="D985" i="7"/>
  <c r="E985" i="7" s="1"/>
  <c r="G983" i="7"/>
  <c r="F983" i="7"/>
  <c r="D983" i="7"/>
  <c r="E983" i="7" s="1"/>
  <c r="G981" i="7"/>
  <c r="F981" i="7"/>
  <c r="D981" i="7"/>
  <c r="E981" i="7" s="1"/>
  <c r="G979" i="7"/>
  <c r="F979" i="7"/>
  <c r="D979" i="7"/>
  <c r="E979" i="7" s="1"/>
  <c r="G977" i="7"/>
  <c r="F977" i="7"/>
  <c r="D977" i="7"/>
  <c r="E977" i="7" s="1"/>
  <c r="G975" i="7"/>
  <c r="F975" i="7"/>
  <c r="D975" i="7"/>
  <c r="E975" i="7" s="1"/>
  <c r="G973" i="7"/>
  <c r="F973" i="7"/>
  <c r="D973" i="7"/>
  <c r="E973" i="7" s="1"/>
  <c r="G971" i="7"/>
  <c r="F971" i="7"/>
  <c r="D971" i="7"/>
  <c r="E971" i="7" s="1"/>
  <c r="G969" i="7"/>
  <c r="F969" i="7"/>
  <c r="D969" i="7"/>
  <c r="E969" i="7" s="1"/>
  <c r="G967" i="7"/>
  <c r="F967" i="7"/>
  <c r="D967" i="7"/>
  <c r="E967" i="7" s="1"/>
  <c r="G965" i="7"/>
  <c r="F965" i="7"/>
  <c r="D965" i="7"/>
  <c r="E965" i="7" s="1"/>
  <c r="G963" i="7"/>
  <c r="F963" i="7"/>
  <c r="D963" i="7"/>
  <c r="E963" i="7" s="1"/>
  <c r="G961" i="7"/>
  <c r="F961" i="7"/>
  <c r="D961" i="7"/>
  <c r="E961" i="7" s="1"/>
  <c r="G959" i="7"/>
  <c r="F959" i="7"/>
  <c r="D959" i="7"/>
  <c r="E959" i="7" s="1"/>
  <c r="G957" i="7"/>
  <c r="F957" i="7"/>
  <c r="D957" i="7"/>
  <c r="E957" i="7" s="1"/>
  <c r="G955" i="7"/>
  <c r="F955" i="7"/>
  <c r="D955" i="7"/>
  <c r="E955" i="7" s="1"/>
  <c r="G953" i="7"/>
  <c r="F953" i="7"/>
  <c r="D953" i="7"/>
  <c r="E953" i="7" s="1"/>
  <c r="G951" i="7"/>
  <c r="F951" i="7"/>
  <c r="D951" i="7"/>
  <c r="E951" i="7" s="1"/>
  <c r="G949" i="7"/>
  <c r="F949" i="7"/>
  <c r="D949" i="7"/>
  <c r="E949" i="7" s="1"/>
  <c r="G947" i="7"/>
  <c r="F947" i="7"/>
  <c r="D947" i="7"/>
  <c r="E947" i="7" s="1"/>
  <c r="G945" i="7"/>
  <c r="F945" i="7"/>
  <c r="D945" i="7"/>
  <c r="E945" i="7" s="1"/>
  <c r="G943" i="7"/>
  <c r="F943" i="7"/>
  <c r="D943" i="7"/>
  <c r="E943" i="7" s="1"/>
  <c r="G941" i="7"/>
  <c r="F941" i="7"/>
  <c r="D941" i="7"/>
  <c r="E941" i="7" s="1"/>
  <c r="G939" i="7"/>
  <c r="F939" i="7"/>
  <c r="D939" i="7"/>
  <c r="E939" i="7" s="1"/>
  <c r="G937" i="7"/>
  <c r="F937" i="7"/>
  <c r="D937" i="7"/>
  <c r="E937" i="7" s="1"/>
  <c r="G935" i="7"/>
  <c r="F935" i="7"/>
  <c r="D935" i="7"/>
  <c r="E935" i="7" s="1"/>
  <c r="G933" i="7"/>
  <c r="F933" i="7"/>
  <c r="D933" i="7"/>
  <c r="E933" i="7" s="1"/>
  <c r="G931" i="7"/>
  <c r="F931" i="7"/>
  <c r="D931" i="7"/>
  <c r="E931" i="7" s="1"/>
  <c r="G929" i="7"/>
  <c r="F929" i="7"/>
  <c r="D929" i="7"/>
  <c r="E929" i="7" s="1"/>
  <c r="G927" i="7"/>
  <c r="F927" i="7"/>
  <c r="D927" i="7"/>
  <c r="E927" i="7" s="1"/>
  <c r="G925" i="7"/>
  <c r="F925" i="7"/>
  <c r="D925" i="7"/>
  <c r="E925" i="7" s="1"/>
  <c r="G923" i="7"/>
  <c r="F923" i="7"/>
  <c r="D923" i="7"/>
  <c r="E923" i="7" s="1"/>
  <c r="G921" i="7"/>
  <c r="F921" i="7"/>
  <c r="D921" i="7"/>
  <c r="E921" i="7" s="1"/>
  <c r="G919" i="7"/>
  <c r="F919" i="7"/>
  <c r="D919" i="7"/>
  <c r="E919" i="7" s="1"/>
  <c r="G917" i="7"/>
  <c r="F917" i="7"/>
  <c r="D917" i="7"/>
  <c r="E917" i="7" s="1"/>
  <c r="G915" i="7"/>
  <c r="F915" i="7"/>
  <c r="D915" i="7"/>
  <c r="E915" i="7" s="1"/>
  <c r="G913" i="7"/>
  <c r="F913" i="7"/>
  <c r="D913" i="7"/>
  <c r="E913" i="7" s="1"/>
  <c r="G911" i="7"/>
  <c r="F911" i="7"/>
  <c r="D911" i="7"/>
  <c r="E911" i="7" s="1"/>
  <c r="G909" i="7"/>
  <c r="F909" i="7"/>
  <c r="D909" i="7"/>
  <c r="E909" i="7" s="1"/>
  <c r="G907" i="7"/>
  <c r="F907" i="7"/>
  <c r="D907" i="7"/>
  <c r="E907" i="7" s="1"/>
  <c r="G905" i="7"/>
  <c r="F905" i="7"/>
  <c r="D905" i="7"/>
  <c r="E905" i="7" s="1"/>
  <c r="G903" i="7"/>
  <c r="F903" i="7"/>
  <c r="D903" i="7"/>
  <c r="E903" i="7" s="1"/>
  <c r="G901" i="7"/>
  <c r="F901" i="7"/>
  <c r="D901" i="7"/>
  <c r="E901" i="7" s="1"/>
  <c r="G899" i="7"/>
  <c r="F899" i="7"/>
  <c r="D899" i="7"/>
  <c r="E899" i="7" s="1"/>
  <c r="G897" i="7"/>
  <c r="F897" i="7"/>
  <c r="D897" i="7"/>
  <c r="E897" i="7" s="1"/>
  <c r="G895" i="7"/>
  <c r="F895" i="7"/>
  <c r="D895" i="7"/>
  <c r="E895" i="7" s="1"/>
  <c r="G893" i="7"/>
  <c r="F893" i="7"/>
  <c r="D893" i="7"/>
  <c r="E893" i="7" s="1"/>
  <c r="G891" i="7"/>
  <c r="F891" i="7"/>
  <c r="D891" i="7"/>
  <c r="E891" i="7" s="1"/>
  <c r="G889" i="7"/>
  <c r="F889" i="7"/>
  <c r="D889" i="7"/>
  <c r="E889" i="7" s="1"/>
  <c r="G887" i="7"/>
  <c r="F887" i="7"/>
  <c r="D887" i="7"/>
  <c r="E887" i="7" s="1"/>
  <c r="G885" i="7"/>
  <c r="F885" i="7"/>
  <c r="D885" i="7"/>
  <c r="E885" i="7" s="1"/>
  <c r="G883" i="7"/>
  <c r="F883" i="7"/>
  <c r="D883" i="7"/>
  <c r="E883" i="7" s="1"/>
  <c r="G881" i="7"/>
  <c r="F881" i="7"/>
  <c r="D881" i="7"/>
  <c r="E881" i="7" s="1"/>
  <c r="G879" i="7"/>
  <c r="F879" i="7"/>
  <c r="D879" i="7"/>
  <c r="E879" i="7" s="1"/>
  <c r="G877" i="7"/>
  <c r="F877" i="7"/>
  <c r="D877" i="7"/>
  <c r="E877" i="7" s="1"/>
  <c r="G875" i="7"/>
  <c r="F875" i="7"/>
  <c r="D875" i="7"/>
  <c r="E875" i="7" s="1"/>
  <c r="G873" i="7"/>
  <c r="F873" i="7"/>
  <c r="D873" i="7"/>
  <c r="E873" i="7" s="1"/>
  <c r="G871" i="7"/>
  <c r="F871" i="7"/>
  <c r="D871" i="7"/>
  <c r="E871" i="7" s="1"/>
  <c r="G869" i="7"/>
  <c r="F869" i="7"/>
  <c r="D869" i="7"/>
  <c r="E869" i="7" s="1"/>
  <c r="G867" i="7"/>
  <c r="F867" i="7"/>
  <c r="D867" i="7"/>
  <c r="E867" i="7" s="1"/>
  <c r="G865" i="7"/>
  <c r="F865" i="7"/>
  <c r="D865" i="7"/>
  <c r="E865" i="7" s="1"/>
  <c r="G863" i="7"/>
  <c r="F863" i="7"/>
  <c r="D863" i="7"/>
  <c r="E863" i="7" s="1"/>
  <c r="G861" i="7"/>
  <c r="F861" i="7"/>
  <c r="D861" i="7"/>
  <c r="E861" i="7" s="1"/>
  <c r="G859" i="7"/>
  <c r="F859" i="7"/>
  <c r="D859" i="7"/>
  <c r="E859" i="7" s="1"/>
  <c r="G857" i="7"/>
  <c r="F857" i="7"/>
  <c r="D857" i="7"/>
  <c r="E857" i="7" s="1"/>
  <c r="G855" i="7"/>
  <c r="F855" i="7"/>
  <c r="D855" i="7"/>
  <c r="E855" i="7" s="1"/>
  <c r="G853" i="7"/>
  <c r="F853" i="7"/>
  <c r="D853" i="7"/>
  <c r="E853" i="7" s="1"/>
  <c r="G851" i="7"/>
  <c r="F851" i="7"/>
  <c r="D851" i="7"/>
  <c r="E851" i="7" s="1"/>
  <c r="G849" i="7"/>
  <c r="F849" i="7"/>
  <c r="D849" i="7"/>
  <c r="E849" i="7" s="1"/>
  <c r="G847" i="7"/>
  <c r="F847" i="7"/>
  <c r="D847" i="7"/>
  <c r="E847" i="7" s="1"/>
  <c r="G845" i="7"/>
  <c r="F845" i="7"/>
  <c r="D845" i="7"/>
  <c r="E845" i="7" s="1"/>
  <c r="G843" i="7"/>
  <c r="F843" i="7"/>
  <c r="D843" i="7"/>
  <c r="E843" i="7" s="1"/>
  <c r="G841" i="7"/>
  <c r="F841" i="7"/>
  <c r="D841" i="7"/>
  <c r="E841" i="7" s="1"/>
  <c r="G839" i="7"/>
  <c r="F839" i="7"/>
  <c r="D839" i="7"/>
  <c r="E839" i="7" s="1"/>
  <c r="G837" i="7"/>
  <c r="F837" i="7"/>
  <c r="D837" i="7"/>
  <c r="E837" i="7" s="1"/>
  <c r="G835" i="7"/>
  <c r="F835" i="7"/>
  <c r="D835" i="7"/>
  <c r="E835" i="7" s="1"/>
  <c r="G833" i="7"/>
  <c r="F833" i="7"/>
  <c r="D833" i="7"/>
  <c r="E833" i="7" s="1"/>
  <c r="G831" i="7"/>
  <c r="F831" i="7"/>
  <c r="D831" i="7"/>
  <c r="E831" i="7" s="1"/>
  <c r="G829" i="7"/>
  <c r="F829" i="7"/>
  <c r="D829" i="7"/>
  <c r="E829" i="7" s="1"/>
  <c r="G827" i="7"/>
  <c r="F827" i="7"/>
  <c r="D827" i="7"/>
  <c r="E827" i="7" s="1"/>
  <c r="G825" i="7"/>
  <c r="F825" i="7"/>
  <c r="D825" i="7"/>
  <c r="E825" i="7" s="1"/>
  <c r="G823" i="7"/>
  <c r="F823" i="7"/>
  <c r="D823" i="7"/>
  <c r="E823" i="7" s="1"/>
  <c r="G821" i="7"/>
  <c r="F821" i="7"/>
  <c r="D821" i="7"/>
  <c r="E821" i="7" s="1"/>
  <c r="G819" i="7"/>
  <c r="F819" i="7"/>
  <c r="D819" i="7"/>
  <c r="E819" i="7" s="1"/>
  <c r="G817" i="7"/>
  <c r="F817" i="7"/>
  <c r="D817" i="7"/>
  <c r="E817" i="7" s="1"/>
  <c r="G815" i="7"/>
  <c r="F815" i="7"/>
  <c r="D815" i="7"/>
  <c r="E815" i="7" s="1"/>
  <c r="G813" i="7"/>
  <c r="F813" i="7"/>
  <c r="D813" i="7"/>
  <c r="E813" i="7" s="1"/>
  <c r="G811" i="7"/>
  <c r="F811" i="7"/>
  <c r="D811" i="7"/>
  <c r="E811" i="7" s="1"/>
  <c r="G809" i="7"/>
  <c r="F809" i="7"/>
  <c r="D809" i="7"/>
  <c r="E809" i="7" s="1"/>
  <c r="G807" i="7"/>
  <c r="F807" i="7"/>
  <c r="D807" i="7"/>
  <c r="E807" i="7" s="1"/>
  <c r="G805" i="7"/>
  <c r="F805" i="7"/>
  <c r="D805" i="7"/>
  <c r="E805" i="7" s="1"/>
  <c r="G803" i="7"/>
  <c r="F803" i="7"/>
  <c r="D803" i="7"/>
  <c r="E803" i="7" s="1"/>
  <c r="G801" i="7"/>
  <c r="F801" i="7"/>
  <c r="D801" i="7"/>
  <c r="E801" i="7" s="1"/>
  <c r="G799" i="7"/>
  <c r="F799" i="7"/>
  <c r="D799" i="7"/>
  <c r="E799" i="7" s="1"/>
  <c r="G797" i="7"/>
  <c r="F797" i="7"/>
  <c r="D797" i="7"/>
  <c r="E797" i="7" s="1"/>
  <c r="G795" i="7"/>
  <c r="F795" i="7"/>
  <c r="D795" i="7"/>
  <c r="E795" i="7" s="1"/>
  <c r="G793" i="7"/>
  <c r="F793" i="7"/>
  <c r="D793" i="7"/>
  <c r="E793" i="7" s="1"/>
  <c r="G791" i="7"/>
  <c r="F791" i="7"/>
  <c r="D791" i="7"/>
  <c r="E791" i="7" s="1"/>
  <c r="G789" i="7"/>
  <c r="F789" i="7"/>
  <c r="D789" i="7"/>
  <c r="E789" i="7" s="1"/>
  <c r="G787" i="7"/>
  <c r="F787" i="7"/>
  <c r="D787" i="7"/>
  <c r="E787" i="7" s="1"/>
  <c r="G785" i="7"/>
  <c r="F785" i="7"/>
  <c r="D785" i="7"/>
  <c r="E785" i="7" s="1"/>
  <c r="G783" i="7"/>
  <c r="F783" i="7"/>
  <c r="D783" i="7"/>
  <c r="E783" i="7" s="1"/>
  <c r="G781" i="7"/>
  <c r="F781" i="7"/>
  <c r="D781" i="7"/>
  <c r="E781" i="7" s="1"/>
  <c r="G779" i="7"/>
  <c r="F779" i="7"/>
  <c r="D779" i="7"/>
  <c r="E779" i="7" s="1"/>
  <c r="G777" i="7"/>
  <c r="F777" i="7"/>
  <c r="D777" i="7"/>
  <c r="E777" i="7" s="1"/>
  <c r="G775" i="7"/>
  <c r="F775" i="7"/>
  <c r="D775" i="7"/>
  <c r="E775" i="7" s="1"/>
  <c r="G773" i="7"/>
  <c r="F773" i="7"/>
  <c r="D773" i="7"/>
  <c r="E773" i="7" s="1"/>
  <c r="G771" i="7"/>
  <c r="F771" i="7"/>
  <c r="D771" i="7"/>
  <c r="E771" i="7" s="1"/>
  <c r="G769" i="7"/>
  <c r="F769" i="7"/>
  <c r="D769" i="7"/>
  <c r="E769" i="7" s="1"/>
  <c r="G767" i="7"/>
  <c r="F767" i="7"/>
  <c r="D767" i="7"/>
  <c r="E767" i="7" s="1"/>
  <c r="G765" i="7"/>
  <c r="F765" i="7"/>
  <c r="D765" i="7"/>
  <c r="E765" i="7" s="1"/>
  <c r="G763" i="7"/>
  <c r="F763" i="7"/>
  <c r="D763" i="7"/>
  <c r="E763" i="7" s="1"/>
  <c r="G761" i="7"/>
  <c r="F761" i="7"/>
  <c r="E761" i="7"/>
  <c r="G759" i="7"/>
  <c r="F759" i="7"/>
  <c r="E759" i="7"/>
  <c r="D759" i="7"/>
  <c r="G757" i="7"/>
  <c r="F757" i="7"/>
  <c r="D757" i="7"/>
  <c r="E757" i="7" s="1"/>
  <c r="G755" i="7"/>
  <c r="F755" i="7"/>
  <c r="E755" i="7"/>
  <c r="D755" i="7"/>
  <c r="G753" i="7"/>
  <c r="F753" i="7"/>
  <c r="E753" i="7"/>
  <c r="D753" i="7"/>
  <c r="G751" i="7"/>
  <c r="F751" i="7"/>
  <c r="D751" i="7"/>
  <c r="E751" i="7" s="1"/>
  <c r="G749" i="7"/>
  <c r="F749" i="7"/>
  <c r="E749" i="7"/>
  <c r="D749" i="7"/>
  <c r="G747" i="7"/>
  <c r="F747" i="7"/>
  <c r="E747" i="7"/>
  <c r="D747" i="7"/>
  <c r="G745" i="7"/>
  <c r="F745" i="7"/>
  <c r="D745" i="7"/>
  <c r="E745" i="7" s="1"/>
  <c r="G743" i="7"/>
  <c r="F743" i="7"/>
  <c r="E743" i="7"/>
  <c r="D743" i="7"/>
  <c r="G741" i="7"/>
  <c r="F741" i="7"/>
  <c r="E741" i="7"/>
  <c r="D741" i="7"/>
  <c r="G739" i="7"/>
  <c r="F739" i="7"/>
  <c r="D739" i="7"/>
  <c r="E739" i="7" s="1"/>
  <c r="G737" i="7"/>
  <c r="F737" i="7"/>
  <c r="E737" i="7"/>
  <c r="D737" i="7"/>
  <c r="G735" i="7"/>
  <c r="F735" i="7"/>
  <c r="E735" i="7"/>
  <c r="D735" i="7"/>
  <c r="G733" i="7"/>
  <c r="F733" i="7"/>
  <c r="D733" i="7"/>
  <c r="E733" i="7" s="1"/>
  <c r="G731" i="7"/>
  <c r="F731" i="7"/>
  <c r="E731" i="7"/>
  <c r="D731" i="7"/>
  <c r="G729" i="7"/>
  <c r="F729" i="7"/>
  <c r="E729" i="7"/>
  <c r="D729" i="7"/>
  <c r="G727" i="7"/>
  <c r="F727" i="7"/>
  <c r="D727" i="7"/>
  <c r="E727" i="7" s="1"/>
  <c r="G725" i="7"/>
  <c r="F725" i="7"/>
  <c r="E725" i="7"/>
  <c r="D725" i="7"/>
  <c r="G723" i="7"/>
  <c r="F723" i="7"/>
  <c r="E723" i="7"/>
  <c r="D723" i="7"/>
  <c r="G721" i="7"/>
  <c r="F721" i="7"/>
  <c r="D721" i="7"/>
  <c r="E721" i="7" s="1"/>
  <c r="G719" i="7"/>
  <c r="F719" i="7"/>
  <c r="E719" i="7"/>
  <c r="D719" i="7"/>
  <c r="G717" i="7"/>
  <c r="F717" i="7"/>
  <c r="E717" i="7"/>
  <c r="D717" i="7"/>
  <c r="G715" i="7"/>
  <c r="F715" i="7"/>
  <c r="D715" i="7"/>
  <c r="E715" i="7" s="1"/>
  <c r="G713" i="7"/>
  <c r="F713" i="7"/>
  <c r="E713" i="7"/>
  <c r="D713" i="7"/>
  <c r="G711" i="7"/>
  <c r="F711" i="7"/>
  <c r="E711" i="7"/>
  <c r="D711" i="7"/>
  <c r="G709" i="7"/>
  <c r="F709" i="7"/>
  <c r="D709" i="7"/>
  <c r="E709" i="7" s="1"/>
  <c r="G707" i="7"/>
  <c r="F707" i="7"/>
  <c r="E707" i="7"/>
  <c r="D707" i="7"/>
  <c r="G705" i="7"/>
  <c r="F705" i="7"/>
  <c r="E705" i="7"/>
  <c r="D705" i="7"/>
  <c r="G703" i="7"/>
  <c r="F703" i="7"/>
  <c r="D703" i="7"/>
  <c r="E703" i="7" s="1"/>
  <c r="G701" i="7"/>
  <c r="F701" i="7"/>
  <c r="E701" i="7"/>
  <c r="D701" i="7"/>
  <c r="G699" i="7"/>
  <c r="F699" i="7"/>
  <c r="E699" i="7"/>
  <c r="D699" i="7"/>
  <c r="G697" i="7"/>
  <c r="F697" i="7"/>
  <c r="D697" i="7"/>
  <c r="E697" i="7" s="1"/>
  <c r="G695" i="7"/>
  <c r="F695" i="7"/>
  <c r="E695" i="7"/>
  <c r="D695" i="7"/>
  <c r="G693" i="7"/>
  <c r="F693" i="7"/>
  <c r="E693" i="7"/>
  <c r="D693" i="7"/>
  <c r="G691" i="7"/>
  <c r="F691" i="7"/>
  <c r="D691" i="7"/>
  <c r="E691" i="7" s="1"/>
  <c r="G689" i="7"/>
  <c r="F689" i="7"/>
  <c r="E689" i="7"/>
  <c r="D689" i="7"/>
  <c r="G687" i="7"/>
  <c r="F687" i="7"/>
  <c r="E687" i="7"/>
  <c r="D687" i="7"/>
  <c r="G685" i="7"/>
  <c r="F685" i="7"/>
  <c r="D685" i="7"/>
  <c r="E685" i="7" s="1"/>
  <c r="G683" i="7"/>
  <c r="F683" i="7"/>
  <c r="E683" i="7"/>
  <c r="D683" i="7"/>
  <c r="G681" i="7"/>
  <c r="F681" i="7"/>
  <c r="E681" i="7"/>
  <c r="D681" i="7"/>
  <c r="G679" i="7"/>
  <c r="F679" i="7"/>
  <c r="D679" i="7"/>
  <c r="E679" i="7" s="1"/>
  <c r="G677" i="7"/>
  <c r="F677" i="7"/>
  <c r="E677" i="7"/>
  <c r="D677" i="7"/>
  <c r="G675" i="7"/>
  <c r="F675" i="7"/>
  <c r="E675" i="7"/>
  <c r="D675" i="7"/>
  <c r="G673" i="7"/>
  <c r="F673" i="7"/>
  <c r="D673" i="7"/>
  <c r="E673" i="7" s="1"/>
  <c r="G671" i="7"/>
  <c r="F671" i="7"/>
  <c r="E671" i="7"/>
  <c r="D671" i="7"/>
  <c r="G669" i="7"/>
  <c r="F669" i="7"/>
  <c r="E669" i="7"/>
  <c r="D669" i="7"/>
  <c r="G667" i="7"/>
  <c r="F667" i="7"/>
  <c r="D667" i="7"/>
  <c r="E667" i="7" s="1"/>
  <c r="G665" i="7"/>
  <c r="F665" i="7"/>
  <c r="E665" i="7"/>
  <c r="D665" i="7"/>
  <c r="G663" i="7"/>
  <c r="F663" i="7"/>
  <c r="E663" i="7"/>
  <c r="D663" i="7"/>
  <c r="G661" i="7"/>
  <c r="F661" i="7"/>
  <c r="D661" i="7"/>
  <c r="E661" i="7" s="1"/>
  <c r="G659" i="7"/>
  <c r="F659" i="7"/>
  <c r="E659" i="7"/>
  <c r="D659" i="7"/>
  <c r="G657" i="7"/>
  <c r="F657" i="7"/>
  <c r="E657" i="7"/>
  <c r="D657" i="7"/>
  <c r="G655" i="7"/>
  <c r="F655" i="7"/>
  <c r="D655" i="7"/>
  <c r="E655" i="7" s="1"/>
  <c r="G653" i="7"/>
  <c r="F653" i="7"/>
  <c r="E653" i="7"/>
  <c r="D653" i="7"/>
  <c r="G651" i="7"/>
  <c r="F651" i="7"/>
  <c r="E651" i="7"/>
  <c r="D651" i="7"/>
  <c r="G649" i="7"/>
  <c r="F649" i="7"/>
  <c r="D649" i="7"/>
  <c r="E649" i="7" s="1"/>
  <c r="G647" i="7"/>
  <c r="F647" i="7"/>
  <c r="E647" i="7"/>
  <c r="D647" i="7"/>
  <c r="G645" i="7"/>
  <c r="F645" i="7"/>
  <c r="E645" i="7"/>
  <c r="D645" i="7"/>
  <c r="G643" i="7"/>
  <c r="F643" i="7"/>
  <c r="D643" i="7"/>
  <c r="E643" i="7" s="1"/>
  <c r="G641" i="7"/>
  <c r="F641" i="7"/>
  <c r="E641" i="7"/>
  <c r="D641" i="7"/>
  <c r="G639" i="7"/>
  <c r="F639" i="7"/>
  <c r="E639" i="7"/>
  <c r="D639" i="7"/>
  <c r="G637" i="7"/>
  <c r="F637" i="7"/>
  <c r="D637" i="7"/>
  <c r="E637" i="7" s="1"/>
  <c r="G635" i="7"/>
  <c r="F635" i="7"/>
  <c r="E635" i="7"/>
  <c r="D635" i="7"/>
  <c r="G633" i="7"/>
  <c r="F633" i="7"/>
  <c r="E633" i="7"/>
  <c r="D633" i="7"/>
  <c r="G631" i="7"/>
  <c r="F631" i="7"/>
  <c r="D631" i="7"/>
  <c r="E631" i="7" s="1"/>
  <c r="G629" i="7"/>
  <c r="F629" i="7"/>
  <c r="E629" i="7"/>
  <c r="D629" i="7"/>
  <c r="G627" i="7"/>
  <c r="F627" i="7"/>
  <c r="E627" i="7"/>
  <c r="D627" i="7"/>
  <c r="G625" i="7"/>
  <c r="F625" i="7"/>
  <c r="D625" i="7"/>
  <c r="E625" i="7" s="1"/>
  <c r="G623" i="7"/>
  <c r="F623" i="7"/>
  <c r="E623" i="7"/>
  <c r="D623" i="7"/>
  <c r="G621" i="7"/>
  <c r="F621" i="7"/>
  <c r="E621" i="7"/>
  <c r="D621" i="7"/>
  <c r="G619" i="7"/>
  <c r="F619" i="7"/>
  <c r="D619" i="7"/>
  <c r="E619" i="7" s="1"/>
  <c r="G617" i="7"/>
  <c r="F617" i="7"/>
  <c r="E617" i="7"/>
  <c r="D617" i="7"/>
  <c r="G615" i="7"/>
  <c r="F615" i="7"/>
  <c r="E615" i="7"/>
  <c r="D615" i="7"/>
  <c r="G613" i="7"/>
  <c r="F613" i="7"/>
  <c r="D613" i="7"/>
  <c r="E613" i="7" s="1"/>
  <c r="G611" i="7"/>
  <c r="F611" i="7"/>
  <c r="E611" i="7"/>
  <c r="D611" i="7"/>
  <c r="G609" i="7"/>
  <c r="F609" i="7"/>
  <c r="E609" i="7"/>
  <c r="D609" i="7"/>
  <c r="G607" i="7"/>
  <c r="F607" i="7"/>
  <c r="D607" i="7"/>
  <c r="E607" i="7" s="1"/>
  <c r="G605" i="7"/>
  <c r="F605" i="7"/>
  <c r="E605" i="7"/>
  <c r="D605" i="7"/>
  <c r="G603" i="7"/>
  <c r="F603" i="7"/>
  <c r="E603" i="7"/>
  <c r="D603" i="7"/>
  <c r="G601" i="7"/>
  <c r="F601" i="7"/>
  <c r="D601" i="7"/>
  <c r="E601" i="7" s="1"/>
  <c r="G599" i="7"/>
  <c r="F599" i="7"/>
  <c r="E599" i="7"/>
  <c r="D599" i="7"/>
  <c r="G597" i="7"/>
  <c r="F597" i="7"/>
  <c r="E597" i="7"/>
  <c r="D597" i="7"/>
  <c r="G595" i="7"/>
  <c r="F595" i="7"/>
  <c r="D595" i="7"/>
  <c r="E595" i="7" s="1"/>
  <c r="G593" i="7"/>
  <c r="F593" i="7"/>
  <c r="E593" i="7"/>
  <c r="D593" i="7"/>
  <c r="G591" i="7"/>
  <c r="F591" i="7"/>
  <c r="E591" i="7"/>
  <c r="D591" i="7"/>
  <c r="G589" i="7"/>
  <c r="F589" i="7"/>
  <c r="D589" i="7"/>
  <c r="E589" i="7" s="1"/>
  <c r="G587" i="7"/>
  <c r="F587" i="7"/>
  <c r="E587" i="7"/>
  <c r="D587" i="7"/>
  <c r="G585" i="7"/>
  <c r="F585" i="7"/>
  <c r="E585" i="7"/>
  <c r="D585" i="7"/>
  <c r="G583" i="7"/>
  <c r="F583" i="7"/>
  <c r="D583" i="7"/>
  <c r="E583" i="7" s="1"/>
  <c r="G581" i="7"/>
  <c r="F581" i="7"/>
  <c r="E581" i="7"/>
  <c r="D581" i="7"/>
  <c r="G579" i="7"/>
  <c r="F579" i="7"/>
  <c r="E579" i="7"/>
  <c r="D579" i="7"/>
  <c r="G577" i="7"/>
  <c r="F577" i="7"/>
  <c r="D577" i="7"/>
  <c r="E577" i="7" s="1"/>
  <c r="F573" i="7" a="1"/>
  <c r="F573" i="7"/>
  <c r="D573" i="7"/>
  <c r="C573" i="7" a="1"/>
  <c r="C573" i="7" s="1"/>
  <c r="B573" i="7" a="1"/>
  <c r="B573" i="7" s="1"/>
  <c r="R570" i="7"/>
  <c r="R569" i="7"/>
  <c r="H568" i="7" a="1"/>
  <c r="H568" i="7" s="1"/>
  <c r="G568" i="7" a="1"/>
  <c r="G568" i="7"/>
  <c r="O567" i="7"/>
  <c r="H567" i="7" a="1"/>
  <c r="H567" i="7" s="1"/>
  <c r="G567" i="7" a="1"/>
  <c r="G567" i="7" s="1"/>
  <c r="S566" i="7"/>
  <c r="P566" i="7"/>
  <c r="H566" i="7" a="1"/>
  <c r="H566" i="7"/>
  <c r="G566" i="7" a="1"/>
  <c r="G566" i="7" s="1"/>
  <c r="AA563" i="7"/>
  <c r="Z563" i="7"/>
  <c r="Y563" i="7"/>
  <c r="X563" i="7"/>
  <c r="U563" i="7"/>
  <c r="T563" i="7"/>
  <c r="G573" i="7" s="1" a="1"/>
  <c r="G573" i="7" s="1"/>
  <c r="M563" i="7"/>
  <c r="H563" i="7"/>
  <c r="E563" i="7"/>
  <c r="AA562" i="7"/>
  <c r="Z562" i="7"/>
  <c r="Y562" i="7"/>
  <c r="X562" i="7"/>
  <c r="U562" i="7"/>
  <c r="T562" i="7"/>
  <c r="V562" i="7" s="1"/>
  <c r="M562" i="7"/>
  <c r="W562" i="7" s="1"/>
  <c r="H562" i="7"/>
  <c r="E562" i="7"/>
  <c r="AA561" i="7"/>
  <c r="Z561" i="7"/>
  <c r="Y561" i="7"/>
  <c r="X561" i="7"/>
  <c r="W561" i="7"/>
  <c r="V561" i="7"/>
  <c r="U561" i="7"/>
  <c r="T561" i="7"/>
  <c r="M561" i="7"/>
  <c r="H561" i="7"/>
  <c r="E561" i="7"/>
  <c r="AA560" i="7"/>
  <c r="Z560" i="7"/>
  <c r="Y560" i="7"/>
  <c r="X560" i="7"/>
  <c r="V560" i="7"/>
  <c r="W560" i="7" s="1"/>
  <c r="U560" i="7"/>
  <c r="T560" i="7"/>
  <c r="M560" i="7"/>
  <c r="H560" i="7"/>
  <c r="E560" i="7"/>
  <c r="AA559" i="7"/>
  <c r="Z559" i="7"/>
  <c r="Y559" i="7"/>
  <c r="X559" i="7"/>
  <c r="V559" i="7"/>
  <c r="W559" i="7" s="1"/>
  <c r="U559" i="7"/>
  <c r="T559" i="7"/>
  <c r="M559" i="7"/>
  <c r="H559" i="7"/>
  <c r="E559" i="7"/>
  <c r="AA558" i="7"/>
  <c r="Z558" i="7"/>
  <c r="Y558" i="7"/>
  <c r="X558" i="7"/>
  <c r="U558" i="7"/>
  <c r="T558" i="7"/>
  <c r="V558" i="7" s="1"/>
  <c r="M558" i="7"/>
  <c r="H558" i="7"/>
  <c r="E558" i="7"/>
  <c r="AA557" i="7"/>
  <c r="Z557" i="7"/>
  <c r="Y557" i="7"/>
  <c r="X557" i="7"/>
  <c r="U557" i="7"/>
  <c r="T557" i="7"/>
  <c r="V557" i="7" s="1"/>
  <c r="M557" i="7"/>
  <c r="H557" i="7"/>
  <c r="E557" i="7"/>
  <c r="AA556" i="7"/>
  <c r="Z556" i="7"/>
  <c r="Y556" i="7"/>
  <c r="X556" i="7"/>
  <c r="W556" i="7"/>
  <c r="U556" i="7"/>
  <c r="T556" i="7"/>
  <c r="V556" i="7" s="1"/>
  <c r="M556" i="7"/>
  <c r="H556" i="7"/>
  <c r="E556" i="7"/>
  <c r="AA555" i="7"/>
  <c r="Z555" i="7"/>
  <c r="Y555" i="7"/>
  <c r="X555" i="7"/>
  <c r="V555" i="7"/>
  <c r="W555" i="7" s="1"/>
  <c r="U555" i="7"/>
  <c r="T555" i="7"/>
  <c r="M555" i="7"/>
  <c r="H555" i="7"/>
  <c r="E555" i="7"/>
  <c r="AA554" i="7"/>
  <c r="Z554" i="7"/>
  <c r="Y554" i="7"/>
  <c r="X554" i="7"/>
  <c r="V554" i="7"/>
  <c r="U554" i="7"/>
  <c r="T554" i="7"/>
  <c r="M554" i="7"/>
  <c r="W554" i="7" s="1"/>
  <c r="H554" i="7"/>
  <c r="E554" i="7"/>
  <c r="AA553" i="7"/>
  <c r="Z553" i="7"/>
  <c r="Y553" i="7"/>
  <c r="X553" i="7"/>
  <c r="U553" i="7"/>
  <c r="T553" i="7"/>
  <c r="V553" i="7" s="1"/>
  <c r="W553" i="7" s="1"/>
  <c r="M553" i="7"/>
  <c r="H553" i="7"/>
  <c r="E553" i="7"/>
  <c r="AA552" i="7"/>
  <c r="Z552" i="7"/>
  <c r="Y552" i="7"/>
  <c r="X552" i="7"/>
  <c r="U552" i="7"/>
  <c r="T552" i="7"/>
  <c r="V552" i="7" s="1"/>
  <c r="M552" i="7"/>
  <c r="W552" i="7" s="1"/>
  <c r="H552" i="7"/>
  <c r="E552" i="7"/>
  <c r="AA551" i="7"/>
  <c r="Z551" i="7"/>
  <c r="Y551" i="7"/>
  <c r="X551" i="7"/>
  <c r="V551" i="7"/>
  <c r="W551" i="7" s="1"/>
  <c r="U551" i="7"/>
  <c r="T551" i="7"/>
  <c r="M551" i="7"/>
  <c r="H551" i="7"/>
  <c r="E551" i="7"/>
  <c r="AA550" i="7"/>
  <c r="Z550" i="7"/>
  <c r="Y550" i="7"/>
  <c r="X550" i="7"/>
  <c r="U550" i="7"/>
  <c r="T550" i="7"/>
  <c r="V550" i="7" s="1"/>
  <c r="M550" i="7"/>
  <c r="W550" i="7" s="1"/>
  <c r="H550" i="7"/>
  <c r="E550" i="7"/>
  <c r="AA549" i="7"/>
  <c r="Z549" i="7"/>
  <c r="Y549" i="7"/>
  <c r="X549" i="7"/>
  <c r="U549" i="7"/>
  <c r="T549" i="7"/>
  <c r="V549" i="7" s="1"/>
  <c r="M549" i="7"/>
  <c r="W549" i="7" s="1"/>
  <c r="H549" i="7"/>
  <c r="E549" i="7"/>
  <c r="AA548" i="7"/>
  <c r="Z548" i="7"/>
  <c r="Y548" i="7"/>
  <c r="X548" i="7"/>
  <c r="V548" i="7"/>
  <c r="U548" i="7"/>
  <c r="T548" i="7"/>
  <c r="M548" i="7"/>
  <c r="W548" i="7" s="1"/>
  <c r="H548" i="7"/>
  <c r="E548" i="7"/>
  <c r="AA547" i="7"/>
  <c r="Z547" i="7"/>
  <c r="Y547" i="7"/>
  <c r="X547" i="7"/>
  <c r="W547" i="7"/>
  <c r="V547" i="7"/>
  <c r="U547" i="7"/>
  <c r="T547" i="7"/>
  <c r="M547" i="7"/>
  <c r="H547" i="7"/>
  <c r="E547" i="7"/>
  <c r="AA546" i="7"/>
  <c r="Z546" i="7"/>
  <c r="Y546" i="7"/>
  <c r="X546" i="7"/>
  <c r="V546" i="7"/>
  <c r="W546" i="7" s="1"/>
  <c r="U546" i="7"/>
  <c r="T546" i="7"/>
  <c r="M546" i="7"/>
  <c r="H546" i="7"/>
  <c r="E546" i="7"/>
  <c r="AA545" i="7"/>
  <c r="Z545" i="7"/>
  <c r="Y545" i="7"/>
  <c r="X545" i="7"/>
  <c r="U545" i="7"/>
  <c r="T545" i="7"/>
  <c r="V545" i="7" s="1"/>
  <c r="M545" i="7"/>
  <c r="H545" i="7"/>
  <c r="E545" i="7"/>
  <c r="AA544" i="7"/>
  <c r="Z544" i="7"/>
  <c r="Y544" i="7"/>
  <c r="X544" i="7"/>
  <c r="U544" i="7"/>
  <c r="T544" i="7"/>
  <c r="V544" i="7" s="1"/>
  <c r="M544" i="7"/>
  <c r="W544" i="7" s="1"/>
  <c r="H544" i="7"/>
  <c r="E544" i="7"/>
  <c r="AA543" i="7"/>
  <c r="Z543" i="7"/>
  <c r="Y543" i="7"/>
  <c r="X543" i="7"/>
  <c r="W543" i="7"/>
  <c r="V543" i="7"/>
  <c r="U543" i="7"/>
  <c r="T543" i="7"/>
  <c r="M543" i="7"/>
  <c r="H543" i="7"/>
  <c r="E543" i="7"/>
  <c r="AA542" i="7"/>
  <c r="Z542" i="7"/>
  <c r="Y542" i="7"/>
  <c r="X542" i="7"/>
  <c r="V542" i="7"/>
  <c r="W542" i="7" s="1"/>
  <c r="U542" i="7"/>
  <c r="T542" i="7"/>
  <c r="M542" i="7"/>
  <c r="H542" i="7"/>
  <c r="E542" i="7"/>
  <c r="AA541" i="7"/>
  <c r="Z541" i="7"/>
  <c r="Y541" i="7"/>
  <c r="X541" i="7"/>
  <c r="V541" i="7"/>
  <c r="W541" i="7" s="1"/>
  <c r="U541" i="7"/>
  <c r="T541" i="7"/>
  <c r="M541" i="7"/>
  <c r="H541" i="7"/>
  <c r="E541" i="7"/>
  <c r="AA540" i="7"/>
  <c r="Z540" i="7"/>
  <c r="Y540" i="7"/>
  <c r="X540" i="7"/>
  <c r="U540" i="7"/>
  <c r="T540" i="7"/>
  <c r="V540" i="7" s="1"/>
  <c r="M540" i="7"/>
  <c r="H540" i="7"/>
  <c r="E540" i="7"/>
  <c r="AA539" i="7"/>
  <c r="Z539" i="7"/>
  <c r="Y539" i="7"/>
  <c r="X539" i="7"/>
  <c r="U539" i="7"/>
  <c r="T539" i="7"/>
  <c r="V539" i="7" s="1"/>
  <c r="W539" i="7" s="1"/>
  <c r="M539" i="7"/>
  <c r="H539" i="7"/>
  <c r="E539" i="7"/>
  <c r="AA538" i="7"/>
  <c r="Z538" i="7"/>
  <c r="Y538" i="7"/>
  <c r="X538" i="7"/>
  <c r="W538" i="7"/>
  <c r="U538" i="7"/>
  <c r="T538" i="7"/>
  <c r="V538" i="7" s="1"/>
  <c r="M538" i="7"/>
  <c r="H538" i="7"/>
  <c r="E538" i="7"/>
  <c r="AA537" i="7"/>
  <c r="Z537" i="7"/>
  <c r="Y537" i="7"/>
  <c r="X537" i="7"/>
  <c r="V537" i="7"/>
  <c r="W537" i="7" s="1"/>
  <c r="U537" i="7"/>
  <c r="T537" i="7"/>
  <c r="M537" i="7"/>
  <c r="H537" i="7"/>
  <c r="E537" i="7"/>
  <c r="AA536" i="7"/>
  <c r="Z536" i="7"/>
  <c r="Y536" i="7"/>
  <c r="X536" i="7"/>
  <c r="V536" i="7"/>
  <c r="U536" i="7"/>
  <c r="T536" i="7"/>
  <c r="M536" i="7"/>
  <c r="W536" i="7" s="1"/>
  <c r="H536" i="7"/>
  <c r="E536" i="7"/>
  <c r="AA535" i="7"/>
  <c r="Z535" i="7"/>
  <c r="Y535" i="7"/>
  <c r="X535" i="7"/>
  <c r="U535" i="7"/>
  <c r="T535" i="7"/>
  <c r="V535" i="7" s="1"/>
  <c r="W535" i="7" s="1"/>
  <c r="M535" i="7"/>
  <c r="H535" i="7"/>
  <c r="E535" i="7"/>
  <c r="AA534" i="7"/>
  <c r="Z534" i="7"/>
  <c r="Y534" i="7"/>
  <c r="X534" i="7"/>
  <c r="U534" i="7"/>
  <c r="T534" i="7"/>
  <c r="V534" i="7" s="1"/>
  <c r="M534" i="7"/>
  <c r="W534" i="7" s="1"/>
  <c r="H534" i="7"/>
  <c r="E534" i="7"/>
  <c r="AA533" i="7"/>
  <c r="Z533" i="7"/>
  <c r="Y533" i="7"/>
  <c r="X533" i="7"/>
  <c r="V533" i="7"/>
  <c r="W533" i="7" s="1"/>
  <c r="U533" i="7"/>
  <c r="T533" i="7"/>
  <c r="M533" i="7"/>
  <c r="H533" i="7"/>
  <c r="E533" i="7"/>
  <c r="AA532" i="7"/>
  <c r="Z532" i="7"/>
  <c r="Y532" i="7"/>
  <c r="X532" i="7"/>
  <c r="U532" i="7"/>
  <c r="T532" i="7"/>
  <c r="V532" i="7" s="1"/>
  <c r="M532" i="7"/>
  <c r="W532" i="7" s="1"/>
  <c r="H532" i="7"/>
  <c r="E532" i="7"/>
  <c r="Z531" i="7"/>
  <c r="Y531" i="7"/>
  <c r="X531" i="7"/>
  <c r="U531" i="7"/>
  <c r="M531" i="7"/>
  <c r="K531" i="7"/>
  <c r="AA531" i="7" s="1"/>
  <c r="E531" i="7"/>
  <c r="AA530" i="7"/>
  <c r="Z530" i="7"/>
  <c r="Y530" i="7"/>
  <c r="X530" i="7"/>
  <c r="U530" i="7"/>
  <c r="T530" i="7"/>
  <c r="V530" i="7" s="1"/>
  <c r="W530" i="7" s="1"/>
  <c r="M530" i="7"/>
  <c r="H530" i="7"/>
  <c r="E530" i="7"/>
  <c r="AA529" i="7"/>
  <c r="Z529" i="7"/>
  <c r="Y529" i="7"/>
  <c r="X529" i="7"/>
  <c r="W529" i="7"/>
  <c r="V529" i="7"/>
  <c r="U529" i="7"/>
  <c r="T529" i="7"/>
  <c r="M529" i="7"/>
  <c r="H529" i="7"/>
  <c r="E529" i="7"/>
  <c r="AA528" i="7"/>
  <c r="Z528" i="7"/>
  <c r="Y528" i="7"/>
  <c r="X528" i="7"/>
  <c r="V528" i="7"/>
  <c r="W528" i="7" s="1"/>
  <c r="U528" i="7"/>
  <c r="T528" i="7"/>
  <c r="M528" i="7"/>
  <c r="H528" i="7"/>
  <c r="E528" i="7"/>
  <c r="AA527" i="7"/>
  <c r="Z527" i="7"/>
  <c r="Y527" i="7"/>
  <c r="X527" i="7"/>
  <c r="V527" i="7"/>
  <c r="W527" i="7" s="1"/>
  <c r="U527" i="7"/>
  <c r="T527" i="7"/>
  <c r="M527" i="7"/>
  <c r="H527" i="7"/>
  <c r="E527" i="7"/>
  <c r="AA526" i="7"/>
  <c r="Z526" i="7"/>
  <c r="Y526" i="7"/>
  <c r="X526" i="7"/>
  <c r="U526" i="7"/>
  <c r="T526" i="7"/>
  <c r="V526" i="7" s="1"/>
  <c r="M526" i="7"/>
  <c r="H526" i="7"/>
  <c r="E526" i="7"/>
  <c r="AA525" i="7"/>
  <c r="Z525" i="7"/>
  <c r="Y525" i="7"/>
  <c r="X525" i="7"/>
  <c r="W525" i="7"/>
  <c r="U525" i="7"/>
  <c r="T525" i="7"/>
  <c r="V525" i="7" s="1"/>
  <c r="M525" i="7"/>
  <c r="H525" i="7"/>
  <c r="E525" i="7"/>
  <c r="AA524" i="7"/>
  <c r="Z524" i="7"/>
  <c r="Y524" i="7"/>
  <c r="X524" i="7"/>
  <c r="V524" i="7"/>
  <c r="W524" i="7" s="1"/>
  <c r="U524" i="7"/>
  <c r="T524" i="7"/>
  <c r="M524" i="7"/>
  <c r="H524" i="7"/>
  <c r="E524" i="7"/>
  <c r="AA523" i="7"/>
  <c r="Z523" i="7"/>
  <c r="Y523" i="7"/>
  <c r="X523" i="7"/>
  <c r="V523" i="7"/>
  <c r="W523" i="7" s="1"/>
  <c r="U523" i="7"/>
  <c r="T523" i="7"/>
  <c r="M523" i="7"/>
  <c r="H523" i="7"/>
  <c r="E523" i="7"/>
  <c r="AA522" i="7"/>
  <c r="Z522" i="7"/>
  <c r="Y522" i="7"/>
  <c r="X522" i="7"/>
  <c r="U522" i="7"/>
  <c r="T522" i="7"/>
  <c r="V522" i="7" s="1"/>
  <c r="W522" i="7" s="1"/>
  <c r="M522" i="7"/>
  <c r="AA521" i="7"/>
  <c r="Z521" i="7"/>
  <c r="Y521" i="7"/>
  <c r="X521" i="7"/>
  <c r="W521" i="7"/>
  <c r="U521" i="7"/>
  <c r="T521" i="7"/>
  <c r="V521" i="7" s="1"/>
  <c r="M521" i="7"/>
  <c r="H521" i="7"/>
  <c r="E521" i="7"/>
  <c r="AA520" i="7"/>
  <c r="Z520" i="7"/>
  <c r="Y520" i="7"/>
  <c r="X520" i="7"/>
  <c r="V520" i="7"/>
  <c r="W520" i="7" s="1"/>
  <c r="U520" i="7"/>
  <c r="T520" i="7"/>
  <c r="M520" i="7"/>
  <c r="H520" i="7"/>
  <c r="E520" i="7"/>
  <c r="AA519" i="7"/>
  <c r="Z519" i="7"/>
  <c r="Y519" i="7"/>
  <c r="X519" i="7"/>
  <c r="V519" i="7"/>
  <c r="U519" i="7"/>
  <c r="T519" i="7"/>
  <c r="M519" i="7"/>
  <c r="W519" i="7" s="1"/>
  <c r="H519" i="7"/>
  <c r="E519" i="7"/>
  <c r="AA518" i="7"/>
  <c r="Z518" i="7"/>
  <c r="Y518" i="7"/>
  <c r="X518" i="7"/>
  <c r="U518" i="7"/>
  <c r="T518" i="7"/>
  <c r="V518" i="7" s="1"/>
  <c r="W518" i="7" s="1"/>
  <c r="M518" i="7"/>
  <c r="H518" i="7"/>
  <c r="E518" i="7"/>
  <c r="AA517" i="7"/>
  <c r="Z517" i="7"/>
  <c r="Y517" i="7"/>
  <c r="X517" i="7"/>
  <c r="U517" i="7"/>
  <c r="T517" i="7"/>
  <c r="V517" i="7" s="1"/>
  <c r="W517" i="7" s="1"/>
  <c r="M517" i="7"/>
  <c r="H517" i="7"/>
  <c r="E517" i="7"/>
  <c r="AA516" i="7"/>
  <c r="Z516" i="7"/>
  <c r="Y516" i="7"/>
  <c r="X516" i="7"/>
  <c r="V516" i="7"/>
  <c r="W516" i="7" s="1"/>
  <c r="U516" i="7"/>
  <c r="T516" i="7"/>
  <c r="M516" i="7"/>
  <c r="AA515" i="7"/>
  <c r="Z515" i="7"/>
  <c r="Y515" i="7"/>
  <c r="X515" i="7"/>
  <c r="V515" i="7"/>
  <c r="U515" i="7"/>
  <c r="T515" i="7"/>
  <c r="M515" i="7"/>
  <c r="W515" i="7" s="1"/>
  <c r="H515" i="7"/>
  <c r="E515" i="7"/>
  <c r="AA514" i="7"/>
  <c r="Z514" i="7"/>
  <c r="Y514" i="7"/>
  <c r="X514" i="7"/>
  <c r="U514" i="7"/>
  <c r="T514" i="7"/>
  <c r="V514" i="7" s="1"/>
  <c r="W514" i="7" s="1"/>
  <c r="M514" i="7"/>
  <c r="H514" i="7"/>
  <c r="E514" i="7"/>
  <c r="AA513" i="7"/>
  <c r="Z513" i="7"/>
  <c r="Y513" i="7"/>
  <c r="X513" i="7"/>
  <c r="W513" i="7"/>
  <c r="V513" i="7"/>
  <c r="U513" i="7"/>
  <c r="T513" i="7"/>
  <c r="M513" i="7"/>
  <c r="H513" i="7"/>
  <c r="E513" i="7"/>
  <c r="AA512" i="7"/>
  <c r="Z512" i="7"/>
  <c r="Y512" i="7"/>
  <c r="X512" i="7"/>
  <c r="V512" i="7"/>
  <c r="U512" i="7"/>
  <c r="T512" i="7"/>
  <c r="M512" i="7"/>
  <c r="H512" i="7"/>
  <c r="E512" i="7"/>
  <c r="AA511" i="7"/>
  <c r="Z511" i="7"/>
  <c r="Y511" i="7"/>
  <c r="X511" i="7"/>
  <c r="U511" i="7"/>
  <c r="T511" i="7"/>
  <c r="V511" i="7" s="1"/>
  <c r="M511" i="7"/>
  <c r="W511" i="7" s="1"/>
  <c r="H511" i="7"/>
  <c r="E511" i="7"/>
  <c r="Z510" i="7"/>
  <c r="Y510" i="7"/>
  <c r="X510" i="7"/>
  <c r="W510" i="7"/>
  <c r="V510" i="7"/>
  <c r="U510" i="7"/>
  <c r="T510" i="7"/>
  <c r="S510" i="7"/>
  <c r="AA510" i="7" s="1"/>
  <c r="M510" i="7"/>
  <c r="AA509" i="7"/>
  <c r="Z509" i="7"/>
  <c r="Y509" i="7"/>
  <c r="X509" i="7"/>
  <c r="V509" i="7"/>
  <c r="W509" i="7" s="1"/>
  <c r="U509" i="7"/>
  <c r="T509" i="7"/>
  <c r="M509" i="7"/>
  <c r="H509" i="7"/>
  <c r="E509" i="7"/>
  <c r="AA508" i="7"/>
  <c r="Z508" i="7"/>
  <c r="Y508" i="7"/>
  <c r="X508" i="7"/>
  <c r="U508" i="7"/>
  <c r="T508" i="7"/>
  <c r="V508" i="7" s="1"/>
  <c r="M508" i="7"/>
  <c r="H508" i="7"/>
  <c r="E508" i="7"/>
  <c r="AA507" i="7"/>
  <c r="Z507" i="7"/>
  <c r="Y507" i="7"/>
  <c r="X507" i="7"/>
  <c r="U507" i="7"/>
  <c r="T507" i="7"/>
  <c r="V507" i="7" s="1"/>
  <c r="M507" i="7"/>
  <c r="H507" i="7"/>
  <c r="E507" i="7"/>
  <c r="AA506" i="7"/>
  <c r="Z506" i="7"/>
  <c r="Y506" i="7"/>
  <c r="X506" i="7"/>
  <c r="W506" i="7"/>
  <c r="U506" i="7"/>
  <c r="T506" i="7"/>
  <c r="V506" i="7" s="1"/>
  <c r="M506" i="7"/>
  <c r="H506" i="7"/>
  <c r="E506" i="7"/>
  <c r="AA505" i="7"/>
  <c r="Z505" i="7"/>
  <c r="Y505" i="7"/>
  <c r="X505" i="7"/>
  <c r="V505" i="7"/>
  <c r="W505" i="7" s="1"/>
  <c r="U505" i="7"/>
  <c r="T505" i="7"/>
  <c r="M505" i="7"/>
  <c r="H505" i="7"/>
  <c r="E505" i="7"/>
  <c r="AA504" i="7"/>
  <c r="Z504" i="7"/>
  <c r="Y504" i="7"/>
  <c r="X504" i="7"/>
  <c r="V504" i="7"/>
  <c r="U504" i="7"/>
  <c r="T504" i="7"/>
  <c r="M504" i="7"/>
  <c r="W504" i="7" s="1"/>
  <c r="H504" i="7"/>
  <c r="E504" i="7"/>
  <c r="AA503" i="7"/>
  <c r="Z503" i="7"/>
  <c r="Y503" i="7"/>
  <c r="X503" i="7"/>
  <c r="U503" i="7"/>
  <c r="T503" i="7"/>
  <c r="V503" i="7" s="1"/>
  <c r="W503" i="7" s="1"/>
  <c r="M503" i="7"/>
  <c r="H503" i="7"/>
  <c r="E503" i="7"/>
  <c r="AA502" i="7"/>
  <c r="Z502" i="7"/>
  <c r="Y502" i="7"/>
  <c r="X502" i="7"/>
  <c r="U502" i="7"/>
  <c r="T502" i="7"/>
  <c r="V502" i="7" s="1"/>
  <c r="M502" i="7"/>
  <c r="H502" i="7"/>
  <c r="E502" i="7"/>
  <c r="AA501" i="7"/>
  <c r="Z501" i="7"/>
  <c r="Y501" i="7"/>
  <c r="X501" i="7"/>
  <c r="V501" i="7"/>
  <c r="U501" i="7"/>
  <c r="T501" i="7"/>
  <c r="M501" i="7"/>
  <c r="H501" i="7"/>
  <c r="E501" i="7"/>
  <c r="AA500" i="7"/>
  <c r="Z500" i="7"/>
  <c r="Y500" i="7"/>
  <c r="X500" i="7"/>
  <c r="U500" i="7"/>
  <c r="T500" i="7"/>
  <c r="V500" i="7" s="1"/>
  <c r="M500" i="7"/>
  <c r="W500" i="7" s="1"/>
  <c r="H500" i="7"/>
  <c r="E500" i="7"/>
  <c r="AA499" i="7"/>
  <c r="Z499" i="7"/>
  <c r="Y499" i="7"/>
  <c r="X499" i="7"/>
  <c r="U499" i="7"/>
  <c r="T499" i="7"/>
  <c r="V499" i="7" s="1"/>
  <c r="M499" i="7"/>
  <c r="W499" i="7" s="1"/>
  <c r="AA498" i="7"/>
  <c r="Z498" i="7"/>
  <c r="Y498" i="7"/>
  <c r="X498" i="7"/>
  <c r="V498" i="7"/>
  <c r="U498" i="7"/>
  <c r="T498" i="7"/>
  <c r="M498" i="7"/>
  <c r="H498" i="7"/>
  <c r="E498" i="7"/>
  <c r="AA497" i="7"/>
  <c r="Z497" i="7"/>
  <c r="Y497" i="7"/>
  <c r="X497" i="7"/>
  <c r="U497" i="7"/>
  <c r="T497" i="7"/>
  <c r="V497" i="7" s="1"/>
  <c r="M497" i="7"/>
  <c r="H497" i="7"/>
  <c r="E497" i="7"/>
  <c r="AA496" i="7"/>
  <c r="Z496" i="7"/>
  <c r="Y496" i="7"/>
  <c r="X496" i="7"/>
  <c r="U496" i="7"/>
  <c r="T496" i="7"/>
  <c r="V496" i="7" s="1"/>
  <c r="W496" i="7" s="1"/>
  <c r="M496" i="7"/>
  <c r="H496" i="7"/>
  <c r="E496" i="7"/>
  <c r="AA495" i="7"/>
  <c r="Z495" i="7"/>
  <c r="Y495" i="7"/>
  <c r="X495" i="7"/>
  <c r="W495" i="7"/>
  <c r="V495" i="7"/>
  <c r="U495" i="7"/>
  <c r="T495" i="7"/>
  <c r="M495" i="7"/>
  <c r="H495" i="7"/>
  <c r="E495" i="7"/>
  <c r="AA494" i="7"/>
  <c r="Z494" i="7"/>
  <c r="Y494" i="7"/>
  <c r="X494" i="7"/>
  <c r="V494" i="7"/>
  <c r="W494" i="7" s="1"/>
  <c r="U494" i="7"/>
  <c r="T494" i="7"/>
  <c r="M494" i="7"/>
  <c r="H494" i="7"/>
  <c r="E494" i="7"/>
  <c r="AA493" i="7"/>
  <c r="Z493" i="7"/>
  <c r="Y493" i="7"/>
  <c r="X493" i="7"/>
  <c r="V493" i="7"/>
  <c r="W493" i="7" s="1"/>
  <c r="U493" i="7"/>
  <c r="T493" i="7"/>
  <c r="M493" i="7"/>
  <c r="H493" i="7"/>
  <c r="E493" i="7"/>
  <c r="AA492" i="7"/>
  <c r="Z492" i="7"/>
  <c r="Y492" i="7"/>
  <c r="X492" i="7"/>
  <c r="U492" i="7"/>
  <c r="T492" i="7"/>
  <c r="V492" i="7" s="1"/>
  <c r="M492" i="7"/>
  <c r="W492" i="7" s="1"/>
  <c r="H492" i="7"/>
  <c r="E492" i="7"/>
  <c r="AA491" i="7"/>
  <c r="Z491" i="7"/>
  <c r="Y491" i="7"/>
  <c r="X491" i="7"/>
  <c r="U491" i="7"/>
  <c r="T491" i="7"/>
  <c r="V491" i="7" s="1"/>
  <c r="M491" i="7"/>
  <c r="H491" i="7"/>
  <c r="E491" i="7"/>
  <c r="AA490" i="7"/>
  <c r="Z490" i="7"/>
  <c r="Y490" i="7"/>
  <c r="X490" i="7"/>
  <c r="W490" i="7"/>
  <c r="U490" i="7"/>
  <c r="T490" i="7"/>
  <c r="V490" i="7" s="1"/>
  <c r="M490" i="7"/>
  <c r="H490" i="7"/>
  <c r="E490" i="7"/>
  <c r="AA489" i="7"/>
  <c r="Z489" i="7"/>
  <c r="Y489" i="7"/>
  <c r="X489" i="7"/>
  <c r="V489" i="7"/>
  <c r="W489" i="7" s="1"/>
  <c r="U489" i="7"/>
  <c r="T489" i="7"/>
  <c r="M489" i="7"/>
  <c r="H489" i="7"/>
  <c r="E489" i="7"/>
  <c r="AA488" i="7"/>
  <c r="Z488" i="7"/>
  <c r="Y488" i="7"/>
  <c r="X488" i="7"/>
  <c r="V488" i="7"/>
  <c r="U488" i="7"/>
  <c r="T488" i="7"/>
  <c r="M488" i="7"/>
  <c r="W488" i="7" s="1"/>
  <c r="H488" i="7"/>
  <c r="E488" i="7"/>
  <c r="AA487" i="7"/>
  <c r="Z487" i="7"/>
  <c r="Y487" i="7"/>
  <c r="X487" i="7"/>
  <c r="U487" i="7"/>
  <c r="T487" i="7"/>
  <c r="V487" i="7" s="1"/>
  <c r="W487" i="7" s="1"/>
  <c r="M487" i="7"/>
  <c r="H487" i="7"/>
  <c r="AA486" i="7"/>
  <c r="Z486" i="7"/>
  <c r="Y486" i="7"/>
  <c r="X486" i="7"/>
  <c r="V486" i="7"/>
  <c r="U486" i="7"/>
  <c r="T486" i="7"/>
  <c r="M486" i="7"/>
  <c r="H486" i="7"/>
  <c r="AA485" i="7"/>
  <c r="Z485" i="7"/>
  <c r="Y485" i="7"/>
  <c r="X485" i="7"/>
  <c r="U485" i="7"/>
  <c r="T485" i="7"/>
  <c r="V485" i="7" s="1"/>
  <c r="M485" i="7"/>
  <c r="H485" i="7"/>
  <c r="AA484" i="7"/>
  <c r="Z484" i="7"/>
  <c r="Y484" i="7"/>
  <c r="X484" i="7"/>
  <c r="U484" i="7"/>
  <c r="T484" i="7"/>
  <c r="V484" i="7" s="1"/>
  <c r="W484" i="7" s="1"/>
  <c r="M484" i="7"/>
  <c r="H484" i="7"/>
  <c r="AA483" i="7"/>
  <c r="Z483" i="7"/>
  <c r="Y483" i="7"/>
  <c r="X483" i="7"/>
  <c r="V483" i="7"/>
  <c r="W483" i="7" s="1"/>
  <c r="U483" i="7"/>
  <c r="T483" i="7"/>
  <c r="M483" i="7"/>
  <c r="H483" i="7"/>
  <c r="E483" i="7"/>
  <c r="AA482" i="7"/>
  <c r="Z482" i="7"/>
  <c r="Y482" i="7"/>
  <c r="X482" i="7"/>
  <c r="U482" i="7"/>
  <c r="T482" i="7"/>
  <c r="V482" i="7" s="1"/>
  <c r="M482" i="7"/>
  <c r="W482" i="7" s="1"/>
  <c r="H482" i="7"/>
  <c r="E482" i="7"/>
  <c r="AA481" i="7"/>
  <c r="Z481" i="7"/>
  <c r="Y481" i="7"/>
  <c r="X481" i="7"/>
  <c r="U481" i="7"/>
  <c r="T481" i="7"/>
  <c r="V481" i="7" s="1"/>
  <c r="W481" i="7" s="1"/>
  <c r="M481" i="7"/>
  <c r="H481" i="7"/>
  <c r="E481" i="7"/>
  <c r="AA480" i="7"/>
  <c r="Z480" i="7"/>
  <c r="Y480" i="7"/>
  <c r="X480" i="7"/>
  <c r="W480" i="7"/>
  <c r="V480" i="7"/>
  <c r="U480" i="7"/>
  <c r="T480" i="7"/>
  <c r="M480" i="7"/>
  <c r="H480" i="7"/>
  <c r="E480" i="7"/>
  <c r="AA479" i="7"/>
  <c r="Z479" i="7"/>
  <c r="Y479" i="7"/>
  <c r="X479" i="7"/>
  <c r="V479" i="7"/>
  <c r="W479" i="7" s="1"/>
  <c r="U479" i="7"/>
  <c r="T479" i="7"/>
  <c r="M479" i="7"/>
  <c r="H479" i="7"/>
  <c r="E479" i="7"/>
  <c r="AA478" i="7"/>
  <c r="Z478" i="7"/>
  <c r="Y478" i="7"/>
  <c r="X478" i="7"/>
  <c r="V478" i="7"/>
  <c r="W478" i="7" s="1"/>
  <c r="U478" i="7"/>
  <c r="T478" i="7"/>
  <c r="M478" i="7"/>
  <c r="H478" i="7"/>
  <c r="E478" i="7"/>
  <c r="AA477" i="7"/>
  <c r="Z477" i="7"/>
  <c r="Y477" i="7"/>
  <c r="X477" i="7"/>
  <c r="U477" i="7"/>
  <c r="T477" i="7"/>
  <c r="V477" i="7" s="1"/>
  <c r="M477" i="7"/>
  <c r="H477" i="7"/>
  <c r="E477" i="7"/>
  <c r="AA476" i="7"/>
  <c r="Z476" i="7"/>
  <c r="Y476" i="7"/>
  <c r="X476" i="7"/>
  <c r="W476" i="7"/>
  <c r="U476" i="7"/>
  <c r="T476" i="7"/>
  <c r="V476" i="7" s="1"/>
  <c r="M476" i="7"/>
  <c r="H476" i="7"/>
  <c r="E476" i="7"/>
  <c r="AA475" i="7"/>
  <c r="Z475" i="7"/>
  <c r="Y475" i="7"/>
  <c r="X475" i="7"/>
  <c r="V475" i="7"/>
  <c r="W475" i="7" s="1"/>
  <c r="U475" i="7"/>
  <c r="T475" i="7"/>
  <c r="M475" i="7"/>
  <c r="H475" i="7"/>
  <c r="AA474" i="7"/>
  <c r="Z474" i="7"/>
  <c r="Y474" i="7"/>
  <c r="X474" i="7"/>
  <c r="U474" i="7"/>
  <c r="T474" i="7"/>
  <c r="V474" i="7" s="1"/>
  <c r="W474" i="7" s="1"/>
  <c r="M474" i="7"/>
  <c r="H474" i="7"/>
  <c r="E474" i="7"/>
  <c r="AA473" i="7"/>
  <c r="Z473" i="7"/>
  <c r="Y473" i="7"/>
  <c r="X473" i="7"/>
  <c r="U473" i="7"/>
  <c r="T473" i="7"/>
  <c r="V473" i="7" s="1"/>
  <c r="M473" i="7"/>
  <c r="AA472" i="7"/>
  <c r="Z472" i="7"/>
  <c r="Y472" i="7"/>
  <c r="X472" i="7"/>
  <c r="V472" i="7"/>
  <c r="W472" i="7" s="1"/>
  <c r="U472" i="7"/>
  <c r="T472" i="7"/>
  <c r="M472" i="7"/>
  <c r="H472" i="7"/>
  <c r="E472" i="7"/>
  <c r="AA471" i="7"/>
  <c r="Z471" i="7"/>
  <c r="Y471" i="7"/>
  <c r="X471" i="7"/>
  <c r="V471" i="7"/>
  <c r="W471" i="7" s="1"/>
  <c r="U471" i="7"/>
  <c r="T471" i="7"/>
  <c r="M471" i="7"/>
  <c r="H471" i="7"/>
  <c r="E471" i="7"/>
  <c r="AA470" i="7"/>
  <c r="Z470" i="7"/>
  <c r="Y470" i="7"/>
  <c r="X470" i="7"/>
  <c r="U470" i="7"/>
  <c r="T470" i="7"/>
  <c r="V470" i="7" s="1"/>
  <c r="W470" i="7" s="1"/>
  <c r="M470" i="7"/>
  <c r="H470" i="7"/>
  <c r="E470" i="7"/>
  <c r="AA469" i="7"/>
  <c r="Z469" i="7"/>
  <c r="Y469" i="7"/>
  <c r="X469" i="7"/>
  <c r="U469" i="7"/>
  <c r="T469" i="7"/>
  <c r="V469" i="7" s="1"/>
  <c r="M469" i="7"/>
  <c r="H469" i="7"/>
  <c r="E469" i="7"/>
  <c r="AA468" i="7"/>
  <c r="Z468" i="7"/>
  <c r="Y468" i="7"/>
  <c r="X468" i="7"/>
  <c r="V468" i="7"/>
  <c r="U468" i="7"/>
  <c r="T468" i="7"/>
  <c r="M468" i="7"/>
  <c r="W468" i="7" s="1"/>
  <c r="AA467" i="7"/>
  <c r="Z467" i="7"/>
  <c r="Y467" i="7"/>
  <c r="X467" i="7"/>
  <c r="U467" i="7"/>
  <c r="T467" i="7"/>
  <c r="S467" i="7"/>
  <c r="V467" i="7" s="1"/>
  <c r="R467" i="7"/>
  <c r="M467" i="7"/>
  <c r="W467" i="7" s="1"/>
  <c r="H467" i="7"/>
  <c r="AA466" i="7"/>
  <c r="Z466" i="7"/>
  <c r="Y466" i="7"/>
  <c r="X466" i="7"/>
  <c r="V466" i="7"/>
  <c r="U466" i="7"/>
  <c r="T466" i="7"/>
  <c r="M466" i="7"/>
  <c r="W466" i="7" s="1"/>
  <c r="H466" i="7"/>
  <c r="E466" i="7"/>
  <c r="AA465" i="7"/>
  <c r="Z465" i="7"/>
  <c r="Y465" i="7"/>
  <c r="X465" i="7"/>
  <c r="U465" i="7"/>
  <c r="T465" i="7"/>
  <c r="V465" i="7" s="1"/>
  <c r="W465" i="7" s="1"/>
  <c r="M465" i="7"/>
  <c r="H465" i="7"/>
  <c r="E465" i="7"/>
  <c r="AA464" i="7"/>
  <c r="Z464" i="7"/>
  <c r="Y464" i="7"/>
  <c r="X464" i="7"/>
  <c r="U464" i="7"/>
  <c r="T464" i="7"/>
  <c r="V464" i="7" s="1"/>
  <c r="M464" i="7"/>
  <c r="W464" i="7" s="1"/>
  <c r="H464" i="7"/>
  <c r="E464" i="7"/>
  <c r="AA463" i="7"/>
  <c r="Z463" i="7"/>
  <c r="Y463" i="7"/>
  <c r="X463" i="7"/>
  <c r="V463" i="7"/>
  <c r="U463" i="7"/>
  <c r="T463" i="7"/>
  <c r="M463" i="7"/>
  <c r="H463" i="7"/>
  <c r="E463" i="7"/>
  <c r="AA462" i="7"/>
  <c r="Z462" i="7"/>
  <c r="Y462" i="7"/>
  <c r="X462" i="7"/>
  <c r="U462" i="7"/>
  <c r="T462" i="7"/>
  <c r="V462" i="7" s="1"/>
  <c r="M462" i="7"/>
  <c r="W462" i="7" s="1"/>
  <c r="AA461" i="7"/>
  <c r="Z461" i="7"/>
  <c r="Y461" i="7"/>
  <c r="X461" i="7"/>
  <c r="W461" i="7"/>
  <c r="V461" i="7"/>
  <c r="U461" i="7"/>
  <c r="T461" i="7"/>
  <c r="M461" i="7"/>
  <c r="H461" i="7"/>
  <c r="E461" i="7"/>
  <c r="AA460" i="7"/>
  <c r="Z460" i="7"/>
  <c r="Y460" i="7"/>
  <c r="X460" i="7"/>
  <c r="V460" i="7"/>
  <c r="W460" i="7" s="1"/>
  <c r="U460" i="7"/>
  <c r="T460" i="7"/>
  <c r="M460" i="7"/>
  <c r="H460" i="7"/>
  <c r="AA459" i="7"/>
  <c r="Z459" i="7"/>
  <c r="Y459" i="7"/>
  <c r="X459" i="7"/>
  <c r="U459" i="7"/>
  <c r="T459" i="7"/>
  <c r="V459" i="7" s="1"/>
  <c r="M459" i="7"/>
  <c r="W459" i="7" s="1"/>
  <c r="H459" i="7"/>
  <c r="AA458" i="7"/>
  <c r="Z458" i="7"/>
  <c r="Y458" i="7"/>
  <c r="X458" i="7"/>
  <c r="W458" i="7"/>
  <c r="V458" i="7"/>
  <c r="U458" i="7"/>
  <c r="T458" i="7"/>
  <c r="M458" i="7"/>
  <c r="H458" i="7"/>
  <c r="E458" i="7"/>
  <c r="AA457" i="7"/>
  <c r="Z457" i="7"/>
  <c r="Y457" i="7"/>
  <c r="X457" i="7"/>
  <c r="V457" i="7"/>
  <c r="W457" i="7" s="1"/>
  <c r="U457" i="7"/>
  <c r="T457" i="7"/>
  <c r="M457" i="7"/>
  <c r="H457" i="7"/>
  <c r="E457" i="7"/>
  <c r="AA456" i="7"/>
  <c r="Z456" i="7"/>
  <c r="Y456" i="7"/>
  <c r="X456" i="7"/>
  <c r="V456" i="7"/>
  <c r="W456" i="7" s="1"/>
  <c r="U456" i="7"/>
  <c r="T456" i="7"/>
  <c r="S456" i="7"/>
  <c r="M456" i="7"/>
  <c r="Z455" i="7"/>
  <c r="Y455" i="7"/>
  <c r="X455" i="7"/>
  <c r="U455" i="7"/>
  <c r="T455" i="7"/>
  <c r="S455" i="7"/>
  <c r="AA455" i="7" s="1"/>
  <c r="M455" i="7"/>
  <c r="AA454" i="7"/>
  <c r="Z454" i="7"/>
  <c r="Y454" i="7"/>
  <c r="X454" i="7"/>
  <c r="V454" i="7"/>
  <c r="W454" i="7" s="1"/>
  <c r="U454" i="7"/>
  <c r="T454" i="7"/>
  <c r="S454" i="7"/>
  <c r="M454" i="7"/>
  <c r="AA453" i="7"/>
  <c r="Z453" i="7"/>
  <c r="Y453" i="7"/>
  <c r="X453" i="7"/>
  <c r="U453" i="7"/>
  <c r="T453" i="7"/>
  <c r="V453" i="7" s="1"/>
  <c r="W453" i="7" s="1"/>
  <c r="M453" i="7"/>
  <c r="H453" i="7"/>
  <c r="E453" i="7"/>
  <c r="AA452" i="7"/>
  <c r="Z452" i="7"/>
  <c r="Y452" i="7"/>
  <c r="X452" i="7"/>
  <c r="U452" i="7"/>
  <c r="T452" i="7"/>
  <c r="V452" i="7" s="1"/>
  <c r="M452" i="7"/>
  <c r="H452" i="7"/>
  <c r="E452" i="7"/>
  <c r="AA451" i="7"/>
  <c r="Z451" i="7"/>
  <c r="Y451" i="7"/>
  <c r="X451" i="7"/>
  <c r="W451" i="7"/>
  <c r="U451" i="7"/>
  <c r="T451" i="7"/>
  <c r="V451" i="7" s="1"/>
  <c r="M451" i="7"/>
  <c r="H451" i="7"/>
  <c r="E451" i="7"/>
  <c r="AA450" i="7"/>
  <c r="Z450" i="7"/>
  <c r="Y450" i="7"/>
  <c r="X450" i="7"/>
  <c r="V450" i="7"/>
  <c r="W450" i="7" s="1"/>
  <c r="U450" i="7"/>
  <c r="T450" i="7"/>
  <c r="M450" i="7"/>
  <c r="H450" i="7"/>
  <c r="E450" i="7"/>
  <c r="AA449" i="7"/>
  <c r="Z449" i="7"/>
  <c r="Y449" i="7"/>
  <c r="X449" i="7"/>
  <c r="V449" i="7"/>
  <c r="U449" i="7"/>
  <c r="T449" i="7"/>
  <c r="M449" i="7"/>
  <c r="W449" i="7" s="1"/>
  <c r="H449" i="7"/>
  <c r="E449" i="7"/>
  <c r="AA448" i="7"/>
  <c r="Z448" i="7"/>
  <c r="Y448" i="7"/>
  <c r="X448" i="7"/>
  <c r="U448" i="7"/>
  <c r="T448" i="7"/>
  <c r="V448" i="7" s="1"/>
  <c r="W448" i="7" s="1"/>
  <c r="M448" i="7"/>
  <c r="H448" i="7"/>
  <c r="E448" i="7"/>
  <c r="AA447" i="7"/>
  <c r="Z447" i="7"/>
  <c r="Y447" i="7"/>
  <c r="X447" i="7"/>
  <c r="U447" i="7"/>
  <c r="T447" i="7"/>
  <c r="V447" i="7" s="1"/>
  <c r="M447" i="7"/>
  <c r="W447" i="7" s="1"/>
  <c r="H447" i="7"/>
  <c r="E447" i="7"/>
  <c r="AA446" i="7"/>
  <c r="Z446" i="7"/>
  <c r="Y446" i="7"/>
  <c r="X446" i="7"/>
  <c r="V446" i="7"/>
  <c r="U446" i="7"/>
  <c r="T446" i="7"/>
  <c r="M446" i="7"/>
  <c r="AA445" i="7"/>
  <c r="Z445" i="7"/>
  <c r="Y445" i="7"/>
  <c r="X445" i="7"/>
  <c r="V445" i="7"/>
  <c r="W445" i="7" s="1"/>
  <c r="U445" i="7"/>
  <c r="T445" i="7"/>
  <c r="M445" i="7"/>
  <c r="H445" i="7"/>
  <c r="E445" i="7"/>
  <c r="AA444" i="7"/>
  <c r="Z444" i="7"/>
  <c r="Y444" i="7"/>
  <c r="X444" i="7"/>
  <c r="U444" i="7"/>
  <c r="T444" i="7"/>
  <c r="V444" i="7" s="1"/>
  <c r="W444" i="7" s="1"/>
  <c r="M444" i="7"/>
  <c r="H444" i="7"/>
  <c r="E444" i="7"/>
  <c r="AA443" i="7"/>
  <c r="Z443" i="7"/>
  <c r="Y443" i="7"/>
  <c r="X443" i="7"/>
  <c r="W443" i="7"/>
  <c r="V443" i="7"/>
  <c r="U443" i="7"/>
  <c r="T443" i="7"/>
  <c r="M443" i="7"/>
  <c r="H443" i="7"/>
  <c r="E443" i="7"/>
  <c r="AA442" i="7"/>
  <c r="Z442" i="7"/>
  <c r="Y442" i="7"/>
  <c r="X442" i="7"/>
  <c r="V442" i="7"/>
  <c r="W442" i="7" s="1"/>
  <c r="U442" i="7"/>
  <c r="T442" i="7"/>
  <c r="M442" i="7"/>
  <c r="H442" i="7"/>
  <c r="E442" i="7"/>
  <c r="AA441" i="7"/>
  <c r="Z441" i="7"/>
  <c r="Y441" i="7"/>
  <c r="X441" i="7"/>
  <c r="U441" i="7"/>
  <c r="T441" i="7"/>
  <c r="V441" i="7" s="1"/>
  <c r="M441" i="7"/>
  <c r="W441" i="7" s="1"/>
  <c r="H441" i="7"/>
  <c r="E441" i="7"/>
  <c r="AA440" i="7"/>
  <c r="Z440" i="7"/>
  <c r="Y440" i="7"/>
  <c r="X440" i="7"/>
  <c r="U440" i="7"/>
  <c r="T440" i="7"/>
  <c r="V440" i="7" s="1"/>
  <c r="M440" i="7"/>
  <c r="W440" i="7" s="1"/>
  <c r="H440" i="7"/>
  <c r="E440" i="7"/>
  <c r="AA439" i="7"/>
  <c r="Z439" i="7"/>
  <c r="Y439" i="7"/>
  <c r="X439" i="7"/>
  <c r="W439" i="7"/>
  <c r="V439" i="7"/>
  <c r="U439" i="7"/>
  <c r="T439" i="7"/>
  <c r="M439" i="7"/>
  <c r="H439" i="7"/>
  <c r="E439" i="7"/>
  <c r="AA438" i="7"/>
  <c r="Z438" i="7"/>
  <c r="Y438" i="7"/>
  <c r="X438" i="7"/>
  <c r="V438" i="7"/>
  <c r="W438" i="7" s="1"/>
  <c r="U438" i="7"/>
  <c r="T438" i="7"/>
  <c r="M438" i="7"/>
  <c r="H438" i="7"/>
  <c r="AA437" i="7"/>
  <c r="Z437" i="7"/>
  <c r="Y437" i="7"/>
  <c r="X437" i="7"/>
  <c r="U437" i="7"/>
  <c r="T437" i="7"/>
  <c r="V437" i="7" s="1"/>
  <c r="W437" i="7" s="1"/>
  <c r="M437" i="7"/>
  <c r="H437" i="7"/>
  <c r="E437" i="7"/>
  <c r="AA436" i="7"/>
  <c r="Z436" i="7"/>
  <c r="Y436" i="7"/>
  <c r="X436" i="7"/>
  <c r="W436" i="7"/>
  <c r="U436" i="7"/>
  <c r="T436" i="7"/>
  <c r="V436" i="7" s="1"/>
  <c r="M436" i="7"/>
  <c r="H436" i="7"/>
  <c r="E436" i="7"/>
  <c r="AA435" i="7"/>
  <c r="Z435" i="7"/>
  <c r="Y435" i="7"/>
  <c r="X435" i="7"/>
  <c r="V435" i="7"/>
  <c r="W435" i="7" s="1"/>
  <c r="U435" i="7"/>
  <c r="T435" i="7"/>
  <c r="M435" i="7"/>
  <c r="H435" i="7"/>
  <c r="E435" i="7"/>
  <c r="AA434" i="7"/>
  <c r="Z434" i="7"/>
  <c r="Y434" i="7"/>
  <c r="X434" i="7"/>
  <c r="V434" i="7"/>
  <c r="W434" i="7" s="1"/>
  <c r="U434" i="7"/>
  <c r="T434" i="7"/>
  <c r="M434" i="7"/>
  <c r="H434" i="7"/>
  <c r="E434" i="7"/>
  <c r="AA433" i="7"/>
  <c r="Z433" i="7"/>
  <c r="Y433" i="7"/>
  <c r="X433" i="7"/>
  <c r="U433" i="7"/>
  <c r="T433" i="7"/>
  <c r="V433" i="7" s="1"/>
  <c r="W433" i="7" s="1"/>
  <c r="M433" i="7"/>
  <c r="H433" i="7"/>
  <c r="E433" i="7"/>
  <c r="AA432" i="7"/>
  <c r="Z432" i="7"/>
  <c r="Y432" i="7"/>
  <c r="X432" i="7"/>
  <c r="U432" i="7"/>
  <c r="T432" i="7"/>
  <c r="V432" i="7" s="1"/>
  <c r="W432" i="7" s="1"/>
  <c r="M432" i="7"/>
  <c r="H432" i="7"/>
  <c r="E432" i="7"/>
  <c r="AA431" i="7"/>
  <c r="Z431" i="7"/>
  <c r="Y431" i="7"/>
  <c r="X431" i="7"/>
  <c r="V431" i="7"/>
  <c r="U431" i="7"/>
  <c r="T431" i="7"/>
  <c r="M431" i="7"/>
  <c r="H431" i="7"/>
  <c r="E431" i="7"/>
  <c r="AA430" i="7"/>
  <c r="Z430" i="7"/>
  <c r="Y430" i="7"/>
  <c r="X430" i="7"/>
  <c r="W430" i="7"/>
  <c r="U430" i="7"/>
  <c r="T430" i="7"/>
  <c r="V430" i="7" s="1"/>
  <c r="M430" i="7"/>
  <c r="H430" i="7"/>
  <c r="E430" i="7"/>
  <c r="AA429" i="7"/>
  <c r="Z429" i="7"/>
  <c r="Y429" i="7"/>
  <c r="X429" i="7"/>
  <c r="U429" i="7"/>
  <c r="T429" i="7"/>
  <c r="V429" i="7" s="1"/>
  <c r="M429" i="7"/>
  <c r="W429" i="7" s="1"/>
  <c r="H429" i="7"/>
  <c r="E429" i="7"/>
  <c r="AA428" i="7"/>
  <c r="Z428" i="7"/>
  <c r="Y428" i="7"/>
  <c r="X428" i="7"/>
  <c r="V428" i="7"/>
  <c r="U428" i="7"/>
  <c r="T428" i="7"/>
  <c r="M428" i="7"/>
  <c r="W428" i="7" s="1"/>
  <c r="H428" i="7"/>
  <c r="E428" i="7"/>
  <c r="AA427" i="7"/>
  <c r="Z427" i="7"/>
  <c r="Y427" i="7"/>
  <c r="X427" i="7"/>
  <c r="U427" i="7"/>
  <c r="T427" i="7"/>
  <c r="V427" i="7" s="1"/>
  <c r="W427" i="7" s="1"/>
  <c r="M427" i="7"/>
  <c r="H427" i="7"/>
  <c r="E427" i="7"/>
  <c r="AA426" i="7"/>
  <c r="Z426" i="7"/>
  <c r="Y426" i="7"/>
  <c r="X426" i="7"/>
  <c r="W426" i="7"/>
  <c r="V426" i="7"/>
  <c r="U426" i="7"/>
  <c r="T426" i="7"/>
  <c r="M426" i="7"/>
  <c r="H426" i="7"/>
  <c r="E426" i="7"/>
  <c r="AA425" i="7"/>
  <c r="Z425" i="7"/>
  <c r="Y425" i="7"/>
  <c r="X425" i="7"/>
  <c r="V425" i="7"/>
  <c r="U425" i="7"/>
  <c r="T425" i="7"/>
  <c r="M425" i="7"/>
  <c r="H425" i="7"/>
  <c r="E425" i="7"/>
  <c r="AA424" i="7"/>
  <c r="Z424" i="7"/>
  <c r="Y424" i="7"/>
  <c r="X424" i="7"/>
  <c r="U424" i="7"/>
  <c r="T424" i="7"/>
  <c r="V424" i="7" s="1"/>
  <c r="M424" i="7"/>
  <c r="W424" i="7" s="1"/>
  <c r="H424" i="7"/>
  <c r="AA423" i="7"/>
  <c r="Z423" i="7"/>
  <c r="Y423" i="7"/>
  <c r="X423" i="7"/>
  <c r="W423" i="7"/>
  <c r="V423" i="7"/>
  <c r="U423" i="7"/>
  <c r="T423" i="7"/>
  <c r="M423" i="7"/>
  <c r="H423" i="7"/>
  <c r="E423" i="7"/>
  <c r="AA422" i="7"/>
  <c r="Z422" i="7"/>
  <c r="Y422" i="7"/>
  <c r="X422" i="7"/>
  <c r="V422" i="7"/>
  <c r="W422" i="7" s="1"/>
  <c r="U422" i="7"/>
  <c r="T422" i="7"/>
  <c r="M422" i="7"/>
  <c r="H422" i="7"/>
  <c r="E422" i="7"/>
  <c r="AA421" i="7"/>
  <c r="Z421" i="7"/>
  <c r="Y421" i="7"/>
  <c r="X421" i="7"/>
  <c r="V421" i="7"/>
  <c r="U421" i="7"/>
  <c r="T421" i="7"/>
  <c r="S421" i="7"/>
  <c r="R421" i="7"/>
  <c r="M421" i="7"/>
  <c r="W421" i="7" s="1"/>
  <c r="H421" i="7"/>
  <c r="AA420" i="7"/>
  <c r="Z420" i="7"/>
  <c r="Y420" i="7"/>
  <c r="X420" i="7"/>
  <c r="V420" i="7"/>
  <c r="W420" i="7" s="1"/>
  <c r="U420" i="7"/>
  <c r="T420" i="7"/>
  <c r="M420" i="7"/>
  <c r="AA419" i="7"/>
  <c r="Z419" i="7"/>
  <c r="Y419" i="7"/>
  <c r="X419" i="7"/>
  <c r="U419" i="7"/>
  <c r="T419" i="7"/>
  <c r="V419" i="7" s="1"/>
  <c r="M419" i="7"/>
  <c r="W419" i="7" s="1"/>
  <c r="H419" i="7"/>
  <c r="E419" i="7"/>
  <c r="AA418" i="7"/>
  <c r="Z418" i="7"/>
  <c r="Y418" i="7"/>
  <c r="X418" i="7"/>
  <c r="W418" i="7"/>
  <c r="V418" i="7"/>
  <c r="U418" i="7"/>
  <c r="T418" i="7"/>
  <c r="M418" i="7"/>
  <c r="H418" i="7"/>
  <c r="E418" i="7"/>
  <c r="AA417" i="7"/>
  <c r="Z417" i="7"/>
  <c r="Y417" i="7"/>
  <c r="X417" i="7"/>
  <c r="V417" i="7"/>
  <c r="W417" i="7" s="1"/>
  <c r="U417" i="7"/>
  <c r="T417" i="7"/>
  <c r="M417" i="7"/>
  <c r="H417" i="7"/>
  <c r="E417" i="7"/>
  <c r="AA416" i="7"/>
  <c r="Z416" i="7"/>
  <c r="Y416" i="7"/>
  <c r="X416" i="7"/>
  <c r="V416" i="7"/>
  <c r="W416" i="7" s="1"/>
  <c r="U416" i="7"/>
  <c r="T416" i="7"/>
  <c r="M416" i="7"/>
  <c r="H416" i="7"/>
  <c r="E416" i="7"/>
  <c r="AA415" i="7"/>
  <c r="Z415" i="7"/>
  <c r="Y415" i="7"/>
  <c r="X415" i="7"/>
  <c r="U415" i="7"/>
  <c r="T415" i="7"/>
  <c r="V415" i="7" s="1"/>
  <c r="W415" i="7" s="1"/>
  <c r="M415" i="7"/>
  <c r="H415" i="7"/>
  <c r="E415" i="7"/>
  <c r="AA414" i="7"/>
  <c r="Z414" i="7"/>
  <c r="Y414" i="7"/>
  <c r="X414" i="7"/>
  <c r="W414" i="7"/>
  <c r="U414" i="7"/>
  <c r="T414" i="7"/>
  <c r="V414" i="7" s="1"/>
  <c r="M414" i="7"/>
  <c r="H414" i="7"/>
  <c r="E414" i="7"/>
  <c r="AA413" i="7"/>
  <c r="Z413" i="7"/>
  <c r="Y413" i="7"/>
  <c r="X413" i="7"/>
  <c r="V413" i="7"/>
  <c r="W413" i="7" s="1"/>
  <c r="U413" i="7"/>
  <c r="T413" i="7"/>
  <c r="M413" i="7"/>
  <c r="H413" i="7"/>
  <c r="AA412" i="7"/>
  <c r="Z412" i="7"/>
  <c r="Y412" i="7"/>
  <c r="X412" i="7"/>
  <c r="U412" i="7"/>
  <c r="T412" i="7"/>
  <c r="V412" i="7" s="1"/>
  <c r="W412" i="7" s="1"/>
  <c r="M412" i="7"/>
  <c r="H412" i="7"/>
  <c r="E412" i="7"/>
  <c r="Z411" i="7"/>
  <c r="Y411" i="7"/>
  <c r="X411" i="7"/>
  <c r="U411" i="7"/>
  <c r="T411" i="7"/>
  <c r="V411" i="7" s="1"/>
  <c r="W411" i="7" s="1"/>
  <c r="R411" i="7"/>
  <c r="AA411" i="7" s="1"/>
  <c r="M411" i="7"/>
  <c r="H411" i="7"/>
  <c r="AA410" i="7"/>
  <c r="Z410" i="7"/>
  <c r="Y410" i="7"/>
  <c r="X410" i="7"/>
  <c r="V410" i="7"/>
  <c r="W410" i="7" s="1"/>
  <c r="U410" i="7"/>
  <c r="T410" i="7"/>
  <c r="M410" i="7"/>
  <c r="H410" i="7"/>
  <c r="E410" i="7"/>
  <c r="AA409" i="7"/>
  <c r="Z409" i="7"/>
  <c r="Y409" i="7"/>
  <c r="X409" i="7"/>
  <c r="W409" i="7"/>
  <c r="U409" i="7"/>
  <c r="T409" i="7"/>
  <c r="V409" i="7" s="1"/>
  <c r="M409" i="7"/>
  <c r="AA408" i="7"/>
  <c r="Z408" i="7"/>
  <c r="Y408" i="7"/>
  <c r="X408" i="7"/>
  <c r="U408" i="7"/>
  <c r="T408" i="7"/>
  <c r="V408" i="7" s="1"/>
  <c r="W408" i="7" s="1"/>
  <c r="M408" i="7"/>
  <c r="H408" i="7"/>
  <c r="E408" i="7"/>
  <c r="AA407" i="7"/>
  <c r="Z407" i="7"/>
  <c r="Y407" i="7"/>
  <c r="X407" i="7"/>
  <c r="W407" i="7"/>
  <c r="V407" i="7"/>
  <c r="U407" i="7"/>
  <c r="T407" i="7"/>
  <c r="M407" i="7"/>
  <c r="H407" i="7"/>
  <c r="E407" i="7"/>
  <c r="AA406" i="7"/>
  <c r="Z406" i="7"/>
  <c r="Y406" i="7"/>
  <c r="X406" i="7"/>
  <c r="V406" i="7"/>
  <c r="W406" i="7" s="1"/>
  <c r="U406" i="7"/>
  <c r="T406" i="7"/>
  <c r="M406" i="7"/>
  <c r="H406" i="7"/>
  <c r="E406" i="7"/>
  <c r="AA405" i="7"/>
  <c r="Z405" i="7"/>
  <c r="Y405" i="7"/>
  <c r="X405" i="7"/>
  <c r="U405" i="7"/>
  <c r="T405" i="7"/>
  <c r="V405" i="7" s="1"/>
  <c r="W405" i="7" s="1"/>
  <c r="M405" i="7"/>
  <c r="H405" i="7"/>
  <c r="E405" i="7"/>
  <c r="AA404" i="7"/>
  <c r="Z404" i="7"/>
  <c r="Y404" i="7"/>
  <c r="X404" i="7"/>
  <c r="U404" i="7"/>
  <c r="T404" i="7"/>
  <c r="V404" i="7" s="1"/>
  <c r="W404" i="7" s="1"/>
  <c r="M404" i="7"/>
  <c r="H404" i="7"/>
  <c r="E404" i="7"/>
  <c r="AA403" i="7"/>
  <c r="Z403" i="7"/>
  <c r="Y403" i="7"/>
  <c r="X403" i="7"/>
  <c r="W403" i="7"/>
  <c r="V403" i="7"/>
  <c r="U403" i="7"/>
  <c r="T403" i="7"/>
  <c r="M403" i="7"/>
  <c r="H403" i="7"/>
  <c r="E403" i="7"/>
  <c r="AA402" i="7"/>
  <c r="Z402" i="7"/>
  <c r="Y402" i="7"/>
  <c r="X402" i="7"/>
  <c r="V402" i="7"/>
  <c r="W402" i="7" s="1"/>
  <c r="U402" i="7"/>
  <c r="T402" i="7"/>
  <c r="M402" i="7"/>
  <c r="H402" i="7"/>
  <c r="E402" i="7"/>
  <c r="AA401" i="7"/>
  <c r="Z401" i="7"/>
  <c r="Y401" i="7"/>
  <c r="X401" i="7"/>
  <c r="V401" i="7"/>
  <c r="W401" i="7" s="1"/>
  <c r="U401" i="7"/>
  <c r="T401" i="7"/>
  <c r="M401" i="7"/>
  <c r="H401" i="7"/>
  <c r="E401" i="7"/>
  <c r="AA400" i="7"/>
  <c r="Z400" i="7"/>
  <c r="Y400" i="7"/>
  <c r="X400" i="7"/>
  <c r="U400" i="7"/>
  <c r="T400" i="7"/>
  <c r="V400" i="7" s="1"/>
  <c r="M400" i="7"/>
  <c r="H400" i="7"/>
  <c r="E400" i="7"/>
  <c r="AA399" i="7"/>
  <c r="Z399" i="7"/>
  <c r="Y399" i="7"/>
  <c r="X399" i="7"/>
  <c r="U399" i="7"/>
  <c r="T399" i="7"/>
  <c r="V399" i="7" s="1"/>
  <c r="M399" i="7"/>
  <c r="W399" i="7" s="1"/>
  <c r="H399" i="7"/>
  <c r="E399" i="7"/>
  <c r="AA398" i="7"/>
  <c r="Z398" i="7"/>
  <c r="Y398" i="7"/>
  <c r="X398" i="7"/>
  <c r="V398" i="7"/>
  <c r="W398" i="7" s="1"/>
  <c r="U398" i="7"/>
  <c r="T398" i="7"/>
  <c r="M398" i="7"/>
  <c r="H398" i="7"/>
  <c r="E398" i="7"/>
  <c r="AA397" i="7"/>
  <c r="Z397" i="7"/>
  <c r="Y397" i="7"/>
  <c r="X397" i="7"/>
  <c r="V397" i="7"/>
  <c r="W397" i="7" s="1"/>
  <c r="U397" i="7"/>
  <c r="T397" i="7"/>
  <c r="M397" i="7"/>
  <c r="H397" i="7"/>
  <c r="E397" i="7"/>
  <c r="AA396" i="7"/>
  <c r="Z396" i="7"/>
  <c r="Y396" i="7"/>
  <c r="X396" i="7"/>
  <c r="U396" i="7"/>
  <c r="T396" i="7"/>
  <c r="V396" i="7" s="1"/>
  <c r="W396" i="7" s="1"/>
  <c r="M396" i="7"/>
  <c r="H396" i="7"/>
  <c r="E396" i="7"/>
  <c r="AA395" i="7"/>
  <c r="Z395" i="7"/>
  <c r="Y395" i="7"/>
  <c r="X395" i="7"/>
  <c r="U395" i="7"/>
  <c r="T395" i="7"/>
  <c r="V395" i="7" s="1"/>
  <c r="M395" i="7"/>
  <c r="W395" i="7" s="1"/>
  <c r="H395" i="7"/>
  <c r="E395" i="7"/>
  <c r="AA394" i="7"/>
  <c r="Z394" i="7"/>
  <c r="Y394" i="7"/>
  <c r="X394" i="7"/>
  <c r="V394" i="7"/>
  <c r="U394" i="7"/>
  <c r="T394" i="7"/>
  <c r="M394" i="7"/>
  <c r="W394" i="7" s="1"/>
  <c r="H394" i="7"/>
  <c r="E394" i="7"/>
  <c r="AA393" i="7"/>
  <c r="Z393" i="7"/>
  <c r="Y393" i="7"/>
  <c r="X393" i="7"/>
  <c r="W393" i="7"/>
  <c r="U393" i="7"/>
  <c r="T393" i="7"/>
  <c r="V393" i="7" s="1"/>
  <c r="M393" i="7"/>
  <c r="H393" i="7"/>
  <c r="E393" i="7"/>
  <c r="AA392" i="7"/>
  <c r="Z392" i="7"/>
  <c r="Y392" i="7"/>
  <c r="X392" i="7"/>
  <c r="U392" i="7"/>
  <c r="T392" i="7"/>
  <c r="V392" i="7" s="1"/>
  <c r="M392" i="7"/>
  <c r="W392" i="7" s="1"/>
  <c r="H392" i="7"/>
  <c r="E392" i="7"/>
  <c r="AA391" i="7"/>
  <c r="Z391" i="7"/>
  <c r="Y391" i="7"/>
  <c r="X391" i="7"/>
  <c r="V391" i="7"/>
  <c r="U391" i="7"/>
  <c r="T391" i="7"/>
  <c r="M391" i="7"/>
  <c r="W391" i="7" s="1"/>
  <c r="H391" i="7"/>
  <c r="E391" i="7"/>
  <c r="AA390" i="7"/>
  <c r="Z390" i="7"/>
  <c r="Y390" i="7"/>
  <c r="X390" i="7"/>
  <c r="U390" i="7"/>
  <c r="T390" i="7"/>
  <c r="V390" i="7" s="1"/>
  <c r="W390" i="7" s="1"/>
  <c r="M390" i="7"/>
  <c r="H390" i="7"/>
  <c r="E390" i="7"/>
  <c r="AA389" i="7"/>
  <c r="Z389" i="7"/>
  <c r="Y389" i="7"/>
  <c r="X389" i="7"/>
  <c r="W389" i="7"/>
  <c r="V389" i="7"/>
  <c r="U389" i="7"/>
  <c r="T389" i="7"/>
  <c r="M389" i="7"/>
  <c r="H389" i="7"/>
  <c r="E389" i="7"/>
  <c r="AA388" i="7"/>
  <c r="Z388" i="7"/>
  <c r="Y388" i="7"/>
  <c r="X388" i="7"/>
  <c r="V388" i="7"/>
  <c r="W388" i="7" s="1"/>
  <c r="U388" i="7"/>
  <c r="T388" i="7"/>
  <c r="M388" i="7"/>
  <c r="H388" i="7"/>
  <c r="E388" i="7"/>
  <c r="AA387" i="7"/>
  <c r="Z387" i="7"/>
  <c r="Y387" i="7"/>
  <c r="X387" i="7"/>
  <c r="U387" i="7"/>
  <c r="T387" i="7"/>
  <c r="V387" i="7" s="1"/>
  <c r="M387" i="7"/>
  <c r="W387" i="7" s="1"/>
  <c r="H387" i="7"/>
  <c r="E387" i="7"/>
  <c r="AA386" i="7"/>
  <c r="Z386" i="7"/>
  <c r="Y386" i="7"/>
  <c r="X386" i="7"/>
  <c r="U386" i="7"/>
  <c r="T386" i="7"/>
  <c r="V386" i="7" s="1"/>
  <c r="W386" i="7" s="1"/>
  <c r="M386" i="7"/>
  <c r="H386" i="7"/>
  <c r="E386" i="7"/>
  <c r="AA385" i="7"/>
  <c r="Z385" i="7"/>
  <c r="Y385" i="7"/>
  <c r="X385" i="7"/>
  <c r="W385" i="7"/>
  <c r="V385" i="7"/>
  <c r="U385" i="7"/>
  <c r="T385" i="7"/>
  <c r="M385" i="7"/>
  <c r="H385" i="7"/>
  <c r="E385" i="7"/>
  <c r="AA384" i="7"/>
  <c r="Z384" i="7"/>
  <c r="Y384" i="7"/>
  <c r="X384" i="7"/>
  <c r="V384" i="7"/>
  <c r="W384" i="7" s="1"/>
  <c r="U384" i="7"/>
  <c r="T384" i="7"/>
  <c r="M384" i="7"/>
  <c r="H384" i="7"/>
  <c r="E384" i="7"/>
  <c r="AA383" i="7"/>
  <c r="Z383" i="7"/>
  <c r="Y383" i="7"/>
  <c r="X383" i="7"/>
  <c r="V383" i="7"/>
  <c r="W383" i="7" s="1"/>
  <c r="U383" i="7"/>
  <c r="T383" i="7"/>
  <c r="M383" i="7"/>
  <c r="H383" i="7"/>
  <c r="E383" i="7"/>
  <c r="Z382" i="7"/>
  <c r="Y382" i="7"/>
  <c r="X382" i="7"/>
  <c r="U382" i="7"/>
  <c r="O382" i="7"/>
  <c r="H382" i="7"/>
  <c r="E382" i="7"/>
  <c r="Z381" i="7"/>
  <c r="Y381" i="7"/>
  <c r="X381" i="7"/>
  <c r="U381" i="7"/>
  <c r="O381" i="7"/>
  <c r="AA381" i="7" s="1"/>
  <c r="M381" i="7"/>
  <c r="I381" i="7"/>
  <c r="H381" i="7"/>
  <c r="E381" i="7"/>
  <c r="Z380" i="7"/>
  <c r="Y380" i="7"/>
  <c r="X380" i="7"/>
  <c r="U380" i="7"/>
  <c r="T380" i="7"/>
  <c r="R380" i="7"/>
  <c r="AA380" i="7" s="1"/>
  <c r="K380" i="7"/>
  <c r="H380" i="7" s="1"/>
  <c r="I380" i="7"/>
  <c r="M380" i="7" s="1"/>
  <c r="AA379" i="7"/>
  <c r="Z379" i="7"/>
  <c r="Y379" i="7"/>
  <c r="X379" i="7"/>
  <c r="U379" i="7"/>
  <c r="T379" i="7"/>
  <c r="V379" i="7" s="1"/>
  <c r="W379" i="7" s="1"/>
  <c r="M379" i="7"/>
  <c r="H379" i="7"/>
  <c r="E379" i="7"/>
  <c r="AA378" i="7"/>
  <c r="Z378" i="7"/>
  <c r="Y378" i="7"/>
  <c r="X378" i="7"/>
  <c r="U378" i="7"/>
  <c r="T378" i="7"/>
  <c r="V378" i="7" s="1"/>
  <c r="M378" i="7"/>
  <c r="W378" i="7" s="1"/>
  <c r="AA377" i="7"/>
  <c r="Z377" i="7"/>
  <c r="Y377" i="7"/>
  <c r="X377" i="7"/>
  <c r="V377" i="7"/>
  <c r="W377" i="7" s="1"/>
  <c r="U377" i="7"/>
  <c r="T377" i="7"/>
  <c r="M377" i="7"/>
  <c r="H377" i="7"/>
  <c r="E377" i="7"/>
  <c r="AA376" i="7"/>
  <c r="Z376" i="7"/>
  <c r="Y376" i="7"/>
  <c r="X376" i="7"/>
  <c r="V376" i="7"/>
  <c r="W376" i="7" s="1"/>
  <c r="U376" i="7"/>
  <c r="T376" i="7"/>
  <c r="M376" i="7"/>
  <c r="H376" i="7"/>
  <c r="E376" i="7"/>
  <c r="AA375" i="7"/>
  <c r="Z375" i="7"/>
  <c r="Y375" i="7"/>
  <c r="X375" i="7"/>
  <c r="U375" i="7"/>
  <c r="T375" i="7"/>
  <c r="V375" i="7" s="1"/>
  <c r="W375" i="7" s="1"/>
  <c r="M375" i="7"/>
  <c r="H375" i="7"/>
  <c r="E375" i="7"/>
  <c r="Z374" i="7"/>
  <c r="Y374" i="7"/>
  <c r="X374" i="7"/>
  <c r="U374" i="7"/>
  <c r="T374" i="7"/>
  <c r="V374" i="7" s="1"/>
  <c r="W374" i="7" s="1"/>
  <c r="S374" i="7"/>
  <c r="AA374" i="7" s="1"/>
  <c r="M374" i="7"/>
  <c r="AA373" i="7"/>
  <c r="Z373" i="7"/>
  <c r="Y373" i="7"/>
  <c r="X373" i="7"/>
  <c r="W373" i="7"/>
  <c r="U373" i="7"/>
  <c r="T373" i="7"/>
  <c r="V373" i="7" s="1"/>
  <c r="M373" i="7"/>
  <c r="H373" i="7"/>
  <c r="E373" i="7"/>
  <c r="AA372" i="7"/>
  <c r="Z372" i="7"/>
  <c r="Y372" i="7"/>
  <c r="X372" i="7"/>
  <c r="U372" i="7"/>
  <c r="T372" i="7"/>
  <c r="V372" i="7" s="1"/>
  <c r="W372" i="7" s="1"/>
  <c r="M372" i="7"/>
  <c r="H372" i="7"/>
  <c r="E372" i="7"/>
  <c r="AA371" i="7"/>
  <c r="Z371" i="7"/>
  <c r="Y371" i="7"/>
  <c r="X371" i="7"/>
  <c r="V371" i="7"/>
  <c r="W371" i="7" s="1"/>
  <c r="U371" i="7"/>
  <c r="T371" i="7"/>
  <c r="M371" i="7"/>
  <c r="H371" i="7"/>
  <c r="E371" i="7"/>
  <c r="AA370" i="7"/>
  <c r="Z370" i="7"/>
  <c r="Y370" i="7"/>
  <c r="X370" i="7"/>
  <c r="U370" i="7"/>
  <c r="T370" i="7"/>
  <c r="V370" i="7" s="1"/>
  <c r="W370" i="7" s="1"/>
  <c r="M370" i="7"/>
  <c r="H370" i="7"/>
  <c r="E370" i="7"/>
  <c r="AA369" i="7"/>
  <c r="Z369" i="7"/>
  <c r="Y369" i="7"/>
  <c r="X369" i="7"/>
  <c r="W369" i="7"/>
  <c r="V369" i="7"/>
  <c r="U369" i="7"/>
  <c r="T369" i="7"/>
  <c r="M369" i="7"/>
  <c r="H369" i="7"/>
  <c r="E369" i="7"/>
  <c r="AA368" i="7"/>
  <c r="Z368" i="7"/>
  <c r="Y368" i="7"/>
  <c r="X368" i="7"/>
  <c r="V368" i="7"/>
  <c r="W368" i="7" s="1"/>
  <c r="U368" i="7"/>
  <c r="T368" i="7"/>
  <c r="M368" i="7"/>
  <c r="H368" i="7"/>
  <c r="E368" i="7"/>
  <c r="AA367" i="7"/>
  <c r="Z367" i="7"/>
  <c r="Y367" i="7"/>
  <c r="X367" i="7"/>
  <c r="U367" i="7"/>
  <c r="T367" i="7"/>
  <c r="V367" i="7" s="1"/>
  <c r="M367" i="7"/>
  <c r="W367" i="7" s="1"/>
  <c r="H367" i="7"/>
  <c r="E367" i="7"/>
  <c r="AA366" i="7"/>
  <c r="Z366" i="7"/>
  <c r="Y366" i="7"/>
  <c r="X366" i="7"/>
  <c r="U366" i="7"/>
  <c r="T366" i="7"/>
  <c r="V366" i="7" s="1"/>
  <c r="M366" i="7"/>
  <c r="H366" i="7"/>
  <c r="E366" i="7"/>
  <c r="AA365" i="7"/>
  <c r="Z365" i="7"/>
  <c r="Y365" i="7"/>
  <c r="X365" i="7"/>
  <c r="W365" i="7"/>
  <c r="V365" i="7"/>
  <c r="U365" i="7"/>
  <c r="T365" i="7"/>
  <c r="M365" i="7"/>
  <c r="H365" i="7"/>
  <c r="E365" i="7"/>
  <c r="AA364" i="7"/>
  <c r="Z364" i="7"/>
  <c r="Y364" i="7"/>
  <c r="X364" i="7"/>
  <c r="V364" i="7"/>
  <c r="W364" i="7" s="1"/>
  <c r="U364" i="7"/>
  <c r="T364" i="7"/>
  <c r="M364" i="7"/>
  <c r="H364" i="7"/>
  <c r="E364" i="7"/>
  <c r="AA363" i="7"/>
  <c r="Z363" i="7"/>
  <c r="Y363" i="7"/>
  <c r="X363" i="7"/>
  <c r="V363" i="7"/>
  <c r="W363" i="7" s="1"/>
  <c r="U363" i="7"/>
  <c r="T363" i="7"/>
  <c r="M363" i="7"/>
  <c r="H363" i="7"/>
  <c r="E363" i="7"/>
  <c r="AA362" i="7"/>
  <c r="Z362" i="7"/>
  <c r="Y362" i="7"/>
  <c r="X362" i="7"/>
  <c r="U362" i="7"/>
  <c r="T362" i="7"/>
  <c r="V362" i="7" s="1"/>
  <c r="M362" i="7"/>
  <c r="H362" i="7"/>
  <c r="E362" i="7"/>
  <c r="AA361" i="7"/>
  <c r="Z361" i="7"/>
  <c r="Y361" i="7"/>
  <c r="X361" i="7"/>
  <c r="U361" i="7"/>
  <c r="T361" i="7"/>
  <c r="V361" i="7" s="1"/>
  <c r="M361" i="7"/>
  <c r="W361" i="7" s="1"/>
  <c r="H361" i="7"/>
  <c r="E361" i="7"/>
  <c r="AA360" i="7"/>
  <c r="Z360" i="7"/>
  <c r="Y360" i="7"/>
  <c r="X360" i="7"/>
  <c r="V360" i="7"/>
  <c r="W360" i="7" s="1"/>
  <c r="U360" i="7"/>
  <c r="T360" i="7"/>
  <c r="M360" i="7"/>
  <c r="AA359" i="7"/>
  <c r="Z359" i="7"/>
  <c r="Y359" i="7"/>
  <c r="X359" i="7"/>
  <c r="U359" i="7"/>
  <c r="T359" i="7"/>
  <c r="V359" i="7" s="1"/>
  <c r="M359" i="7"/>
  <c r="H359" i="7"/>
  <c r="E359" i="7"/>
  <c r="AA358" i="7"/>
  <c r="Z358" i="7"/>
  <c r="Y358" i="7"/>
  <c r="X358" i="7"/>
  <c r="V358" i="7"/>
  <c r="U358" i="7"/>
  <c r="T358" i="7"/>
  <c r="M358" i="7"/>
  <c r="W358" i="7" s="1"/>
  <c r="H358" i="7"/>
  <c r="E358" i="7"/>
  <c r="AA357" i="7"/>
  <c r="Z357" i="7"/>
  <c r="Y357" i="7"/>
  <c r="X357" i="7"/>
  <c r="W357" i="7"/>
  <c r="U357" i="7"/>
  <c r="T357" i="7"/>
  <c r="V357" i="7" s="1"/>
  <c r="S357" i="7"/>
  <c r="M357" i="7"/>
  <c r="AA356" i="7"/>
  <c r="Z356" i="7"/>
  <c r="Y356" i="7"/>
  <c r="X356" i="7"/>
  <c r="V356" i="7"/>
  <c r="U356" i="7"/>
  <c r="T356" i="7"/>
  <c r="M356" i="7"/>
  <c r="W356" i="7" s="1"/>
  <c r="H356" i="7"/>
  <c r="E356" i="7"/>
  <c r="AA355" i="7"/>
  <c r="Z355" i="7"/>
  <c r="Y355" i="7"/>
  <c r="X355" i="7"/>
  <c r="U355" i="7"/>
  <c r="T355" i="7"/>
  <c r="V355" i="7" s="1"/>
  <c r="W355" i="7" s="1"/>
  <c r="M355" i="7"/>
  <c r="H355" i="7"/>
  <c r="E355" i="7"/>
  <c r="AA354" i="7"/>
  <c r="Z354" i="7"/>
  <c r="Y354" i="7"/>
  <c r="X354" i="7"/>
  <c r="W354" i="7"/>
  <c r="V354" i="7"/>
  <c r="U354" i="7"/>
  <c r="T354" i="7"/>
  <c r="M354" i="7"/>
  <c r="H354" i="7"/>
  <c r="E354" i="7"/>
  <c r="AA353" i="7"/>
  <c r="Z353" i="7"/>
  <c r="Y353" i="7"/>
  <c r="X353" i="7"/>
  <c r="V353" i="7"/>
  <c r="W353" i="7" s="1"/>
  <c r="U353" i="7"/>
  <c r="T353" i="7"/>
  <c r="M353" i="7"/>
  <c r="H353" i="7"/>
  <c r="E353" i="7"/>
  <c r="AA352" i="7"/>
  <c r="Z352" i="7"/>
  <c r="Y352" i="7"/>
  <c r="X352" i="7"/>
  <c r="U352" i="7"/>
  <c r="T352" i="7"/>
  <c r="V352" i="7" s="1"/>
  <c r="M352" i="7"/>
  <c r="W352" i="7" s="1"/>
  <c r="H352" i="7"/>
  <c r="E352" i="7"/>
  <c r="AA351" i="7"/>
  <c r="Z351" i="7"/>
  <c r="Y351" i="7"/>
  <c r="X351" i="7"/>
  <c r="U351" i="7"/>
  <c r="T351" i="7"/>
  <c r="V351" i="7" s="1"/>
  <c r="M351" i="7"/>
  <c r="W351" i="7" s="1"/>
  <c r="H351" i="7"/>
  <c r="E351" i="7"/>
  <c r="Z350" i="7"/>
  <c r="Y350" i="7"/>
  <c r="X350" i="7"/>
  <c r="W350" i="7"/>
  <c r="V350" i="7"/>
  <c r="U350" i="7"/>
  <c r="O350" i="7"/>
  <c r="T350" i="7" s="1"/>
  <c r="M350" i="7"/>
  <c r="H350" i="7"/>
  <c r="E350" i="7"/>
  <c r="AA349" i="7"/>
  <c r="Z349" i="7"/>
  <c r="Y349" i="7"/>
  <c r="X349" i="7"/>
  <c r="V349" i="7"/>
  <c r="W349" i="7" s="1"/>
  <c r="U349" i="7"/>
  <c r="O349" i="7"/>
  <c r="T349" i="7" s="1"/>
  <c r="M349" i="7"/>
  <c r="H349" i="7"/>
  <c r="E349" i="7"/>
  <c r="AA348" i="7"/>
  <c r="Z348" i="7"/>
  <c r="Y348" i="7"/>
  <c r="X348" i="7"/>
  <c r="V348" i="7"/>
  <c r="U348" i="7"/>
  <c r="O348" i="7"/>
  <c r="T348" i="7" s="1"/>
  <c r="H348" i="7"/>
  <c r="E348" i="7"/>
  <c r="AA347" i="7"/>
  <c r="Z347" i="7"/>
  <c r="Y347" i="7"/>
  <c r="X347" i="7"/>
  <c r="V347" i="7"/>
  <c r="U347" i="7"/>
  <c r="T347" i="7"/>
  <c r="M347" i="7"/>
  <c r="W347" i="7" s="1"/>
  <c r="H347" i="7"/>
  <c r="E347" i="7"/>
  <c r="AA346" i="7"/>
  <c r="Z346" i="7"/>
  <c r="Y346" i="7"/>
  <c r="X346" i="7"/>
  <c r="U346" i="7"/>
  <c r="T346" i="7"/>
  <c r="V346" i="7" s="1"/>
  <c r="W346" i="7" s="1"/>
  <c r="M346" i="7"/>
  <c r="H346" i="7"/>
  <c r="AA345" i="7"/>
  <c r="Z345" i="7"/>
  <c r="Y345" i="7"/>
  <c r="X345" i="7"/>
  <c r="V345" i="7"/>
  <c r="U345" i="7"/>
  <c r="T345" i="7"/>
  <c r="M345" i="7"/>
  <c r="H345" i="7"/>
  <c r="AA344" i="7"/>
  <c r="Z344" i="7"/>
  <c r="Y344" i="7"/>
  <c r="X344" i="7"/>
  <c r="U344" i="7"/>
  <c r="T344" i="7"/>
  <c r="V344" i="7" s="1"/>
  <c r="M344" i="7"/>
  <c r="H344" i="7"/>
  <c r="AA343" i="7"/>
  <c r="Z343" i="7"/>
  <c r="Y343" i="7"/>
  <c r="X343" i="7"/>
  <c r="U343" i="7"/>
  <c r="T343" i="7"/>
  <c r="V343" i="7" s="1"/>
  <c r="W343" i="7" s="1"/>
  <c r="M343" i="7"/>
  <c r="H343" i="7"/>
  <c r="AA342" i="7"/>
  <c r="Z342" i="7"/>
  <c r="Y342" i="7"/>
  <c r="X342" i="7"/>
  <c r="V342" i="7"/>
  <c r="U342" i="7"/>
  <c r="T342" i="7"/>
  <c r="M342" i="7"/>
  <c r="H342" i="7"/>
  <c r="E342" i="7"/>
  <c r="AA341" i="7"/>
  <c r="Z341" i="7"/>
  <c r="Y341" i="7"/>
  <c r="X341" i="7"/>
  <c r="U341" i="7"/>
  <c r="T341" i="7"/>
  <c r="V341" i="7" s="1"/>
  <c r="M341" i="7"/>
  <c r="W341" i="7" s="1"/>
  <c r="H341" i="7"/>
  <c r="E341" i="7"/>
  <c r="AA340" i="7"/>
  <c r="Z340" i="7"/>
  <c r="Y340" i="7"/>
  <c r="X340" i="7"/>
  <c r="U340" i="7"/>
  <c r="T340" i="7"/>
  <c r="V340" i="7" s="1"/>
  <c r="W340" i="7" s="1"/>
  <c r="M340" i="7"/>
  <c r="H340" i="7"/>
  <c r="E340" i="7"/>
  <c r="AA339" i="7"/>
  <c r="Z339" i="7"/>
  <c r="Y339" i="7"/>
  <c r="X339" i="7"/>
  <c r="W339" i="7"/>
  <c r="V339" i="7"/>
  <c r="U339" i="7"/>
  <c r="T339" i="7"/>
  <c r="M339" i="7"/>
  <c r="H339" i="7"/>
  <c r="E339" i="7"/>
  <c r="AA338" i="7"/>
  <c r="Z338" i="7"/>
  <c r="Y338" i="7"/>
  <c r="X338" i="7"/>
  <c r="V338" i="7"/>
  <c r="W338" i="7" s="1"/>
  <c r="U338" i="7"/>
  <c r="T338" i="7"/>
  <c r="M338" i="7"/>
  <c r="H338" i="7"/>
  <c r="E338" i="7"/>
  <c r="AA337" i="7"/>
  <c r="Z337" i="7"/>
  <c r="Y337" i="7"/>
  <c r="X337" i="7"/>
  <c r="V337" i="7"/>
  <c r="W337" i="7" s="1"/>
  <c r="U337" i="7"/>
  <c r="T337" i="7"/>
  <c r="M337" i="7"/>
  <c r="H337" i="7"/>
  <c r="E337" i="7"/>
  <c r="AA336" i="7"/>
  <c r="Z336" i="7"/>
  <c r="Y336" i="7"/>
  <c r="X336" i="7"/>
  <c r="U336" i="7"/>
  <c r="T336" i="7"/>
  <c r="V336" i="7" s="1"/>
  <c r="M336" i="7"/>
  <c r="W336" i="7" s="1"/>
  <c r="H336" i="7"/>
  <c r="E336" i="7"/>
  <c r="Z335" i="7"/>
  <c r="Y335" i="7"/>
  <c r="X335" i="7"/>
  <c r="U335" i="7"/>
  <c r="T335" i="7"/>
  <c r="S335" i="7"/>
  <c r="AA335" i="7" s="1"/>
  <c r="M335" i="7"/>
  <c r="AA334" i="7"/>
  <c r="Z334" i="7"/>
  <c r="Y334" i="7"/>
  <c r="X334" i="7"/>
  <c r="V334" i="7"/>
  <c r="W334" i="7" s="1"/>
  <c r="U334" i="7"/>
  <c r="T334" i="7"/>
  <c r="M334" i="7"/>
  <c r="AA333" i="7"/>
  <c r="Z333" i="7"/>
  <c r="Y333" i="7"/>
  <c r="X333" i="7"/>
  <c r="V333" i="7"/>
  <c r="U333" i="7"/>
  <c r="T333" i="7"/>
  <c r="M333" i="7"/>
  <c r="W333" i="7" s="1"/>
  <c r="H333" i="7"/>
  <c r="E333" i="7"/>
  <c r="AA332" i="7"/>
  <c r="Z332" i="7"/>
  <c r="Y332" i="7"/>
  <c r="X332" i="7"/>
  <c r="W332" i="7"/>
  <c r="U332" i="7"/>
  <c r="T332" i="7"/>
  <c r="V332" i="7" s="1"/>
  <c r="M332" i="7"/>
  <c r="H332" i="7"/>
  <c r="AA331" i="7"/>
  <c r="Z331" i="7"/>
  <c r="Y331" i="7"/>
  <c r="X331" i="7"/>
  <c r="V331" i="7"/>
  <c r="U331" i="7"/>
  <c r="T331" i="7"/>
  <c r="M331" i="7"/>
  <c r="W331" i="7" s="1"/>
  <c r="H331" i="7"/>
  <c r="E331" i="7"/>
  <c r="AA330" i="7"/>
  <c r="Z330" i="7"/>
  <c r="Y330" i="7"/>
  <c r="X330" i="7"/>
  <c r="U330" i="7"/>
  <c r="T330" i="7"/>
  <c r="V330" i="7" s="1"/>
  <c r="W330" i="7" s="1"/>
  <c r="M330" i="7"/>
  <c r="H330" i="7"/>
  <c r="E330" i="7"/>
  <c r="AA329" i="7"/>
  <c r="Z329" i="7"/>
  <c r="Y329" i="7"/>
  <c r="X329" i="7"/>
  <c r="W329" i="7"/>
  <c r="V329" i="7"/>
  <c r="U329" i="7"/>
  <c r="T329" i="7"/>
  <c r="M329" i="7"/>
  <c r="H329" i="7"/>
  <c r="E329" i="7"/>
  <c r="AA328" i="7"/>
  <c r="Z328" i="7"/>
  <c r="Y328" i="7"/>
  <c r="X328" i="7"/>
  <c r="V328" i="7"/>
  <c r="U328" i="7"/>
  <c r="T328" i="7"/>
  <c r="M328" i="7"/>
  <c r="H328" i="7"/>
  <c r="E328" i="7"/>
  <c r="AA327" i="7"/>
  <c r="Z327" i="7"/>
  <c r="Y327" i="7"/>
  <c r="X327" i="7"/>
  <c r="U327" i="7"/>
  <c r="T327" i="7"/>
  <c r="V327" i="7" s="1"/>
  <c r="M327" i="7"/>
  <c r="W327" i="7" s="1"/>
  <c r="AA326" i="7"/>
  <c r="Z326" i="7"/>
  <c r="Y326" i="7"/>
  <c r="X326" i="7"/>
  <c r="V326" i="7"/>
  <c r="W326" i="7" s="1"/>
  <c r="U326" i="7"/>
  <c r="T326" i="7"/>
  <c r="M326" i="7"/>
  <c r="H326" i="7"/>
  <c r="E326" i="7"/>
  <c r="AA325" i="7"/>
  <c r="Z325" i="7"/>
  <c r="Y325" i="7"/>
  <c r="X325" i="7"/>
  <c r="V325" i="7"/>
  <c r="W325" i="7" s="1"/>
  <c r="U325" i="7"/>
  <c r="T325" i="7"/>
  <c r="M325" i="7"/>
  <c r="H325" i="7"/>
  <c r="E325" i="7"/>
  <c r="AA324" i="7"/>
  <c r="Z324" i="7"/>
  <c r="Y324" i="7"/>
  <c r="X324" i="7"/>
  <c r="U324" i="7"/>
  <c r="T324" i="7"/>
  <c r="V324" i="7" s="1"/>
  <c r="M324" i="7"/>
  <c r="W324" i="7" s="1"/>
  <c r="H324" i="7"/>
  <c r="E324" i="7"/>
  <c r="AA323" i="7"/>
  <c r="Z323" i="7"/>
  <c r="Y323" i="7"/>
  <c r="X323" i="7"/>
  <c r="U323" i="7"/>
  <c r="T323" i="7"/>
  <c r="V323" i="7" s="1"/>
  <c r="M323" i="7"/>
  <c r="W323" i="7" s="1"/>
  <c r="H323" i="7"/>
  <c r="E323" i="7"/>
  <c r="AA322" i="7"/>
  <c r="Z322" i="7"/>
  <c r="Y322" i="7"/>
  <c r="X322" i="7"/>
  <c r="V322" i="7"/>
  <c r="W322" i="7" s="1"/>
  <c r="U322" i="7"/>
  <c r="T322" i="7"/>
  <c r="M322" i="7"/>
  <c r="H322" i="7"/>
  <c r="E322" i="7"/>
  <c r="AA321" i="7"/>
  <c r="Z321" i="7"/>
  <c r="Y321" i="7"/>
  <c r="X321" i="7"/>
  <c r="V321" i="7"/>
  <c r="W321" i="7" s="1"/>
  <c r="U321" i="7"/>
  <c r="T321" i="7"/>
  <c r="M321" i="7"/>
  <c r="H321" i="7"/>
  <c r="E321" i="7"/>
  <c r="AA320" i="7"/>
  <c r="Z320" i="7"/>
  <c r="Y320" i="7"/>
  <c r="X320" i="7"/>
  <c r="U320" i="7"/>
  <c r="T320" i="7"/>
  <c r="V320" i="7" s="1"/>
  <c r="W320" i="7" s="1"/>
  <c r="I320" i="7"/>
  <c r="M320" i="7" s="1"/>
  <c r="E320" i="7"/>
  <c r="AA319" i="7"/>
  <c r="Z319" i="7"/>
  <c r="Y319" i="7"/>
  <c r="X319" i="7"/>
  <c r="T319" i="7"/>
  <c r="V319" i="7" s="1"/>
  <c r="W319" i="7" s="1"/>
  <c r="I319" i="7"/>
  <c r="E319" i="7"/>
  <c r="AA318" i="7"/>
  <c r="Z318" i="7"/>
  <c r="Y318" i="7"/>
  <c r="X318" i="7"/>
  <c r="U318" i="7"/>
  <c r="T318" i="7"/>
  <c r="V318" i="7" s="1"/>
  <c r="W318" i="7" s="1"/>
  <c r="M318" i="7"/>
  <c r="H318" i="7"/>
  <c r="E318" i="7"/>
  <c r="AA317" i="7"/>
  <c r="Z317" i="7"/>
  <c r="Y317" i="7"/>
  <c r="X317" i="7"/>
  <c r="W317" i="7"/>
  <c r="V317" i="7"/>
  <c r="U317" i="7"/>
  <c r="T317" i="7"/>
  <c r="M317" i="7"/>
  <c r="H317" i="7"/>
  <c r="E317" i="7"/>
  <c r="AA316" i="7"/>
  <c r="Z316" i="7"/>
  <c r="Y316" i="7"/>
  <c r="X316" i="7"/>
  <c r="V316" i="7"/>
  <c r="W316" i="7" s="1"/>
  <c r="U316" i="7"/>
  <c r="T316" i="7"/>
  <c r="M316" i="7"/>
  <c r="J316" i="7"/>
  <c r="I316" i="7"/>
  <c r="H316" i="7"/>
  <c r="E316" i="7"/>
  <c r="AA315" i="7"/>
  <c r="Z315" i="7"/>
  <c r="Y315" i="7"/>
  <c r="X315" i="7"/>
  <c r="V315" i="7"/>
  <c r="W315" i="7" s="1"/>
  <c r="T315" i="7"/>
  <c r="J315" i="7"/>
  <c r="I315" i="7"/>
  <c r="M315" i="7" s="1"/>
  <c r="H315" i="7"/>
  <c r="E315" i="7"/>
  <c r="AA314" i="7"/>
  <c r="Z314" i="7"/>
  <c r="Y314" i="7"/>
  <c r="X314" i="7"/>
  <c r="W314" i="7"/>
  <c r="V314" i="7"/>
  <c r="U314" i="7"/>
  <c r="T314" i="7"/>
  <c r="M314" i="7"/>
  <c r="H314" i="7"/>
  <c r="E314" i="7"/>
  <c r="AA313" i="7"/>
  <c r="Z313" i="7"/>
  <c r="Y313" i="7"/>
  <c r="X313" i="7"/>
  <c r="V313" i="7"/>
  <c r="W313" i="7" s="1"/>
  <c r="U313" i="7"/>
  <c r="T313" i="7"/>
  <c r="M313" i="7"/>
  <c r="H313" i="7"/>
  <c r="E313" i="7"/>
  <c r="AA312" i="7"/>
  <c r="Z312" i="7"/>
  <c r="Y312" i="7"/>
  <c r="X312" i="7"/>
  <c r="U312" i="7"/>
  <c r="T312" i="7"/>
  <c r="V312" i="7" s="1"/>
  <c r="W312" i="7" s="1"/>
  <c r="M312" i="7"/>
  <c r="H312" i="7"/>
  <c r="E312" i="7"/>
  <c r="AA311" i="7"/>
  <c r="Z311" i="7"/>
  <c r="Y311" i="7"/>
  <c r="X311" i="7"/>
  <c r="U311" i="7"/>
  <c r="T311" i="7"/>
  <c r="V311" i="7" s="1"/>
  <c r="W311" i="7" s="1"/>
  <c r="M311" i="7"/>
  <c r="H311" i="7"/>
  <c r="E311" i="7"/>
  <c r="AA310" i="7"/>
  <c r="Z310" i="7"/>
  <c r="Y310" i="7"/>
  <c r="X310" i="7"/>
  <c r="W310" i="7"/>
  <c r="V310" i="7"/>
  <c r="U310" i="7"/>
  <c r="T310" i="7"/>
  <c r="M310" i="7"/>
  <c r="H310" i="7"/>
  <c r="E310" i="7"/>
  <c r="AA309" i="7"/>
  <c r="Z309" i="7"/>
  <c r="Y309" i="7"/>
  <c r="X309" i="7"/>
  <c r="V309" i="7"/>
  <c r="W309" i="7" s="1"/>
  <c r="U309" i="7"/>
  <c r="T309" i="7"/>
  <c r="M309" i="7"/>
  <c r="H309" i="7"/>
  <c r="E309" i="7"/>
  <c r="AA308" i="7"/>
  <c r="Z308" i="7"/>
  <c r="Y308" i="7"/>
  <c r="X308" i="7"/>
  <c r="V308" i="7"/>
  <c r="W308" i="7" s="1"/>
  <c r="U308" i="7"/>
  <c r="T308" i="7"/>
  <c r="M308" i="7"/>
  <c r="H308" i="7"/>
  <c r="AA307" i="7"/>
  <c r="Z307" i="7"/>
  <c r="Y307" i="7"/>
  <c r="X307" i="7"/>
  <c r="U307" i="7"/>
  <c r="T307" i="7"/>
  <c r="V307" i="7" s="1"/>
  <c r="W307" i="7" s="1"/>
  <c r="M307" i="7"/>
  <c r="H307" i="7"/>
  <c r="E307" i="7"/>
  <c r="AA306" i="7"/>
  <c r="Z306" i="7"/>
  <c r="Y306" i="7"/>
  <c r="X306" i="7"/>
  <c r="W306" i="7"/>
  <c r="U306" i="7"/>
  <c r="T306" i="7"/>
  <c r="V306" i="7" s="1"/>
  <c r="M306" i="7"/>
  <c r="H306" i="7"/>
  <c r="E306" i="7"/>
  <c r="AA305" i="7"/>
  <c r="Z305" i="7"/>
  <c r="Y305" i="7"/>
  <c r="X305" i="7"/>
  <c r="V305" i="7"/>
  <c r="W305" i="7" s="1"/>
  <c r="U305" i="7"/>
  <c r="T305" i="7"/>
  <c r="M305" i="7"/>
  <c r="H305" i="7"/>
  <c r="E305" i="7"/>
  <c r="AA304" i="7"/>
  <c r="Z304" i="7"/>
  <c r="Y304" i="7"/>
  <c r="X304" i="7"/>
  <c r="V304" i="7"/>
  <c r="U304" i="7"/>
  <c r="T304" i="7"/>
  <c r="M304" i="7"/>
  <c r="W304" i="7" s="1"/>
  <c r="H304" i="7"/>
  <c r="E304" i="7"/>
  <c r="AA303" i="7"/>
  <c r="Z303" i="7"/>
  <c r="Y303" i="7"/>
  <c r="X303" i="7"/>
  <c r="U303" i="7"/>
  <c r="T303" i="7"/>
  <c r="V303" i="7" s="1"/>
  <c r="W303" i="7" s="1"/>
  <c r="M303" i="7"/>
  <c r="H303" i="7"/>
  <c r="E303" i="7"/>
  <c r="AA302" i="7"/>
  <c r="Z302" i="7"/>
  <c r="Y302" i="7"/>
  <c r="X302" i="7"/>
  <c r="U302" i="7"/>
  <c r="T302" i="7"/>
  <c r="V302" i="7" s="1"/>
  <c r="M302" i="7"/>
  <c r="W302" i="7" s="1"/>
  <c r="H302" i="7"/>
  <c r="E302" i="7"/>
  <c r="AA301" i="7"/>
  <c r="Z301" i="7"/>
  <c r="Y301" i="7"/>
  <c r="X301" i="7"/>
  <c r="V301" i="7"/>
  <c r="U301" i="7"/>
  <c r="T301" i="7"/>
  <c r="M301" i="7"/>
  <c r="H301" i="7"/>
  <c r="E301" i="7"/>
  <c r="AA300" i="7"/>
  <c r="Z300" i="7"/>
  <c r="Y300" i="7"/>
  <c r="X300" i="7"/>
  <c r="U300" i="7"/>
  <c r="T300" i="7"/>
  <c r="V300" i="7" s="1"/>
  <c r="W300" i="7" s="1"/>
  <c r="M300" i="7"/>
  <c r="H300" i="7"/>
  <c r="E300" i="7"/>
  <c r="AA299" i="7"/>
  <c r="Z299" i="7"/>
  <c r="Y299" i="7"/>
  <c r="X299" i="7"/>
  <c r="U299" i="7"/>
  <c r="T299" i="7"/>
  <c r="V299" i="7" s="1"/>
  <c r="M299" i="7"/>
  <c r="W299" i="7" s="1"/>
  <c r="H299" i="7"/>
  <c r="E299" i="7"/>
  <c r="AA298" i="7"/>
  <c r="Z298" i="7"/>
  <c r="Y298" i="7"/>
  <c r="X298" i="7"/>
  <c r="V298" i="7"/>
  <c r="U298" i="7"/>
  <c r="T298" i="7"/>
  <c r="M298" i="7"/>
  <c r="W298" i="7" s="1"/>
  <c r="H298" i="7"/>
  <c r="E298" i="7"/>
  <c r="AA297" i="7"/>
  <c r="Z297" i="7"/>
  <c r="Y297" i="7"/>
  <c r="X297" i="7"/>
  <c r="W297" i="7"/>
  <c r="V297" i="7"/>
  <c r="U297" i="7"/>
  <c r="T297" i="7"/>
  <c r="M297" i="7"/>
  <c r="H297" i="7"/>
  <c r="E297" i="7"/>
  <c r="AA296" i="7"/>
  <c r="Z296" i="7"/>
  <c r="Y296" i="7"/>
  <c r="X296" i="7"/>
  <c r="V296" i="7"/>
  <c r="W296" i="7" s="1"/>
  <c r="U296" i="7"/>
  <c r="T296" i="7"/>
  <c r="M296" i="7"/>
  <c r="H296" i="7"/>
  <c r="E296" i="7"/>
  <c r="AA295" i="7"/>
  <c r="Z295" i="7"/>
  <c r="Y295" i="7"/>
  <c r="X295" i="7"/>
  <c r="U295" i="7"/>
  <c r="T295" i="7"/>
  <c r="V295" i="7" s="1"/>
  <c r="W295" i="7" s="1"/>
  <c r="M295" i="7"/>
  <c r="H295" i="7"/>
  <c r="E295" i="7"/>
  <c r="AA294" i="7"/>
  <c r="Z294" i="7"/>
  <c r="Y294" i="7"/>
  <c r="X294" i="7"/>
  <c r="U294" i="7"/>
  <c r="T294" i="7"/>
  <c r="V294" i="7" s="1"/>
  <c r="W294" i="7" s="1"/>
  <c r="M294" i="7"/>
  <c r="H294" i="7"/>
  <c r="E294" i="7"/>
  <c r="AA293" i="7"/>
  <c r="Z293" i="7"/>
  <c r="Y293" i="7"/>
  <c r="X293" i="7"/>
  <c r="W293" i="7"/>
  <c r="V293" i="7"/>
  <c r="U293" i="7"/>
  <c r="T293" i="7"/>
  <c r="M293" i="7"/>
  <c r="H293" i="7"/>
  <c r="E293" i="7"/>
  <c r="AA292" i="7"/>
  <c r="Z292" i="7"/>
  <c r="Y292" i="7"/>
  <c r="X292" i="7"/>
  <c r="V292" i="7"/>
  <c r="W292" i="7" s="1"/>
  <c r="U292" i="7"/>
  <c r="T292" i="7"/>
  <c r="M292" i="7"/>
  <c r="H292" i="7"/>
  <c r="E292" i="7"/>
  <c r="AA291" i="7"/>
  <c r="Z291" i="7"/>
  <c r="Y291" i="7"/>
  <c r="X291" i="7"/>
  <c r="V291" i="7"/>
  <c r="W291" i="7" s="1"/>
  <c r="U291" i="7"/>
  <c r="T291" i="7"/>
  <c r="M291" i="7"/>
  <c r="H291" i="7"/>
  <c r="E291" i="7"/>
  <c r="AA290" i="7"/>
  <c r="Z290" i="7"/>
  <c r="Y290" i="7"/>
  <c r="X290" i="7"/>
  <c r="U290" i="7"/>
  <c r="T290" i="7"/>
  <c r="V290" i="7" s="1"/>
  <c r="W290" i="7" s="1"/>
  <c r="M290" i="7"/>
  <c r="H290" i="7"/>
  <c r="E290" i="7"/>
  <c r="AA289" i="7"/>
  <c r="Z289" i="7"/>
  <c r="Y289" i="7"/>
  <c r="X289" i="7"/>
  <c r="U289" i="7"/>
  <c r="T289" i="7"/>
  <c r="V289" i="7" s="1"/>
  <c r="W289" i="7" s="1"/>
  <c r="M289" i="7"/>
  <c r="H289" i="7"/>
  <c r="E289" i="7"/>
  <c r="AA288" i="7"/>
  <c r="Z288" i="7"/>
  <c r="Y288" i="7"/>
  <c r="X288" i="7"/>
  <c r="W288" i="7"/>
  <c r="U288" i="7"/>
  <c r="T288" i="7"/>
  <c r="V288" i="7" s="1"/>
  <c r="M288" i="7"/>
  <c r="H288" i="7"/>
  <c r="E288" i="7"/>
  <c r="AA287" i="7"/>
  <c r="Z287" i="7"/>
  <c r="Y287" i="7"/>
  <c r="X287" i="7"/>
  <c r="V287" i="7"/>
  <c r="W287" i="7" s="1"/>
  <c r="U287" i="7"/>
  <c r="T287" i="7"/>
  <c r="M287" i="7"/>
  <c r="H287" i="7"/>
  <c r="E287" i="7"/>
  <c r="AA286" i="7"/>
  <c r="Z286" i="7"/>
  <c r="Y286" i="7"/>
  <c r="X286" i="7"/>
  <c r="V286" i="7"/>
  <c r="W286" i="7" s="1"/>
  <c r="U286" i="7"/>
  <c r="T286" i="7"/>
  <c r="M286" i="7"/>
  <c r="H286" i="7"/>
  <c r="E286" i="7"/>
  <c r="AA285" i="7"/>
  <c r="Z285" i="7"/>
  <c r="Y285" i="7"/>
  <c r="X285" i="7"/>
  <c r="U285" i="7"/>
  <c r="T285" i="7"/>
  <c r="V285" i="7" s="1"/>
  <c r="W285" i="7" s="1"/>
  <c r="M285" i="7"/>
  <c r="H285" i="7"/>
  <c r="E285" i="7"/>
  <c r="AA284" i="7"/>
  <c r="Z284" i="7"/>
  <c r="Y284" i="7"/>
  <c r="X284" i="7"/>
  <c r="U284" i="7"/>
  <c r="T284" i="7"/>
  <c r="V284" i="7" s="1"/>
  <c r="W284" i="7" s="1"/>
  <c r="M284" i="7"/>
  <c r="H284" i="7"/>
  <c r="E284" i="7"/>
  <c r="AA283" i="7"/>
  <c r="Z283" i="7"/>
  <c r="Y283" i="7"/>
  <c r="X283" i="7"/>
  <c r="V283" i="7"/>
  <c r="W283" i="7" s="1"/>
  <c r="U283" i="7"/>
  <c r="T283" i="7"/>
  <c r="M283" i="7"/>
  <c r="H283" i="7"/>
  <c r="E283" i="7"/>
  <c r="AA282" i="7"/>
  <c r="Z282" i="7"/>
  <c r="Y282" i="7"/>
  <c r="X282" i="7"/>
  <c r="U282" i="7"/>
  <c r="T282" i="7"/>
  <c r="V282" i="7" s="1"/>
  <c r="W282" i="7" s="1"/>
  <c r="M282" i="7"/>
  <c r="H282" i="7"/>
  <c r="E282" i="7"/>
  <c r="AA281" i="7"/>
  <c r="Z281" i="7"/>
  <c r="Y281" i="7"/>
  <c r="X281" i="7"/>
  <c r="U281" i="7"/>
  <c r="T281" i="7"/>
  <c r="V281" i="7" s="1"/>
  <c r="W281" i="7" s="1"/>
  <c r="M281" i="7"/>
  <c r="H281" i="7"/>
  <c r="E281" i="7"/>
  <c r="AA280" i="7"/>
  <c r="Z280" i="7"/>
  <c r="Y280" i="7"/>
  <c r="X280" i="7"/>
  <c r="W280" i="7"/>
  <c r="V280" i="7"/>
  <c r="U280" i="7"/>
  <c r="T280" i="7"/>
  <c r="M280" i="7"/>
  <c r="H280" i="7"/>
  <c r="E280" i="7"/>
  <c r="AA279" i="7"/>
  <c r="Z279" i="7"/>
  <c r="Y279" i="7"/>
  <c r="X279" i="7"/>
  <c r="W279" i="7"/>
  <c r="V279" i="7"/>
  <c r="U279" i="7"/>
  <c r="T279" i="7"/>
  <c r="M279" i="7"/>
  <c r="H279" i="7"/>
  <c r="E279" i="7"/>
  <c r="AA278" i="7"/>
  <c r="Z278" i="7"/>
  <c r="Y278" i="7"/>
  <c r="X278" i="7"/>
  <c r="V278" i="7"/>
  <c r="W278" i="7" s="1"/>
  <c r="U278" i="7"/>
  <c r="T278" i="7"/>
  <c r="M278" i="7"/>
  <c r="H278" i="7"/>
  <c r="E278" i="7"/>
  <c r="AA277" i="7"/>
  <c r="Z277" i="7"/>
  <c r="Y277" i="7"/>
  <c r="X277" i="7"/>
  <c r="U277" i="7"/>
  <c r="T277" i="7"/>
  <c r="V277" i="7" s="1"/>
  <c r="W277" i="7" s="1"/>
  <c r="M277" i="7"/>
  <c r="H277" i="7"/>
  <c r="E277" i="7"/>
  <c r="AA276" i="7"/>
  <c r="Z276" i="7"/>
  <c r="Y276" i="7"/>
  <c r="X276" i="7"/>
  <c r="U276" i="7"/>
  <c r="T276" i="7"/>
  <c r="V276" i="7" s="1"/>
  <c r="W276" i="7" s="1"/>
  <c r="M276" i="7"/>
  <c r="H276" i="7"/>
  <c r="E276" i="7"/>
  <c r="AA275" i="7"/>
  <c r="Z275" i="7"/>
  <c r="Y275" i="7"/>
  <c r="X275" i="7"/>
  <c r="W275" i="7"/>
  <c r="V275" i="7"/>
  <c r="U275" i="7"/>
  <c r="T275" i="7"/>
  <c r="M275" i="7"/>
  <c r="H275" i="7"/>
  <c r="E275" i="7"/>
  <c r="AA274" i="7"/>
  <c r="Z274" i="7"/>
  <c r="Y274" i="7"/>
  <c r="X274" i="7"/>
  <c r="V274" i="7"/>
  <c r="W274" i="7" s="1"/>
  <c r="U274" i="7"/>
  <c r="T274" i="7"/>
  <c r="M274" i="7"/>
  <c r="H274" i="7"/>
  <c r="E274" i="7"/>
  <c r="AA273" i="7"/>
  <c r="Z273" i="7"/>
  <c r="Y273" i="7"/>
  <c r="X273" i="7"/>
  <c r="V273" i="7"/>
  <c r="W273" i="7" s="1"/>
  <c r="U273" i="7"/>
  <c r="T273" i="7"/>
  <c r="M273" i="7"/>
  <c r="H273" i="7"/>
  <c r="E273" i="7"/>
  <c r="AA272" i="7"/>
  <c r="Z272" i="7"/>
  <c r="Y272" i="7"/>
  <c r="X272" i="7"/>
  <c r="U272" i="7"/>
  <c r="T272" i="7"/>
  <c r="V272" i="7" s="1"/>
  <c r="W272" i="7" s="1"/>
  <c r="M272" i="7"/>
  <c r="H272" i="7"/>
  <c r="E272" i="7"/>
  <c r="AA271" i="7"/>
  <c r="Z271" i="7"/>
  <c r="Y271" i="7"/>
  <c r="X271" i="7"/>
  <c r="U271" i="7"/>
  <c r="T271" i="7"/>
  <c r="V271" i="7" s="1"/>
  <c r="W271" i="7" s="1"/>
  <c r="M271" i="7"/>
  <c r="H271" i="7"/>
  <c r="E271" i="7"/>
  <c r="AA270" i="7"/>
  <c r="Z270" i="7"/>
  <c r="Y270" i="7"/>
  <c r="X270" i="7"/>
  <c r="W270" i="7"/>
  <c r="U270" i="7"/>
  <c r="T270" i="7"/>
  <c r="V270" i="7" s="1"/>
  <c r="M270" i="7"/>
  <c r="H270" i="7"/>
  <c r="E270" i="7"/>
  <c r="AA269" i="7"/>
  <c r="Z269" i="7"/>
  <c r="Y269" i="7"/>
  <c r="X269" i="7"/>
  <c r="V269" i="7"/>
  <c r="W269" i="7" s="1"/>
  <c r="U269" i="7"/>
  <c r="T269" i="7"/>
  <c r="M269" i="7"/>
  <c r="H269" i="7"/>
  <c r="E269" i="7"/>
  <c r="AA268" i="7"/>
  <c r="Z268" i="7"/>
  <c r="Y268" i="7"/>
  <c r="X268" i="7"/>
  <c r="V268" i="7"/>
  <c r="W268" i="7" s="1"/>
  <c r="U268" i="7"/>
  <c r="T268" i="7"/>
  <c r="M268" i="7"/>
  <c r="H268" i="7"/>
  <c r="E268" i="7"/>
  <c r="AA267" i="7"/>
  <c r="Z267" i="7"/>
  <c r="Y267" i="7"/>
  <c r="X267" i="7"/>
  <c r="U267" i="7"/>
  <c r="T267" i="7"/>
  <c r="V267" i="7" s="1"/>
  <c r="W267" i="7" s="1"/>
  <c r="M267" i="7"/>
  <c r="H267" i="7"/>
  <c r="E267" i="7"/>
  <c r="AA266" i="7"/>
  <c r="Z266" i="7"/>
  <c r="Y266" i="7"/>
  <c r="X266" i="7"/>
  <c r="U266" i="7"/>
  <c r="T266" i="7"/>
  <c r="V266" i="7" s="1"/>
  <c r="W266" i="7" s="1"/>
  <c r="M266" i="7"/>
  <c r="H266" i="7"/>
  <c r="E266" i="7"/>
  <c r="AA265" i="7"/>
  <c r="Z265" i="7"/>
  <c r="Y265" i="7"/>
  <c r="X265" i="7"/>
  <c r="V265" i="7"/>
  <c r="W265" i="7" s="1"/>
  <c r="U265" i="7"/>
  <c r="T265" i="7"/>
  <c r="M265" i="7"/>
  <c r="H265" i="7"/>
  <c r="E265" i="7"/>
  <c r="AA264" i="7"/>
  <c r="Z264" i="7"/>
  <c r="Y264" i="7"/>
  <c r="X264" i="7"/>
  <c r="U264" i="7"/>
  <c r="T264" i="7"/>
  <c r="V264" i="7" s="1"/>
  <c r="W264" i="7" s="1"/>
  <c r="M264" i="7"/>
  <c r="H264" i="7"/>
  <c r="E264" i="7"/>
  <c r="AA263" i="7"/>
  <c r="Z263" i="7"/>
  <c r="Y263" i="7"/>
  <c r="X263" i="7"/>
  <c r="U263" i="7"/>
  <c r="T263" i="7"/>
  <c r="V263" i="7" s="1"/>
  <c r="W263" i="7" s="1"/>
  <c r="M263" i="7"/>
  <c r="H263" i="7"/>
  <c r="E263" i="7"/>
  <c r="AA262" i="7"/>
  <c r="Z262" i="7"/>
  <c r="Y262" i="7"/>
  <c r="X262" i="7"/>
  <c r="W262" i="7"/>
  <c r="V262" i="7"/>
  <c r="U262" i="7"/>
  <c r="T262" i="7"/>
  <c r="M262" i="7"/>
  <c r="H262" i="7"/>
  <c r="E262" i="7"/>
  <c r="AA261" i="7"/>
  <c r="Z261" i="7"/>
  <c r="Y261" i="7"/>
  <c r="X261" i="7"/>
  <c r="W261" i="7"/>
  <c r="V261" i="7"/>
  <c r="U261" i="7"/>
  <c r="T261" i="7"/>
  <c r="M261" i="7"/>
  <c r="H261" i="7"/>
  <c r="E261" i="7"/>
  <c r="AA260" i="7"/>
  <c r="Z260" i="7"/>
  <c r="Y260" i="7"/>
  <c r="X260" i="7"/>
  <c r="V260" i="7"/>
  <c r="W260" i="7" s="1"/>
  <c r="U260" i="7"/>
  <c r="T260" i="7"/>
  <c r="M260" i="7"/>
  <c r="H260" i="7"/>
  <c r="E260" i="7"/>
  <c r="AA259" i="7"/>
  <c r="Z259" i="7"/>
  <c r="Y259" i="7"/>
  <c r="X259" i="7"/>
  <c r="U259" i="7"/>
  <c r="T259" i="7"/>
  <c r="V259" i="7" s="1"/>
  <c r="W259" i="7" s="1"/>
  <c r="M259" i="7"/>
  <c r="H259" i="7"/>
  <c r="E259" i="7"/>
  <c r="AA258" i="7"/>
  <c r="Z258" i="7"/>
  <c r="Y258" i="7"/>
  <c r="X258" i="7"/>
  <c r="U258" i="7"/>
  <c r="T258" i="7"/>
  <c r="V258" i="7" s="1"/>
  <c r="W258" i="7" s="1"/>
  <c r="M258" i="7"/>
  <c r="H258" i="7"/>
  <c r="E258" i="7"/>
  <c r="AA257" i="7"/>
  <c r="Z257" i="7"/>
  <c r="Y257" i="7"/>
  <c r="X257" i="7"/>
  <c r="W257" i="7"/>
  <c r="V257" i="7"/>
  <c r="U257" i="7"/>
  <c r="T257" i="7"/>
  <c r="M257" i="7"/>
  <c r="H257" i="7"/>
  <c r="E257" i="7"/>
  <c r="AA256" i="7"/>
  <c r="Z256" i="7"/>
  <c r="Y256" i="7"/>
  <c r="X256" i="7"/>
  <c r="V256" i="7"/>
  <c r="W256" i="7" s="1"/>
  <c r="U256" i="7"/>
  <c r="T256" i="7"/>
  <c r="M256" i="7"/>
  <c r="H256" i="7"/>
  <c r="E256" i="7"/>
  <c r="AA255" i="7"/>
  <c r="Z255" i="7"/>
  <c r="Y255" i="7"/>
  <c r="X255" i="7"/>
  <c r="V255" i="7"/>
  <c r="W255" i="7" s="1"/>
  <c r="U255" i="7"/>
  <c r="T255" i="7"/>
  <c r="M255" i="7"/>
  <c r="H255" i="7"/>
  <c r="E255" i="7"/>
  <c r="AA254" i="7"/>
  <c r="Z254" i="7"/>
  <c r="Y254" i="7"/>
  <c r="X254" i="7"/>
  <c r="U254" i="7"/>
  <c r="T254" i="7"/>
  <c r="V254" i="7" s="1"/>
  <c r="W254" i="7" s="1"/>
  <c r="M254" i="7"/>
  <c r="H254" i="7"/>
  <c r="E254" i="7"/>
  <c r="AA253" i="7"/>
  <c r="Z253" i="7"/>
  <c r="Y253" i="7"/>
  <c r="X253" i="7"/>
  <c r="U253" i="7"/>
  <c r="T253" i="7"/>
  <c r="V253" i="7" s="1"/>
  <c r="W253" i="7" s="1"/>
  <c r="M253" i="7"/>
  <c r="H253" i="7"/>
  <c r="E253" i="7"/>
  <c r="AA252" i="7"/>
  <c r="Z252" i="7"/>
  <c r="Y252" i="7"/>
  <c r="X252" i="7"/>
  <c r="W252" i="7"/>
  <c r="U252" i="7"/>
  <c r="T252" i="7"/>
  <c r="V252" i="7" s="1"/>
  <c r="M252" i="7"/>
  <c r="H252" i="7"/>
  <c r="E252" i="7"/>
  <c r="AA251" i="7"/>
  <c r="Z251" i="7"/>
  <c r="Y251" i="7"/>
  <c r="X251" i="7"/>
  <c r="V251" i="7"/>
  <c r="W251" i="7" s="1"/>
  <c r="U251" i="7"/>
  <c r="T251" i="7"/>
  <c r="M251" i="7"/>
  <c r="H251" i="7"/>
  <c r="E251" i="7"/>
  <c r="AA250" i="7"/>
  <c r="Z250" i="7"/>
  <c r="Y250" i="7"/>
  <c r="X250" i="7"/>
  <c r="V250" i="7"/>
  <c r="W250" i="7" s="1"/>
  <c r="U250" i="7"/>
  <c r="T250" i="7"/>
  <c r="M250" i="7"/>
  <c r="H250" i="7"/>
  <c r="E250" i="7"/>
  <c r="AA249" i="7"/>
  <c r="Z249" i="7"/>
  <c r="Y249" i="7"/>
  <c r="X249" i="7"/>
  <c r="U249" i="7"/>
  <c r="T249" i="7"/>
  <c r="V249" i="7" s="1"/>
  <c r="W249" i="7" s="1"/>
  <c r="M249" i="7"/>
  <c r="H249" i="7"/>
  <c r="E249" i="7"/>
  <c r="AA248" i="7"/>
  <c r="Z248" i="7"/>
  <c r="Y248" i="7"/>
  <c r="X248" i="7"/>
  <c r="U248" i="7"/>
  <c r="T248" i="7"/>
  <c r="V248" i="7" s="1"/>
  <c r="W248" i="7" s="1"/>
  <c r="M248" i="7"/>
  <c r="H248" i="7"/>
  <c r="E248" i="7"/>
  <c r="Z247" i="7"/>
  <c r="Y247" i="7"/>
  <c r="X247" i="7"/>
  <c r="U247" i="7"/>
  <c r="O247" i="7"/>
  <c r="AA247" i="7" s="1"/>
  <c r="M247" i="7"/>
  <c r="H247" i="7"/>
  <c r="E247" i="7"/>
  <c r="AA246" i="7"/>
  <c r="Z246" i="7"/>
  <c r="Y246" i="7"/>
  <c r="X246" i="7"/>
  <c r="V246" i="7"/>
  <c r="U246" i="7"/>
  <c r="T246" i="7"/>
  <c r="M246" i="7"/>
  <c r="K246" i="7"/>
  <c r="E246" i="7"/>
  <c r="AA245" i="7"/>
  <c r="Z245" i="7"/>
  <c r="Y245" i="7"/>
  <c r="X245" i="7"/>
  <c r="U245" i="7"/>
  <c r="T245" i="7"/>
  <c r="V245" i="7" s="1"/>
  <c r="W245" i="7" s="1"/>
  <c r="M245" i="7"/>
  <c r="H245" i="7"/>
  <c r="E245" i="7"/>
  <c r="AA244" i="7"/>
  <c r="Z244" i="7"/>
  <c r="Y244" i="7"/>
  <c r="X244" i="7"/>
  <c r="W244" i="7"/>
  <c r="U244" i="7"/>
  <c r="T244" i="7"/>
  <c r="V244" i="7" s="1"/>
  <c r="M244" i="7"/>
  <c r="H244" i="7"/>
  <c r="E244" i="7"/>
  <c r="AA243" i="7"/>
  <c r="Z243" i="7"/>
  <c r="Y243" i="7"/>
  <c r="X243" i="7"/>
  <c r="V243" i="7"/>
  <c r="W243" i="7" s="1"/>
  <c r="U243" i="7"/>
  <c r="T243" i="7"/>
  <c r="M243" i="7"/>
  <c r="H243" i="7"/>
  <c r="E243" i="7"/>
  <c r="AA242" i="7"/>
  <c r="Z242" i="7"/>
  <c r="Y242" i="7"/>
  <c r="X242" i="7"/>
  <c r="V242" i="7"/>
  <c r="W242" i="7" s="1"/>
  <c r="U242" i="7"/>
  <c r="T242" i="7"/>
  <c r="M242" i="7"/>
  <c r="H242" i="7"/>
  <c r="E242" i="7"/>
  <c r="AA241" i="7"/>
  <c r="Z241" i="7"/>
  <c r="Y241" i="7"/>
  <c r="X241" i="7"/>
  <c r="U241" i="7"/>
  <c r="T241" i="7"/>
  <c r="V241" i="7" s="1"/>
  <c r="W241" i="7" s="1"/>
  <c r="M241" i="7"/>
  <c r="H241" i="7"/>
  <c r="E241" i="7"/>
  <c r="AA240" i="7"/>
  <c r="Z240" i="7"/>
  <c r="Y240" i="7"/>
  <c r="X240" i="7"/>
  <c r="U240" i="7"/>
  <c r="T240" i="7"/>
  <c r="V240" i="7" s="1"/>
  <c r="W240" i="7" s="1"/>
  <c r="M240" i="7"/>
  <c r="H240" i="7"/>
  <c r="E240" i="7"/>
  <c r="AA239" i="7"/>
  <c r="Z239" i="7"/>
  <c r="Y239" i="7"/>
  <c r="X239" i="7"/>
  <c r="V239" i="7"/>
  <c r="W239" i="7" s="1"/>
  <c r="U239" i="7"/>
  <c r="T239" i="7"/>
  <c r="M239" i="7"/>
  <c r="H239" i="7"/>
  <c r="E239" i="7"/>
  <c r="AA238" i="7"/>
  <c r="Z238" i="7"/>
  <c r="Y238" i="7"/>
  <c r="X238" i="7"/>
  <c r="W238" i="7"/>
  <c r="U238" i="7"/>
  <c r="T238" i="7"/>
  <c r="V238" i="7" s="1"/>
  <c r="M238" i="7"/>
  <c r="H238" i="7"/>
  <c r="E238" i="7"/>
  <c r="AA237" i="7"/>
  <c r="Z237" i="7"/>
  <c r="Y237" i="7"/>
  <c r="X237" i="7"/>
  <c r="U237" i="7"/>
  <c r="T237" i="7"/>
  <c r="V237" i="7" s="1"/>
  <c r="W237" i="7" s="1"/>
  <c r="M237" i="7"/>
  <c r="H237" i="7"/>
  <c r="E237" i="7"/>
  <c r="AA236" i="7"/>
  <c r="Z236" i="7"/>
  <c r="Y236" i="7"/>
  <c r="X236" i="7"/>
  <c r="V236" i="7"/>
  <c r="W236" i="7" s="1"/>
  <c r="U236" i="7"/>
  <c r="T236" i="7"/>
  <c r="M236" i="7"/>
  <c r="H236" i="7"/>
  <c r="E236" i="7"/>
  <c r="AA235" i="7"/>
  <c r="Z235" i="7"/>
  <c r="Y235" i="7"/>
  <c r="X235" i="7"/>
  <c r="U235" i="7"/>
  <c r="T235" i="7"/>
  <c r="V235" i="7" s="1"/>
  <c r="W235" i="7" s="1"/>
  <c r="M235" i="7"/>
  <c r="H235" i="7"/>
  <c r="E235" i="7"/>
  <c r="AA234" i="7"/>
  <c r="Z234" i="7"/>
  <c r="Y234" i="7"/>
  <c r="X234" i="7"/>
  <c r="W234" i="7"/>
  <c r="V234" i="7"/>
  <c r="U234" i="7"/>
  <c r="T234" i="7"/>
  <c r="M234" i="7"/>
  <c r="H234" i="7"/>
  <c r="E234" i="7"/>
  <c r="AA233" i="7"/>
  <c r="Z233" i="7"/>
  <c r="Y233" i="7"/>
  <c r="X233" i="7"/>
  <c r="V233" i="7"/>
  <c r="U233" i="7"/>
  <c r="T233" i="7"/>
  <c r="M233" i="7"/>
  <c r="H233" i="7"/>
  <c r="E233" i="7"/>
  <c r="AA232" i="7"/>
  <c r="Z232" i="7"/>
  <c r="Y232" i="7"/>
  <c r="X232" i="7"/>
  <c r="U232" i="7"/>
  <c r="T232" i="7"/>
  <c r="V232" i="7" s="1"/>
  <c r="M232" i="7"/>
  <c r="W232" i="7" s="1"/>
  <c r="H232" i="7"/>
  <c r="E232" i="7"/>
  <c r="AA231" i="7"/>
  <c r="Z231" i="7"/>
  <c r="Y231" i="7"/>
  <c r="X231" i="7"/>
  <c r="U231" i="7"/>
  <c r="T231" i="7"/>
  <c r="V231" i="7" s="1"/>
  <c r="M231" i="7"/>
  <c r="H231" i="7"/>
  <c r="E231" i="7"/>
  <c r="AA230" i="7"/>
  <c r="Z230" i="7"/>
  <c r="Y230" i="7"/>
  <c r="X230" i="7"/>
  <c r="W230" i="7"/>
  <c r="V230" i="7"/>
  <c r="U230" i="7"/>
  <c r="T230" i="7"/>
  <c r="M230" i="7"/>
  <c r="H230" i="7"/>
  <c r="E230" i="7"/>
  <c r="AA229" i="7"/>
  <c r="Z229" i="7"/>
  <c r="Y229" i="7"/>
  <c r="X229" i="7"/>
  <c r="V229" i="7"/>
  <c r="W229" i="7" s="1"/>
  <c r="U229" i="7"/>
  <c r="T229" i="7"/>
  <c r="M229" i="7"/>
  <c r="H229" i="7"/>
  <c r="E229" i="7"/>
  <c r="AA228" i="7"/>
  <c r="Z228" i="7"/>
  <c r="Y228" i="7"/>
  <c r="X228" i="7"/>
  <c r="V228" i="7"/>
  <c r="W228" i="7" s="1"/>
  <c r="U228" i="7"/>
  <c r="T228" i="7"/>
  <c r="M228" i="7"/>
  <c r="H228" i="7"/>
  <c r="E228" i="7"/>
  <c r="AA227" i="7"/>
  <c r="Z227" i="7"/>
  <c r="Y227" i="7"/>
  <c r="X227" i="7"/>
  <c r="U227" i="7"/>
  <c r="T227" i="7"/>
  <c r="V227" i="7" s="1"/>
  <c r="M227" i="7"/>
  <c r="H227" i="7"/>
  <c r="E227" i="7"/>
  <c r="AA226" i="7"/>
  <c r="Z226" i="7"/>
  <c r="Y226" i="7"/>
  <c r="X226" i="7"/>
  <c r="U226" i="7"/>
  <c r="T226" i="7"/>
  <c r="V226" i="7" s="1"/>
  <c r="M226" i="7"/>
  <c r="W226" i="7" s="1"/>
  <c r="H226" i="7"/>
  <c r="E226" i="7"/>
  <c r="AA225" i="7"/>
  <c r="Z225" i="7"/>
  <c r="Y225" i="7"/>
  <c r="X225" i="7"/>
  <c r="W225" i="7"/>
  <c r="V225" i="7"/>
  <c r="U225" i="7"/>
  <c r="T225" i="7"/>
  <c r="M225" i="7"/>
  <c r="H225" i="7"/>
  <c r="E225" i="7"/>
  <c r="AA224" i="7"/>
  <c r="Z224" i="7"/>
  <c r="Y224" i="7"/>
  <c r="X224" i="7"/>
  <c r="V224" i="7"/>
  <c r="W224" i="7" s="1"/>
  <c r="U224" i="7"/>
  <c r="T224" i="7"/>
  <c r="M224" i="7"/>
  <c r="H224" i="7"/>
  <c r="E224" i="7"/>
  <c r="AA223" i="7"/>
  <c r="Z223" i="7"/>
  <c r="Y223" i="7"/>
  <c r="X223" i="7"/>
  <c r="V223" i="7"/>
  <c r="W223" i="7" s="1"/>
  <c r="U223" i="7"/>
  <c r="T223" i="7"/>
  <c r="M223" i="7"/>
  <c r="H223" i="7"/>
  <c r="E223" i="7"/>
  <c r="AA222" i="7"/>
  <c r="Z222" i="7"/>
  <c r="Y222" i="7"/>
  <c r="X222" i="7"/>
  <c r="U222" i="7"/>
  <c r="T222" i="7"/>
  <c r="V222" i="7" s="1"/>
  <c r="M222" i="7"/>
  <c r="W222" i="7" s="1"/>
  <c r="H222" i="7"/>
  <c r="E222" i="7"/>
  <c r="AA221" i="7"/>
  <c r="Z221" i="7"/>
  <c r="Y221" i="7"/>
  <c r="X221" i="7"/>
  <c r="U221" i="7"/>
  <c r="T221" i="7"/>
  <c r="V221" i="7" s="1"/>
  <c r="M221" i="7"/>
  <c r="H221" i="7"/>
  <c r="E221" i="7"/>
  <c r="AA220" i="7"/>
  <c r="Z220" i="7"/>
  <c r="Y220" i="7"/>
  <c r="X220" i="7"/>
  <c r="U220" i="7"/>
  <c r="T220" i="7"/>
  <c r="V220" i="7" s="1"/>
  <c r="M220" i="7"/>
  <c r="W220" i="7" s="1"/>
  <c r="H220" i="7"/>
  <c r="E220" i="7"/>
  <c r="AA219" i="7"/>
  <c r="Z219" i="7"/>
  <c r="Y219" i="7"/>
  <c r="X219" i="7"/>
  <c r="W219" i="7"/>
  <c r="V219" i="7"/>
  <c r="U219" i="7"/>
  <c r="T219" i="7"/>
  <c r="M219" i="7"/>
  <c r="H219" i="7"/>
  <c r="E219" i="7"/>
  <c r="AA218" i="7"/>
  <c r="Z218" i="7"/>
  <c r="Y218" i="7"/>
  <c r="X218" i="7"/>
  <c r="V218" i="7"/>
  <c r="W218" i="7" s="1"/>
  <c r="U218" i="7"/>
  <c r="T218" i="7"/>
  <c r="M218" i="7"/>
  <c r="H218" i="7"/>
  <c r="E218" i="7"/>
  <c r="AA217" i="7"/>
  <c r="Z217" i="7"/>
  <c r="Y217" i="7"/>
  <c r="X217" i="7"/>
  <c r="V217" i="7"/>
  <c r="W217" i="7" s="1"/>
  <c r="U217" i="7"/>
  <c r="T217" i="7"/>
  <c r="M217" i="7"/>
  <c r="H217" i="7"/>
  <c r="E217" i="7"/>
  <c r="AA216" i="7"/>
  <c r="Z216" i="7"/>
  <c r="Y216" i="7"/>
  <c r="X216" i="7"/>
  <c r="U216" i="7"/>
  <c r="T216" i="7"/>
  <c r="V216" i="7" s="1"/>
  <c r="M216" i="7"/>
  <c r="W216" i="7" s="1"/>
  <c r="H216" i="7"/>
  <c r="E216" i="7"/>
  <c r="AA215" i="7"/>
  <c r="Z215" i="7"/>
  <c r="Y215" i="7"/>
  <c r="X215" i="7"/>
  <c r="U215" i="7"/>
  <c r="T215" i="7"/>
  <c r="V215" i="7" s="1"/>
  <c r="M215" i="7"/>
  <c r="H215" i="7"/>
  <c r="E215" i="7"/>
  <c r="AA214" i="7"/>
  <c r="Z214" i="7"/>
  <c r="Y214" i="7"/>
  <c r="X214" i="7"/>
  <c r="U214" i="7"/>
  <c r="T214" i="7"/>
  <c r="V214" i="7" s="1"/>
  <c r="M214" i="7"/>
  <c r="W214" i="7" s="1"/>
  <c r="H214" i="7"/>
  <c r="E214" i="7"/>
  <c r="AA213" i="7"/>
  <c r="Z213" i="7"/>
  <c r="Y213" i="7"/>
  <c r="X213" i="7"/>
  <c r="W213" i="7"/>
  <c r="V213" i="7"/>
  <c r="U213" i="7"/>
  <c r="T213" i="7"/>
  <c r="M213" i="7"/>
  <c r="H213" i="7"/>
  <c r="E213" i="7"/>
  <c r="AA212" i="7"/>
  <c r="Z212" i="7"/>
  <c r="Y212" i="7"/>
  <c r="X212" i="7"/>
  <c r="V212" i="7"/>
  <c r="W212" i="7" s="1"/>
  <c r="U212" i="7"/>
  <c r="T212" i="7"/>
  <c r="M212" i="7"/>
  <c r="H212" i="7"/>
  <c r="E212" i="7"/>
  <c r="AA211" i="7"/>
  <c r="Z211" i="7"/>
  <c r="Y211" i="7"/>
  <c r="X211" i="7"/>
  <c r="V211" i="7"/>
  <c r="W211" i="7" s="1"/>
  <c r="U211" i="7"/>
  <c r="T211" i="7"/>
  <c r="M211" i="7"/>
  <c r="H211" i="7"/>
  <c r="E211" i="7"/>
  <c r="AA210" i="7"/>
  <c r="Z210" i="7"/>
  <c r="Y210" i="7"/>
  <c r="X210" i="7"/>
  <c r="U210" i="7"/>
  <c r="T210" i="7"/>
  <c r="V210" i="7" s="1"/>
  <c r="M210" i="7"/>
  <c r="W210" i="7" s="1"/>
  <c r="H210" i="7"/>
  <c r="E210" i="7"/>
  <c r="AA209" i="7"/>
  <c r="Z209" i="7"/>
  <c r="Y209" i="7"/>
  <c r="X209" i="7"/>
  <c r="U209" i="7"/>
  <c r="T209" i="7"/>
  <c r="V209" i="7" s="1"/>
  <c r="M209" i="7"/>
  <c r="H209" i="7"/>
  <c r="E209" i="7"/>
  <c r="AA208" i="7"/>
  <c r="Z208" i="7"/>
  <c r="Y208" i="7"/>
  <c r="X208" i="7"/>
  <c r="U208" i="7"/>
  <c r="T208" i="7"/>
  <c r="V208" i="7" s="1"/>
  <c r="M208" i="7"/>
  <c r="W208" i="7" s="1"/>
  <c r="H208" i="7"/>
  <c r="E208" i="7"/>
  <c r="AA207" i="7"/>
  <c r="Z207" i="7"/>
  <c r="Y207" i="7"/>
  <c r="X207" i="7"/>
  <c r="W207" i="7"/>
  <c r="V207" i="7"/>
  <c r="U207" i="7"/>
  <c r="T207" i="7"/>
  <c r="M207" i="7"/>
  <c r="H207" i="7"/>
  <c r="E207" i="7"/>
  <c r="AA206" i="7"/>
  <c r="Z206" i="7"/>
  <c r="Y206" i="7"/>
  <c r="X206" i="7"/>
  <c r="V206" i="7"/>
  <c r="W206" i="7" s="1"/>
  <c r="U206" i="7"/>
  <c r="T206" i="7"/>
  <c r="M206" i="7"/>
  <c r="H206" i="7"/>
  <c r="E206" i="7"/>
  <c r="AA205" i="7"/>
  <c r="Z205" i="7"/>
  <c r="Y205" i="7"/>
  <c r="X205" i="7"/>
  <c r="V205" i="7"/>
  <c r="W205" i="7" s="1"/>
  <c r="U205" i="7"/>
  <c r="T205" i="7"/>
  <c r="M205" i="7"/>
  <c r="H205" i="7"/>
  <c r="E205" i="7"/>
  <c r="AA204" i="7"/>
  <c r="Z204" i="7"/>
  <c r="Y204" i="7"/>
  <c r="X204" i="7"/>
  <c r="U204" i="7"/>
  <c r="T204" i="7"/>
  <c r="V204" i="7" s="1"/>
  <c r="M204" i="7"/>
  <c r="W204" i="7" s="1"/>
  <c r="H204" i="7"/>
  <c r="E204" i="7"/>
  <c r="AA203" i="7"/>
  <c r="Z203" i="7"/>
  <c r="Y203" i="7"/>
  <c r="X203" i="7"/>
  <c r="U203" i="7"/>
  <c r="T203" i="7"/>
  <c r="V203" i="7" s="1"/>
  <c r="M203" i="7"/>
  <c r="H203" i="7"/>
  <c r="E203" i="7"/>
  <c r="AA202" i="7"/>
  <c r="Z202" i="7"/>
  <c r="Y202" i="7"/>
  <c r="X202" i="7"/>
  <c r="U202" i="7"/>
  <c r="T202" i="7"/>
  <c r="V202" i="7" s="1"/>
  <c r="M202" i="7"/>
  <c r="W202" i="7" s="1"/>
  <c r="H202" i="7"/>
  <c r="E202" i="7"/>
  <c r="AA201" i="7"/>
  <c r="Z201" i="7"/>
  <c r="Y201" i="7"/>
  <c r="X201" i="7"/>
  <c r="W201" i="7"/>
  <c r="V201" i="7"/>
  <c r="U201" i="7"/>
  <c r="T201" i="7"/>
  <c r="M201" i="7"/>
  <c r="H201" i="7"/>
  <c r="E201" i="7"/>
  <c r="AA200" i="7"/>
  <c r="Z200" i="7"/>
  <c r="Y200" i="7"/>
  <c r="X200" i="7"/>
  <c r="V200" i="7"/>
  <c r="W200" i="7" s="1"/>
  <c r="U200" i="7"/>
  <c r="T200" i="7"/>
  <c r="M200" i="7"/>
  <c r="H200" i="7"/>
  <c r="E200" i="7"/>
  <c r="AA199" i="7"/>
  <c r="Z199" i="7"/>
  <c r="Y199" i="7"/>
  <c r="X199" i="7"/>
  <c r="V199" i="7"/>
  <c r="W199" i="7" s="1"/>
  <c r="U199" i="7"/>
  <c r="T199" i="7"/>
  <c r="M199" i="7"/>
  <c r="H199" i="7"/>
  <c r="E199" i="7"/>
  <c r="AA198" i="7"/>
  <c r="Z198" i="7"/>
  <c r="Y198" i="7"/>
  <c r="X198" i="7"/>
  <c r="U198" i="7"/>
  <c r="T198" i="7"/>
  <c r="V198" i="7" s="1"/>
  <c r="M198" i="7"/>
  <c r="W198" i="7" s="1"/>
  <c r="H198" i="7"/>
  <c r="E198" i="7"/>
  <c r="AA197" i="7"/>
  <c r="Z197" i="7"/>
  <c r="Y197" i="7"/>
  <c r="X197" i="7"/>
  <c r="U197" i="7"/>
  <c r="T197" i="7"/>
  <c r="V197" i="7" s="1"/>
  <c r="M197" i="7"/>
  <c r="K197" i="7"/>
  <c r="H197" i="7" s="1"/>
  <c r="E197" i="7"/>
  <c r="AA196" i="7"/>
  <c r="Z196" i="7"/>
  <c r="Y196" i="7"/>
  <c r="X196" i="7"/>
  <c r="U196" i="7"/>
  <c r="T196" i="7"/>
  <c r="V196" i="7" s="1"/>
  <c r="M196" i="7"/>
  <c r="W196" i="7" s="1"/>
  <c r="H196" i="7"/>
  <c r="E196" i="7"/>
  <c r="AA195" i="7"/>
  <c r="Z195" i="7"/>
  <c r="Y195" i="7"/>
  <c r="X195" i="7"/>
  <c r="U195" i="7"/>
  <c r="T195" i="7"/>
  <c r="V195" i="7" s="1"/>
  <c r="M195" i="7"/>
  <c r="H195" i="7"/>
  <c r="E195" i="7"/>
  <c r="AA194" i="7"/>
  <c r="Z194" i="7"/>
  <c r="Y194" i="7"/>
  <c r="X194" i="7"/>
  <c r="W194" i="7"/>
  <c r="V194" i="7"/>
  <c r="U194" i="7"/>
  <c r="T194" i="7"/>
  <c r="M194" i="7"/>
  <c r="H194" i="7"/>
  <c r="E194" i="7"/>
  <c r="AA193" i="7"/>
  <c r="Z193" i="7"/>
  <c r="Y193" i="7"/>
  <c r="X193" i="7"/>
  <c r="V193" i="7"/>
  <c r="W193" i="7" s="1"/>
  <c r="U193" i="7"/>
  <c r="T193" i="7"/>
  <c r="M193" i="7"/>
  <c r="H193" i="7"/>
  <c r="E193" i="7"/>
  <c r="AA192" i="7"/>
  <c r="Z192" i="7"/>
  <c r="Y192" i="7"/>
  <c r="X192" i="7"/>
  <c r="V192" i="7"/>
  <c r="W192" i="7" s="1"/>
  <c r="U192" i="7"/>
  <c r="T192" i="7"/>
  <c r="M192" i="7"/>
  <c r="H192" i="7"/>
  <c r="E192" i="7"/>
  <c r="AA191" i="7"/>
  <c r="Z191" i="7"/>
  <c r="Y191" i="7"/>
  <c r="X191" i="7"/>
  <c r="U191" i="7"/>
  <c r="T191" i="7"/>
  <c r="V191" i="7" s="1"/>
  <c r="M191" i="7"/>
  <c r="H191" i="7"/>
  <c r="E191" i="7"/>
  <c r="AA190" i="7"/>
  <c r="Z190" i="7"/>
  <c r="Y190" i="7"/>
  <c r="X190" i="7"/>
  <c r="U190" i="7"/>
  <c r="T190" i="7"/>
  <c r="V190" i="7" s="1"/>
  <c r="M190" i="7"/>
  <c r="W190" i="7" s="1"/>
  <c r="H190" i="7"/>
  <c r="E190" i="7"/>
  <c r="AA189" i="7"/>
  <c r="Z189" i="7"/>
  <c r="Y189" i="7"/>
  <c r="X189" i="7"/>
  <c r="U189" i="7"/>
  <c r="T189" i="7"/>
  <c r="V189" i="7" s="1"/>
  <c r="M189" i="7"/>
  <c r="H189" i="7"/>
  <c r="E189" i="7"/>
  <c r="AA188" i="7"/>
  <c r="Z188" i="7"/>
  <c r="Y188" i="7"/>
  <c r="X188" i="7"/>
  <c r="W188" i="7"/>
  <c r="V188" i="7"/>
  <c r="U188" i="7"/>
  <c r="T188" i="7"/>
  <c r="M188" i="7"/>
  <c r="H188" i="7"/>
  <c r="E188" i="7"/>
  <c r="AA187" i="7"/>
  <c r="Z187" i="7"/>
  <c r="Y187" i="7"/>
  <c r="X187" i="7"/>
  <c r="V187" i="7"/>
  <c r="W187" i="7" s="1"/>
  <c r="U187" i="7"/>
  <c r="T187" i="7"/>
  <c r="M187" i="7"/>
  <c r="H187" i="7"/>
  <c r="E187" i="7"/>
  <c r="AA186" i="7"/>
  <c r="Z186" i="7"/>
  <c r="Y186" i="7"/>
  <c r="X186" i="7"/>
  <c r="V186" i="7"/>
  <c r="W186" i="7" s="1"/>
  <c r="U186" i="7"/>
  <c r="T186" i="7"/>
  <c r="M186" i="7"/>
  <c r="H186" i="7"/>
  <c r="E186" i="7"/>
  <c r="AA185" i="7"/>
  <c r="Z185" i="7"/>
  <c r="Y185" i="7"/>
  <c r="X185" i="7"/>
  <c r="U185" i="7"/>
  <c r="T185" i="7"/>
  <c r="V185" i="7" s="1"/>
  <c r="M185" i="7"/>
  <c r="H185" i="7"/>
  <c r="E185" i="7"/>
  <c r="AA184" i="7"/>
  <c r="Z184" i="7"/>
  <c r="Y184" i="7"/>
  <c r="X184" i="7"/>
  <c r="U184" i="7"/>
  <c r="T184" i="7"/>
  <c r="V184" i="7" s="1"/>
  <c r="M184" i="7"/>
  <c r="W184" i="7" s="1"/>
  <c r="H184" i="7"/>
  <c r="E184" i="7"/>
  <c r="AA183" i="7"/>
  <c r="Z183" i="7"/>
  <c r="Y183" i="7"/>
  <c r="X183" i="7"/>
  <c r="U183" i="7"/>
  <c r="T183" i="7"/>
  <c r="V183" i="7" s="1"/>
  <c r="M183" i="7"/>
  <c r="H183" i="7"/>
  <c r="E183" i="7"/>
  <c r="AA182" i="7"/>
  <c r="Z182" i="7"/>
  <c r="Y182" i="7"/>
  <c r="X182" i="7"/>
  <c r="W182" i="7"/>
  <c r="V182" i="7"/>
  <c r="U182" i="7"/>
  <c r="T182" i="7"/>
  <c r="M182" i="7"/>
  <c r="H182" i="7"/>
  <c r="E182" i="7"/>
  <c r="AA181" i="7"/>
  <c r="Z181" i="7"/>
  <c r="Y181" i="7"/>
  <c r="X181" i="7"/>
  <c r="V181" i="7"/>
  <c r="W181" i="7" s="1"/>
  <c r="U181" i="7"/>
  <c r="T181" i="7"/>
  <c r="M181" i="7"/>
  <c r="H181" i="7"/>
  <c r="E181" i="7"/>
  <c r="AA180" i="7"/>
  <c r="Z180" i="7"/>
  <c r="Y180" i="7"/>
  <c r="X180" i="7"/>
  <c r="V180" i="7"/>
  <c r="W180" i="7" s="1"/>
  <c r="U180" i="7"/>
  <c r="T180" i="7"/>
  <c r="M180" i="7"/>
  <c r="H180" i="7"/>
  <c r="E180" i="7"/>
  <c r="AA179" i="7"/>
  <c r="Z179" i="7"/>
  <c r="Y179" i="7"/>
  <c r="X179" i="7"/>
  <c r="U179" i="7"/>
  <c r="T179" i="7"/>
  <c r="V179" i="7" s="1"/>
  <c r="M179" i="7"/>
  <c r="H179" i="7"/>
  <c r="E179" i="7"/>
  <c r="AA178" i="7"/>
  <c r="Z178" i="7"/>
  <c r="Y178" i="7"/>
  <c r="X178" i="7"/>
  <c r="U178" i="7"/>
  <c r="T178" i="7"/>
  <c r="V178" i="7" s="1"/>
  <c r="M178" i="7"/>
  <c r="W178" i="7" s="1"/>
  <c r="H178" i="7"/>
  <c r="E178" i="7"/>
  <c r="AA177" i="7"/>
  <c r="Z177" i="7"/>
  <c r="Y177" i="7"/>
  <c r="X177" i="7"/>
  <c r="U177" i="7"/>
  <c r="T177" i="7"/>
  <c r="V177" i="7" s="1"/>
  <c r="M177" i="7"/>
  <c r="H177" i="7"/>
  <c r="E177" i="7"/>
  <c r="AA176" i="7"/>
  <c r="Z176" i="7"/>
  <c r="Y176" i="7"/>
  <c r="X176" i="7"/>
  <c r="W176" i="7"/>
  <c r="V176" i="7"/>
  <c r="U176" i="7"/>
  <c r="T176" i="7"/>
  <c r="M176" i="7"/>
  <c r="H176" i="7"/>
  <c r="E176" i="7"/>
  <c r="AA175" i="7"/>
  <c r="Z175" i="7"/>
  <c r="Y175" i="7"/>
  <c r="X175" i="7"/>
  <c r="V175" i="7"/>
  <c r="W175" i="7" s="1"/>
  <c r="U175" i="7"/>
  <c r="T175" i="7"/>
  <c r="M175" i="7"/>
  <c r="H175" i="7"/>
  <c r="E175" i="7"/>
  <c r="AA174" i="7"/>
  <c r="Z174" i="7"/>
  <c r="Y174" i="7"/>
  <c r="X174" i="7"/>
  <c r="V174" i="7"/>
  <c r="W174" i="7" s="1"/>
  <c r="U174" i="7"/>
  <c r="T174" i="7"/>
  <c r="M174" i="7"/>
  <c r="H174" i="7"/>
  <c r="E174" i="7"/>
  <c r="AA173" i="7"/>
  <c r="Z173" i="7"/>
  <c r="Y173" i="7"/>
  <c r="X173" i="7"/>
  <c r="U173" i="7"/>
  <c r="T173" i="7"/>
  <c r="V173" i="7" s="1"/>
  <c r="M173" i="7"/>
  <c r="H173" i="7"/>
  <c r="E173" i="7"/>
  <c r="AA172" i="7"/>
  <c r="Z172" i="7"/>
  <c r="Y172" i="7"/>
  <c r="X172" i="7"/>
  <c r="U172" i="7"/>
  <c r="T172" i="7"/>
  <c r="V172" i="7" s="1"/>
  <c r="M172" i="7"/>
  <c r="W172" i="7" s="1"/>
  <c r="H172" i="7"/>
  <c r="E172" i="7"/>
  <c r="AA171" i="7"/>
  <c r="Z171" i="7"/>
  <c r="Y171" i="7"/>
  <c r="X171" i="7"/>
  <c r="U171" i="7"/>
  <c r="T171" i="7"/>
  <c r="V171" i="7" s="1"/>
  <c r="M171" i="7"/>
  <c r="H171" i="7"/>
  <c r="E171" i="7"/>
  <c r="AA170" i="7"/>
  <c r="Z170" i="7"/>
  <c r="Y170" i="7"/>
  <c r="X170" i="7"/>
  <c r="W170" i="7"/>
  <c r="V170" i="7"/>
  <c r="U170" i="7"/>
  <c r="T170" i="7"/>
  <c r="M170" i="7"/>
  <c r="H170" i="7"/>
  <c r="E170" i="7"/>
  <c r="AA169" i="7"/>
  <c r="Z169" i="7"/>
  <c r="Y169" i="7"/>
  <c r="X169" i="7"/>
  <c r="V169" i="7"/>
  <c r="U169" i="7"/>
  <c r="T169" i="7"/>
  <c r="M169" i="7"/>
  <c r="H169" i="7"/>
  <c r="E169" i="7"/>
  <c r="AA168" i="7"/>
  <c r="Z168" i="7"/>
  <c r="Y168" i="7"/>
  <c r="X168" i="7"/>
  <c r="V168" i="7"/>
  <c r="W168" i="7" s="1"/>
  <c r="U168" i="7"/>
  <c r="T168" i="7"/>
  <c r="M168" i="7"/>
  <c r="H168" i="7"/>
  <c r="E168" i="7"/>
  <c r="AA167" i="7"/>
  <c r="Z167" i="7"/>
  <c r="Y167" i="7"/>
  <c r="X167" i="7"/>
  <c r="U167" i="7"/>
  <c r="T167" i="7"/>
  <c r="V167" i="7" s="1"/>
  <c r="W167" i="7" s="1"/>
  <c r="M167" i="7"/>
  <c r="H167" i="7"/>
  <c r="E167" i="7"/>
  <c r="Z166" i="7"/>
  <c r="Y166" i="7"/>
  <c r="X166" i="7"/>
  <c r="U166" i="7"/>
  <c r="T166" i="7"/>
  <c r="V166" i="7" s="1"/>
  <c r="S166" i="7"/>
  <c r="AA166" i="7" s="1"/>
  <c r="M166" i="7"/>
  <c r="W166" i="7" s="1"/>
  <c r="AA165" i="7"/>
  <c r="Z165" i="7"/>
  <c r="Y165" i="7"/>
  <c r="X165" i="7"/>
  <c r="W165" i="7"/>
  <c r="V165" i="7"/>
  <c r="U165" i="7"/>
  <c r="T165" i="7"/>
  <c r="M165" i="7"/>
  <c r="H165" i="7"/>
  <c r="E165" i="7"/>
  <c r="AA164" i="7"/>
  <c r="Z164" i="7"/>
  <c r="Y164" i="7"/>
  <c r="X164" i="7"/>
  <c r="V164" i="7"/>
  <c r="W164" i="7" s="1"/>
  <c r="U164" i="7"/>
  <c r="T164" i="7"/>
  <c r="M164" i="7"/>
  <c r="H164" i="7"/>
  <c r="E164" i="7"/>
  <c r="AA163" i="7"/>
  <c r="Z163" i="7"/>
  <c r="Y163" i="7"/>
  <c r="X163" i="7"/>
  <c r="V163" i="7"/>
  <c r="W163" i="7" s="1"/>
  <c r="U163" i="7"/>
  <c r="T163" i="7"/>
  <c r="M163" i="7"/>
  <c r="H163" i="7"/>
  <c r="E163" i="7"/>
  <c r="AA162" i="7"/>
  <c r="Z162" i="7"/>
  <c r="Y162" i="7"/>
  <c r="X162" i="7"/>
  <c r="U162" i="7"/>
  <c r="T162" i="7"/>
  <c r="V162" i="7" s="1"/>
  <c r="M162" i="7"/>
  <c r="W162" i="7" s="1"/>
  <c r="H162" i="7"/>
  <c r="E162" i="7"/>
  <c r="AA161" i="7"/>
  <c r="Z161" i="7"/>
  <c r="Y161" i="7"/>
  <c r="X161" i="7"/>
  <c r="U161" i="7"/>
  <c r="T161" i="7"/>
  <c r="V161" i="7" s="1"/>
  <c r="M161" i="7"/>
  <c r="AA160" i="7"/>
  <c r="Z160" i="7"/>
  <c r="Y160" i="7"/>
  <c r="X160" i="7"/>
  <c r="V160" i="7"/>
  <c r="W160" i="7" s="1"/>
  <c r="U160" i="7"/>
  <c r="T160" i="7"/>
  <c r="S160" i="7"/>
  <c r="M160" i="7"/>
  <c r="J160" i="7"/>
  <c r="H160" i="7"/>
  <c r="AA159" i="7"/>
  <c r="Z159" i="7"/>
  <c r="Y159" i="7"/>
  <c r="X159" i="7"/>
  <c r="V159" i="7"/>
  <c r="W159" i="7" s="1"/>
  <c r="U159" i="7"/>
  <c r="T159" i="7"/>
  <c r="M159" i="7"/>
  <c r="H159" i="7"/>
  <c r="E159" i="7"/>
  <c r="AA158" i="7"/>
  <c r="Z158" i="7"/>
  <c r="Y158" i="7"/>
  <c r="X158" i="7"/>
  <c r="V158" i="7"/>
  <c r="W158" i="7" s="1"/>
  <c r="U158" i="7"/>
  <c r="T158" i="7"/>
  <c r="S158" i="7"/>
  <c r="M158" i="7"/>
  <c r="AA157" i="7"/>
  <c r="Z157" i="7"/>
  <c r="Y157" i="7"/>
  <c r="X157" i="7"/>
  <c r="U157" i="7"/>
  <c r="T157" i="7"/>
  <c r="V157" i="7" s="1"/>
  <c r="M157" i="7"/>
  <c r="W157" i="7" s="1"/>
  <c r="H157" i="7"/>
  <c r="E157" i="7"/>
  <c r="Z156" i="7"/>
  <c r="Y156" i="7"/>
  <c r="X156" i="7"/>
  <c r="U156" i="7"/>
  <c r="T156" i="7"/>
  <c r="V156" i="7" s="1"/>
  <c r="S156" i="7"/>
  <c r="AA156" i="7" s="1"/>
  <c r="M156" i="7"/>
  <c r="W156" i="7" s="1"/>
  <c r="AA155" i="7"/>
  <c r="Z155" i="7"/>
  <c r="Y155" i="7"/>
  <c r="X155" i="7"/>
  <c r="V155" i="7"/>
  <c r="W155" i="7" s="1"/>
  <c r="U155" i="7"/>
  <c r="T155" i="7"/>
  <c r="M155" i="7"/>
  <c r="H155" i="7"/>
  <c r="E155" i="7"/>
  <c r="AA154" i="7"/>
  <c r="Z154" i="7"/>
  <c r="Y154" i="7"/>
  <c r="X154" i="7"/>
  <c r="V154" i="7"/>
  <c r="W154" i="7" s="1"/>
  <c r="U154" i="7"/>
  <c r="T154" i="7"/>
  <c r="M154" i="7"/>
  <c r="H154" i="7"/>
  <c r="AA153" i="7"/>
  <c r="Z153" i="7"/>
  <c r="Y153" i="7"/>
  <c r="X153" i="7"/>
  <c r="U153" i="7"/>
  <c r="T153" i="7"/>
  <c r="V153" i="7" s="1"/>
  <c r="M153" i="7"/>
  <c r="H153" i="7"/>
  <c r="AA152" i="7"/>
  <c r="Z152" i="7"/>
  <c r="Y152" i="7"/>
  <c r="X152" i="7"/>
  <c r="W152" i="7"/>
  <c r="V152" i="7"/>
  <c r="U152" i="7"/>
  <c r="T152" i="7"/>
  <c r="M152" i="7"/>
  <c r="H152" i="7"/>
  <c r="AA151" i="7"/>
  <c r="Z151" i="7"/>
  <c r="Y151" i="7"/>
  <c r="X151" i="7"/>
  <c r="V151" i="7"/>
  <c r="W151" i="7" s="1"/>
  <c r="U151" i="7"/>
  <c r="T151" i="7"/>
  <c r="M151" i="7"/>
  <c r="H151" i="7"/>
  <c r="Z150" i="7"/>
  <c r="Y150" i="7"/>
  <c r="X150" i="7"/>
  <c r="U150" i="7"/>
  <c r="T150" i="7"/>
  <c r="V150" i="7" s="1"/>
  <c r="S150" i="7"/>
  <c r="AA150" i="7" s="1"/>
  <c r="M150" i="7"/>
  <c r="J150" i="7"/>
  <c r="H150" i="7"/>
  <c r="AA149" i="7"/>
  <c r="Z149" i="7"/>
  <c r="Y149" i="7"/>
  <c r="X149" i="7"/>
  <c r="U149" i="7"/>
  <c r="T149" i="7"/>
  <c r="V149" i="7" s="1"/>
  <c r="M149" i="7"/>
  <c r="H149" i="7"/>
  <c r="E149" i="7"/>
  <c r="AA148" i="7"/>
  <c r="Z148" i="7"/>
  <c r="Y148" i="7"/>
  <c r="X148" i="7"/>
  <c r="U148" i="7"/>
  <c r="T148" i="7"/>
  <c r="V148" i="7" s="1"/>
  <c r="M148" i="7"/>
  <c r="W148" i="7" s="1"/>
  <c r="H148" i="7"/>
  <c r="E148" i="7"/>
  <c r="Z147" i="7"/>
  <c r="Y147" i="7"/>
  <c r="X147" i="7"/>
  <c r="U147" i="7"/>
  <c r="T147" i="7"/>
  <c r="R147" i="7"/>
  <c r="R566" i="7" s="1"/>
  <c r="M147" i="7"/>
  <c r="H147" i="7"/>
  <c r="E147" i="7"/>
  <c r="AA146" i="7"/>
  <c r="Z146" i="7"/>
  <c r="Y146" i="7"/>
  <c r="X146" i="7"/>
  <c r="W146" i="7"/>
  <c r="V146" i="7"/>
  <c r="U146" i="7"/>
  <c r="T146" i="7"/>
  <c r="M146" i="7"/>
  <c r="H146" i="7"/>
  <c r="AA145" i="7"/>
  <c r="Z145" i="7"/>
  <c r="Y145" i="7"/>
  <c r="X145" i="7"/>
  <c r="V145" i="7"/>
  <c r="W145" i="7" s="1"/>
  <c r="U145" i="7"/>
  <c r="T145" i="7"/>
  <c r="M145" i="7"/>
  <c r="H145" i="7"/>
  <c r="E145" i="7"/>
  <c r="AA144" i="7"/>
  <c r="Z144" i="7"/>
  <c r="Y144" i="7"/>
  <c r="X144" i="7"/>
  <c r="U144" i="7"/>
  <c r="T144" i="7"/>
  <c r="V144" i="7" s="1"/>
  <c r="W144" i="7" s="1"/>
  <c r="M144" i="7"/>
  <c r="H144" i="7"/>
  <c r="E144" i="7"/>
  <c r="AA143" i="7"/>
  <c r="Z143" i="7"/>
  <c r="Y143" i="7"/>
  <c r="X143" i="7"/>
  <c r="U143" i="7"/>
  <c r="T143" i="7"/>
  <c r="V143" i="7" s="1"/>
  <c r="W143" i="7" s="1"/>
  <c r="M143" i="7"/>
  <c r="H143" i="7"/>
  <c r="E143" i="7"/>
  <c r="AA142" i="7"/>
  <c r="Z142" i="7"/>
  <c r="Y142" i="7"/>
  <c r="X142" i="7"/>
  <c r="U142" i="7"/>
  <c r="T142" i="7"/>
  <c r="V142" i="7" s="1"/>
  <c r="W142" i="7" s="1"/>
  <c r="M142" i="7"/>
  <c r="H142" i="7"/>
  <c r="E142" i="7"/>
  <c r="AA141" i="7"/>
  <c r="Z141" i="7"/>
  <c r="Y141" i="7"/>
  <c r="X141" i="7"/>
  <c r="W141" i="7"/>
  <c r="V141" i="7"/>
  <c r="U141" i="7"/>
  <c r="T141" i="7"/>
  <c r="M141" i="7"/>
  <c r="H141" i="7"/>
  <c r="E141" i="7"/>
  <c r="AA140" i="7"/>
  <c r="Z140" i="7"/>
  <c r="Y140" i="7"/>
  <c r="X140" i="7"/>
  <c r="V140" i="7"/>
  <c r="W140" i="7" s="1"/>
  <c r="U140" i="7"/>
  <c r="T140" i="7"/>
  <c r="M140" i="7"/>
  <c r="AA139" i="7"/>
  <c r="Z139" i="7"/>
  <c r="Y139" i="7"/>
  <c r="X139" i="7"/>
  <c r="U139" i="7"/>
  <c r="T139" i="7"/>
  <c r="V139" i="7" s="1"/>
  <c r="M139" i="7"/>
  <c r="W139" i="7" s="1"/>
  <c r="H139" i="7"/>
  <c r="E139" i="7"/>
  <c r="AA138" i="7"/>
  <c r="Z138" i="7"/>
  <c r="Y138" i="7"/>
  <c r="X138" i="7"/>
  <c r="U138" i="7"/>
  <c r="T138" i="7"/>
  <c r="V138" i="7" s="1"/>
  <c r="M138" i="7"/>
  <c r="H138" i="7"/>
  <c r="E138" i="7"/>
  <c r="AA137" i="7"/>
  <c r="Z137" i="7"/>
  <c r="Y137" i="7"/>
  <c r="X137" i="7"/>
  <c r="V137" i="7"/>
  <c r="U137" i="7"/>
  <c r="T137" i="7"/>
  <c r="M137" i="7"/>
  <c r="W137" i="7" s="1"/>
  <c r="H137" i="7"/>
  <c r="AA136" i="7"/>
  <c r="Z136" i="7"/>
  <c r="Y136" i="7"/>
  <c r="X136" i="7"/>
  <c r="W136" i="7"/>
  <c r="V136" i="7"/>
  <c r="U136" i="7"/>
  <c r="T136" i="7"/>
  <c r="M136" i="7"/>
  <c r="H136" i="7"/>
  <c r="E136" i="7"/>
  <c r="AA135" i="7"/>
  <c r="Z135" i="7"/>
  <c r="Y135" i="7"/>
  <c r="X135" i="7"/>
  <c r="V135" i="7"/>
  <c r="U135" i="7"/>
  <c r="T135" i="7"/>
  <c r="M135" i="7"/>
  <c r="W135" i="7" s="1"/>
  <c r="H135" i="7"/>
  <c r="E135" i="7"/>
  <c r="AA134" i="7"/>
  <c r="Z134" i="7"/>
  <c r="Y134" i="7"/>
  <c r="X134" i="7"/>
  <c r="U134" i="7"/>
  <c r="T134" i="7"/>
  <c r="V134" i="7" s="1"/>
  <c r="M134" i="7"/>
  <c r="H134" i="7"/>
  <c r="E134" i="7"/>
  <c r="AA133" i="7"/>
  <c r="Z133" i="7"/>
  <c r="Y133" i="7"/>
  <c r="X133" i="7"/>
  <c r="U133" i="7"/>
  <c r="T133" i="7"/>
  <c r="V133" i="7" s="1"/>
  <c r="M133" i="7"/>
  <c r="W133" i="7" s="1"/>
  <c r="H133" i="7"/>
  <c r="E133" i="7"/>
  <c r="AA132" i="7"/>
  <c r="Z132" i="7"/>
  <c r="Y132" i="7"/>
  <c r="X132" i="7"/>
  <c r="W132" i="7"/>
  <c r="V132" i="7"/>
  <c r="U132" i="7"/>
  <c r="T132" i="7"/>
  <c r="M132" i="7"/>
  <c r="H132" i="7"/>
  <c r="E132" i="7"/>
  <c r="AA131" i="7"/>
  <c r="Z131" i="7"/>
  <c r="Y131" i="7"/>
  <c r="X131" i="7"/>
  <c r="W131" i="7"/>
  <c r="V131" i="7"/>
  <c r="U131" i="7"/>
  <c r="T131" i="7"/>
  <c r="M131" i="7"/>
  <c r="H131" i="7"/>
  <c r="AA130" i="7"/>
  <c r="Z130" i="7"/>
  <c r="Y130" i="7"/>
  <c r="X130" i="7"/>
  <c r="V130" i="7"/>
  <c r="U130" i="7"/>
  <c r="T130" i="7"/>
  <c r="M130" i="7"/>
  <c r="H130" i="7"/>
  <c r="E130" i="7"/>
  <c r="AA129" i="7"/>
  <c r="Z129" i="7"/>
  <c r="Y129" i="7"/>
  <c r="X129" i="7"/>
  <c r="U129" i="7"/>
  <c r="T129" i="7"/>
  <c r="V129" i="7" s="1"/>
  <c r="M129" i="7"/>
  <c r="W129" i="7" s="1"/>
  <c r="H129" i="7"/>
  <c r="E129" i="7"/>
  <c r="AA128" i="7"/>
  <c r="Z128" i="7"/>
  <c r="Y128" i="7"/>
  <c r="X128" i="7"/>
  <c r="U128" i="7"/>
  <c r="T128" i="7"/>
  <c r="V128" i="7" s="1"/>
  <c r="M128" i="7"/>
  <c r="W128" i="7" s="1"/>
  <c r="H128" i="7"/>
  <c r="E128" i="7"/>
  <c r="Z127" i="7"/>
  <c r="Y127" i="7"/>
  <c r="X127" i="7"/>
  <c r="T127" i="7"/>
  <c r="S127" i="7"/>
  <c r="R127" i="7"/>
  <c r="V127" i="7" s="1"/>
  <c r="I127" i="7"/>
  <c r="AA126" i="7"/>
  <c r="Z126" i="7"/>
  <c r="Y126" i="7"/>
  <c r="X126" i="7"/>
  <c r="U126" i="7"/>
  <c r="T126" i="7"/>
  <c r="V126" i="7" s="1"/>
  <c r="M126" i="7"/>
  <c r="W126" i="7" s="1"/>
  <c r="H126" i="7"/>
  <c r="AA125" i="7"/>
  <c r="Z125" i="7"/>
  <c r="Y125" i="7"/>
  <c r="X125" i="7"/>
  <c r="W125" i="7"/>
  <c r="V125" i="7"/>
  <c r="U125" i="7"/>
  <c r="T125" i="7"/>
  <c r="M125" i="7"/>
  <c r="AA124" i="7"/>
  <c r="Z124" i="7"/>
  <c r="Y124" i="7"/>
  <c r="X124" i="7"/>
  <c r="U124" i="7"/>
  <c r="T124" i="7"/>
  <c r="V124" i="7" s="1"/>
  <c r="W124" i="7" s="1"/>
  <c r="M124" i="7"/>
  <c r="H124" i="7"/>
  <c r="E124" i="7"/>
  <c r="AA123" i="7"/>
  <c r="Z123" i="7"/>
  <c r="Y123" i="7"/>
  <c r="X123" i="7"/>
  <c r="W123" i="7"/>
  <c r="U123" i="7"/>
  <c r="T123" i="7"/>
  <c r="V123" i="7" s="1"/>
  <c r="M123" i="7"/>
  <c r="H123" i="7"/>
  <c r="E123" i="7"/>
  <c r="AA122" i="7"/>
  <c r="Z122" i="7"/>
  <c r="Y122" i="7"/>
  <c r="X122" i="7"/>
  <c r="W122" i="7"/>
  <c r="V122" i="7"/>
  <c r="U122" i="7"/>
  <c r="T122" i="7"/>
  <c r="M122" i="7"/>
  <c r="H122" i="7"/>
  <c r="E122" i="7"/>
  <c r="AA121" i="7"/>
  <c r="Z121" i="7"/>
  <c r="Y121" i="7"/>
  <c r="X121" i="7"/>
  <c r="V121" i="7"/>
  <c r="W121" i="7" s="1"/>
  <c r="U121" i="7"/>
  <c r="T121" i="7"/>
  <c r="M121" i="7"/>
  <c r="H121" i="7"/>
  <c r="E121" i="7"/>
  <c r="AA120" i="7"/>
  <c r="Z120" i="7"/>
  <c r="Y120" i="7"/>
  <c r="X120" i="7"/>
  <c r="U120" i="7"/>
  <c r="T120" i="7"/>
  <c r="V120" i="7" s="1"/>
  <c r="M120" i="7"/>
  <c r="H120" i="7"/>
  <c r="E120" i="7"/>
  <c r="AA119" i="7"/>
  <c r="Z119" i="7"/>
  <c r="Y119" i="7"/>
  <c r="X119" i="7"/>
  <c r="U119" i="7"/>
  <c r="T119" i="7"/>
  <c r="V119" i="7" s="1"/>
  <c r="M119" i="7"/>
  <c r="H119" i="7"/>
  <c r="E119" i="7"/>
  <c r="AA118" i="7"/>
  <c r="Z118" i="7"/>
  <c r="Y118" i="7"/>
  <c r="X118" i="7"/>
  <c r="U118" i="7"/>
  <c r="T118" i="7"/>
  <c r="V118" i="7" s="1"/>
  <c r="M118" i="7"/>
  <c r="H118" i="7"/>
  <c r="E118" i="7"/>
  <c r="AA117" i="7"/>
  <c r="Z117" i="7"/>
  <c r="Y117" i="7"/>
  <c r="X117" i="7"/>
  <c r="U117" i="7"/>
  <c r="T117" i="7"/>
  <c r="V117" i="7" s="1"/>
  <c r="W117" i="7" s="1"/>
  <c r="M117" i="7"/>
  <c r="H117" i="7"/>
  <c r="E117" i="7"/>
  <c r="AA116" i="7"/>
  <c r="Z116" i="7"/>
  <c r="Y116" i="7"/>
  <c r="X116" i="7"/>
  <c r="W116" i="7"/>
  <c r="V116" i="7"/>
  <c r="U116" i="7"/>
  <c r="T116" i="7"/>
  <c r="M116" i="7"/>
  <c r="H116" i="7"/>
  <c r="E116" i="7"/>
  <c r="AA115" i="7"/>
  <c r="Z115" i="7"/>
  <c r="Y115" i="7"/>
  <c r="X115" i="7"/>
  <c r="V115" i="7"/>
  <c r="W115" i="7" s="1"/>
  <c r="U115" i="7"/>
  <c r="T115" i="7"/>
  <c r="M115" i="7"/>
  <c r="H115" i="7"/>
  <c r="E115" i="7"/>
  <c r="AA114" i="7"/>
  <c r="Z114" i="7"/>
  <c r="Y114" i="7"/>
  <c r="X114" i="7"/>
  <c r="W114" i="7"/>
  <c r="V114" i="7"/>
  <c r="U114" i="7"/>
  <c r="T114" i="7"/>
  <c r="M114" i="7"/>
  <c r="H114" i="7"/>
  <c r="E114" i="7"/>
  <c r="AA113" i="7"/>
  <c r="Z113" i="7"/>
  <c r="Y113" i="7"/>
  <c r="X113" i="7"/>
  <c r="U113" i="7"/>
  <c r="T113" i="7"/>
  <c r="V113" i="7" s="1"/>
  <c r="M113" i="7"/>
  <c r="W113" i="7" s="1"/>
  <c r="H113" i="7"/>
  <c r="E113" i="7"/>
  <c r="AA112" i="7"/>
  <c r="Z112" i="7"/>
  <c r="Y112" i="7"/>
  <c r="X112" i="7"/>
  <c r="U112" i="7"/>
  <c r="T112" i="7"/>
  <c r="V112" i="7" s="1"/>
  <c r="M112" i="7"/>
  <c r="E112" i="7"/>
  <c r="AA111" i="7"/>
  <c r="Z111" i="7"/>
  <c r="Y111" i="7"/>
  <c r="X111" i="7"/>
  <c r="V111" i="7"/>
  <c r="W111" i="7" s="1"/>
  <c r="U111" i="7"/>
  <c r="T111" i="7"/>
  <c r="M111" i="7"/>
  <c r="H111" i="7"/>
  <c r="AA110" i="7"/>
  <c r="Z110" i="7"/>
  <c r="Y110" i="7"/>
  <c r="X110" i="7"/>
  <c r="U110" i="7"/>
  <c r="T110" i="7"/>
  <c r="V110" i="7" s="1"/>
  <c r="W110" i="7" s="1"/>
  <c r="M110" i="7"/>
  <c r="H110" i="7"/>
  <c r="AA109" i="7"/>
  <c r="Z109" i="7"/>
  <c r="Y109" i="7"/>
  <c r="X109" i="7"/>
  <c r="U109" i="7"/>
  <c r="T109" i="7"/>
  <c r="V109" i="7" s="1"/>
  <c r="M109" i="7"/>
  <c r="H109" i="7"/>
  <c r="E109" i="7"/>
  <c r="AA108" i="7"/>
  <c r="Z108" i="7"/>
  <c r="Y108" i="7"/>
  <c r="X108" i="7"/>
  <c r="U108" i="7"/>
  <c r="T108" i="7"/>
  <c r="V108" i="7" s="1"/>
  <c r="W108" i="7" s="1"/>
  <c r="M108" i="7"/>
  <c r="H108" i="7"/>
  <c r="E108" i="7"/>
  <c r="AA107" i="7"/>
  <c r="Z107" i="7"/>
  <c r="Y107" i="7"/>
  <c r="X107" i="7"/>
  <c r="W107" i="7"/>
  <c r="V107" i="7"/>
  <c r="U107" i="7"/>
  <c r="T107" i="7"/>
  <c r="M107" i="7"/>
  <c r="H107" i="7"/>
  <c r="E107" i="7"/>
  <c r="AA106" i="7"/>
  <c r="Z106" i="7"/>
  <c r="Y106" i="7"/>
  <c r="X106" i="7"/>
  <c r="V106" i="7"/>
  <c r="W106" i="7" s="1"/>
  <c r="U106" i="7"/>
  <c r="T106" i="7"/>
  <c r="M106" i="7"/>
  <c r="H106" i="7"/>
  <c r="E106" i="7"/>
  <c r="AA105" i="7"/>
  <c r="Z105" i="7"/>
  <c r="Y105" i="7"/>
  <c r="X105" i="7"/>
  <c r="W105" i="7"/>
  <c r="V105" i="7"/>
  <c r="U105" i="7"/>
  <c r="T105" i="7"/>
  <c r="M105" i="7"/>
  <c r="H105" i="7"/>
  <c r="E105" i="7"/>
  <c r="AA104" i="7"/>
  <c r="Z104" i="7"/>
  <c r="Y104" i="7"/>
  <c r="X104" i="7"/>
  <c r="U104" i="7"/>
  <c r="T104" i="7"/>
  <c r="V104" i="7" s="1"/>
  <c r="M104" i="7"/>
  <c r="W104" i="7" s="1"/>
  <c r="H104" i="7"/>
  <c r="E104" i="7"/>
  <c r="AA103" i="7"/>
  <c r="Z103" i="7"/>
  <c r="Y103" i="7"/>
  <c r="X103" i="7"/>
  <c r="U103" i="7"/>
  <c r="T103" i="7"/>
  <c r="V103" i="7" s="1"/>
  <c r="M103" i="7"/>
  <c r="H103" i="7"/>
  <c r="E103" i="7"/>
  <c r="AA102" i="7"/>
  <c r="Z102" i="7"/>
  <c r="Y102" i="7"/>
  <c r="X102" i="7"/>
  <c r="U102" i="7"/>
  <c r="T102" i="7"/>
  <c r="V102" i="7" s="1"/>
  <c r="W102" i="7" s="1"/>
  <c r="M102" i="7"/>
  <c r="H102" i="7"/>
  <c r="E102" i="7"/>
  <c r="AA101" i="7"/>
  <c r="Z101" i="7"/>
  <c r="Y101" i="7"/>
  <c r="X101" i="7"/>
  <c r="V101" i="7"/>
  <c r="U101" i="7"/>
  <c r="T101" i="7"/>
  <c r="M101" i="7"/>
  <c r="W101" i="7" s="1"/>
  <c r="H101" i="7"/>
  <c r="E101" i="7"/>
  <c r="AA100" i="7"/>
  <c r="Z100" i="7"/>
  <c r="Y100" i="7"/>
  <c r="X100" i="7"/>
  <c r="V100" i="7"/>
  <c r="W100" i="7" s="1"/>
  <c r="U100" i="7"/>
  <c r="T100" i="7"/>
  <c r="M100" i="7"/>
  <c r="H100" i="7"/>
  <c r="AA99" i="7"/>
  <c r="Z99" i="7"/>
  <c r="Y99" i="7"/>
  <c r="X99" i="7"/>
  <c r="V99" i="7"/>
  <c r="U99" i="7"/>
  <c r="T99" i="7"/>
  <c r="M99" i="7"/>
  <c r="W99" i="7" s="1"/>
  <c r="H99" i="7"/>
  <c r="E99" i="7"/>
  <c r="AA98" i="7"/>
  <c r="Z98" i="7"/>
  <c r="Y98" i="7"/>
  <c r="X98" i="7"/>
  <c r="U98" i="7"/>
  <c r="T98" i="7"/>
  <c r="V98" i="7" s="1"/>
  <c r="M98" i="7"/>
  <c r="H98" i="7"/>
  <c r="E98" i="7"/>
  <c r="AA97" i="7"/>
  <c r="Z97" i="7"/>
  <c r="Y97" i="7"/>
  <c r="X97" i="7"/>
  <c r="W97" i="7"/>
  <c r="U97" i="7"/>
  <c r="T97" i="7"/>
  <c r="V97" i="7" s="1"/>
  <c r="M97" i="7"/>
  <c r="H97" i="7"/>
  <c r="E97" i="7"/>
  <c r="AA96" i="7"/>
  <c r="Z96" i="7"/>
  <c r="Y96" i="7"/>
  <c r="X96" i="7"/>
  <c r="W96" i="7"/>
  <c r="V96" i="7"/>
  <c r="U96" i="7"/>
  <c r="T96" i="7"/>
  <c r="M96" i="7"/>
  <c r="H96" i="7"/>
  <c r="E96" i="7"/>
  <c r="AA95" i="7"/>
  <c r="Z95" i="7"/>
  <c r="Y95" i="7"/>
  <c r="X95" i="7"/>
  <c r="V95" i="7"/>
  <c r="W95" i="7" s="1"/>
  <c r="U95" i="7"/>
  <c r="T95" i="7"/>
  <c r="M95" i="7"/>
  <c r="H95" i="7"/>
  <c r="E95" i="7"/>
  <c r="AA94" i="7"/>
  <c r="Z94" i="7"/>
  <c r="Y94" i="7"/>
  <c r="X94" i="7"/>
  <c r="U94" i="7"/>
  <c r="T94" i="7"/>
  <c r="V94" i="7" s="1"/>
  <c r="W94" i="7" s="1"/>
  <c r="M94" i="7"/>
  <c r="H94" i="7"/>
  <c r="E94" i="7"/>
  <c r="AA93" i="7"/>
  <c r="Z93" i="7"/>
  <c r="Y93" i="7"/>
  <c r="X93" i="7"/>
  <c r="U93" i="7"/>
  <c r="T93" i="7"/>
  <c r="V93" i="7" s="1"/>
  <c r="M93" i="7"/>
  <c r="AA92" i="7"/>
  <c r="Z92" i="7"/>
  <c r="Y92" i="7"/>
  <c r="X92" i="7"/>
  <c r="V92" i="7"/>
  <c r="W92" i="7" s="1"/>
  <c r="U92" i="7"/>
  <c r="T92" i="7"/>
  <c r="M92" i="7"/>
  <c r="H92" i="7"/>
  <c r="E92" i="7"/>
  <c r="AA91" i="7"/>
  <c r="Z91" i="7"/>
  <c r="Y91" i="7"/>
  <c r="X91" i="7"/>
  <c r="W91" i="7"/>
  <c r="V91" i="7"/>
  <c r="U91" i="7"/>
  <c r="T91" i="7"/>
  <c r="M91" i="7"/>
  <c r="H91" i="7"/>
  <c r="E91" i="7"/>
  <c r="AA90" i="7"/>
  <c r="Z90" i="7"/>
  <c r="Y90" i="7"/>
  <c r="X90" i="7"/>
  <c r="U90" i="7"/>
  <c r="T90" i="7"/>
  <c r="V90" i="7" s="1"/>
  <c r="W90" i="7" s="1"/>
  <c r="M90" i="7"/>
  <c r="H90" i="7"/>
  <c r="E90" i="7"/>
  <c r="AA89" i="7"/>
  <c r="Z89" i="7"/>
  <c r="Y89" i="7"/>
  <c r="X89" i="7"/>
  <c r="V89" i="7"/>
  <c r="W89" i="7" s="1"/>
  <c r="U89" i="7"/>
  <c r="T89" i="7"/>
  <c r="M89" i="7"/>
  <c r="H89" i="7"/>
  <c r="E89" i="7"/>
  <c r="AA88" i="7"/>
  <c r="Z88" i="7"/>
  <c r="Y88" i="7"/>
  <c r="X88" i="7"/>
  <c r="U88" i="7"/>
  <c r="T88" i="7"/>
  <c r="V88" i="7" s="1"/>
  <c r="M88" i="7"/>
  <c r="W88" i="7" s="1"/>
  <c r="H88" i="7"/>
  <c r="E88" i="7"/>
  <c r="AA87" i="7"/>
  <c r="Z87" i="7"/>
  <c r="Y87" i="7"/>
  <c r="X87" i="7"/>
  <c r="U87" i="7"/>
  <c r="T87" i="7"/>
  <c r="V87" i="7" s="1"/>
  <c r="M87" i="7"/>
  <c r="W87" i="7" s="1"/>
  <c r="H87" i="7"/>
  <c r="E87" i="7"/>
  <c r="AA86" i="7"/>
  <c r="Z86" i="7"/>
  <c r="Y86" i="7"/>
  <c r="X86" i="7"/>
  <c r="V86" i="7"/>
  <c r="W86" i="7" s="1"/>
  <c r="U86" i="7"/>
  <c r="T86" i="7"/>
  <c r="M86" i="7"/>
  <c r="H86" i="7"/>
  <c r="E86" i="7"/>
  <c r="AA85" i="7"/>
  <c r="Z85" i="7"/>
  <c r="Y85" i="7"/>
  <c r="X85" i="7"/>
  <c r="W85" i="7"/>
  <c r="V85" i="7"/>
  <c r="U85" i="7"/>
  <c r="T85" i="7"/>
  <c r="M85" i="7"/>
  <c r="H85" i="7"/>
  <c r="E85" i="7"/>
  <c r="AA81" i="7"/>
  <c r="Z81" i="7"/>
  <c r="Y81" i="7"/>
  <c r="X81" i="7"/>
  <c r="V81" i="7"/>
  <c r="W81" i="7" s="1"/>
  <c r="U81" i="7"/>
  <c r="T81" i="7"/>
  <c r="M81" i="7"/>
  <c r="H81" i="7"/>
  <c r="E81" i="7"/>
  <c r="AA79" i="7"/>
  <c r="Z79" i="7"/>
  <c r="Y79" i="7"/>
  <c r="X79" i="7"/>
  <c r="W79" i="7"/>
  <c r="V79" i="7"/>
  <c r="U79" i="7"/>
  <c r="T79" i="7"/>
  <c r="M79" i="7"/>
  <c r="H79" i="7"/>
  <c r="E79" i="7"/>
  <c r="AA78" i="7"/>
  <c r="Z78" i="7"/>
  <c r="Y78" i="7"/>
  <c r="X78" i="7"/>
  <c r="U78" i="7"/>
  <c r="T78" i="7"/>
  <c r="V78" i="7" s="1"/>
  <c r="W78" i="7" s="1"/>
  <c r="M78" i="7"/>
  <c r="H78" i="7"/>
  <c r="E78" i="7"/>
  <c r="AA77" i="7"/>
  <c r="Z77" i="7"/>
  <c r="Y77" i="7"/>
  <c r="X77" i="7"/>
  <c r="U77" i="7"/>
  <c r="T77" i="7"/>
  <c r="V77" i="7" s="1"/>
  <c r="W77" i="7" s="1"/>
  <c r="M77" i="7"/>
  <c r="H77" i="7"/>
  <c r="E77" i="7"/>
  <c r="AA76" i="7"/>
  <c r="Z76" i="7"/>
  <c r="Y76" i="7"/>
  <c r="X76" i="7"/>
  <c r="U76" i="7"/>
  <c r="T76" i="7"/>
  <c r="V76" i="7" s="1"/>
  <c r="W76" i="7" s="1"/>
  <c r="M76" i="7"/>
  <c r="H76" i="7"/>
  <c r="E76" i="7"/>
  <c r="AA75" i="7"/>
  <c r="Z75" i="7"/>
  <c r="Y75" i="7"/>
  <c r="X75" i="7"/>
  <c r="U75" i="7"/>
  <c r="T75" i="7"/>
  <c r="V75" i="7" s="1"/>
  <c r="W75" i="7" s="1"/>
  <c r="M75" i="7"/>
  <c r="H75" i="7"/>
  <c r="E75" i="7"/>
  <c r="AA74" i="7"/>
  <c r="Z74" i="7"/>
  <c r="Y74" i="7"/>
  <c r="X74" i="7"/>
  <c r="V74" i="7"/>
  <c r="W74" i="7" s="1"/>
  <c r="U74" i="7"/>
  <c r="T74" i="7"/>
  <c r="M74" i="7"/>
  <c r="H74" i="7"/>
  <c r="E74" i="7"/>
  <c r="AA73" i="7"/>
  <c r="Z73" i="7"/>
  <c r="Y73" i="7"/>
  <c r="X73" i="7"/>
  <c r="W73" i="7"/>
  <c r="V73" i="7"/>
  <c r="U73" i="7"/>
  <c r="T73" i="7"/>
  <c r="M73" i="7"/>
  <c r="H73" i="7"/>
  <c r="E73" i="7"/>
  <c r="AA72" i="7"/>
  <c r="Z72" i="7"/>
  <c r="Y72" i="7"/>
  <c r="X72" i="7"/>
  <c r="V72" i="7"/>
  <c r="W72" i="7" s="1"/>
  <c r="U72" i="7"/>
  <c r="T72" i="7"/>
  <c r="M72" i="7"/>
  <c r="H72" i="7"/>
  <c r="E72" i="7"/>
  <c r="AA71" i="7"/>
  <c r="Z71" i="7"/>
  <c r="Y71" i="7"/>
  <c r="X71" i="7"/>
  <c r="U71" i="7"/>
  <c r="T71" i="7"/>
  <c r="V71" i="7" s="1"/>
  <c r="W71" i="7" s="1"/>
  <c r="M71" i="7"/>
  <c r="H71" i="7"/>
  <c r="E71" i="7"/>
  <c r="AA70" i="7"/>
  <c r="Z70" i="7"/>
  <c r="Y70" i="7"/>
  <c r="X70" i="7"/>
  <c r="U70" i="7"/>
  <c r="T70" i="7"/>
  <c r="V70" i="7" s="1"/>
  <c r="W70" i="7" s="1"/>
  <c r="M70" i="7"/>
  <c r="H70" i="7"/>
  <c r="E70" i="7"/>
  <c r="AA69" i="7"/>
  <c r="Z69" i="7"/>
  <c r="Y69" i="7"/>
  <c r="X69" i="7"/>
  <c r="W69" i="7"/>
  <c r="U69" i="7"/>
  <c r="T69" i="7"/>
  <c r="V69" i="7" s="1"/>
  <c r="M69" i="7"/>
  <c r="H69" i="7"/>
  <c r="E69" i="7"/>
  <c r="AA68" i="7"/>
  <c r="Z68" i="7"/>
  <c r="Y68" i="7"/>
  <c r="X68" i="7"/>
  <c r="V68" i="7"/>
  <c r="W68" i="7" s="1"/>
  <c r="U68" i="7"/>
  <c r="T68" i="7"/>
  <c r="M68" i="7"/>
  <c r="H68" i="7"/>
  <c r="E68" i="7"/>
  <c r="AA67" i="7"/>
  <c r="Z67" i="7"/>
  <c r="Y67" i="7"/>
  <c r="X67" i="7"/>
  <c r="W67" i="7"/>
  <c r="V67" i="7"/>
  <c r="U67" i="7"/>
  <c r="T67" i="7"/>
  <c r="M67" i="7"/>
  <c r="H67" i="7"/>
  <c r="E67" i="7"/>
  <c r="AA66" i="7"/>
  <c r="Z66" i="7"/>
  <c r="Y66" i="7"/>
  <c r="X66" i="7"/>
  <c r="U66" i="7"/>
  <c r="T66" i="7"/>
  <c r="V66" i="7" s="1"/>
  <c r="W66" i="7" s="1"/>
  <c r="M66" i="7"/>
  <c r="H66" i="7"/>
  <c r="E66" i="7"/>
  <c r="AA65" i="7"/>
  <c r="Z65" i="7"/>
  <c r="Y65" i="7"/>
  <c r="X65" i="7"/>
  <c r="V65" i="7"/>
  <c r="W65" i="7" s="1"/>
  <c r="U65" i="7"/>
  <c r="T65" i="7"/>
  <c r="M65" i="7"/>
  <c r="H65" i="7"/>
  <c r="E65" i="7"/>
  <c r="AA64" i="7"/>
  <c r="Z64" i="7"/>
  <c r="Y64" i="7"/>
  <c r="X64" i="7"/>
  <c r="U64" i="7"/>
  <c r="T64" i="7"/>
  <c r="V64" i="7" s="1"/>
  <c r="W64" i="7" s="1"/>
  <c r="M64" i="7"/>
  <c r="H64" i="7"/>
  <c r="E64" i="7"/>
  <c r="AA63" i="7"/>
  <c r="Z63" i="7"/>
  <c r="Y63" i="7"/>
  <c r="X63" i="7"/>
  <c r="U63" i="7"/>
  <c r="T63" i="7"/>
  <c r="V63" i="7" s="1"/>
  <c r="W63" i="7" s="1"/>
  <c r="M63" i="7"/>
  <c r="H63" i="7"/>
  <c r="E63" i="7"/>
  <c r="AA62" i="7"/>
  <c r="Z62" i="7"/>
  <c r="Y62" i="7"/>
  <c r="X62" i="7"/>
  <c r="V62" i="7"/>
  <c r="W62" i="7" s="1"/>
  <c r="U62" i="7"/>
  <c r="T62" i="7"/>
  <c r="M62" i="7"/>
  <c r="H62" i="7"/>
  <c r="E62" i="7"/>
  <c r="AA61" i="7"/>
  <c r="Z61" i="7"/>
  <c r="Y61" i="7"/>
  <c r="X61" i="7"/>
  <c r="W61" i="7"/>
  <c r="V61" i="7"/>
  <c r="U61" i="7"/>
  <c r="T61" i="7"/>
  <c r="S61" i="7"/>
  <c r="M61" i="7"/>
  <c r="H61" i="7"/>
  <c r="E61" i="7"/>
  <c r="AA60" i="7"/>
  <c r="Z60" i="7"/>
  <c r="Y60" i="7"/>
  <c r="X60" i="7"/>
  <c r="W60" i="7"/>
  <c r="V60" i="7"/>
  <c r="U60" i="7"/>
  <c r="T60" i="7"/>
  <c r="M60" i="7"/>
  <c r="H60" i="7"/>
  <c r="E60" i="7"/>
  <c r="AA59" i="7"/>
  <c r="Z59" i="7"/>
  <c r="Y59" i="7"/>
  <c r="X59" i="7"/>
  <c r="U59" i="7"/>
  <c r="T59" i="7"/>
  <c r="V59" i="7" s="1"/>
  <c r="W59" i="7" s="1"/>
  <c r="M59" i="7"/>
  <c r="H59" i="7"/>
  <c r="E59" i="7"/>
  <c r="AA58" i="7"/>
  <c r="Z58" i="7"/>
  <c r="Y58" i="7"/>
  <c r="X58" i="7"/>
  <c r="U58" i="7"/>
  <c r="T58" i="7"/>
  <c r="V58" i="7" s="1"/>
  <c r="W58" i="7" s="1"/>
  <c r="M58" i="7"/>
  <c r="H58" i="7"/>
  <c r="E58" i="7"/>
  <c r="AA57" i="7"/>
  <c r="Z57" i="7"/>
  <c r="Y57" i="7"/>
  <c r="X57" i="7"/>
  <c r="U57" i="7"/>
  <c r="T57" i="7"/>
  <c r="V57" i="7" s="1"/>
  <c r="W57" i="7" s="1"/>
  <c r="M57" i="7"/>
  <c r="H57" i="7"/>
  <c r="E57" i="7"/>
  <c r="AA56" i="7"/>
  <c r="Z56" i="7"/>
  <c r="Y56" i="7"/>
  <c r="X56" i="7"/>
  <c r="W56" i="7"/>
  <c r="U56" i="7"/>
  <c r="T56" i="7"/>
  <c r="V56" i="7" s="1"/>
  <c r="M56" i="7"/>
  <c r="H56" i="7"/>
  <c r="E56" i="7"/>
  <c r="AA55" i="7"/>
  <c r="Z55" i="7"/>
  <c r="Y55" i="7"/>
  <c r="X55" i="7"/>
  <c r="V55" i="7"/>
  <c r="W55" i="7" s="1"/>
  <c r="U55" i="7"/>
  <c r="T55" i="7"/>
  <c r="M55" i="7"/>
  <c r="H55" i="7"/>
  <c r="E55" i="7"/>
  <c r="AA54" i="7"/>
  <c r="Z54" i="7"/>
  <c r="Y54" i="7"/>
  <c r="X54" i="7"/>
  <c r="W54" i="7"/>
  <c r="V54" i="7"/>
  <c r="U54" i="7"/>
  <c r="T54" i="7"/>
  <c r="M54" i="7"/>
  <c r="H54" i="7"/>
  <c r="E54" i="7"/>
  <c r="Z53" i="7"/>
  <c r="Y53" i="7"/>
  <c r="X53" i="7"/>
  <c r="U53" i="7"/>
  <c r="T53" i="7"/>
  <c r="V53" i="7" s="1"/>
  <c r="W53" i="7" s="1"/>
  <c r="M53" i="7"/>
  <c r="H53" i="7"/>
  <c r="E53" i="7"/>
  <c r="AA52" i="7"/>
  <c r="Z52" i="7"/>
  <c r="Y52" i="7"/>
  <c r="X52" i="7"/>
  <c r="U52" i="7"/>
  <c r="M52" i="7"/>
  <c r="K52" i="7"/>
  <c r="E52" i="7"/>
  <c r="AA51" i="7"/>
  <c r="Z51" i="7"/>
  <c r="Y51" i="7"/>
  <c r="X51" i="7"/>
  <c r="U51" i="7"/>
  <c r="T51" i="7"/>
  <c r="V51" i="7" s="1"/>
  <c r="W51" i="7" s="1"/>
  <c r="M51" i="7"/>
  <c r="H51" i="7"/>
  <c r="E51" i="7"/>
  <c r="AA50" i="7"/>
  <c r="Z50" i="7"/>
  <c r="Y50" i="7"/>
  <c r="X50" i="7"/>
  <c r="U50" i="7"/>
  <c r="T50" i="7"/>
  <c r="V50" i="7" s="1"/>
  <c r="W50" i="7" s="1"/>
  <c r="M50" i="7"/>
  <c r="H50" i="7"/>
  <c r="E50" i="7"/>
  <c r="AA49" i="7"/>
  <c r="Z49" i="7"/>
  <c r="Y49" i="7"/>
  <c r="X49" i="7"/>
  <c r="W49" i="7"/>
  <c r="V49" i="7"/>
  <c r="T49" i="7"/>
  <c r="J49" i="7"/>
  <c r="I49" i="7"/>
  <c r="U49" i="7" s="1"/>
  <c r="H49" i="7"/>
  <c r="E49" i="7"/>
  <c r="AA48" i="7"/>
  <c r="Z48" i="7"/>
  <c r="Y48" i="7"/>
  <c r="X48" i="7"/>
  <c r="W48" i="7"/>
  <c r="U48" i="7"/>
  <c r="T48" i="7"/>
  <c r="V48" i="7" s="1"/>
  <c r="M48" i="7"/>
  <c r="H48" i="7"/>
  <c r="E48" i="7"/>
  <c r="AA47" i="7"/>
  <c r="Z47" i="7"/>
  <c r="Y47" i="7"/>
  <c r="X47" i="7"/>
  <c r="W47" i="7"/>
  <c r="V47" i="7"/>
  <c r="U47" i="7"/>
  <c r="T47" i="7"/>
  <c r="M47" i="7"/>
  <c r="H47" i="7"/>
  <c r="E47" i="7"/>
  <c r="AA46" i="7"/>
  <c r="Z46" i="7"/>
  <c r="Y46" i="7"/>
  <c r="X46" i="7"/>
  <c r="V46" i="7"/>
  <c r="W46" i="7" s="1"/>
  <c r="U46" i="7"/>
  <c r="T46" i="7"/>
  <c r="M46" i="7"/>
  <c r="H46" i="7"/>
  <c r="E46" i="7"/>
  <c r="AA45" i="7"/>
  <c r="Z45" i="7"/>
  <c r="Y45" i="7"/>
  <c r="X45" i="7"/>
  <c r="U45" i="7"/>
  <c r="T45" i="7"/>
  <c r="V45" i="7" s="1"/>
  <c r="W45" i="7" s="1"/>
  <c r="M45" i="7"/>
  <c r="H45" i="7"/>
  <c r="E45" i="7"/>
  <c r="AA44" i="7"/>
  <c r="Z44" i="7"/>
  <c r="Y44" i="7"/>
  <c r="X44" i="7"/>
  <c r="U44" i="7"/>
  <c r="T44" i="7"/>
  <c r="V44" i="7" s="1"/>
  <c r="W44" i="7" s="1"/>
  <c r="M44" i="7"/>
  <c r="H44" i="7"/>
  <c r="E44" i="7"/>
  <c r="AA43" i="7"/>
  <c r="Z43" i="7"/>
  <c r="Y43" i="7"/>
  <c r="X43" i="7"/>
  <c r="U43" i="7"/>
  <c r="T43" i="7"/>
  <c r="V43" i="7" s="1"/>
  <c r="W43" i="7" s="1"/>
  <c r="M43" i="7"/>
  <c r="H43" i="7"/>
  <c r="E43" i="7"/>
  <c r="AA42" i="7"/>
  <c r="Z42" i="7"/>
  <c r="Y42" i="7"/>
  <c r="X42" i="7"/>
  <c r="U42" i="7"/>
  <c r="T42" i="7"/>
  <c r="V42" i="7" s="1"/>
  <c r="W42" i="7" s="1"/>
  <c r="M42" i="7"/>
  <c r="H42" i="7"/>
  <c r="E42" i="7"/>
  <c r="AA41" i="7"/>
  <c r="Z41" i="7"/>
  <c r="Y41" i="7"/>
  <c r="X41" i="7"/>
  <c r="W41" i="7"/>
  <c r="V41" i="7"/>
  <c r="U41" i="7"/>
  <c r="T41" i="7"/>
  <c r="M41" i="7"/>
  <c r="H41" i="7"/>
  <c r="E41" i="7"/>
  <c r="AA40" i="7"/>
  <c r="Z40" i="7"/>
  <c r="Y40" i="7"/>
  <c r="X40" i="7"/>
  <c r="V40" i="7"/>
  <c r="W40" i="7" s="1"/>
  <c r="U40" i="7"/>
  <c r="T40" i="7"/>
  <c r="M40" i="7"/>
  <c r="H40" i="7"/>
  <c r="E40" i="7"/>
  <c r="AA39" i="7"/>
  <c r="Z39" i="7"/>
  <c r="Y39" i="7"/>
  <c r="X39" i="7"/>
  <c r="W39" i="7"/>
  <c r="V39" i="7"/>
  <c r="U39" i="7"/>
  <c r="T39" i="7"/>
  <c r="M39" i="7"/>
  <c r="H39" i="7"/>
  <c r="E39" i="7"/>
  <c r="AA38" i="7"/>
  <c r="Z38" i="7"/>
  <c r="Y38" i="7"/>
  <c r="X38" i="7"/>
  <c r="U38" i="7"/>
  <c r="T38" i="7"/>
  <c r="V38" i="7" s="1"/>
  <c r="W38" i="7" s="1"/>
  <c r="M38" i="7"/>
  <c r="H38" i="7"/>
  <c r="E38" i="7"/>
  <c r="AA37" i="7"/>
  <c r="Z37" i="7"/>
  <c r="Y37" i="7"/>
  <c r="X37" i="7"/>
  <c r="U37" i="7"/>
  <c r="T37" i="7"/>
  <c r="V37" i="7" s="1"/>
  <c r="W37" i="7" s="1"/>
  <c r="M37" i="7"/>
  <c r="H37" i="7"/>
  <c r="E37" i="7"/>
  <c r="AA36" i="7"/>
  <c r="Z36" i="7"/>
  <c r="Y36" i="7"/>
  <c r="X36" i="7"/>
  <c r="U36" i="7"/>
  <c r="T36" i="7"/>
  <c r="V36" i="7" s="1"/>
  <c r="W36" i="7" s="1"/>
  <c r="M36" i="7"/>
  <c r="H36" i="7"/>
  <c r="E36" i="7"/>
  <c r="AA35" i="7"/>
  <c r="Z35" i="7"/>
  <c r="Y35" i="7"/>
  <c r="X35" i="7"/>
  <c r="W35" i="7"/>
  <c r="V35" i="7"/>
  <c r="U35" i="7"/>
  <c r="T35" i="7"/>
  <c r="M35" i="7"/>
  <c r="H35" i="7"/>
  <c r="E35" i="7"/>
  <c r="AA34" i="7"/>
  <c r="Z34" i="7"/>
  <c r="Y34" i="7"/>
  <c r="X34" i="7"/>
  <c r="V34" i="7"/>
  <c r="W34" i="7" s="1"/>
  <c r="U34" i="7"/>
  <c r="T34" i="7"/>
  <c r="M34" i="7"/>
  <c r="H34" i="7"/>
  <c r="E34" i="7"/>
  <c r="AA33" i="7"/>
  <c r="Z33" i="7"/>
  <c r="Y33" i="7"/>
  <c r="X33" i="7"/>
  <c r="W33" i="7"/>
  <c r="U33" i="7"/>
  <c r="T33" i="7"/>
  <c r="V33" i="7" s="1"/>
  <c r="M33" i="7"/>
  <c r="H33" i="7"/>
  <c r="E33" i="7"/>
  <c r="AA32" i="7"/>
  <c r="Z32" i="7"/>
  <c r="Y32" i="7"/>
  <c r="X32" i="7"/>
  <c r="V32" i="7"/>
  <c r="W32" i="7" s="1"/>
  <c r="U32" i="7"/>
  <c r="T32" i="7"/>
  <c r="M32" i="7"/>
  <c r="H32" i="7"/>
  <c r="E32" i="7"/>
  <c r="AA31" i="7"/>
  <c r="Z31" i="7"/>
  <c r="Y31" i="7"/>
  <c r="X31" i="7"/>
  <c r="U31" i="7"/>
  <c r="T31" i="7"/>
  <c r="V31" i="7" s="1"/>
  <c r="W31" i="7" s="1"/>
  <c r="M31" i="7"/>
  <c r="H31" i="7"/>
  <c r="E31" i="7"/>
  <c r="AA30" i="7"/>
  <c r="Z30" i="7"/>
  <c r="Y30" i="7"/>
  <c r="X30" i="7"/>
  <c r="W30" i="7"/>
  <c r="U30" i="7"/>
  <c r="T30" i="7"/>
  <c r="V30" i="7" s="1"/>
  <c r="M30" i="7"/>
  <c r="H30" i="7"/>
  <c r="E30" i="7"/>
  <c r="AA29" i="7"/>
  <c r="Z29" i="7"/>
  <c r="Y29" i="7"/>
  <c r="X29" i="7"/>
  <c r="W29" i="7"/>
  <c r="V29" i="7"/>
  <c r="U29" i="7"/>
  <c r="T29" i="7"/>
  <c r="M29" i="7"/>
  <c r="H29" i="7"/>
  <c r="E29" i="7"/>
  <c r="AA28" i="7"/>
  <c r="Z28" i="7"/>
  <c r="Y28" i="7"/>
  <c r="X28" i="7"/>
  <c r="V28" i="7"/>
  <c r="W28" i="7" s="1"/>
  <c r="U28" i="7"/>
  <c r="T28" i="7"/>
  <c r="M28" i="7"/>
  <c r="H28" i="7"/>
  <c r="E28" i="7"/>
  <c r="AA27" i="7"/>
  <c r="Z27" i="7"/>
  <c r="Y27" i="7"/>
  <c r="X27" i="7"/>
  <c r="U27" i="7"/>
  <c r="T27" i="7"/>
  <c r="V27" i="7" s="1"/>
  <c r="W27" i="7" s="1"/>
  <c r="M27" i="7"/>
  <c r="H27" i="7"/>
  <c r="E27" i="7"/>
  <c r="AA26" i="7"/>
  <c r="Z26" i="7"/>
  <c r="Y26" i="7"/>
  <c r="X26" i="7"/>
  <c r="U26" i="7"/>
  <c r="T26" i="7"/>
  <c r="V26" i="7" s="1"/>
  <c r="W26" i="7" s="1"/>
  <c r="M26" i="7"/>
  <c r="H26" i="7"/>
  <c r="E26" i="7"/>
  <c r="AA25" i="7"/>
  <c r="Z25" i="7"/>
  <c r="Y25" i="7"/>
  <c r="X25" i="7"/>
  <c r="U25" i="7"/>
  <c r="T25" i="7"/>
  <c r="V25" i="7" s="1"/>
  <c r="W25" i="7" s="1"/>
  <c r="M25" i="7"/>
  <c r="H25" i="7"/>
  <c r="E25" i="7"/>
  <c r="AA24" i="7"/>
  <c r="Z24" i="7"/>
  <c r="Y24" i="7"/>
  <c r="X24" i="7"/>
  <c r="U24" i="7"/>
  <c r="T24" i="7"/>
  <c r="V24" i="7" s="1"/>
  <c r="W24" i="7" s="1"/>
  <c r="M24" i="7"/>
  <c r="H24" i="7"/>
  <c r="E24" i="7"/>
  <c r="AA23" i="7"/>
  <c r="Z23" i="7"/>
  <c r="Y23" i="7"/>
  <c r="X23" i="7"/>
  <c r="W23" i="7"/>
  <c r="V23" i="7"/>
  <c r="U23" i="7"/>
  <c r="T23" i="7"/>
  <c r="M23" i="7"/>
  <c r="H23" i="7"/>
  <c r="E23" i="7"/>
  <c r="AA22" i="7"/>
  <c r="Z22" i="7"/>
  <c r="Y22" i="7"/>
  <c r="X22" i="7"/>
  <c r="V22" i="7"/>
  <c r="W22" i="7" s="1"/>
  <c r="U22" i="7"/>
  <c r="T22" i="7"/>
  <c r="M22" i="7"/>
  <c r="H22" i="7"/>
  <c r="E22" i="7"/>
  <c r="AA21" i="7"/>
  <c r="Z21" i="7"/>
  <c r="Y21" i="7"/>
  <c r="X21" i="7"/>
  <c r="W21" i="7"/>
  <c r="V21" i="7"/>
  <c r="U21" i="7"/>
  <c r="T21" i="7"/>
  <c r="M21" i="7"/>
  <c r="H21" i="7"/>
  <c r="E21" i="7"/>
  <c r="AA20" i="7"/>
  <c r="Z20" i="7"/>
  <c r="Y20" i="7"/>
  <c r="X20" i="7"/>
  <c r="U20" i="7"/>
  <c r="T20" i="7"/>
  <c r="V20" i="7" s="1"/>
  <c r="W20" i="7" s="1"/>
  <c r="M20" i="7"/>
  <c r="K20" i="7"/>
  <c r="H20" i="7"/>
  <c r="E20" i="7"/>
  <c r="AA19" i="7"/>
  <c r="Z19" i="7"/>
  <c r="Y19" i="7"/>
  <c r="X19" i="7"/>
  <c r="U19" i="7"/>
  <c r="T19" i="7"/>
  <c r="V19" i="7" s="1"/>
  <c r="W19" i="7" s="1"/>
  <c r="M19" i="7"/>
  <c r="K19" i="7"/>
  <c r="H19" i="7"/>
  <c r="E19" i="7"/>
  <c r="AA18" i="7"/>
  <c r="Z18" i="7"/>
  <c r="Y18" i="7"/>
  <c r="X18" i="7"/>
  <c r="U18" i="7"/>
  <c r="T18" i="7"/>
  <c r="V18" i="7" s="1"/>
  <c r="W18" i="7" s="1"/>
  <c r="M18" i="7"/>
  <c r="K18" i="7"/>
  <c r="H18" i="7"/>
  <c r="E18" i="7"/>
  <c r="AA17" i="7"/>
  <c r="Z17" i="7"/>
  <c r="Y17" i="7"/>
  <c r="X17" i="7"/>
  <c r="V17" i="7"/>
  <c r="W17" i="7" s="1"/>
  <c r="U17" i="7"/>
  <c r="T17" i="7"/>
  <c r="M17" i="7"/>
  <c r="K17" i="7"/>
  <c r="H17" i="7"/>
  <c r="E17" i="7"/>
  <c r="AA16" i="7"/>
  <c r="Z16" i="7"/>
  <c r="Y16" i="7"/>
  <c r="X16" i="7"/>
  <c r="V16" i="7"/>
  <c r="W16" i="7" s="1"/>
  <c r="U16" i="7"/>
  <c r="T16" i="7"/>
  <c r="M16" i="7"/>
  <c r="H16" i="7"/>
  <c r="E16" i="7"/>
  <c r="AA15" i="7"/>
  <c r="Z15" i="7"/>
  <c r="Y15" i="7"/>
  <c r="X15" i="7"/>
  <c r="U15" i="7"/>
  <c r="T15" i="7"/>
  <c r="V15" i="7" s="1"/>
  <c r="W15" i="7" s="1"/>
  <c r="M15" i="7"/>
  <c r="H15" i="7"/>
  <c r="E15" i="7"/>
  <c r="AA14" i="7"/>
  <c r="Z14" i="7"/>
  <c r="Y14" i="7"/>
  <c r="X14" i="7"/>
  <c r="W14" i="7"/>
  <c r="U14" i="7"/>
  <c r="T14" i="7"/>
  <c r="V14" i="7" s="1"/>
  <c r="M14" i="7"/>
  <c r="H14" i="7"/>
  <c r="E14" i="7"/>
  <c r="AA13" i="7"/>
  <c r="Z13" i="7"/>
  <c r="Y13" i="7"/>
  <c r="X13" i="7"/>
  <c r="W13" i="7"/>
  <c r="V13" i="7"/>
  <c r="U13" i="7"/>
  <c r="T13" i="7"/>
  <c r="M13" i="7"/>
  <c r="H13" i="7"/>
  <c r="E13" i="7"/>
  <c r="AA12" i="7"/>
  <c r="Z12" i="7"/>
  <c r="Y12" i="7"/>
  <c r="X12" i="7"/>
  <c r="V12" i="7"/>
  <c r="W12" i="7" s="1"/>
  <c r="U12" i="7"/>
  <c r="T12" i="7"/>
  <c r="M12" i="7"/>
  <c r="H12" i="7"/>
  <c r="E12" i="7"/>
  <c r="AA11" i="7"/>
  <c r="Z11" i="7"/>
  <c r="Y11" i="7"/>
  <c r="X11" i="7"/>
  <c r="U11" i="7"/>
  <c r="T11" i="7"/>
  <c r="V11" i="7" s="1"/>
  <c r="W11" i="7" s="1"/>
  <c r="M11" i="7"/>
  <c r="H11" i="7"/>
  <c r="E11" i="7"/>
  <c r="AA10" i="7"/>
  <c r="Z10" i="7"/>
  <c r="Y10" i="7"/>
  <c r="X10" i="7"/>
  <c r="U10" i="7"/>
  <c r="T10" i="7"/>
  <c r="V10" i="7" s="1"/>
  <c r="W10" i="7" s="1"/>
  <c r="M10" i="7"/>
  <c r="H10" i="7"/>
  <c r="E10" i="7"/>
  <c r="AA9" i="7"/>
  <c r="Z9" i="7"/>
  <c r="Y9" i="7"/>
  <c r="X9" i="7"/>
  <c r="U9" i="7"/>
  <c r="T9" i="7"/>
  <c r="V9" i="7" s="1"/>
  <c r="W9" i="7" s="1"/>
  <c r="M9" i="7"/>
  <c r="H9" i="7"/>
  <c r="E9" i="7"/>
  <c r="AA8" i="7"/>
  <c r="Z8" i="7"/>
  <c r="Y8" i="7"/>
  <c r="X8" i="7"/>
  <c r="U8" i="7"/>
  <c r="T8" i="7"/>
  <c r="V8" i="7" s="1"/>
  <c r="W8" i="7" s="1"/>
  <c r="M8" i="7"/>
  <c r="H8" i="7"/>
  <c r="E8" i="7"/>
  <c r="AA7" i="7"/>
  <c r="Z7" i="7"/>
  <c r="Y7" i="7"/>
  <c r="X7" i="7"/>
  <c r="W7" i="7"/>
  <c r="V7" i="7"/>
  <c r="U7" i="7"/>
  <c r="T7" i="7"/>
  <c r="M7" i="7"/>
  <c r="H7" i="7"/>
  <c r="E7" i="7"/>
  <c r="AA6" i="7"/>
  <c r="Z6" i="7"/>
  <c r="Y6" i="7"/>
  <c r="X6" i="7"/>
  <c r="V6" i="7"/>
  <c r="W6" i="7" s="1"/>
  <c r="U6" i="7"/>
  <c r="T6" i="7"/>
  <c r="M6" i="7"/>
  <c r="H6" i="7"/>
  <c r="E6" i="7"/>
  <c r="AA5" i="7"/>
  <c r="Z5" i="7"/>
  <c r="Y5" i="7"/>
  <c r="X5" i="7"/>
  <c r="W5" i="7"/>
  <c r="V5" i="7"/>
  <c r="U5" i="7"/>
  <c r="T5" i="7"/>
  <c r="M5" i="7"/>
  <c r="H5" i="7"/>
  <c r="E5" i="7"/>
  <c r="AA4" i="7"/>
  <c r="Z4" i="7"/>
  <c r="Y4" i="7"/>
  <c r="X4" i="7"/>
  <c r="U4" i="7"/>
  <c r="T4" i="7"/>
  <c r="V4" i="7" s="1"/>
  <c r="W4" i="7" s="1"/>
  <c r="S4" i="7"/>
  <c r="M4" i="7"/>
  <c r="H4" i="7"/>
  <c r="E4" i="7"/>
  <c r="AA3" i="7"/>
  <c r="Z3" i="7"/>
  <c r="Y3" i="7"/>
  <c r="X3" i="7"/>
  <c r="U3" i="7"/>
  <c r="T3" i="7"/>
  <c r="V3" i="7" s="1"/>
  <c r="W3" i="7" s="1"/>
  <c r="M3" i="7"/>
  <c r="H3" i="7"/>
  <c r="E3" i="7"/>
  <c r="AA2" i="7"/>
  <c r="Z2" i="7"/>
  <c r="Y2" i="7"/>
  <c r="X2" i="7"/>
  <c r="U2" i="7"/>
  <c r="T2" i="7"/>
  <c r="V2" i="7" s="1"/>
  <c r="W2" i="7" s="1"/>
  <c r="S2" i="7"/>
  <c r="M2" i="7"/>
  <c r="H2" i="7"/>
  <c r="E2" i="7"/>
  <c r="E337" i="6"/>
  <c r="U221" i="6" s="1"/>
  <c r="U328" i="6"/>
  <c r="U327" i="6"/>
  <c r="K323" i="6"/>
  <c r="J323" i="6"/>
  <c r="N323" i="6" s="1"/>
  <c r="O323" i="6" s="1"/>
  <c r="G323" i="6"/>
  <c r="V321" i="6"/>
  <c r="R321" i="6"/>
  <c r="N321" i="6"/>
  <c r="M321" i="6"/>
  <c r="K321" i="6"/>
  <c r="J321" i="6"/>
  <c r="P321" i="6" s="1"/>
  <c r="G321" i="6"/>
  <c r="L321" i="6" s="1"/>
  <c r="Q321" i="6" s="1"/>
  <c r="P320" i="6"/>
  <c r="N320" i="6"/>
  <c r="K320" i="6"/>
  <c r="M320" i="6" s="1"/>
  <c r="J320" i="6"/>
  <c r="G320" i="6"/>
  <c r="K319" i="6"/>
  <c r="V319" i="6" s="1"/>
  <c r="J319" i="6"/>
  <c r="G319" i="6"/>
  <c r="V318" i="6"/>
  <c r="M318" i="6"/>
  <c r="K318" i="6"/>
  <c r="J318" i="6"/>
  <c r="P318" i="6" s="1"/>
  <c r="G318" i="6"/>
  <c r="P317" i="6"/>
  <c r="K317" i="6"/>
  <c r="M317" i="6" s="1"/>
  <c r="J317" i="6"/>
  <c r="G317" i="6"/>
  <c r="P316" i="6"/>
  <c r="M316" i="6"/>
  <c r="L316" i="6"/>
  <c r="R316" i="6" s="1"/>
  <c r="K316" i="6"/>
  <c r="V316" i="6" s="1"/>
  <c r="J316" i="6"/>
  <c r="N316" i="6" s="1"/>
  <c r="O316" i="6" s="1"/>
  <c r="G316" i="6"/>
  <c r="V315" i="6"/>
  <c r="R315" i="6"/>
  <c r="N315" i="6"/>
  <c r="O315" i="6" s="1"/>
  <c r="M315" i="6"/>
  <c r="L315" i="6"/>
  <c r="Q315" i="6" s="1"/>
  <c r="K315" i="6"/>
  <c r="J315" i="6"/>
  <c r="P315" i="6" s="1"/>
  <c r="G315" i="6"/>
  <c r="P314" i="6"/>
  <c r="K314" i="6"/>
  <c r="M314" i="6" s="1"/>
  <c r="J314" i="6"/>
  <c r="G314" i="6"/>
  <c r="P313" i="6"/>
  <c r="M313" i="6"/>
  <c r="L313" i="6"/>
  <c r="K313" i="6"/>
  <c r="V313" i="6" s="1"/>
  <c r="J313" i="6"/>
  <c r="N313" i="6" s="1"/>
  <c r="O313" i="6" s="1"/>
  <c r="G313" i="6"/>
  <c r="V312" i="6"/>
  <c r="M312" i="6"/>
  <c r="L312" i="6"/>
  <c r="Q312" i="6" s="1"/>
  <c r="K312" i="6"/>
  <c r="J312" i="6"/>
  <c r="P312" i="6" s="1"/>
  <c r="G312" i="6"/>
  <c r="N312" i="6" s="1"/>
  <c r="O312" i="6" s="1"/>
  <c r="V311" i="6"/>
  <c r="K311" i="6"/>
  <c r="M311" i="6" s="1"/>
  <c r="J311" i="6"/>
  <c r="P311" i="6" s="1"/>
  <c r="G311" i="6"/>
  <c r="P310" i="6"/>
  <c r="M310" i="6"/>
  <c r="K310" i="6"/>
  <c r="V310" i="6" s="1"/>
  <c r="J310" i="6"/>
  <c r="N310" i="6" s="1"/>
  <c r="O310" i="6" s="1"/>
  <c r="G310" i="6"/>
  <c r="V309" i="6"/>
  <c r="N309" i="6"/>
  <c r="O309" i="6" s="1"/>
  <c r="M309" i="6"/>
  <c r="L309" i="6"/>
  <c r="K309" i="6"/>
  <c r="J309" i="6"/>
  <c r="P309" i="6" s="1"/>
  <c r="G309" i="6"/>
  <c r="N308" i="6"/>
  <c r="O308" i="6" s="1"/>
  <c r="K308" i="6"/>
  <c r="M308" i="6" s="1"/>
  <c r="J308" i="6"/>
  <c r="P308" i="6" s="1"/>
  <c r="G308" i="6"/>
  <c r="K307" i="6"/>
  <c r="V307" i="6" s="1"/>
  <c r="J307" i="6"/>
  <c r="G307" i="6"/>
  <c r="V306" i="6"/>
  <c r="M306" i="6"/>
  <c r="K306" i="6"/>
  <c r="J306" i="6"/>
  <c r="P306" i="6" s="1"/>
  <c r="G306" i="6"/>
  <c r="V305" i="6"/>
  <c r="O305" i="6"/>
  <c r="N305" i="6"/>
  <c r="K305" i="6"/>
  <c r="M305" i="6" s="1"/>
  <c r="J305" i="6"/>
  <c r="G305" i="6"/>
  <c r="L305" i="6" s="1"/>
  <c r="R305" i="6" s="1"/>
  <c r="K304" i="6"/>
  <c r="J304" i="6"/>
  <c r="N304" i="6" s="1"/>
  <c r="O304" i="6" s="1"/>
  <c r="G304" i="6"/>
  <c r="V303" i="6"/>
  <c r="R303" i="6"/>
  <c r="N303" i="6"/>
  <c r="M303" i="6"/>
  <c r="K303" i="6"/>
  <c r="J303" i="6"/>
  <c r="G303" i="6"/>
  <c r="L303" i="6" s="1"/>
  <c r="N302" i="6"/>
  <c r="K302" i="6"/>
  <c r="M302" i="6" s="1"/>
  <c r="J302" i="6"/>
  <c r="G302" i="6"/>
  <c r="K301" i="6"/>
  <c r="V301" i="6" s="1"/>
  <c r="J301" i="6"/>
  <c r="N301" i="6" s="1"/>
  <c r="O301" i="6" s="1"/>
  <c r="G301" i="6"/>
  <c r="V300" i="6"/>
  <c r="M300" i="6"/>
  <c r="K300" i="6"/>
  <c r="J300" i="6"/>
  <c r="G300" i="6"/>
  <c r="K299" i="6"/>
  <c r="M299" i="6" s="1"/>
  <c r="J299" i="6"/>
  <c r="G299" i="6"/>
  <c r="L298" i="6"/>
  <c r="R298" i="6" s="1"/>
  <c r="K298" i="6"/>
  <c r="V298" i="6" s="1"/>
  <c r="J298" i="6"/>
  <c r="N298" i="6" s="1"/>
  <c r="O298" i="6" s="1"/>
  <c r="G298" i="6"/>
  <c r="V297" i="6"/>
  <c r="R297" i="6"/>
  <c r="N297" i="6"/>
  <c r="O297" i="6" s="1"/>
  <c r="M297" i="6"/>
  <c r="L297" i="6"/>
  <c r="K297" i="6"/>
  <c r="J297" i="6"/>
  <c r="G297" i="6"/>
  <c r="K296" i="6"/>
  <c r="M296" i="6" s="1"/>
  <c r="J296" i="6"/>
  <c r="G296" i="6"/>
  <c r="P295" i="6"/>
  <c r="M295" i="6"/>
  <c r="L295" i="6"/>
  <c r="K295" i="6"/>
  <c r="V295" i="6" s="1"/>
  <c r="J295" i="6"/>
  <c r="N295" i="6" s="1"/>
  <c r="O295" i="6" s="1"/>
  <c r="G295" i="6"/>
  <c r="V294" i="6"/>
  <c r="M294" i="6"/>
  <c r="L294" i="6"/>
  <c r="K294" i="6"/>
  <c r="J294" i="6"/>
  <c r="G294" i="6"/>
  <c r="N294" i="6" s="1"/>
  <c r="O294" i="6" s="1"/>
  <c r="K293" i="6"/>
  <c r="J293" i="6"/>
  <c r="G293" i="6"/>
  <c r="M292" i="6"/>
  <c r="K292" i="6"/>
  <c r="V292" i="6" s="1"/>
  <c r="J292" i="6"/>
  <c r="N292" i="6" s="1"/>
  <c r="O292" i="6" s="1"/>
  <c r="G292" i="6"/>
  <c r="V291" i="6"/>
  <c r="N291" i="6"/>
  <c r="O291" i="6" s="1"/>
  <c r="M291" i="6"/>
  <c r="L291" i="6"/>
  <c r="K291" i="6"/>
  <c r="J291" i="6"/>
  <c r="G291" i="6"/>
  <c r="N290" i="6"/>
  <c r="K290" i="6"/>
  <c r="M290" i="6" s="1"/>
  <c r="J290" i="6"/>
  <c r="G290" i="6"/>
  <c r="K289" i="6"/>
  <c r="V289" i="6" s="1"/>
  <c r="J289" i="6"/>
  <c r="G289" i="6"/>
  <c r="V288" i="6"/>
  <c r="M288" i="6"/>
  <c r="K288" i="6"/>
  <c r="J288" i="6"/>
  <c r="G288" i="6"/>
  <c r="O287" i="6"/>
  <c r="N287" i="6"/>
  <c r="K287" i="6"/>
  <c r="J287" i="6"/>
  <c r="G287" i="6"/>
  <c r="L287" i="6" s="1"/>
  <c r="R287" i="6" s="1"/>
  <c r="K286" i="6"/>
  <c r="J286" i="6"/>
  <c r="N286" i="6" s="1"/>
  <c r="O286" i="6" s="1"/>
  <c r="G286" i="6"/>
  <c r="V285" i="6"/>
  <c r="R285" i="6"/>
  <c r="N285" i="6"/>
  <c r="M285" i="6"/>
  <c r="K285" i="6"/>
  <c r="J285" i="6"/>
  <c r="G285" i="6"/>
  <c r="L285" i="6" s="1"/>
  <c r="N284" i="6"/>
  <c r="K284" i="6"/>
  <c r="M284" i="6" s="1"/>
  <c r="J284" i="6"/>
  <c r="G284" i="6"/>
  <c r="K283" i="6"/>
  <c r="V283" i="6" s="1"/>
  <c r="J283" i="6"/>
  <c r="N283" i="6" s="1"/>
  <c r="O283" i="6" s="1"/>
  <c r="G283" i="6"/>
  <c r="V282" i="6"/>
  <c r="M282" i="6"/>
  <c r="K282" i="6"/>
  <c r="J282" i="6"/>
  <c r="G282" i="6"/>
  <c r="K281" i="6"/>
  <c r="M281" i="6" s="1"/>
  <c r="J281" i="6"/>
  <c r="G281" i="6"/>
  <c r="L280" i="6"/>
  <c r="R280" i="6" s="1"/>
  <c r="K280" i="6"/>
  <c r="J280" i="6"/>
  <c r="N280" i="6" s="1"/>
  <c r="O280" i="6" s="1"/>
  <c r="G280" i="6"/>
  <c r="V279" i="6"/>
  <c r="N279" i="6"/>
  <c r="O279" i="6" s="1"/>
  <c r="M279" i="6"/>
  <c r="L279" i="6"/>
  <c r="R279" i="6" s="1"/>
  <c r="K279" i="6"/>
  <c r="J279" i="6"/>
  <c r="G279" i="6"/>
  <c r="K278" i="6"/>
  <c r="M278" i="6" s="1"/>
  <c r="J278" i="6"/>
  <c r="G278" i="6"/>
  <c r="P277" i="6"/>
  <c r="M277" i="6"/>
  <c r="L277" i="6"/>
  <c r="K277" i="6"/>
  <c r="V277" i="6" s="1"/>
  <c r="J277" i="6"/>
  <c r="N277" i="6" s="1"/>
  <c r="O277" i="6" s="1"/>
  <c r="G277" i="6"/>
  <c r="V276" i="6"/>
  <c r="M276" i="6"/>
  <c r="L276" i="6"/>
  <c r="K276" i="6"/>
  <c r="J276" i="6"/>
  <c r="G276" i="6"/>
  <c r="N276" i="6" s="1"/>
  <c r="O276" i="6" s="1"/>
  <c r="K275" i="6"/>
  <c r="M275" i="6" s="1"/>
  <c r="J275" i="6"/>
  <c r="G275" i="6"/>
  <c r="M274" i="6"/>
  <c r="K274" i="6"/>
  <c r="V274" i="6" s="1"/>
  <c r="J274" i="6"/>
  <c r="N274" i="6" s="1"/>
  <c r="O274" i="6" s="1"/>
  <c r="G274" i="6"/>
  <c r="V273" i="6"/>
  <c r="N273" i="6"/>
  <c r="O273" i="6" s="1"/>
  <c r="M273" i="6"/>
  <c r="L273" i="6"/>
  <c r="K273" i="6"/>
  <c r="J273" i="6"/>
  <c r="G273" i="6"/>
  <c r="N272" i="6"/>
  <c r="O272" i="6" s="1"/>
  <c r="K272" i="6"/>
  <c r="M272" i="6" s="1"/>
  <c r="J272" i="6"/>
  <c r="G272" i="6"/>
  <c r="K271" i="6"/>
  <c r="V271" i="6" s="1"/>
  <c r="J271" i="6"/>
  <c r="G271" i="6"/>
  <c r="V270" i="6"/>
  <c r="M270" i="6"/>
  <c r="K270" i="6"/>
  <c r="J270" i="6"/>
  <c r="G270" i="6"/>
  <c r="V269" i="6"/>
  <c r="O269" i="6"/>
  <c r="N269" i="6"/>
  <c r="K269" i="6"/>
  <c r="M269" i="6" s="1"/>
  <c r="J269" i="6"/>
  <c r="G269" i="6"/>
  <c r="L269" i="6" s="1"/>
  <c r="R269" i="6" s="1"/>
  <c r="K268" i="6"/>
  <c r="J268" i="6"/>
  <c r="N268" i="6" s="1"/>
  <c r="O268" i="6" s="1"/>
  <c r="G268" i="6"/>
  <c r="V267" i="6"/>
  <c r="R267" i="6"/>
  <c r="N267" i="6"/>
  <c r="M267" i="6"/>
  <c r="K267" i="6"/>
  <c r="J267" i="6"/>
  <c r="G267" i="6"/>
  <c r="L267" i="6" s="1"/>
  <c r="N266" i="6"/>
  <c r="K266" i="6"/>
  <c r="M266" i="6" s="1"/>
  <c r="J266" i="6"/>
  <c r="G266" i="6"/>
  <c r="L265" i="6"/>
  <c r="K265" i="6"/>
  <c r="J265" i="6"/>
  <c r="N265" i="6" s="1"/>
  <c r="O265" i="6" s="1"/>
  <c r="G265" i="6"/>
  <c r="V264" i="6"/>
  <c r="M264" i="6"/>
  <c r="K264" i="6"/>
  <c r="J264" i="6"/>
  <c r="G264" i="6"/>
  <c r="K263" i="6"/>
  <c r="M263" i="6" s="1"/>
  <c r="J263" i="6"/>
  <c r="G263" i="6"/>
  <c r="L262" i="6"/>
  <c r="K262" i="6"/>
  <c r="V262" i="6" s="1"/>
  <c r="J262" i="6"/>
  <c r="N262" i="6" s="1"/>
  <c r="O262" i="6" s="1"/>
  <c r="G262" i="6"/>
  <c r="V261" i="6"/>
  <c r="N261" i="6"/>
  <c r="O261" i="6" s="1"/>
  <c r="M261" i="6"/>
  <c r="L261" i="6"/>
  <c r="K261" i="6"/>
  <c r="J261" i="6"/>
  <c r="G261" i="6"/>
  <c r="K260" i="6"/>
  <c r="M260" i="6" s="1"/>
  <c r="J260" i="6"/>
  <c r="G260" i="6"/>
  <c r="P259" i="6"/>
  <c r="M259" i="6"/>
  <c r="L259" i="6"/>
  <c r="K259" i="6"/>
  <c r="V259" i="6" s="1"/>
  <c r="J259" i="6"/>
  <c r="N259" i="6" s="1"/>
  <c r="O259" i="6" s="1"/>
  <c r="G259" i="6"/>
  <c r="V258" i="6"/>
  <c r="M258" i="6"/>
  <c r="L258" i="6"/>
  <c r="K258" i="6"/>
  <c r="J258" i="6"/>
  <c r="G258" i="6"/>
  <c r="N258" i="6" s="1"/>
  <c r="O258" i="6" s="1"/>
  <c r="K257" i="6"/>
  <c r="M257" i="6" s="1"/>
  <c r="J257" i="6"/>
  <c r="G257" i="6"/>
  <c r="M256" i="6"/>
  <c r="K256" i="6"/>
  <c r="V256" i="6" s="1"/>
  <c r="J256" i="6"/>
  <c r="N256" i="6" s="1"/>
  <c r="O256" i="6" s="1"/>
  <c r="G256" i="6"/>
  <c r="V255" i="6"/>
  <c r="N255" i="6"/>
  <c r="O255" i="6" s="1"/>
  <c r="M255" i="6"/>
  <c r="L255" i="6"/>
  <c r="K255" i="6"/>
  <c r="J255" i="6"/>
  <c r="G255" i="6"/>
  <c r="V254" i="6"/>
  <c r="K254" i="6"/>
  <c r="M254" i="6" s="1"/>
  <c r="J254" i="6"/>
  <c r="N254" i="6" s="1"/>
  <c r="G254" i="6"/>
  <c r="K253" i="6"/>
  <c r="V253" i="6" s="1"/>
  <c r="J253" i="6"/>
  <c r="G253" i="6"/>
  <c r="V252" i="6"/>
  <c r="N252" i="6"/>
  <c r="O252" i="6" s="1"/>
  <c r="M252" i="6"/>
  <c r="K252" i="6"/>
  <c r="J252" i="6"/>
  <c r="G252" i="6"/>
  <c r="L252" i="6" s="1"/>
  <c r="X249" i="6"/>
  <c r="W249" i="6"/>
  <c r="Q249" i="6"/>
  <c r="E249" i="6"/>
  <c r="D249" i="6"/>
  <c r="C249" i="6"/>
  <c r="B249" i="6"/>
  <c r="X247" i="6"/>
  <c r="Q247" i="6"/>
  <c r="C247" i="6"/>
  <c r="B247" i="6"/>
  <c r="X246" i="6"/>
  <c r="W246" i="6"/>
  <c r="Q246" i="6"/>
  <c r="F246" i="6"/>
  <c r="G246" i="6" s="1"/>
  <c r="J246" i="6" s="1"/>
  <c r="D246" i="6"/>
  <c r="C246" i="6"/>
  <c r="B246" i="6"/>
  <c r="X245" i="6"/>
  <c r="W245" i="6"/>
  <c r="Q245" i="6"/>
  <c r="D245" i="6"/>
  <c r="C245" i="6"/>
  <c r="B245" i="6"/>
  <c r="X244" i="6"/>
  <c r="W244" i="6"/>
  <c r="Q244" i="6"/>
  <c r="E244" i="6"/>
  <c r="D244" i="6"/>
  <c r="C244" i="6"/>
  <c r="B244" i="6"/>
  <c r="X243" i="6"/>
  <c r="W243" i="6"/>
  <c r="Q243" i="6"/>
  <c r="E243" i="6"/>
  <c r="D243" i="6"/>
  <c r="C243" i="6"/>
  <c r="B243" i="6"/>
  <c r="X242" i="6"/>
  <c r="Q242" i="6"/>
  <c r="O242" i="6"/>
  <c r="N242" i="6"/>
  <c r="G242" i="6"/>
  <c r="J242" i="6" s="1"/>
  <c r="P242" i="6" s="1"/>
  <c r="F242" i="6"/>
  <c r="L242" i="6" s="1"/>
  <c r="M242" i="6" s="1"/>
  <c r="I242" i="6" s="1"/>
  <c r="H242" i="6" s="1"/>
  <c r="X241" i="6"/>
  <c r="W241" i="6"/>
  <c r="Q241" i="6"/>
  <c r="P241" i="6"/>
  <c r="M241" i="6"/>
  <c r="G241" i="6"/>
  <c r="J241" i="6" s="1"/>
  <c r="F241" i="6"/>
  <c r="L241" i="6" s="1"/>
  <c r="X240" i="6"/>
  <c r="W240" i="6"/>
  <c r="Q240" i="6"/>
  <c r="G240" i="6"/>
  <c r="J240" i="6" s="1"/>
  <c r="F240" i="6"/>
  <c r="L240" i="6" s="1"/>
  <c r="M240" i="6" s="1"/>
  <c r="X239" i="6"/>
  <c r="Q239" i="6"/>
  <c r="N239" i="6"/>
  <c r="G239" i="6"/>
  <c r="J239" i="6" s="1"/>
  <c r="O239" i="6" s="1"/>
  <c r="F239" i="6"/>
  <c r="L239" i="6" s="1"/>
  <c r="M239" i="6" s="1"/>
  <c r="X238" i="6"/>
  <c r="W238" i="6"/>
  <c r="Q238" i="6"/>
  <c r="P238" i="6"/>
  <c r="N238" i="6"/>
  <c r="K238" i="6"/>
  <c r="R238" i="6" s="1"/>
  <c r="G238" i="6"/>
  <c r="J238" i="6" s="1"/>
  <c r="O238" i="6" s="1"/>
  <c r="F238" i="6"/>
  <c r="L238" i="6" s="1"/>
  <c r="M238" i="6" s="1"/>
  <c r="X237" i="6"/>
  <c r="W237" i="6"/>
  <c r="Q237" i="6"/>
  <c r="X236" i="6"/>
  <c r="W236" i="6"/>
  <c r="Q236" i="6"/>
  <c r="D236" i="6"/>
  <c r="X235" i="6"/>
  <c r="W235" i="6"/>
  <c r="Q235" i="6"/>
  <c r="E235" i="6"/>
  <c r="D235" i="6"/>
  <c r="X234" i="6"/>
  <c r="W234" i="6"/>
  <c r="Q234" i="6"/>
  <c r="G234" i="6"/>
  <c r="J234" i="6" s="1"/>
  <c r="N234" i="6" s="1"/>
  <c r="F234" i="6"/>
  <c r="L234" i="6" s="1"/>
  <c r="D234" i="6"/>
  <c r="X233" i="6"/>
  <c r="W233" i="6"/>
  <c r="Q233" i="6"/>
  <c r="D233" i="6"/>
  <c r="X232" i="6"/>
  <c r="W232" i="6"/>
  <c r="Q232" i="6"/>
  <c r="D232" i="6"/>
  <c r="X231" i="6"/>
  <c r="W231" i="6"/>
  <c r="Q231" i="6"/>
  <c r="O231" i="6"/>
  <c r="M231" i="6"/>
  <c r="J231" i="6"/>
  <c r="P231" i="6" s="1"/>
  <c r="G231" i="6"/>
  <c r="F231" i="6"/>
  <c r="L231" i="6" s="1"/>
  <c r="X230" i="6"/>
  <c r="W230" i="6"/>
  <c r="Q230" i="6"/>
  <c r="O230" i="6"/>
  <c r="J230" i="6"/>
  <c r="N230" i="6" s="1"/>
  <c r="G230" i="6"/>
  <c r="F230" i="6"/>
  <c r="L230" i="6" s="1"/>
  <c r="M230" i="6" s="1"/>
  <c r="X229" i="6"/>
  <c r="W229" i="6"/>
  <c r="Q229" i="6"/>
  <c r="N229" i="6"/>
  <c r="L229" i="6"/>
  <c r="M229" i="6" s="1"/>
  <c r="J229" i="6"/>
  <c r="P229" i="6" s="1"/>
  <c r="F229" i="6"/>
  <c r="G229" i="6" s="1"/>
  <c r="X228" i="6"/>
  <c r="W228" i="6"/>
  <c r="Q228" i="6"/>
  <c r="L228" i="6"/>
  <c r="F228" i="6"/>
  <c r="G228" i="6" s="1"/>
  <c r="J228" i="6" s="1"/>
  <c r="W227" i="6"/>
  <c r="U227" i="6"/>
  <c r="V227" i="6" s="1"/>
  <c r="Q227" i="6"/>
  <c r="L227" i="6"/>
  <c r="F227" i="6"/>
  <c r="G227" i="6" s="1"/>
  <c r="J227" i="6" s="1"/>
  <c r="X226" i="6"/>
  <c r="W226" i="6"/>
  <c r="Q226" i="6"/>
  <c r="X225" i="6"/>
  <c r="Q225" i="6"/>
  <c r="O225" i="6"/>
  <c r="M225" i="6"/>
  <c r="G225" i="6"/>
  <c r="J225" i="6" s="1"/>
  <c r="F225" i="6"/>
  <c r="L225" i="6" s="1"/>
  <c r="X224" i="6"/>
  <c r="W224" i="6"/>
  <c r="Q224" i="6"/>
  <c r="O224" i="6"/>
  <c r="N224" i="6"/>
  <c r="G224" i="6"/>
  <c r="J224" i="6" s="1"/>
  <c r="P224" i="6" s="1"/>
  <c r="F224" i="6"/>
  <c r="L224" i="6" s="1"/>
  <c r="M224" i="6" s="1"/>
  <c r="K224" i="6" s="1"/>
  <c r="R224" i="6" s="1"/>
  <c r="W223" i="6"/>
  <c r="U223" i="6"/>
  <c r="V223" i="6" s="1"/>
  <c r="Q223" i="6"/>
  <c r="M223" i="6"/>
  <c r="L223" i="6"/>
  <c r="F223" i="6"/>
  <c r="G223" i="6" s="1"/>
  <c r="J223" i="6" s="1"/>
  <c r="W222" i="6"/>
  <c r="U222" i="6"/>
  <c r="Q222" i="6"/>
  <c r="M222" i="6"/>
  <c r="L222" i="6"/>
  <c r="F222" i="6"/>
  <c r="G222" i="6" s="1"/>
  <c r="J222" i="6" s="1"/>
  <c r="W221" i="6"/>
  <c r="V221" i="6" s="1"/>
  <c r="Q221" i="6"/>
  <c r="P221" i="6"/>
  <c r="M221" i="6"/>
  <c r="J221" i="6"/>
  <c r="O221" i="6" s="1"/>
  <c r="G221" i="6"/>
  <c r="F221" i="6"/>
  <c r="L221" i="6" s="1"/>
  <c r="W220" i="6"/>
  <c r="U220" i="6"/>
  <c r="V220" i="6" s="1"/>
  <c r="Q220" i="6"/>
  <c r="M220" i="6"/>
  <c r="L220" i="6"/>
  <c r="F220" i="6"/>
  <c r="G220" i="6" s="1"/>
  <c r="J220" i="6" s="1"/>
  <c r="W219" i="6"/>
  <c r="U219" i="6"/>
  <c r="Q219" i="6"/>
  <c r="L219" i="6"/>
  <c r="M219" i="6" s="1"/>
  <c r="G219" i="6"/>
  <c r="J219" i="6" s="1"/>
  <c r="F219" i="6"/>
  <c r="X218" i="6"/>
  <c r="W218" i="6"/>
  <c r="Q218" i="6"/>
  <c r="M218" i="6"/>
  <c r="F218" i="6"/>
  <c r="L218" i="6" s="1"/>
  <c r="X217" i="6"/>
  <c r="W217" i="6"/>
  <c r="Q217" i="6"/>
  <c r="F217" i="6"/>
  <c r="L217" i="6" s="1"/>
  <c r="X216" i="6"/>
  <c r="W216" i="6"/>
  <c r="Q216" i="6"/>
  <c r="X215" i="6"/>
  <c r="W215" i="6"/>
  <c r="Q215" i="6"/>
  <c r="F215" i="6"/>
  <c r="E215" i="6"/>
  <c r="W214" i="6"/>
  <c r="Q214" i="6"/>
  <c r="F214" i="6"/>
  <c r="W213" i="6"/>
  <c r="U213" i="6"/>
  <c r="V213" i="6" s="1"/>
  <c r="Q213" i="6"/>
  <c r="O213" i="6"/>
  <c r="J213" i="6"/>
  <c r="N213" i="6" s="1"/>
  <c r="G213" i="6"/>
  <c r="F213" i="6"/>
  <c r="L213" i="6" s="1"/>
  <c r="M213" i="6" s="1"/>
  <c r="W212" i="6"/>
  <c r="V212" i="6"/>
  <c r="U212" i="6"/>
  <c r="Q212" i="6"/>
  <c r="M212" i="6"/>
  <c r="L212" i="6"/>
  <c r="F212" i="6"/>
  <c r="G212" i="6" s="1"/>
  <c r="J212" i="6" s="1"/>
  <c r="X211" i="6"/>
  <c r="W211" i="6"/>
  <c r="Q211" i="6"/>
  <c r="F211" i="6"/>
  <c r="G211" i="6" s="1"/>
  <c r="J211" i="6" s="1"/>
  <c r="W210" i="6"/>
  <c r="U210" i="6"/>
  <c r="V210" i="6" s="1"/>
  <c r="Q210" i="6"/>
  <c r="M210" i="6"/>
  <c r="L210" i="6"/>
  <c r="F210" i="6"/>
  <c r="G210" i="6" s="1"/>
  <c r="J210" i="6" s="1"/>
  <c r="W209" i="6"/>
  <c r="U209" i="6"/>
  <c r="V209" i="6" s="1"/>
  <c r="Q209" i="6"/>
  <c r="N209" i="6"/>
  <c r="G209" i="6"/>
  <c r="J209" i="6" s="1"/>
  <c r="P209" i="6" s="1"/>
  <c r="F209" i="6"/>
  <c r="L209" i="6" s="1"/>
  <c r="M209" i="6" s="1"/>
  <c r="W208" i="6"/>
  <c r="U208" i="6"/>
  <c r="V208" i="6" s="1"/>
  <c r="Q208" i="6"/>
  <c r="N208" i="6"/>
  <c r="L208" i="6"/>
  <c r="M208" i="6" s="1"/>
  <c r="G208" i="6"/>
  <c r="J208" i="6" s="1"/>
  <c r="P208" i="6" s="1"/>
  <c r="F208" i="6"/>
  <c r="X207" i="6"/>
  <c r="W207" i="6"/>
  <c r="Q207" i="6"/>
  <c r="E207" i="6"/>
  <c r="W206" i="6"/>
  <c r="U206" i="6"/>
  <c r="V206" i="6" s="1"/>
  <c r="Q206" i="6"/>
  <c r="F206" i="6"/>
  <c r="W205" i="6"/>
  <c r="Q205" i="6"/>
  <c r="N205" i="6"/>
  <c r="J205" i="6"/>
  <c r="P205" i="6" s="1"/>
  <c r="F205" i="6"/>
  <c r="G205" i="6" s="1"/>
  <c r="W204" i="6"/>
  <c r="U204" i="6"/>
  <c r="V204" i="6" s="1"/>
  <c r="Q204" i="6"/>
  <c r="F204" i="6"/>
  <c r="W203" i="6"/>
  <c r="U203" i="6"/>
  <c r="V203" i="6" s="1"/>
  <c r="Q203" i="6"/>
  <c r="F203" i="6"/>
  <c r="W202" i="6"/>
  <c r="Q202" i="6"/>
  <c r="N202" i="6"/>
  <c r="J202" i="6"/>
  <c r="P202" i="6" s="1"/>
  <c r="F202" i="6"/>
  <c r="G202" i="6" s="1"/>
  <c r="W201" i="6"/>
  <c r="U201" i="6"/>
  <c r="Q201" i="6"/>
  <c r="F201" i="6"/>
  <c r="W200" i="6"/>
  <c r="Q200" i="6"/>
  <c r="F200" i="6"/>
  <c r="W199" i="6"/>
  <c r="Q199" i="6"/>
  <c r="N199" i="6"/>
  <c r="J199" i="6"/>
  <c r="P199" i="6" s="1"/>
  <c r="F199" i="6"/>
  <c r="G199" i="6" s="1"/>
  <c r="W198" i="6"/>
  <c r="Q198" i="6"/>
  <c r="G198" i="6"/>
  <c r="J198" i="6" s="1"/>
  <c r="F198" i="6"/>
  <c r="L198" i="6" s="1"/>
  <c r="W197" i="6"/>
  <c r="U197" i="6"/>
  <c r="V197" i="6" s="1"/>
  <c r="Q197" i="6"/>
  <c r="F197" i="6"/>
  <c r="W196" i="6"/>
  <c r="U196" i="6"/>
  <c r="V196" i="6" s="1"/>
  <c r="Q196" i="6"/>
  <c r="F196" i="6"/>
  <c r="G196" i="6" s="1"/>
  <c r="J196" i="6" s="1"/>
  <c r="W195" i="6"/>
  <c r="U195" i="6"/>
  <c r="V195" i="6" s="1"/>
  <c r="Q195" i="6"/>
  <c r="N195" i="6"/>
  <c r="G195" i="6"/>
  <c r="J195" i="6" s="1"/>
  <c r="P195" i="6" s="1"/>
  <c r="F195" i="6"/>
  <c r="L195" i="6" s="1"/>
  <c r="W194" i="6"/>
  <c r="U194" i="6"/>
  <c r="V194" i="6" s="1"/>
  <c r="Q194" i="6"/>
  <c r="N194" i="6"/>
  <c r="L194" i="6"/>
  <c r="M194" i="6" s="1"/>
  <c r="G194" i="6"/>
  <c r="J194" i="6" s="1"/>
  <c r="P194" i="6" s="1"/>
  <c r="F194" i="6"/>
  <c r="W193" i="6"/>
  <c r="U193" i="6"/>
  <c r="V193" i="6" s="1"/>
  <c r="Q193" i="6"/>
  <c r="J193" i="6"/>
  <c r="P193" i="6" s="1"/>
  <c r="F193" i="6"/>
  <c r="G193" i="6" s="1"/>
  <c r="W192" i="6"/>
  <c r="U192" i="6"/>
  <c r="Q192" i="6"/>
  <c r="M192" i="6"/>
  <c r="G192" i="6"/>
  <c r="J192" i="6" s="1"/>
  <c r="F192" i="6"/>
  <c r="L192" i="6" s="1"/>
  <c r="W191" i="6"/>
  <c r="V191" i="6" s="1"/>
  <c r="U191" i="6"/>
  <c r="Q191" i="6"/>
  <c r="F191" i="6"/>
  <c r="W190" i="6"/>
  <c r="U190" i="6"/>
  <c r="V190" i="6" s="1"/>
  <c r="Q190" i="6"/>
  <c r="O190" i="6"/>
  <c r="L190" i="6"/>
  <c r="M190" i="6" s="1"/>
  <c r="J190" i="6"/>
  <c r="N190" i="6" s="1"/>
  <c r="G190" i="6"/>
  <c r="F190" i="6"/>
  <c r="W189" i="6"/>
  <c r="U189" i="6"/>
  <c r="V189" i="6" s="1"/>
  <c r="Q189" i="6"/>
  <c r="N189" i="6"/>
  <c r="J189" i="6"/>
  <c r="O189" i="6" s="1"/>
  <c r="G189" i="6"/>
  <c r="F189" i="6"/>
  <c r="L189" i="6" s="1"/>
  <c r="W188" i="6"/>
  <c r="U188" i="6"/>
  <c r="V188" i="6" s="1"/>
  <c r="Q188" i="6"/>
  <c r="F188" i="6"/>
  <c r="W187" i="6"/>
  <c r="U187" i="6"/>
  <c r="Q187" i="6"/>
  <c r="F187" i="6"/>
  <c r="W186" i="6"/>
  <c r="U186" i="6"/>
  <c r="V186" i="6" s="1"/>
  <c r="Q186" i="6"/>
  <c r="O186" i="6"/>
  <c r="J186" i="6"/>
  <c r="N186" i="6" s="1"/>
  <c r="G186" i="6"/>
  <c r="F186" i="6"/>
  <c r="L186" i="6" s="1"/>
  <c r="M186" i="6" s="1"/>
  <c r="W185" i="6"/>
  <c r="V185" i="6"/>
  <c r="U185" i="6"/>
  <c r="Q185" i="6"/>
  <c r="M185" i="6"/>
  <c r="L185" i="6"/>
  <c r="F185" i="6"/>
  <c r="G185" i="6" s="1"/>
  <c r="J185" i="6" s="1"/>
  <c r="W184" i="6"/>
  <c r="U184" i="6"/>
  <c r="Q184" i="6"/>
  <c r="P184" i="6"/>
  <c r="L184" i="6"/>
  <c r="G184" i="6"/>
  <c r="J184" i="6" s="1"/>
  <c r="F184" i="6"/>
  <c r="W183" i="6"/>
  <c r="U183" i="6"/>
  <c r="V183" i="6" s="1"/>
  <c r="Q183" i="6"/>
  <c r="G183" i="6"/>
  <c r="J183" i="6" s="1"/>
  <c r="F183" i="6"/>
  <c r="L183" i="6" s="1"/>
  <c r="M183" i="6" s="1"/>
  <c r="W182" i="6"/>
  <c r="V182" i="6"/>
  <c r="U182" i="6"/>
  <c r="Q182" i="6"/>
  <c r="L182" i="6"/>
  <c r="G182" i="6"/>
  <c r="J182" i="6" s="1"/>
  <c r="F182" i="6"/>
  <c r="W181" i="6"/>
  <c r="U181" i="6"/>
  <c r="V181" i="6" s="1"/>
  <c r="Q181" i="6"/>
  <c r="L181" i="6"/>
  <c r="G181" i="6"/>
  <c r="J181" i="6" s="1"/>
  <c r="P181" i="6" s="1"/>
  <c r="F181" i="6"/>
  <c r="W180" i="6"/>
  <c r="V180" i="6"/>
  <c r="U180" i="6"/>
  <c r="Q180" i="6"/>
  <c r="P180" i="6"/>
  <c r="M180" i="6"/>
  <c r="J180" i="6"/>
  <c r="O180" i="6" s="1"/>
  <c r="G180" i="6"/>
  <c r="F180" i="6"/>
  <c r="L180" i="6" s="1"/>
  <c r="W179" i="6"/>
  <c r="U179" i="6"/>
  <c r="V179" i="6" s="1"/>
  <c r="Q179" i="6"/>
  <c r="M179" i="6"/>
  <c r="L179" i="6"/>
  <c r="F179" i="6"/>
  <c r="G179" i="6" s="1"/>
  <c r="J179" i="6" s="1"/>
  <c r="W178" i="6"/>
  <c r="U178" i="6"/>
  <c r="Q178" i="6"/>
  <c r="L178" i="6"/>
  <c r="M178" i="6" s="1"/>
  <c r="G178" i="6"/>
  <c r="J178" i="6" s="1"/>
  <c r="F178" i="6"/>
  <c r="W177" i="6"/>
  <c r="V177" i="6"/>
  <c r="U177" i="6"/>
  <c r="Q177" i="6"/>
  <c r="F177" i="6"/>
  <c r="L177" i="6" s="1"/>
  <c r="M177" i="6" s="1"/>
  <c r="W176" i="6"/>
  <c r="U176" i="6"/>
  <c r="V176" i="6" s="1"/>
  <c r="Q176" i="6"/>
  <c r="L176" i="6"/>
  <c r="F176" i="6"/>
  <c r="G176" i="6" s="1"/>
  <c r="J176" i="6" s="1"/>
  <c r="W175" i="6"/>
  <c r="V175" i="6" s="1"/>
  <c r="U175" i="6"/>
  <c r="Q175" i="6"/>
  <c r="P175" i="6"/>
  <c r="O175" i="6"/>
  <c r="L175" i="6"/>
  <c r="M175" i="6" s="1"/>
  <c r="J175" i="6"/>
  <c r="N175" i="6" s="1"/>
  <c r="F175" i="6"/>
  <c r="G175" i="6" s="1"/>
  <c r="W174" i="6"/>
  <c r="Q174" i="6"/>
  <c r="L174" i="6"/>
  <c r="M174" i="6" s="1"/>
  <c r="J174" i="6"/>
  <c r="G174" i="6"/>
  <c r="F174" i="6"/>
  <c r="W173" i="6"/>
  <c r="V173" i="6"/>
  <c r="U173" i="6"/>
  <c r="Q173" i="6"/>
  <c r="F173" i="6"/>
  <c r="W172" i="6"/>
  <c r="V172" i="6"/>
  <c r="U172" i="6"/>
  <c r="Q172" i="6"/>
  <c r="P172" i="6"/>
  <c r="L172" i="6"/>
  <c r="M172" i="6" s="1"/>
  <c r="J172" i="6"/>
  <c r="F172" i="6"/>
  <c r="G172" i="6" s="1"/>
  <c r="X171" i="6"/>
  <c r="Q171" i="6"/>
  <c r="L171" i="6"/>
  <c r="F171" i="6"/>
  <c r="G171" i="6" s="1"/>
  <c r="J171" i="6" s="1"/>
  <c r="Q170" i="6"/>
  <c r="L170" i="6"/>
  <c r="F170" i="6"/>
  <c r="G170" i="6" s="1"/>
  <c r="J170" i="6" s="1"/>
  <c r="O170" i="6" s="1"/>
  <c r="Q169" i="6"/>
  <c r="F169" i="6"/>
  <c r="L169" i="6" s="1"/>
  <c r="W168" i="6"/>
  <c r="V168" i="6"/>
  <c r="U168" i="6"/>
  <c r="Q168" i="6"/>
  <c r="L168" i="6"/>
  <c r="F168" i="6"/>
  <c r="G168" i="6" s="1"/>
  <c r="J168" i="6" s="1"/>
  <c r="W167" i="6"/>
  <c r="U167" i="6"/>
  <c r="V167" i="6" s="1"/>
  <c r="Q167" i="6"/>
  <c r="O167" i="6"/>
  <c r="L167" i="6"/>
  <c r="F167" i="6"/>
  <c r="G167" i="6" s="1"/>
  <c r="J167" i="6" s="1"/>
  <c r="W166" i="6"/>
  <c r="U166" i="6"/>
  <c r="V166" i="6" s="1"/>
  <c r="Q166" i="6"/>
  <c r="L166" i="6"/>
  <c r="G166" i="6"/>
  <c r="J166" i="6" s="1"/>
  <c r="F166" i="6"/>
  <c r="W165" i="6"/>
  <c r="Q165" i="6"/>
  <c r="F165" i="6"/>
  <c r="W164" i="6"/>
  <c r="U164" i="6"/>
  <c r="V164" i="6" s="1"/>
  <c r="Q164" i="6"/>
  <c r="P164" i="6"/>
  <c r="O164" i="6"/>
  <c r="J164" i="6"/>
  <c r="N164" i="6" s="1"/>
  <c r="G164" i="6"/>
  <c r="F164" i="6"/>
  <c r="L164" i="6" s="1"/>
  <c r="M164" i="6" s="1"/>
  <c r="W163" i="6"/>
  <c r="U163" i="6"/>
  <c r="V163" i="6" s="1"/>
  <c r="Q163" i="6"/>
  <c r="L163" i="6"/>
  <c r="M163" i="6" s="1"/>
  <c r="G163" i="6"/>
  <c r="J163" i="6" s="1"/>
  <c r="P163" i="6" s="1"/>
  <c r="F163" i="6"/>
  <c r="W162" i="6"/>
  <c r="U162" i="6"/>
  <c r="V162" i="6" s="1"/>
  <c r="Q162" i="6"/>
  <c r="L162" i="6"/>
  <c r="F162" i="6"/>
  <c r="G162" i="6" s="1"/>
  <c r="J162" i="6" s="1"/>
  <c r="Q161" i="6"/>
  <c r="F161" i="6"/>
  <c r="L161" i="6" s="1"/>
  <c r="M161" i="6" s="1"/>
  <c r="W160" i="6"/>
  <c r="U160" i="6"/>
  <c r="V160" i="6" s="1"/>
  <c r="Q160" i="6"/>
  <c r="M160" i="6"/>
  <c r="J160" i="6"/>
  <c r="G160" i="6"/>
  <c r="F160" i="6"/>
  <c r="L160" i="6" s="1"/>
  <c r="W159" i="6"/>
  <c r="V159" i="6"/>
  <c r="U159" i="6"/>
  <c r="Q159" i="6"/>
  <c r="F159" i="6"/>
  <c r="G159" i="6" s="1"/>
  <c r="J159" i="6" s="1"/>
  <c r="N159" i="6" s="1"/>
  <c r="W158" i="6"/>
  <c r="U158" i="6"/>
  <c r="V158" i="6" s="1"/>
  <c r="Q158" i="6"/>
  <c r="F158" i="6"/>
  <c r="G158" i="6" s="1"/>
  <c r="J158" i="6" s="1"/>
  <c r="W157" i="6"/>
  <c r="U157" i="6"/>
  <c r="V157" i="6" s="1"/>
  <c r="Q157" i="6"/>
  <c r="M157" i="6"/>
  <c r="J157" i="6"/>
  <c r="G157" i="6"/>
  <c r="F157" i="6"/>
  <c r="L157" i="6" s="1"/>
  <c r="W156" i="6"/>
  <c r="V156" i="6"/>
  <c r="U156" i="6"/>
  <c r="Q156" i="6"/>
  <c r="F156" i="6"/>
  <c r="G156" i="6" s="1"/>
  <c r="J156" i="6" s="1"/>
  <c r="N156" i="6" s="1"/>
  <c r="Q155" i="6"/>
  <c r="F155" i="6"/>
  <c r="G155" i="6" s="1"/>
  <c r="J155" i="6" s="1"/>
  <c r="O155" i="6" s="1"/>
  <c r="W154" i="6"/>
  <c r="U154" i="6"/>
  <c r="V154" i="6" s="1"/>
  <c r="Q154" i="6"/>
  <c r="M154" i="6"/>
  <c r="G154" i="6"/>
  <c r="J154" i="6" s="1"/>
  <c r="F154" i="6"/>
  <c r="L154" i="6" s="1"/>
  <c r="W153" i="6"/>
  <c r="V153" i="6"/>
  <c r="U153" i="6"/>
  <c r="Q153" i="6"/>
  <c r="N153" i="6"/>
  <c r="F153" i="6"/>
  <c r="G153" i="6" s="1"/>
  <c r="J153" i="6" s="1"/>
  <c r="W152" i="6"/>
  <c r="U152" i="6"/>
  <c r="Q152" i="6"/>
  <c r="F152" i="6"/>
  <c r="G152" i="6" s="1"/>
  <c r="J152" i="6" s="1"/>
  <c r="O152" i="6" s="1"/>
  <c r="W151" i="6"/>
  <c r="U151" i="6"/>
  <c r="V151" i="6" s="1"/>
  <c r="Q151" i="6"/>
  <c r="M151" i="6"/>
  <c r="G151" i="6"/>
  <c r="J151" i="6" s="1"/>
  <c r="F151" i="6"/>
  <c r="L151" i="6" s="1"/>
  <c r="Q150" i="6"/>
  <c r="N150" i="6"/>
  <c r="F150" i="6"/>
  <c r="G150" i="6" s="1"/>
  <c r="J150" i="6" s="1"/>
  <c r="W149" i="6"/>
  <c r="U149" i="6"/>
  <c r="V149" i="6" s="1"/>
  <c r="Q149" i="6"/>
  <c r="O149" i="6"/>
  <c r="F149" i="6"/>
  <c r="G149" i="6" s="1"/>
  <c r="J149" i="6" s="1"/>
  <c r="W148" i="6"/>
  <c r="U148" i="6"/>
  <c r="V148" i="6" s="1"/>
  <c r="Q148" i="6"/>
  <c r="G148" i="6"/>
  <c r="J148" i="6" s="1"/>
  <c r="F148" i="6"/>
  <c r="L148" i="6" s="1"/>
  <c r="M148" i="6" s="1"/>
  <c r="W147" i="6"/>
  <c r="V147" i="6"/>
  <c r="U147" i="6"/>
  <c r="Q147" i="6"/>
  <c r="N147" i="6"/>
  <c r="F147" i="6"/>
  <c r="G147" i="6" s="1"/>
  <c r="J147" i="6" s="1"/>
  <c r="W146" i="6"/>
  <c r="U146" i="6"/>
  <c r="V146" i="6" s="1"/>
  <c r="Q146" i="6"/>
  <c r="F146" i="6"/>
  <c r="G146" i="6" s="1"/>
  <c r="J146" i="6" s="1"/>
  <c r="W145" i="6"/>
  <c r="U145" i="6"/>
  <c r="V145" i="6" s="1"/>
  <c r="Q145" i="6"/>
  <c r="M145" i="6"/>
  <c r="G145" i="6"/>
  <c r="J145" i="6" s="1"/>
  <c r="F145" i="6"/>
  <c r="L145" i="6" s="1"/>
  <c r="W144" i="6"/>
  <c r="V144" i="6"/>
  <c r="U144" i="6"/>
  <c r="Q144" i="6"/>
  <c r="N144" i="6"/>
  <c r="L144" i="6"/>
  <c r="F144" i="6"/>
  <c r="G144" i="6" s="1"/>
  <c r="J144" i="6" s="1"/>
  <c r="W143" i="6"/>
  <c r="U143" i="6"/>
  <c r="V143" i="6" s="1"/>
  <c r="Q143" i="6"/>
  <c r="F143" i="6"/>
  <c r="G143" i="6" s="1"/>
  <c r="J143" i="6" s="1"/>
  <c r="W142" i="6"/>
  <c r="U142" i="6"/>
  <c r="V142" i="6" s="1"/>
  <c r="Q142" i="6"/>
  <c r="G142" i="6"/>
  <c r="J142" i="6" s="1"/>
  <c r="F142" i="6"/>
  <c r="L142" i="6" s="1"/>
  <c r="M142" i="6" s="1"/>
  <c r="Q141" i="6"/>
  <c r="N141" i="6"/>
  <c r="L141" i="6"/>
  <c r="F141" i="6"/>
  <c r="G141" i="6" s="1"/>
  <c r="J141" i="6" s="1"/>
  <c r="W140" i="6"/>
  <c r="Q140" i="6"/>
  <c r="F140" i="6"/>
  <c r="G140" i="6" s="1"/>
  <c r="J140" i="6" s="1"/>
  <c r="W139" i="6"/>
  <c r="V139" i="6"/>
  <c r="U139" i="6"/>
  <c r="Q139" i="6"/>
  <c r="M139" i="6"/>
  <c r="J139" i="6"/>
  <c r="G139" i="6"/>
  <c r="F139" i="6"/>
  <c r="L139" i="6" s="1"/>
  <c r="W138" i="6"/>
  <c r="Q138" i="6"/>
  <c r="F138" i="6"/>
  <c r="G138" i="6" s="1"/>
  <c r="J138" i="6" s="1"/>
  <c r="N138" i="6" s="1"/>
  <c r="W137" i="6"/>
  <c r="U137" i="6"/>
  <c r="V137" i="6" s="1"/>
  <c r="Q137" i="6"/>
  <c r="F137" i="6"/>
  <c r="G137" i="6" s="1"/>
  <c r="J137" i="6" s="1"/>
  <c r="W136" i="6"/>
  <c r="V136" i="6"/>
  <c r="U136" i="6"/>
  <c r="Q136" i="6"/>
  <c r="M136" i="6"/>
  <c r="J136" i="6"/>
  <c r="G136" i="6"/>
  <c r="F136" i="6"/>
  <c r="L136" i="6" s="1"/>
  <c r="W135" i="6"/>
  <c r="V135" i="6"/>
  <c r="U135" i="6"/>
  <c r="Q135" i="6"/>
  <c r="N135" i="6"/>
  <c r="L135" i="6"/>
  <c r="F135" i="6"/>
  <c r="G135" i="6" s="1"/>
  <c r="J135" i="6" s="1"/>
  <c r="W134" i="6"/>
  <c r="U134" i="6"/>
  <c r="V134" i="6" s="1"/>
  <c r="Q134" i="6"/>
  <c r="P134" i="6"/>
  <c r="J134" i="6"/>
  <c r="O134" i="6" s="1"/>
  <c r="W133" i="6"/>
  <c r="U133" i="6"/>
  <c r="V133" i="6" s="1"/>
  <c r="Q133" i="6"/>
  <c r="M133" i="6"/>
  <c r="L133" i="6"/>
  <c r="F133" i="6"/>
  <c r="G133" i="6" s="1"/>
  <c r="J133" i="6" s="1"/>
  <c r="W132" i="6"/>
  <c r="U132" i="6"/>
  <c r="V132" i="6" s="1"/>
  <c r="Q132" i="6"/>
  <c r="P132" i="6"/>
  <c r="J132" i="6"/>
  <c r="X129" i="6"/>
  <c r="Q129" i="6"/>
  <c r="M129" i="6"/>
  <c r="L129" i="6"/>
  <c r="F129" i="6"/>
  <c r="G129" i="6" s="1"/>
  <c r="J129" i="6" s="1"/>
  <c r="X127" i="6"/>
  <c r="Q127" i="6"/>
  <c r="L127" i="6"/>
  <c r="M127" i="6" s="1"/>
  <c r="F127" i="6"/>
  <c r="G127" i="6" s="1"/>
  <c r="J127" i="6" s="1"/>
  <c r="X126" i="6"/>
  <c r="Q126" i="6"/>
  <c r="F126" i="6"/>
  <c r="G126" i="6" s="1"/>
  <c r="J126" i="6" s="1"/>
  <c r="X125" i="6"/>
  <c r="Q125" i="6"/>
  <c r="F125" i="6"/>
  <c r="G125" i="6" s="1"/>
  <c r="J125" i="6" s="1"/>
  <c r="X124" i="6"/>
  <c r="Q124" i="6"/>
  <c r="L124" i="6"/>
  <c r="M124" i="6" s="1"/>
  <c r="F124" i="6"/>
  <c r="G124" i="6" s="1"/>
  <c r="J124" i="6" s="1"/>
  <c r="X123" i="6"/>
  <c r="Q123" i="6"/>
  <c r="L123" i="6"/>
  <c r="M123" i="6" s="1"/>
  <c r="F123" i="6"/>
  <c r="G123" i="6" s="1"/>
  <c r="J123" i="6" s="1"/>
  <c r="X122" i="6"/>
  <c r="Q122" i="6"/>
  <c r="L122" i="6"/>
  <c r="M122" i="6" s="1"/>
  <c r="J122" i="6"/>
  <c r="N122" i="6" s="1"/>
  <c r="F122" i="6"/>
  <c r="G122" i="6" s="1"/>
  <c r="X121" i="6"/>
  <c r="S121" i="6"/>
  <c r="X120" i="6"/>
  <c r="W120" i="6"/>
  <c r="S120" i="6"/>
  <c r="X119" i="6"/>
  <c r="S119" i="6"/>
  <c r="X118" i="6"/>
  <c r="Q118" i="6"/>
  <c r="P118" i="6"/>
  <c r="M118" i="6"/>
  <c r="J118" i="6"/>
  <c r="O118" i="6" s="1"/>
  <c r="G118" i="6"/>
  <c r="F118" i="6"/>
  <c r="L118" i="6" s="1"/>
  <c r="X117" i="6"/>
  <c r="W117" i="6"/>
  <c r="S117" i="6"/>
  <c r="X116" i="6"/>
  <c r="Q116" i="6"/>
  <c r="G116" i="6"/>
  <c r="J116" i="6" s="1"/>
  <c r="F116" i="6"/>
  <c r="L116" i="6" s="1"/>
  <c r="X115" i="6"/>
  <c r="Q115" i="6"/>
  <c r="G115" i="6"/>
  <c r="J115" i="6" s="1"/>
  <c r="F115" i="6"/>
  <c r="L115" i="6" s="1"/>
  <c r="Q114" i="6"/>
  <c r="F114" i="6"/>
  <c r="G114" i="6" s="1"/>
  <c r="J114" i="6" s="1"/>
  <c r="X113" i="6"/>
  <c r="Q113" i="6"/>
  <c r="L113" i="6"/>
  <c r="M113" i="6" s="1"/>
  <c r="F113" i="6"/>
  <c r="G113" i="6" s="1"/>
  <c r="J113" i="6" s="1"/>
  <c r="X112" i="6"/>
  <c r="Q112" i="6"/>
  <c r="L112" i="6"/>
  <c r="M112" i="6" s="1"/>
  <c r="F112" i="6"/>
  <c r="G112" i="6" s="1"/>
  <c r="J112" i="6" s="1"/>
  <c r="X111" i="6"/>
  <c r="Q111" i="6"/>
  <c r="L111" i="6"/>
  <c r="M111" i="6" s="1"/>
  <c r="F111" i="6"/>
  <c r="G111" i="6" s="1"/>
  <c r="J111" i="6" s="1"/>
  <c r="X110" i="6"/>
  <c r="Q110" i="6"/>
  <c r="P110" i="6"/>
  <c r="J110" i="6"/>
  <c r="O110" i="6" s="1"/>
  <c r="G110" i="6"/>
  <c r="F110" i="6"/>
  <c r="L110" i="6" s="1"/>
  <c r="M110" i="6" s="1"/>
  <c r="X109" i="6"/>
  <c r="Q109" i="6"/>
  <c r="L109" i="6"/>
  <c r="M109" i="6" s="1"/>
  <c r="F109" i="6"/>
  <c r="G109" i="6" s="1"/>
  <c r="J109" i="6" s="1"/>
  <c r="X108" i="6"/>
  <c r="W108" i="6"/>
  <c r="Q108" i="6"/>
  <c r="L108" i="6"/>
  <c r="M108" i="6" s="1"/>
  <c r="F108" i="6"/>
  <c r="G108" i="6" s="1"/>
  <c r="J108" i="6" s="1"/>
  <c r="X107" i="6"/>
  <c r="Q107" i="6"/>
  <c r="L107" i="6"/>
  <c r="G107" i="6"/>
  <c r="J107" i="6" s="1"/>
  <c r="F107" i="6"/>
  <c r="X106" i="6"/>
  <c r="Q106" i="6"/>
  <c r="F106" i="6"/>
  <c r="G106" i="6" s="1"/>
  <c r="J106" i="6" s="1"/>
  <c r="X105" i="6"/>
  <c r="W105" i="6"/>
  <c r="U231" i="6" s="1"/>
  <c r="Q105" i="6"/>
  <c r="F105" i="6"/>
  <c r="G105" i="6" s="1"/>
  <c r="J105" i="6" s="1"/>
  <c r="X104" i="6"/>
  <c r="W104" i="6"/>
  <c r="U229" i="6" s="1"/>
  <c r="Q104" i="6"/>
  <c r="F104" i="6"/>
  <c r="G104" i="6" s="1"/>
  <c r="J104" i="6" s="1"/>
  <c r="Q103" i="6"/>
  <c r="L103" i="6"/>
  <c r="M103" i="6" s="1"/>
  <c r="G103" i="6"/>
  <c r="J103" i="6" s="1"/>
  <c r="P103" i="6" s="1"/>
  <c r="F103" i="6"/>
  <c r="X102" i="6"/>
  <c r="Q102" i="6"/>
  <c r="G102" i="6"/>
  <c r="J102" i="6" s="1"/>
  <c r="F102" i="6"/>
  <c r="L102" i="6" s="1"/>
  <c r="M102" i="6" s="1"/>
  <c r="X101" i="6"/>
  <c r="Q101" i="6"/>
  <c r="L101" i="6"/>
  <c r="G101" i="6"/>
  <c r="J101" i="6" s="1"/>
  <c r="F101" i="6"/>
  <c r="X100" i="6"/>
  <c r="Q100" i="6"/>
  <c r="L100" i="6"/>
  <c r="M100" i="6" s="1"/>
  <c r="G100" i="6"/>
  <c r="J100" i="6" s="1"/>
  <c r="P100" i="6" s="1"/>
  <c r="F100" i="6"/>
  <c r="Q99" i="6"/>
  <c r="L99" i="6"/>
  <c r="M99" i="6" s="1"/>
  <c r="G99" i="6"/>
  <c r="J99" i="6" s="1"/>
  <c r="F99" i="6"/>
  <c r="Q98" i="6"/>
  <c r="J98" i="6"/>
  <c r="N98" i="6" s="1"/>
  <c r="G98" i="6"/>
  <c r="F98" i="6"/>
  <c r="L98" i="6" s="1"/>
  <c r="M98" i="6" s="1"/>
  <c r="Q97" i="6"/>
  <c r="L97" i="6"/>
  <c r="M97" i="6" s="1"/>
  <c r="J97" i="6"/>
  <c r="N97" i="6" s="1"/>
  <c r="F97" i="6"/>
  <c r="G97" i="6" s="1"/>
  <c r="Q96" i="6"/>
  <c r="L96" i="6"/>
  <c r="M96" i="6" s="1"/>
  <c r="F96" i="6"/>
  <c r="G96" i="6" s="1"/>
  <c r="J96" i="6" s="1"/>
  <c r="Q95" i="6"/>
  <c r="L95" i="6"/>
  <c r="G95" i="6"/>
  <c r="J95" i="6" s="1"/>
  <c r="F95" i="6"/>
  <c r="X94" i="6"/>
  <c r="Q94" i="6"/>
  <c r="L94" i="6"/>
  <c r="M94" i="6" s="1"/>
  <c r="F94" i="6"/>
  <c r="G94" i="6" s="1"/>
  <c r="J94" i="6" s="1"/>
  <c r="X93" i="6"/>
  <c r="Q93" i="6"/>
  <c r="P93" i="6"/>
  <c r="J93" i="6"/>
  <c r="O93" i="6" s="1"/>
  <c r="F93" i="6"/>
  <c r="G93" i="6" s="1"/>
  <c r="X92" i="6"/>
  <c r="Q92" i="6"/>
  <c r="F92" i="6"/>
  <c r="L92" i="6" s="1"/>
  <c r="Q91" i="6"/>
  <c r="L91" i="6"/>
  <c r="M91" i="6" s="1"/>
  <c r="G91" i="6"/>
  <c r="J91" i="6" s="1"/>
  <c r="P91" i="6" s="1"/>
  <c r="F91" i="6"/>
  <c r="Q90" i="6"/>
  <c r="L90" i="6"/>
  <c r="M90" i="6" s="1"/>
  <c r="G90" i="6"/>
  <c r="J90" i="6" s="1"/>
  <c r="F90" i="6"/>
  <c r="Q89" i="6"/>
  <c r="G89" i="6"/>
  <c r="J89" i="6" s="1"/>
  <c r="F89" i="6"/>
  <c r="L89" i="6" s="1"/>
  <c r="X88" i="6"/>
  <c r="Q88" i="6"/>
  <c r="F88" i="6"/>
  <c r="G88" i="6" s="1"/>
  <c r="J88" i="6" s="1"/>
  <c r="Q87" i="6"/>
  <c r="L87" i="6"/>
  <c r="G87" i="6"/>
  <c r="J87" i="6" s="1"/>
  <c r="F87" i="6"/>
  <c r="Q86" i="6"/>
  <c r="F86" i="6"/>
  <c r="G86" i="6" s="1"/>
  <c r="J86" i="6" s="1"/>
  <c r="Q85" i="6"/>
  <c r="F85" i="6"/>
  <c r="G85" i="6" s="1"/>
  <c r="J85" i="6" s="1"/>
  <c r="X84" i="6"/>
  <c r="Q84" i="6"/>
  <c r="F84" i="6"/>
  <c r="G84" i="6" s="1"/>
  <c r="J84" i="6" s="1"/>
  <c r="Q83" i="6"/>
  <c r="L83" i="6"/>
  <c r="M83" i="6" s="1"/>
  <c r="F83" i="6"/>
  <c r="G83" i="6" s="1"/>
  <c r="J83" i="6" s="1"/>
  <c r="Q82" i="6"/>
  <c r="F82" i="6"/>
  <c r="L82" i="6" s="1"/>
  <c r="Q81" i="6"/>
  <c r="L81" i="6"/>
  <c r="M81" i="6" s="1"/>
  <c r="G81" i="6"/>
  <c r="J81" i="6" s="1"/>
  <c r="P81" i="6" s="1"/>
  <c r="F81" i="6"/>
  <c r="Q80" i="6"/>
  <c r="L80" i="6"/>
  <c r="M80" i="6" s="1"/>
  <c r="G80" i="6"/>
  <c r="J80" i="6" s="1"/>
  <c r="F80" i="6"/>
  <c r="Q79" i="6"/>
  <c r="G79" i="6"/>
  <c r="J79" i="6" s="1"/>
  <c r="F79" i="6"/>
  <c r="L79" i="6" s="1"/>
  <c r="Q78" i="6"/>
  <c r="L78" i="6"/>
  <c r="M78" i="6" s="1"/>
  <c r="F78" i="6"/>
  <c r="G78" i="6" s="1"/>
  <c r="J78" i="6" s="1"/>
  <c r="Q77" i="6"/>
  <c r="F77" i="6"/>
  <c r="G77" i="6" s="1"/>
  <c r="J77" i="6" s="1"/>
  <c r="W76" i="6"/>
  <c r="U150" i="6" s="1"/>
  <c r="Q76" i="6"/>
  <c r="G76" i="6"/>
  <c r="J76" i="6" s="1"/>
  <c r="F76" i="6"/>
  <c r="L76" i="6" s="1"/>
  <c r="Q75" i="6"/>
  <c r="L75" i="6"/>
  <c r="M75" i="6" s="1"/>
  <c r="F75" i="6"/>
  <c r="G75" i="6" s="1"/>
  <c r="J75" i="6" s="1"/>
  <c r="Q74" i="6"/>
  <c r="F74" i="6"/>
  <c r="G74" i="6" s="1"/>
  <c r="J74" i="6" s="1"/>
  <c r="Q73" i="6"/>
  <c r="L73" i="6"/>
  <c r="F73" i="6"/>
  <c r="G73" i="6" s="1"/>
  <c r="J73" i="6" s="1"/>
  <c r="Q72" i="6"/>
  <c r="F72" i="6"/>
  <c r="L72" i="6" s="1"/>
  <c r="W71" i="6"/>
  <c r="U155" i="6" s="1"/>
  <c r="Q71" i="6"/>
  <c r="L71" i="6"/>
  <c r="M71" i="6" s="1"/>
  <c r="F71" i="6"/>
  <c r="G71" i="6" s="1"/>
  <c r="J71" i="6" s="1"/>
  <c r="Q70" i="6"/>
  <c r="L70" i="6"/>
  <c r="M70" i="6" s="1"/>
  <c r="F70" i="6"/>
  <c r="G70" i="6" s="1"/>
  <c r="J70" i="6" s="1"/>
  <c r="Q69" i="6"/>
  <c r="L69" i="6"/>
  <c r="M69" i="6" s="1"/>
  <c r="G69" i="6"/>
  <c r="J69" i="6" s="1"/>
  <c r="P69" i="6" s="1"/>
  <c r="F69" i="6"/>
  <c r="Q68" i="6"/>
  <c r="L68" i="6"/>
  <c r="M68" i="6" s="1"/>
  <c r="G68" i="6"/>
  <c r="J68" i="6" s="1"/>
  <c r="F68" i="6"/>
  <c r="Q67" i="6"/>
  <c r="G67" i="6"/>
  <c r="J67" i="6" s="1"/>
  <c r="F67" i="6"/>
  <c r="L67" i="6" s="1"/>
  <c r="Q66" i="6"/>
  <c r="L66" i="6"/>
  <c r="M66" i="6" s="1"/>
  <c r="F66" i="6"/>
  <c r="G66" i="6" s="1"/>
  <c r="J66" i="6" s="1"/>
  <c r="Q65" i="6"/>
  <c r="F65" i="6"/>
  <c r="G65" i="6" s="1"/>
  <c r="J65" i="6" s="1"/>
  <c r="Q64" i="6"/>
  <c r="L64" i="6"/>
  <c r="F64" i="6"/>
  <c r="G64" i="6" s="1"/>
  <c r="J64" i="6" s="1"/>
  <c r="Q63" i="6"/>
  <c r="L63" i="6"/>
  <c r="M63" i="6" s="1"/>
  <c r="F63" i="6"/>
  <c r="G63" i="6" s="1"/>
  <c r="J63" i="6" s="1"/>
  <c r="Q62" i="6"/>
  <c r="L62" i="6"/>
  <c r="M62" i="6" s="1"/>
  <c r="F62" i="6"/>
  <c r="G62" i="6" s="1"/>
  <c r="J62" i="6" s="1"/>
  <c r="Q61" i="6"/>
  <c r="G61" i="6"/>
  <c r="J61" i="6" s="1"/>
  <c r="F61" i="6"/>
  <c r="L61" i="6" s="1"/>
  <c r="M61" i="6" s="1"/>
  <c r="Q60" i="6"/>
  <c r="F60" i="6"/>
  <c r="G60" i="6" s="1"/>
  <c r="J60" i="6" s="1"/>
  <c r="Q59" i="6"/>
  <c r="L59" i="6"/>
  <c r="G59" i="6"/>
  <c r="J59" i="6" s="1"/>
  <c r="F59" i="6"/>
  <c r="Q58" i="6"/>
  <c r="F58" i="6"/>
  <c r="G58" i="6" s="1"/>
  <c r="J58" i="6" s="1"/>
  <c r="Q57" i="6"/>
  <c r="L57" i="6"/>
  <c r="M57" i="6" s="1"/>
  <c r="F57" i="6"/>
  <c r="G57" i="6" s="1"/>
  <c r="J57" i="6" s="1"/>
  <c r="Q56" i="6"/>
  <c r="L56" i="6"/>
  <c r="M56" i="6" s="1"/>
  <c r="F56" i="6"/>
  <c r="G56" i="6" s="1"/>
  <c r="J56" i="6" s="1"/>
  <c r="Q55" i="6"/>
  <c r="F55" i="6"/>
  <c r="L55" i="6" s="1"/>
  <c r="M55" i="6" s="1"/>
  <c r="W54" i="6"/>
  <c r="U169" i="6" s="1"/>
  <c r="Q54" i="6"/>
  <c r="F54" i="6"/>
  <c r="G54" i="6" s="1"/>
  <c r="J54" i="6" s="1"/>
  <c r="W53" i="6"/>
  <c r="Q53" i="6"/>
  <c r="F53" i="6"/>
  <c r="G53" i="6" s="1"/>
  <c r="J53" i="6" s="1"/>
  <c r="W52" i="6"/>
  <c r="U170" i="6" s="1"/>
  <c r="Q52" i="6"/>
  <c r="F52" i="6"/>
  <c r="G52" i="6" s="1"/>
  <c r="J52" i="6" s="1"/>
  <c r="Q51" i="6"/>
  <c r="G51" i="6"/>
  <c r="J51" i="6" s="1"/>
  <c r="F51" i="6"/>
  <c r="L51" i="6" s="1"/>
  <c r="Q50" i="6"/>
  <c r="F50" i="6"/>
  <c r="G50" i="6" s="1"/>
  <c r="J50" i="6" s="1"/>
  <c r="Q49" i="6"/>
  <c r="F49" i="6"/>
  <c r="L49" i="6" s="1"/>
  <c r="Q48" i="6"/>
  <c r="F48" i="6"/>
  <c r="G48" i="6" s="1"/>
  <c r="J48" i="6" s="1"/>
  <c r="Q47" i="6"/>
  <c r="E47" i="6"/>
  <c r="D47" i="6"/>
  <c r="X46" i="6"/>
  <c r="Q46" i="6"/>
  <c r="F46" i="6"/>
  <c r="L46" i="6" s="1"/>
  <c r="Q45" i="6"/>
  <c r="F45" i="6"/>
  <c r="G45" i="6" s="1"/>
  <c r="J45" i="6" s="1"/>
  <c r="Q44" i="6"/>
  <c r="G44" i="6"/>
  <c r="J44" i="6" s="1"/>
  <c r="F44" i="6"/>
  <c r="L44" i="6" s="1"/>
  <c r="Q43" i="6"/>
  <c r="D43" i="6"/>
  <c r="E43" i="6" s="1"/>
  <c r="Q42" i="6"/>
  <c r="F42" i="6"/>
  <c r="L42" i="6" s="1"/>
  <c r="Q41" i="6"/>
  <c r="F41" i="6"/>
  <c r="G41" i="6" s="1"/>
  <c r="J41" i="6" s="1"/>
  <c r="Q40" i="6"/>
  <c r="E40" i="6"/>
  <c r="D40" i="6"/>
  <c r="Q39" i="6"/>
  <c r="F39" i="6"/>
  <c r="G39" i="6" s="1"/>
  <c r="J39" i="6" s="1"/>
  <c r="Q38" i="6"/>
  <c r="F38" i="6"/>
  <c r="L38" i="6" s="1"/>
  <c r="Q37" i="6"/>
  <c r="F37" i="6"/>
  <c r="G37" i="6" s="1"/>
  <c r="J37" i="6" s="1"/>
  <c r="Q36" i="6"/>
  <c r="G36" i="6"/>
  <c r="J36" i="6" s="1"/>
  <c r="F36" i="6"/>
  <c r="L36" i="6" s="1"/>
  <c r="Q35" i="6"/>
  <c r="F35" i="6"/>
  <c r="G35" i="6" s="1"/>
  <c r="J35" i="6" s="1"/>
  <c r="W34" i="6"/>
  <c r="U161" i="6" s="1"/>
  <c r="Q34" i="6"/>
  <c r="F34" i="6"/>
  <c r="G34" i="6" s="1"/>
  <c r="J34" i="6" s="1"/>
  <c r="Q33" i="6"/>
  <c r="G33" i="6"/>
  <c r="J33" i="6" s="1"/>
  <c r="F33" i="6"/>
  <c r="L33" i="6" s="1"/>
  <c r="Q32" i="6"/>
  <c r="F32" i="6"/>
  <c r="G32" i="6" s="1"/>
  <c r="J32" i="6" s="1"/>
  <c r="Q31" i="6"/>
  <c r="G31" i="6"/>
  <c r="J31" i="6" s="1"/>
  <c r="F31" i="6"/>
  <c r="L31" i="6" s="1"/>
  <c r="Q30" i="6"/>
  <c r="F30" i="6"/>
  <c r="G30" i="6" s="1"/>
  <c r="J30" i="6" s="1"/>
  <c r="Q29" i="6"/>
  <c r="F29" i="6"/>
  <c r="L29" i="6" s="1"/>
  <c r="Q28" i="6"/>
  <c r="F28" i="6"/>
  <c r="G28" i="6" s="1"/>
  <c r="J28" i="6" s="1"/>
  <c r="Q27" i="6"/>
  <c r="G27" i="6"/>
  <c r="J27" i="6" s="1"/>
  <c r="F27" i="6"/>
  <c r="L27" i="6" s="1"/>
  <c r="M27" i="6" s="1"/>
  <c r="Q26" i="6"/>
  <c r="N26" i="6"/>
  <c r="F26" i="6"/>
  <c r="G26" i="6" s="1"/>
  <c r="J26" i="6" s="1"/>
  <c r="Q25" i="6"/>
  <c r="G25" i="6"/>
  <c r="J25" i="6" s="1"/>
  <c r="F25" i="6"/>
  <c r="L25" i="6" s="1"/>
  <c r="M25" i="6" s="1"/>
  <c r="Q24" i="6"/>
  <c r="F24" i="6"/>
  <c r="G24" i="6" s="1"/>
  <c r="J24" i="6" s="1"/>
  <c r="Q23" i="6"/>
  <c r="F23" i="6"/>
  <c r="L23" i="6" s="1"/>
  <c r="S22" i="6"/>
  <c r="J22" i="6"/>
  <c r="K22" i="6" s="1"/>
  <c r="I22" i="6"/>
  <c r="H22" i="6"/>
  <c r="Q21" i="6"/>
  <c r="F21" i="6"/>
  <c r="L21" i="6" s="1"/>
  <c r="Q20" i="6"/>
  <c r="L20" i="6"/>
  <c r="F20" i="6"/>
  <c r="G20" i="6" s="1"/>
  <c r="J20" i="6" s="1"/>
  <c r="Q19" i="6"/>
  <c r="G19" i="6"/>
  <c r="J19" i="6" s="1"/>
  <c r="F19" i="6"/>
  <c r="L19" i="6" s="1"/>
  <c r="Q18" i="6"/>
  <c r="F18" i="6"/>
  <c r="G18" i="6" s="1"/>
  <c r="J18" i="6" s="1"/>
  <c r="Q17" i="6"/>
  <c r="G17" i="6"/>
  <c r="J17" i="6" s="1"/>
  <c r="O17" i="6" s="1"/>
  <c r="F17" i="6"/>
  <c r="L17" i="6" s="1"/>
  <c r="M17" i="6" s="1"/>
  <c r="Q16" i="6"/>
  <c r="F16" i="6"/>
  <c r="G16" i="6" s="1"/>
  <c r="J16" i="6" s="1"/>
  <c r="Q15" i="6"/>
  <c r="E15" i="6"/>
  <c r="D15" i="6"/>
  <c r="W14" i="6"/>
  <c r="U141" i="6" s="1"/>
  <c r="Q14" i="6"/>
  <c r="F14" i="6"/>
  <c r="L14" i="6" s="1"/>
  <c r="M14" i="6" s="1"/>
  <c r="Q13" i="6"/>
  <c r="F13" i="6"/>
  <c r="G13" i="6" s="1"/>
  <c r="J13" i="6" s="1"/>
  <c r="Q12" i="6"/>
  <c r="G12" i="6"/>
  <c r="J12" i="6" s="1"/>
  <c r="F12" i="6"/>
  <c r="L12" i="6" s="1"/>
  <c r="M12" i="6" s="1"/>
  <c r="Q11" i="6"/>
  <c r="L11" i="6"/>
  <c r="F11" i="6"/>
  <c r="G11" i="6" s="1"/>
  <c r="J11" i="6" s="1"/>
  <c r="N11" i="6" s="1"/>
  <c r="J10" i="6"/>
  <c r="K10" i="6" s="1"/>
  <c r="S10" i="6" s="1"/>
  <c r="I10" i="6"/>
  <c r="H10" i="6" s="1"/>
  <c r="Q9" i="6"/>
  <c r="F9" i="6"/>
  <c r="G9" i="6" s="1"/>
  <c r="J9" i="6" s="1"/>
  <c r="R8" i="6"/>
  <c r="W8" i="6" s="1"/>
  <c r="K8" i="6"/>
  <c r="J8" i="6"/>
  <c r="I8" i="6"/>
  <c r="H8" i="6" s="1"/>
  <c r="D8" i="6"/>
  <c r="Q7" i="6"/>
  <c r="F7" i="6"/>
  <c r="L7" i="6" s="1"/>
  <c r="M7" i="6" s="1"/>
  <c r="Q6" i="6"/>
  <c r="L6" i="6"/>
  <c r="F6" i="6"/>
  <c r="G6" i="6" s="1"/>
  <c r="J6" i="6" s="1"/>
  <c r="Q5" i="6"/>
  <c r="O5" i="6"/>
  <c r="N5" i="6"/>
  <c r="M5" i="6"/>
  <c r="K5" i="6" s="1"/>
  <c r="S5" i="6" s="1"/>
  <c r="L5" i="6"/>
  <c r="J5" i="6"/>
  <c r="P5" i="6" s="1"/>
  <c r="F5" i="6"/>
  <c r="K4" i="6"/>
  <c r="S4" i="6" s="1"/>
  <c r="J4" i="6"/>
  <c r="I4" i="6"/>
  <c r="H4" i="6"/>
  <c r="Q3" i="6"/>
  <c r="J3" i="6"/>
  <c r="N3" i="6" s="1"/>
  <c r="Q2" i="6"/>
  <c r="N2" i="6"/>
  <c r="L2" i="6"/>
  <c r="J2" i="6"/>
  <c r="C1826" i="5"/>
  <c r="AH1812" i="5"/>
  <c r="AC1809" i="5"/>
  <c r="AB1807" i="5"/>
  <c r="AA1807" i="5"/>
  <c r="Z1807" i="5"/>
  <c r="Y1807" i="5"/>
  <c r="X1807" i="5"/>
  <c r="W1807" i="5"/>
  <c r="V1807" i="5"/>
  <c r="AE1806" i="5"/>
  <c r="AA1806" i="5"/>
  <c r="AH1805" i="5"/>
  <c r="AB1805" i="5"/>
  <c r="AA1805" i="5"/>
  <c r="AA1808" i="5" s="1"/>
  <c r="AA1810" i="5" s="1"/>
  <c r="Z1805" i="5"/>
  <c r="Y1805" i="5"/>
  <c r="X1805" i="5"/>
  <c r="W1805" i="5"/>
  <c r="V1805" i="5"/>
  <c r="AE1803" i="5"/>
  <c r="AF1803" i="5" s="1"/>
  <c r="AB1803" i="5"/>
  <c r="AA1803" i="5"/>
  <c r="Y1803" i="5"/>
  <c r="V1803" i="5"/>
  <c r="AC1802" i="5"/>
  <c r="AE1801" i="5"/>
  <c r="AF1806" i="5" s="1"/>
  <c r="AD1801" i="5"/>
  <c r="AD1803" i="5" s="1"/>
  <c r="AB1801" i="5"/>
  <c r="AA1801" i="5"/>
  <c r="Z1801" i="5"/>
  <c r="Z1803" i="5" s="1"/>
  <c r="Y1801" i="5"/>
  <c r="X1801" i="5"/>
  <c r="X1803" i="5" s="1"/>
  <c r="W1801" i="5"/>
  <c r="AC1801" i="5" s="1"/>
  <c r="V1801" i="5"/>
  <c r="AD1797" i="5"/>
  <c r="AC1797" i="5"/>
  <c r="Z1796" i="5"/>
  <c r="C1796" i="5"/>
  <c r="C1794" i="5" a="1"/>
  <c r="C1794" i="5" s="1"/>
  <c r="A1794" i="5" a="1"/>
  <c r="A1794" i="5" s="1"/>
  <c r="V1793" i="5"/>
  <c r="C1793" i="5" a="1"/>
  <c r="C1793" i="5" s="1"/>
  <c r="A1793" i="5" a="1"/>
  <c r="A1793" i="5"/>
  <c r="C1792" i="5" a="1"/>
  <c r="C1792" i="5" s="1"/>
  <c r="B1792" i="5"/>
  <c r="AD1790" i="5"/>
  <c r="W1790" i="5"/>
  <c r="V1790" i="5"/>
  <c r="T1790" i="5"/>
  <c r="S1790" i="5"/>
  <c r="Q1790" i="5"/>
  <c r="P1790" i="5"/>
  <c r="R1790" i="5" s="1"/>
  <c r="X1790" i="5" s="1"/>
  <c r="M1790" i="5"/>
  <c r="AD1787" i="5"/>
  <c r="W1787" i="5"/>
  <c r="V1787" i="5"/>
  <c r="T1787" i="5"/>
  <c r="S1787" i="5"/>
  <c r="Q1787" i="5"/>
  <c r="P1787" i="5"/>
  <c r="M1787" i="5"/>
  <c r="AD1786" i="5"/>
  <c r="W1786" i="5"/>
  <c r="V1786" i="5"/>
  <c r="T1786" i="5"/>
  <c r="S1786" i="5"/>
  <c r="Q1786" i="5"/>
  <c r="P1786" i="5"/>
  <c r="M1786" i="5"/>
  <c r="AD1785" i="5"/>
  <c r="W1785" i="5"/>
  <c r="V1785" i="5"/>
  <c r="T1785" i="5"/>
  <c r="S1785" i="5"/>
  <c r="Q1785" i="5"/>
  <c r="P1785" i="5"/>
  <c r="R1785" i="5" s="1"/>
  <c r="X1785" i="5" s="1"/>
  <c r="M1785" i="5"/>
  <c r="AD1784" i="5"/>
  <c r="W1784" i="5"/>
  <c r="V1784" i="5"/>
  <c r="T1784" i="5"/>
  <c r="S1784" i="5"/>
  <c r="Q1784" i="5"/>
  <c r="P1784" i="5"/>
  <c r="M1784" i="5"/>
  <c r="AD1783" i="5"/>
  <c r="T1783" i="5"/>
  <c r="S1783" i="5"/>
  <c r="Q1783" i="5"/>
  <c r="V1783" i="5" s="1"/>
  <c r="P1783" i="5"/>
  <c r="W1783" i="5" s="1"/>
  <c r="M1783" i="5"/>
  <c r="AD1782" i="5"/>
  <c r="W1782" i="5"/>
  <c r="T1782" i="5"/>
  <c r="S1782" i="5"/>
  <c r="Q1782" i="5"/>
  <c r="V1782" i="5" s="1"/>
  <c r="P1782" i="5"/>
  <c r="M1782" i="5"/>
  <c r="AD1781" i="5"/>
  <c r="W1781" i="5"/>
  <c r="V1781" i="5"/>
  <c r="T1781" i="5"/>
  <c r="S1781" i="5"/>
  <c r="Q1781" i="5"/>
  <c r="P1781" i="5"/>
  <c r="M1781" i="5"/>
  <c r="AD1780" i="5"/>
  <c r="W1780" i="5"/>
  <c r="V1780" i="5"/>
  <c r="T1780" i="5"/>
  <c r="S1780" i="5"/>
  <c r="Q1780" i="5"/>
  <c r="P1780" i="5"/>
  <c r="M1780" i="5"/>
  <c r="AD1779" i="5"/>
  <c r="W1779" i="5"/>
  <c r="V1779" i="5"/>
  <c r="T1779" i="5"/>
  <c r="S1779" i="5"/>
  <c r="Q1779" i="5"/>
  <c r="P1779" i="5"/>
  <c r="R1779" i="5" s="1"/>
  <c r="X1779" i="5" s="1"/>
  <c r="M1779" i="5"/>
  <c r="AD1778" i="5"/>
  <c r="W1778" i="5"/>
  <c r="V1778" i="5"/>
  <c r="T1778" i="5"/>
  <c r="S1778" i="5"/>
  <c r="Q1778" i="5"/>
  <c r="P1778" i="5"/>
  <c r="M1778" i="5"/>
  <c r="AD1777" i="5"/>
  <c r="T1777" i="5"/>
  <c r="S1777" i="5"/>
  <c r="Q1777" i="5"/>
  <c r="V1777" i="5" s="1"/>
  <c r="P1777" i="5"/>
  <c r="W1777" i="5" s="1"/>
  <c r="M1777" i="5"/>
  <c r="AD1776" i="5"/>
  <c r="W1776" i="5"/>
  <c r="T1776" i="5"/>
  <c r="S1776" i="5"/>
  <c r="Q1776" i="5"/>
  <c r="V1776" i="5" s="1"/>
  <c r="P1776" i="5"/>
  <c r="M1776" i="5"/>
  <c r="AD1775" i="5"/>
  <c r="W1775" i="5"/>
  <c r="V1775" i="5"/>
  <c r="T1775" i="5"/>
  <c r="S1775" i="5"/>
  <c r="Q1775" i="5"/>
  <c r="P1775" i="5"/>
  <c r="M1775" i="5"/>
  <c r="AD1774" i="5"/>
  <c r="W1774" i="5"/>
  <c r="V1774" i="5"/>
  <c r="T1774" i="5"/>
  <c r="S1774" i="5"/>
  <c r="Q1774" i="5"/>
  <c r="P1774" i="5"/>
  <c r="M1774" i="5"/>
  <c r="AD1773" i="5"/>
  <c r="W1773" i="5"/>
  <c r="V1773" i="5"/>
  <c r="T1773" i="5"/>
  <c r="S1773" i="5"/>
  <c r="Q1773" i="5"/>
  <c r="P1773" i="5"/>
  <c r="R1773" i="5" s="1"/>
  <c r="X1773" i="5" s="1"/>
  <c r="M1773" i="5"/>
  <c r="AD1772" i="5"/>
  <c r="W1772" i="5"/>
  <c r="V1772" i="5"/>
  <c r="T1772" i="5"/>
  <c r="S1772" i="5"/>
  <c r="Q1772" i="5"/>
  <c r="P1772" i="5"/>
  <c r="M1772" i="5"/>
  <c r="AD1771" i="5"/>
  <c r="T1771" i="5"/>
  <c r="S1771" i="5"/>
  <c r="Q1771" i="5"/>
  <c r="V1771" i="5" s="1"/>
  <c r="P1771" i="5"/>
  <c r="W1771" i="5" s="1"/>
  <c r="M1771" i="5"/>
  <c r="AD1770" i="5"/>
  <c r="W1770" i="5"/>
  <c r="T1770" i="5"/>
  <c r="S1770" i="5"/>
  <c r="Q1770" i="5"/>
  <c r="V1770" i="5" s="1"/>
  <c r="P1770" i="5"/>
  <c r="M1770" i="5"/>
  <c r="AD1769" i="5"/>
  <c r="W1769" i="5"/>
  <c r="V1769" i="5"/>
  <c r="T1769" i="5"/>
  <c r="S1769" i="5"/>
  <c r="Q1769" i="5"/>
  <c r="P1769" i="5"/>
  <c r="M1769" i="5"/>
  <c r="AD1768" i="5"/>
  <c r="W1768" i="5"/>
  <c r="V1768" i="5"/>
  <c r="T1768" i="5"/>
  <c r="S1768" i="5"/>
  <c r="Q1768" i="5"/>
  <c r="P1768" i="5"/>
  <c r="M1768" i="5"/>
  <c r="AD1767" i="5"/>
  <c r="W1767" i="5"/>
  <c r="V1767" i="5"/>
  <c r="T1767" i="5"/>
  <c r="S1767" i="5"/>
  <c r="Q1767" i="5"/>
  <c r="P1767" i="5"/>
  <c r="R1767" i="5" s="1"/>
  <c r="X1767" i="5" s="1"/>
  <c r="M1767" i="5"/>
  <c r="AD1766" i="5"/>
  <c r="W1766" i="5"/>
  <c r="V1766" i="5"/>
  <c r="T1766" i="5"/>
  <c r="S1766" i="5"/>
  <c r="Q1766" i="5"/>
  <c r="P1766" i="5"/>
  <c r="M1766" i="5"/>
  <c r="AD1765" i="5"/>
  <c r="T1765" i="5"/>
  <c r="S1765" i="5"/>
  <c r="Q1765" i="5"/>
  <c r="V1765" i="5" s="1"/>
  <c r="P1765" i="5"/>
  <c r="W1765" i="5" s="1"/>
  <c r="M1765" i="5"/>
  <c r="AD1764" i="5"/>
  <c r="W1764" i="5"/>
  <c r="T1764" i="5"/>
  <c r="S1764" i="5"/>
  <c r="Q1764" i="5"/>
  <c r="V1764" i="5" s="1"/>
  <c r="P1764" i="5"/>
  <c r="M1764" i="5"/>
  <c r="AD1763" i="5"/>
  <c r="W1763" i="5"/>
  <c r="V1763" i="5"/>
  <c r="T1763" i="5"/>
  <c r="S1763" i="5"/>
  <c r="Q1763" i="5"/>
  <c r="P1763" i="5"/>
  <c r="M1763" i="5"/>
  <c r="AD1762" i="5"/>
  <c r="T1762" i="5"/>
  <c r="M1762" i="5"/>
  <c r="S1762" i="5" s="1"/>
  <c r="AD1761" i="5"/>
  <c r="W1761" i="5"/>
  <c r="V1761" i="5"/>
  <c r="T1761" i="5"/>
  <c r="S1761" i="5"/>
  <c r="Q1761" i="5"/>
  <c r="P1761" i="5"/>
  <c r="R1761" i="5" s="1"/>
  <c r="Y1761" i="5" s="1"/>
  <c r="M1761" i="5"/>
  <c r="AD1760" i="5"/>
  <c r="T1760" i="5"/>
  <c r="Q1760" i="5"/>
  <c r="V1760" i="5" s="1"/>
  <c r="P1760" i="5"/>
  <c r="M1760" i="5"/>
  <c r="S1760" i="5" s="1"/>
  <c r="AD1759" i="5"/>
  <c r="T1759" i="5"/>
  <c r="S1759" i="5"/>
  <c r="Q1759" i="5"/>
  <c r="V1759" i="5" s="1"/>
  <c r="P1759" i="5"/>
  <c r="W1759" i="5" s="1"/>
  <c r="M1759" i="5"/>
  <c r="AD1758" i="5"/>
  <c r="T1758" i="5"/>
  <c r="Q1758" i="5"/>
  <c r="V1758" i="5" s="1"/>
  <c r="P1758" i="5"/>
  <c r="W1758" i="5" s="1"/>
  <c r="M1758" i="5"/>
  <c r="S1758" i="5" s="1"/>
  <c r="AD1757" i="5"/>
  <c r="W1757" i="5"/>
  <c r="V1757" i="5"/>
  <c r="T1757" i="5"/>
  <c r="S1757" i="5"/>
  <c r="Q1757" i="5"/>
  <c r="P1757" i="5"/>
  <c r="M1757" i="5"/>
  <c r="AD1756" i="5"/>
  <c r="T1756" i="5"/>
  <c r="M1756" i="5"/>
  <c r="S1756" i="5" s="1"/>
  <c r="AD1755" i="5"/>
  <c r="W1755" i="5"/>
  <c r="V1755" i="5"/>
  <c r="T1755" i="5"/>
  <c r="S1755" i="5"/>
  <c r="Q1755" i="5"/>
  <c r="P1755" i="5"/>
  <c r="R1755" i="5" s="1"/>
  <c r="Y1755" i="5" s="1"/>
  <c r="M1755" i="5"/>
  <c r="AD1754" i="5"/>
  <c r="T1754" i="5"/>
  <c r="Q1754" i="5"/>
  <c r="V1754" i="5" s="1"/>
  <c r="P1754" i="5"/>
  <c r="M1754" i="5"/>
  <c r="S1754" i="5" s="1"/>
  <c r="AD1753" i="5"/>
  <c r="T1753" i="5"/>
  <c r="S1753" i="5"/>
  <c r="Q1753" i="5"/>
  <c r="V1753" i="5" s="1"/>
  <c r="P1753" i="5"/>
  <c r="W1753" i="5" s="1"/>
  <c r="M1753" i="5"/>
  <c r="AD1752" i="5"/>
  <c r="T1752" i="5"/>
  <c r="Q1752" i="5"/>
  <c r="V1752" i="5" s="1"/>
  <c r="P1752" i="5"/>
  <c r="W1752" i="5" s="1"/>
  <c r="M1752" i="5"/>
  <c r="S1752" i="5" s="1"/>
  <c r="AD1751" i="5"/>
  <c r="W1751" i="5"/>
  <c r="V1751" i="5"/>
  <c r="T1751" i="5"/>
  <c r="S1751" i="5"/>
  <c r="Q1751" i="5"/>
  <c r="P1751" i="5"/>
  <c r="M1751" i="5"/>
  <c r="AD1750" i="5"/>
  <c r="T1750" i="5"/>
  <c r="M1750" i="5"/>
  <c r="S1750" i="5" s="1"/>
  <c r="AD1749" i="5"/>
  <c r="W1749" i="5"/>
  <c r="V1749" i="5"/>
  <c r="T1749" i="5"/>
  <c r="S1749" i="5"/>
  <c r="Q1749" i="5"/>
  <c r="P1749" i="5"/>
  <c r="R1749" i="5" s="1"/>
  <c r="Y1749" i="5" s="1"/>
  <c r="M1749" i="5"/>
  <c r="AD1748" i="5"/>
  <c r="T1748" i="5"/>
  <c r="Q1748" i="5"/>
  <c r="V1748" i="5" s="1"/>
  <c r="P1748" i="5"/>
  <c r="M1748" i="5"/>
  <c r="S1748" i="5" s="1"/>
  <c r="AD1747" i="5"/>
  <c r="T1747" i="5"/>
  <c r="S1747" i="5"/>
  <c r="Q1747" i="5"/>
  <c r="V1747" i="5" s="1"/>
  <c r="P1747" i="5"/>
  <c r="W1747" i="5" s="1"/>
  <c r="M1747" i="5"/>
  <c r="AD1746" i="5"/>
  <c r="T1746" i="5"/>
  <c r="Q1746" i="5"/>
  <c r="V1746" i="5" s="1"/>
  <c r="P1746" i="5"/>
  <c r="W1746" i="5" s="1"/>
  <c r="M1746" i="5"/>
  <c r="S1746" i="5" s="1"/>
  <c r="AD1745" i="5"/>
  <c r="W1745" i="5"/>
  <c r="V1745" i="5"/>
  <c r="T1745" i="5"/>
  <c r="S1745" i="5"/>
  <c r="Q1745" i="5"/>
  <c r="P1745" i="5"/>
  <c r="M1745" i="5"/>
  <c r="AD1744" i="5"/>
  <c r="T1744" i="5"/>
  <c r="M1744" i="5"/>
  <c r="S1744" i="5" s="1"/>
  <c r="AD1743" i="5"/>
  <c r="W1743" i="5"/>
  <c r="V1743" i="5"/>
  <c r="T1743" i="5"/>
  <c r="S1743" i="5"/>
  <c r="Q1743" i="5"/>
  <c r="P1743" i="5"/>
  <c r="R1743" i="5" s="1"/>
  <c r="Y1743" i="5" s="1"/>
  <c r="M1743" i="5"/>
  <c r="AD1742" i="5"/>
  <c r="T1742" i="5"/>
  <c r="Q1742" i="5"/>
  <c r="V1742" i="5" s="1"/>
  <c r="P1742" i="5"/>
  <c r="M1742" i="5"/>
  <c r="S1742" i="5" s="1"/>
  <c r="AD1741" i="5"/>
  <c r="T1741" i="5"/>
  <c r="S1741" i="5"/>
  <c r="Q1741" i="5"/>
  <c r="V1741" i="5" s="1"/>
  <c r="P1741" i="5"/>
  <c r="W1741" i="5" s="1"/>
  <c r="M1741" i="5"/>
  <c r="AD1740" i="5"/>
  <c r="T1740" i="5"/>
  <c r="Q1740" i="5"/>
  <c r="V1740" i="5" s="1"/>
  <c r="P1740" i="5"/>
  <c r="W1740" i="5" s="1"/>
  <c r="M1740" i="5"/>
  <c r="S1740" i="5" s="1"/>
  <c r="AD1739" i="5"/>
  <c r="W1739" i="5"/>
  <c r="V1739" i="5"/>
  <c r="T1739" i="5"/>
  <c r="S1739" i="5"/>
  <c r="Q1739" i="5"/>
  <c r="P1739" i="5"/>
  <c r="M1739" i="5"/>
  <c r="AD1738" i="5"/>
  <c r="T1738" i="5"/>
  <c r="M1738" i="5"/>
  <c r="S1738" i="5" s="1"/>
  <c r="AD1737" i="5"/>
  <c r="W1737" i="5"/>
  <c r="V1737" i="5"/>
  <c r="T1737" i="5"/>
  <c r="S1737" i="5"/>
  <c r="Q1737" i="5"/>
  <c r="P1737" i="5"/>
  <c r="R1737" i="5" s="1"/>
  <c r="Y1737" i="5" s="1"/>
  <c r="M1737" i="5"/>
  <c r="AD1736" i="5"/>
  <c r="T1736" i="5"/>
  <c r="Q1736" i="5"/>
  <c r="V1736" i="5" s="1"/>
  <c r="P1736" i="5"/>
  <c r="M1736" i="5"/>
  <c r="S1736" i="5" s="1"/>
  <c r="AD1735" i="5"/>
  <c r="T1735" i="5"/>
  <c r="S1735" i="5"/>
  <c r="Q1735" i="5"/>
  <c r="V1735" i="5" s="1"/>
  <c r="P1735" i="5"/>
  <c r="W1735" i="5" s="1"/>
  <c r="M1735" i="5"/>
  <c r="AD1734" i="5"/>
  <c r="T1734" i="5"/>
  <c r="Q1734" i="5"/>
  <c r="V1734" i="5" s="1"/>
  <c r="P1734" i="5"/>
  <c r="W1734" i="5" s="1"/>
  <c r="M1734" i="5"/>
  <c r="S1734" i="5" s="1"/>
  <c r="AD1733" i="5"/>
  <c r="W1733" i="5"/>
  <c r="V1733" i="5"/>
  <c r="T1733" i="5"/>
  <c r="S1733" i="5"/>
  <c r="Q1733" i="5"/>
  <c r="P1733" i="5"/>
  <c r="M1733" i="5"/>
  <c r="AD1732" i="5"/>
  <c r="T1732" i="5"/>
  <c r="M1732" i="5"/>
  <c r="S1732" i="5" s="1"/>
  <c r="AD1731" i="5"/>
  <c r="W1731" i="5"/>
  <c r="V1731" i="5"/>
  <c r="T1731" i="5"/>
  <c r="S1731" i="5"/>
  <c r="Q1731" i="5"/>
  <c r="P1731" i="5"/>
  <c r="R1731" i="5" s="1"/>
  <c r="Y1731" i="5" s="1"/>
  <c r="M1731" i="5"/>
  <c r="AD1730" i="5"/>
  <c r="T1730" i="5"/>
  <c r="Q1730" i="5"/>
  <c r="V1730" i="5" s="1"/>
  <c r="P1730" i="5"/>
  <c r="M1730" i="5"/>
  <c r="S1730" i="5" s="1"/>
  <c r="AD1729" i="5"/>
  <c r="T1729" i="5"/>
  <c r="S1729" i="5"/>
  <c r="Q1729" i="5"/>
  <c r="V1729" i="5" s="1"/>
  <c r="P1729" i="5"/>
  <c r="W1729" i="5" s="1"/>
  <c r="M1729" i="5"/>
  <c r="AD1728" i="5"/>
  <c r="T1728" i="5"/>
  <c r="Q1728" i="5"/>
  <c r="V1728" i="5" s="1"/>
  <c r="P1728" i="5"/>
  <c r="W1728" i="5" s="1"/>
  <c r="M1728" i="5"/>
  <c r="S1728" i="5" s="1"/>
  <c r="AD1727" i="5"/>
  <c r="W1727" i="5"/>
  <c r="V1727" i="5"/>
  <c r="T1727" i="5"/>
  <c r="S1727" i="5"/>
  <c r="Q1727" i="5"/>
  <c r="P1727" i="5"/>
  <c r="M1727" i="5"/>
  <c r="AD1726" i="5"/>
  <c r="T1726" i="5"/>
  <c r="M1726" i="5"/>
  <c r="S1726" i="5" s="1"/>
  <c r="AD1725" i="5"/>
  <c r="W1725" i="5"/>
  <c r="V1725" i="5"/>
  <c r="T1725" i="5"/>
  <c r="S1725" i="5"/>
  <c r="Q1725" i="5"/>
  <c r="P1725" i="5"/>
  <c r="R1725" i="5" s="1"/>
  <c r="Y1725" i="5" s="1"/>
  <c r="M1725" i="5"/>
  <c r="AD1724" i="5"/>
  <c r="T1724" i="5"/>
  <c r="Q1724" i="5"/>
  <c r="V1724" i="5" s="1"/>
  <c r="P1724" i="5"/>
  <c r="M1724" i="5"/>
  <c r="S1724" i="5" s="1"/>
  <c r="AD1723" i="5"/>
  <c r="T1723" i="5"/>
  <c r="S1723" i="5"/>
  <c r="Q1723" i="5"/>
  <c r="V1723" i="5" s="1"/>
  <c r="P1723" i="5"/>
  <c r="W1723" i="5" s="1"/>
  <c r="M1723" i="5"/>
  <c r="AD1722" i="5"/>
  <c r="T1722" i="5"/>
  <c r="Q1722" i="5"/>
  <c r="V1722" i="5" s="1"/>
  <c r="P1722" i="5"/>
  <c r="W1722" i="5" s="1"/>
  <c r="M1722" i="5"/>
  <c r="S1722" i="5" s="1"/>
  <c r="AD1721" i="5"/>
  <c r="W1721" i="5"/>
  <c r="V1721" i="5"/>
  <c r="T1721" i="5"/>
  <c r="S1721" i="5"/>
  <c r="Q1721" i="5"/>
  <c r="P1721" i="5"/>
  <c r="M1721" i="5"/>
  <c r="AD1720" i="5"/>
  <c r="T1720" i="5"/>
  <c r="M1720" i="5"/>
  <c r="S1720" i="5" s="1"/>
  <c r="AD1719" i="5"/>
  <c r="W1719" i="5"/>
  <c r="V1719" i="5"/>
  <c r="T1719" i="5"/>
  <c r="S1719" i="5"/>
  <c r="Q1719" i="5"/>
  <c r="P1719" i="5"/>
  <c r="R1719" i="5" s="1"/>
  <c r="Y1719" i="5" s="1"/>
  <c r="M1719" i="5"/>
  <c r="AD1718" i="5"/>
  <c r="T1718" i="5"/>
  <c r="Q1718" i="5"/>
  <c r="V1718" i="5" s="1"/>
  <c r="P1718" i="5"/>
  <c r="M1718" i="5"/>
  <c r="S1718" i="5" s="1"/>
  <c r="AD1717" i="5"/>
  <c r="T1717" i="5"/>
  <c r="S1717" i="5"/>
  <c r="Q1717" i="5"/>
  <c r="V1717" i="5" s="1"/>
  <c r="P1717" i="5"/>
  <c r="W1717" i="5" s="1"/>
  <c r="M1717" i="5"/>
  <c r="AD1716" i="5"/>
  <c r="T1716" i="5"/>
  <c r="Q1716" i="5"/>
  <c r="V1716" i="5" s="1"/>
  <c r="P1716" i="5"/>
  <c r="W1716" i="5" s="1"/>
  <c r="M1716" i="5"/>
  <c r="S1716" i="5" s="1"/>
  <c r="AD1715" i="5"/>
  <c r="W1715" i="5"/>
  <c r="V1715" i="5"/>
  <c r="T1715" i="5"/>
  <c r="S1715" i="5"/>
  <c r="Q1715" i="5"/>
  <c r="P1715" i="5"/>
  <c r="M1715" i="5"/>
  <c r="AD1714" i="5"/>
  <c r="T1714" i="5"/>
  <c r="M1714" i="5"/>
  <c r="S1714" i="5" s="1"/>
  <c r="AD1713" i="5"/>
  <c r="W1713" i="5"/>
  <c r="V1713" i="5"/>
  <c r="T1713" i="5"/>
  <c r="S1713" i="5"/>
  <c r="Q1713" i="5"/>
  <c r="P1713" i="5"/>
  <c r="R1713" i="5" s="1"/>
  <c r="Y1713" i="5" s="1"/>
  <c r="M1713" i="5"/>
  <c r="AD1712" i="5"/>
  <c r="T1712" i="5"/>
  <c r="Q1712" i="5"/>
  <c r="V1712" i="5" s="1"/>
  <c r="P1712" i="5"/>
  <c r="M1712" i="5"/>
  <c r="S1712" i="5" s="1"/>
  <c r="AD1711" i="5"/>
  <c r="T1711" i="5"/>
  <c r="S1711" i="5"/>
  <c r="Q1711" i="5"/>
  <c r="V1711" i="5" s="1"/>
  <c r="P1711" i="5"/>
  <c r="W1711" i="5" s="1"/>
  <c r="M1711" i="5"/>
  <c r="AD1710" i="5"/>
  <c r="T1710" i="5"/>
  <c r="Q1710" i="5"/>
  <c r="V1710" i="5" s="1"/>
  <c r="P1710" i="5"/>
  <c r="W1710" i="5" s="1"/>
  <c r="M1710" i="5"/>
  <c r="S1710" i="5" s="1"/>
  <c r="AD1709" i="5"/>
  <c r="W1709" i="5"/>
  <c r="V1709" i="5"/>
  <c r="T1709" i="5"/>
  <c r="S1709" i="5"/>
  <c r="Q1709" i="5"/>
  <c r="P1709" i="5"/>
  <c r="M1709" i="5"/>
  <c r="AD1708" i="5"/>
  <c r="T1708" i="5"/>
  <c r="M1708" i="5"/>
  <c r="S1708" i="5" s="1"/>
  <c r="AD1707" i="5"/>
  <c r="W1707" i="5"/>
  <c r="V1707" i="5"/>
  <c r="T1707" i="5"/>
  <c r="S1707" i="5"/>
  <c r="Q1707" i="5"/>
  <c r="P1707" i="5"/>
  <c r="R1707" i="5" s="1"/>
  <c r="Y1707" i="5" s="1"/>
  <c r="M1707" i="5"/>
  <c r="AD1706" i="5"/>
  <c r="T1706" i="5"/>
  <c r="Q1706" i="5"/>
  <c r="V1706" i="5" s="1"/>
  <c r="P1706" i="5"/>
  <c r="M1706" i="5"/>
  <c r="S1706" i="5" s="1"/>
  <c r="AD1705" i="5"/>
  <c r="T1705" i="5"/>
  <c r="S1705" i="5"/>
  <c r="Q1705" i="5"/>
  <c r="V1705" i="5" s="1"/>
  <c r="P1705" i="5"/>
  <c r="W1705" i="5" s="1"/>
  <c r="M1705" i="5"/>
  <c r="AD1704" i="5"/>
  <c r="T1704" i="5"/>
  <c r="Q1704" i="5"/>
  <c r="V1704" i="5" s="1"/>
  <c r="P1704" i="5"/>
  <c r="W1704" i="5" s="1"/>
  <c r="M1704" i="5"/>
  <c r="S1704" i="5" s="1"/>
  <c r="AD1703" i="5"/>
  <c r="W1703" i="5"/>
  <c r="V1703" i="5"/>
  <c r="T1703" i="5"/>
  <c r="S1703" i="5"/>
  <c r="Q1703" i="5"/>
  <c r="P1703" i="5"/>
  <c r="M1703" i="5"/>
  <c r="AD1702" i="5"/>
  <c r="T1702" i="5"/>
  <c r="M1702" i="5"/>
  <c r="S1702" i="5" s="1"/>
  <c r="AD1701" i="5"/>
  <c r="W1701" i="5"/>
  <c r="V1701" i="5"/>
  <c r="T1701" i="5"/>
  <c r="S1701" i="5"/>
  <c r="Q1701" i="5"/>
  <c r="P1701" i="5"/>
  <c r="R1701" i="5" s="1"/>
  <c r="M1701" i="5"/>
  <c r="AD1700" i="5"/>
  <c r="T1700" i="5"/>
  <c r="Q1700" i="5"/>
  <c r="V1700" i="5" s="1"/>
  <c r="P1700" i="5"/>
  <c r="M1700" i="5"/>
  <c r="S1700" i="5" s="1"/>
  <c r="AD1699" i="5"/>
  <c r="T1699" i="5"/>
  <c r="S1699" i="5"/>
  <c r="Q1699" i="5"/>
  <c r="V1699" i="5" s="1"/>
  <c r="P1699" i="5"/>
  <c r="W1699" i="5" s="1"/>
  <c r="M1699" i="5"/>
  <c r="AD1698" i="5"/>
  <c r="T1698" i="5"/>
  <c r="Q1698" i="5"/>
  <c r="V1698" i="5" s="1"/>
  <c r="P1698" i="5"/>
  <c r="W1698" i="5" s="1"/>
  <c r="M1698" i="5"/>
  <c r="S1698" i="5" s="1"/>
  <c r="AD1697" i="5"/>
  <c r="W1697" i="5"/>
  <c r="V1697" i="5"/>
  <c r="T1697" i="5"/>
  <c r="S1697" i="5"/>
  <c r="Q1697" i="5"/>
  <c r="P1697" i="5"/>
  <c r="M1697" i="5"/>
  <c r="AD1696" i="5"/>
  <c r="T1696" i="5"/>
  <c r="M1696" i="5"/>
  <c r="AD1695" i="5"/>
  <c r="V1695" i="5"/>
  <c r="T1695" i="5"/>
  <c r="S1695" i="5"/>
  <c r="Q1695" i="5"/>
  <c r="P1695" i="5"/>
  <c r="R1695" i="5" s="1"/>
  <c r="Y1695" i="5" s="1"/>
  <c r="M1695" i="5"/>
  <c r="AD1694" i="5"/>
  <c r="T1694" i="5"/>
  <c r="Q1694" i="5"/>
  <c r="V1694" i="5" s="1"/>
  <c r="P1694" i="5"/>
  <c r="M1694" i="5"/>
  <c r="S1694" i="5" s="1"/>
  <c r="AD1693" i="5"/>
  <c r="T1693" i="5"/>
  <c r="S1693" i="5"/>
  <c r="Q1693" i="5"/>
  <c r="V1693" i="5" s="1"/>
  <c r="P1693" i="5"/>
  <c r="W1693" i="5" s="1"/>
  <c r="M1693" i="5"/>
  <c r="AD1692" i="5"/>
  <c r="T1692" i="5"/>
  <c r="Q1692" i="5"/>
  <c r="V1692" i="5" s="1"/>
  <c r="P1692" i="5"/>
  <c r="W1692" i="5" s="1"/>
  <c r="M1692" i="5"/>
  <c r="S1692" i="5" s="1"/>
  <c r="AD1691" i="5"/>
  <c r="W1691" i="5"/>
  <c r="V1691" i="5"/>
  <c r="T1691" i="5"/>
  <c r="S1691" i="5"/>
  <c r="Q1691" i="5"/>
  <c r="P1691" i="5"/>
  <c r="M1691" i="5"/>
  <c r="AD1690" i="5"/>
  <c r="T1690" i="5"/>
  <c r="M1690" i="5"/>
  <c r="AD1689" i="5"/>
  <c r="V1689" i="5"/>
  <c r="T1689" i="5"/>
  <c r="S1689" i="5"/>
  <c r="Q1689" i="5"/>
  <c r="P1689" i="5"/>
  <c r="R1689" i="5" s="1"/>
  <c r="Y1689" i="5" s="1"/>
  <c r="M1689" i="5"/>
  <c r="AD1688" i="5"/>
  <c r="T1688" i="5"/>
  <c r="Q1688" i="5"/>
  <c r="V1688" i="5" s="1"/>
  <c r="P1688" i="5"/>
  <c r="M1688" i="5"/>
  <c r="S1688" i="5" s="1"/>
  <c r="AD1687" i="5"/>
  <c r="T1687" i="5"/>
  <c r="S1687" i="5"/>
  <c r="Q1687" i="5"/>
  <c r="V1687" i="5" s="1"/>
  <c r="P1687" i="5"/>
  <c r="W1687" i="5" s="1"/>
  <c r="M1687" i="5"/>
  <c r="AD1686" i="5"/>
  <c r="T1686" i="5"/>
  <c r="Q1686" i="5"/>
  <c r="V1686" i="5" s="1"/>
  <c r="P1686" i="5"/>
  <c r="W1686" i="5" s="1"/>
  <c r="M1686" i="5"/>
  <c r="S1686" i="5" s="1"/>
  <c r="AD1685" i="5"/>
  <c r="W1685" i="5"/>
  <c r="V1685" i="5"/>
  <c r="T1685" i="5"/>
  <c r="S1685" i="5"/>
  <c r="Q1685" i="5"/>
  <c r="P1685" i="5"/>
  <c r="M1685" i="5"/>
  <c r="AD1684" i="5"/>
  <c r="T1684" i="5"/>
  <c r="M1684" i="5"/>
  <c r="AD1683" i="5"/>
  <c r="V1683" i="5"/>
  <c r="T1683" i="5"/>
  <c r="S1683" i="5"/>
  <c r="Q1683" i="5"/>
  <c r="P1683" i="5"/>
  <c r="R1683" i="5" s="1"/>
  <c r="Y1683" i="5" s="1"/>
  <c r="M1683" i="5"/>
  <c r="AD1682" i="5"/>
  <c r="T1682" i="5"/>
  <c r="Q1682" i="5"/>
  <c r="V1682" i="5" s="1"/>
  <c r="P1682" i="5"/>
  <c r="M1682" i="5"/>
  <c r="S1682" i="5" s="1"/>
  <c r="AD1681" i="5"/>
  <c r="T1681" i="5"/>
  <c r="S1681" i="5"/>
  <c r="Q1681" i="5"/>
  <c r="V1681" i="5" s="1"/>
  <c r="P1681" i="5"/>
  <c r="W1681" i="5" s="1"/>
  <c r="M1681" i="5"/>
  <c r="AD1680" i="5"/>
  <c r="T1680" i="5"/>
  <c r="Q1680" i="5"/>
  <c r="V1680" i="5" s="1"/>
  <c r="P1680" i="5"/>
  <c r="W1680" i="5" s="1"/>
  <c r="M1680" i="5"/>
  <c r="S1680" i="5" s="1"/>
  <c r="AD1679" i="5"/>
  <c r="W1679" i="5"/>
  <c r="V1679" i="5"/>
  <c r="T1679" i="5"/>
  <c r="S1679" i="5"/>
  <c r="Q1679" i="5"/>
  <c r="P1679" i="5"/>
  <c r="M1679" i="5"/>
  <c r="AD1678" i="5"/>
  <c r="T1678" i="5"/>
  <c r="M1678" i="5"/>
  <c r="AD1677" i="5"/>
  <c r="V1677" i="5"/>
  <c r="T1677" i="5"/>
  <c r="S1677" i="5"/>
  <c r="Q1677" i="5"/>
  <c r="P1677" i="5"/>
  <c r="R1677" i="5" s="1"/>
  <c r="Y1677" i="5" s="1"/>
  <c r="M1677" i="5"/>
  <c r="AD1676" i="5"/>
  <c r="T1676" i="5"/>
  <c r="Q1676" i="5"/>
  <c r="V1676" i="5" s="1"/>
  <c r="P1676" i="5"/>
  <c r="M1676" i="5"/>
  <c r="S1676" i="5" s="1"/>
  <c r="AD1675" i="5"/>
  <c r="T1675" i="5"/>
  <c r="S1675" i="5"/>
  <c r="Q1675" i="5"/>
  <c r="V1675" i="5" s="1"/>
  <c r="P1675" i="5"/>
  <c r="W1675" i="5" s="1"/>
  <c r="M1675" i="5"/>
  <c r="AD1674" i="5"/>
  <c r="T1674" i="5"/>
  <c r="Q1674" i="5"/>
  <c r="V1674" i="5" s="1"/>
  <c r="P1674" i="5"/>
  <c r="W1674" i="5" s="1"/>
  <c r="M1674" i="5"/>
  <c r="S1674" i="5" s="1"/>
  <c r="AD1673" i="5"/>
  <c r="W1673" i="5"/>
  <c r="V1673" i="5"/>
  <c r="T1673" i="5"/>
  <c r="S1673" i="5"/>
  <c r="Q1673" i="5"/>
  <c r="P1673" i="5"/>
  <c r="M1673" i="5"/>
  <c r="AD1672" i="5"/>
  <c r="T1672" i="5"/>
  <c r="M1672" i="5"/>
  <c r="AD1671" i="5"/>
  <c r="V1671" i="5"/>
  <c r="T1671" i="5"/>
  <c r="S1671" i="5"/>
  <c r="Q1671" i="5"/>
  <c r="P1671" i="5"/>
  <c r="R1671" i="5" s="1"/>
  <c r="Y1671" i="5" s="1"/>
  <c r="M1671" i="5"/>
  <c r="AD1670" i="5"/>
  <c r="T1670" i="5"/>
  <c r="Q1670" i="5"/>
  <c r="V1670" i="5" s="1"/>
  <c r="P1670" i="5"/>
  <c r="M1670" i="5"/>
  <c r="S1670" i="5" s="1"/>
  <c r="AD1669" i="5"/>
  <c r="T1669" i="5"/>
  <c r="S1669" i="5"/>
  <c r="Q1669" i="5"/>
  <c r="V1669" i="5" s="1"/>
  <c r="P1669" i="5"/>
  <c r="W1669" i="5" s="1"/>
  <c r="M1669" i="5"/>
  <c r="AD1668" i="5"/>
  <c r="T1668" i="5"/>
  <c r="Q1668" i="5"/>
  <c r="V1668" i="5" s="1"/>
  <c r="P1668" i="5"/>
  <c r="W1668" i="5" s="1"/>
  <c r="M1668" i="5"/>
  <c r="S1668" i="5" s="1"/>
  <c r="AD1667" i="5"/>
  <c r="T1667" i="5"/>
  <c r="M1667" i="5"/>
  <c r="Q1667" i="5" s="1"/>
  <c r="V1667" i="5" s="1"/>
  <c r="AD1666" i="5"/>
  <c r="T1666" i="5"/>
  <c r="M1666" i="5"/>
  <c r="AD1665" i="5"/>
  <c r="T1665" i="5"/>
  <c r="M1665" i="5"/>
  <c r="Q1665" i="5" s="1"/>
  <c r="V1665" i="5" s="1"/>
  <c r="AD1664" i="5"/>
  <c r="W1664" i="5"/>
  <c r="T1664" i="5"/>
  <c r="M1664" i="5"/>
  <c r="P1664" i="5" s="1"/>
  <c r="AD1663" i="5"/>
  <c r="T1663" i="5"/>
  <c r="S1663" i="5"/>
  <c r="M1663" i="5"/>
  <c r="AD1662" i="5"/>
  <c r="T1662" i="5"/>
  <c r="M1662" i="5"/>
  <c r="AD1661" i="5"/>
  <c r="T1661" i="5"/>
  <c r="S1661" i="5"/>
  <c r="R1661" i="5"/>
  <c r="X1661" i="5" s="1"/>
  <c r="Q1661" i="5"/>
  <c r="V1661" i="5" s="1"/>
  <c r="M1661" i="5"/>
  <c r="P1661" i="5" s="1"/>
  <c r="W1661" i="5" s="1"/>
  <c r="AD1660" i="5"/>
  <c r="T1660" i="5"/>
  <c r="Q1660" i="5"/>
  <c r="P1660" i="5"/>
  <c r="W1660" i="5" s="1"/>
  <c r="M1660" i="5"/>
  <c r="S1660" i="5" s="1"/>
  <c r="AD1659" i="5"/>
  <c r="W1659" i="5"/>
  <c r="T1659" i="5"/>
  <c r="S1659" i="5"/>
  <c r="M1659" i="5"/>
  <c r="P1659" i="5" s="1"/>
  <c r="AD1658" i="5"/>
  <c r="T1658" i="5"/>
  <c r="Q1658" i="5"/>
  <c r="V1658" i="5" s="1"/>
  <c r="P1658" i="5"/>
  <c r="M1658" i="5"/>
  <c r="S1658" i="5" s="1"/>
  <c r="AD1657" i="5"/>
  <c r="T1657" i="5"/>
  <c r="S1657" i="5"/>
  <c r="M1657" i="5"/>
  <c r="P1657" i="5" s="1"/>
  <c r="W1657" i="5" s="1"/>
  <c r="AD1656" i="5"/>
  <c r="T1656" i="5"/>
  <c r="Q1656" i="5"/>
  <c r="V1656" i="5" s="1"/>
  <c r="P1656" i="5"/>
  <c r="W1656" i="5" s="1"/>
  <c r="M1656" i="5"/>
  <c r="S1656" i="5" s="1"/>
  <c r="AD1655" i="5"/>
  <c r="T1655" i="5"/>
  <c r="M1655" i="5"/>
  <c r="Q1655" i="5" s="1"/>
  <c r="V1655" i="5" s="1"/>
  <c r="AD1654" i="5"/>
  <c r="T1654" i="5"/>
  <c r="Q1654" i="5"/>
  <c r="V1654" i="5" s="1"/>
  <c r="P1654" i="5"/>
  <c r="M1654" i="5"/>
  <c r="S1654" i="5" s="1"/>
  <c r="AD1653" i="5"/>
  <c r="W1653" i="5"/>
  <c r="T1653" i="5"/>
  <c r="S1653" i="5"/>
  <c r="Q1653" i="5"/>
  <c r="V1653" i="5" s="1"/>
  <c r="M1653" i="5"/>
  <c r="P1653" i="5" s="1"/>
  <c r="AD1652" i="5"/>
  <c r="W1652" i="5"/>
  <c r="T1652" i="5"/>
  <c r="P1652" i="5"/>
  <c r="M1652" i="5"/>
  <c r="AD1651" i="5"/>
  <c r="T1651" i="5"/>
  <c r="S1651" i="5"/>
  <c r="M1651" i="5"/>
  <c r="AD1650" i="5"/>
  <c r="T1650" i="5"/>
  <c r="M1650" i="5"/>
  <c r="AD1649" i="5"/>
  <c r="T1649" i="5"/>
  <c r="S1649" i="5"/>
  <c r="R1649" i="5"/>
  <c r="Q1649" i="5"/>
  <c r="V1649" i="5" s="1"/>
  <c r="M1649" i="5"/>
  <c r="P1649" i="5" s="1"/>
  <c r="W1649" i="5" s="1"/>
  <c r="AD1648" i="5"/>
  <c r="T1648" i="5"/>
  <c r="Q1648" i="5"/>
  <c r="V1648" i="5" s="1"/>
  <c r="P1648" i="5"/>
  <c r="M1648" i="5"/>
  <c r="S1648" i="5" s="1"/>
  <c r="AD1647" i="5"/>
  <c r="T1647" i="5"/>
  <c r="M1647" i="5"/>
  <c r="AD1646" i="5"/>
  <c r="T1646" i="5"/>
  <c r="R1646" i="5"/>
  <c r="Q1646" i="5"/>
  <c r="V1646" i="5" s="1"/>
  <c r="P1646" i="5"/>
  <c r="W1646" i="5" s="1"/>
  <c r="M1646" i="5"/>
  <c r="S1646" i="5" s="1"/>
  <c r="AD1645" i="5"/>
  <c r="Y1645" i="5"/>
  <c r="T1645" i="5"/>
  <c r="U1645" i="5" s="1"/>
  <c r="S1645" i="5"/>
  <c r="R1645" i="5"/>
  <c r="X1645" i="5" s="1"/>
  <c r="Q1645" i="5"/>
  <c r="V1645" i="5" s="1"/>
  <c r="M1645" i="5"/>
  <c r="P1645" i="5" s="1"/>
  <c r="W1645" i="5" s="1"/>
  <c r="Z1645" i="5" s="1"/>
  <c r="AE1645" i="5" s="1"/>
  <c r="AD1644" i="5"/>
  <c r="T1644" i="5"/>
  <c r="R1644" i="5"/>
  <c r="Y1644" i="5" s="1"/>
  <c r="Q1644" i="5"/>
  <c r="V1644" i="5" s="1"/>
  <c r="P1644" i="5"/>
  <c r="W1644" i="5" s="1"/>
  <c r="M1644" i="5"/>
  <c r="S1644" i="5" s="1"/>
  <c r="AD1643" i="5"/>
  <c r="T1643" i="5"/>
  <c r="Q1643" i="5"/>
  <c r="V1643" i="5" s="1"/>
  <c r="M1643" i="5"/>
  <c r="P1643" i="5" s="1"/>
  <c r="W1643" i="5" s="1"/>
  <c r="AD1642" i="5"/>
  <c r="T1642" i="5"/>
  <c r="Q1642" i="5"/>
  <c r="V1642" i="5" s="1"/>
  <c r="P1642" i="5"/>
  <c r="R1642" i="5" s="1"/>
  <c r="Y1642" i="5" s="1"/>
  <c r="M1642" i="5"/>
  <c r="S1642" i="5" s="1"/>
  <c r="AD1641" i="5"/>
  <c r="T1641" i="5"/>
  <c r="M1641" i="5"/>
  <c r="AD1640" i="5"/>
  <c r="T1640" i="5"/>
  <c r="M1640" i="5"/>
  <c r="AD1639" i="5"/>
  <c r="T1639" i="5"/>
  <c r="M1639" i="5"/>
  <c r="AD1638" i="5"/>
  <c r="T1638" i="5"/>
  <c r="M1638" i="5"/>
  <c r="AD1637" i="5"/>
  <c r="T1637" i="5"/>
  <c r="S1637" i="5"/>
  <c r="M1637" i="5"/>
  <c r="P1637" i="5" s="1"/>
  <c r="W1637" i="5" s="1"/>
  <c r="AD1636" i="5"/>
  <c r="T1636" i="5"/>
  <c r="Q1636" i="5"/>
  <c r="V1636" i="5" s="1"/>
  <c r="M1636" i="5"/>
  <c r="S1636" i="5" s="1"/>
  <c r="AD1635" i="5"/>
  <c r="Y1635" i="5"/>
  <c r="T1635" i="5"/>
  <c r="U1635" i="5" s="1"/>
  <c r="S1635" i="5"/>
  <c r="R1635" i="5"/>
  <c r="X1635" i="5" s="1"/>
  <c r="Q1635" i="5"/>
  <c r="V1635" i="5" s="1"/>
  <c r="M1635" i="5"/>
  <c r="P1635" i="5" s="1"/>
  <c r="W1635" i="5" s="1"/>
  <c r="Z1635" i="5" s="1"/>
  <c r="AD1634" i="5"/>
  <c r="T1634" i="5"/>
  <c r="Q1634" i="5"/>
  <c r="V1634" i="5" s="1"/>
  <c r="P1634" i="5"/>
  <c r="W1634" i="5" s="1"/>
  <c r="M1634" i="5"/>
  <c r="S1634" i="5" s="1"/>
  <c r="AD1633" i="5"/>
  <c r="T1633" i="5"/>
  <c r="S1633" i="5"/>
  <c r="Q1633" i="5"/>
  <c r="V1633" i="5" s="1"/>
  <c r="M1633" i="5"/>
  <c r="P1633" i="5" s="1"/>
  <c r="W1633" i="5" s="1"/>
  <c r="AD1632" i="5"/>
  <c r="T1632" i="5"/>
  <c r="Q1632" i="5"/>
  <c r="V1632" i="5" s="1"/>
  <c r="P1632" i="5"/>
  <c r="W1632" i="5" s="1"/>
  <c r="M1632" i="5"/>
  <c r="S1632" i="5" s="1"/>
  <c r="AD1631" i="5"/>
  <c r="T1631" i="5"/>
  <c r="M1631" i="5"/>
  <c r="AD1630" i="5"/>
  <c r="V1630" i="5"/>
  <c r="T1630" i="5"/>
  <c r="Q1630" i="5"/>
  <c r="P1630" i="5"/>
  <c r="R1630" i="5" s="1"/>
  <c r="Y1630" i="5" s="1"/>
  <c r="M1630" i="5"/>
  <c r="S1630" i="5" s="1"/>
  <c r="AD1629" i="5"/>
  <c r="T1629" i="5"/>
  <c r="M1629" i="5"/>
  <c r="AD1628" i="5"/>
  <c r="T1628" i="5"/>
  <c r="M1628" i="5"/>
  <c r="P1628" i="5" s="1"/>
  <c r="AD1627" i="5"/>
  <c r="T1627" i="5"/>
  <c r="M1627" i="5"/>
  <c r="AD1626" i="5"/>
  <c r="T1626" i="5"/>
  <c r="M1626" i="5"/>
  <c r="AD1625" i="5"/>
  <c r="T1625" i="5"/>
  <c r="S1625" i="5"/>
  <c r="M1625" i="5"/>
  <c r="P1625" i="5" s="1"/>
  <c r="W1625" i="5" s="1"/>
  <c r="AD1624" i="5"/>
  <c r="T1624" i="5"/>
  <c r="Q1624" i="5"/>
  <c r="V1624" i="5" s="1"/>
  <c r="M1624" i="5"/>
  <c r="S1624" i="5" s="1"/>
  <c r="AD1623" i="5"/>
  <c r="Y1623" i="5"/>
  <c r="T1623" i="5"/>
  <c r="U1623" i="5" s="1"/>
  <c r="S1623" i="5"/>
  <c r="R1623" i="5"/>
  <c r="X1623" i="5" s="1"/>
  <c r="Q1623" i="5"/>
  <c r="V1623" i="5" s="1"/>
  <c r="M1623" i="5"/>
  <c r="P1623" i="5" s="1"/>
  <c r="W1623" i="5" s="1"/>
  <c r="Z1623" i="5" s="1"/>
  <c r="AD1622" i="5"/>
  <c r="T1622" i="5"/>
  <c r="Q1622" i="5"/>
  <c r="V1622" i="5" s="1"/>
  <c r="P1622" i="5"/>
  <c r="W1622" i="5" s="1"/>
  <c r="M1622" i="5"/>
  <c r="S1622" i="5" s="1"/>
  <c r="AD1621" i="5"/>
  <c r="T1621" i="5"/>
  <c r="S1621" i="5"/>
  <c r="Q1621" i="5"/>
  <c r="V1621" i="5" s="1"/>
  <c r="M1621" i="5"/>
  <c r="P1621" i="5" s="1"/>
  <c r="W1621" i="5" s="1"/>
  <c r="AD1620" i="5"/>
  <c r="T1620" i="5"/>
  <c r="Q1620" i="5"/>
  <c r="V1620" i="5" s="1"/>
  <c r="P1620" i="5"/>
  <c r="W1620" i="5" s="1"/>
  <c r="M1620" i="5"/>
  <c r="S1620" i="5" s="1"/>
  <c r="AD1619" i="5"/>
  <c r="T1619" i="5"/>
  <c r="M1619" i="5"/>
  <c r="AD1618" i="5"/>
  <c r="V1618" i="5"/>
  <c r="T1618" i="5"/>
  <c r="Q1618" i="5"/>
  <c r="P1618" i="5"/>
  <c r="R1618" i="5" s="1"/>
  <c r="Y1618" i="5" s="1"/>
  <c r="M1618" i="5"/>
  <c r="S1618" i="5" s="1"/>
  <c r="AD1617" i="5"/>
  <c r="T1617" i="5"/>
  <c r="M1617" i="5"/>
  <c r="AD1616" i="5"/>
  <c r="T1616" i="5"/>
  <c r="M1616" i="5"/>
  <c r="P1616" i="5" s="1"/>
  <c r="AD1615" i="5"/>
  <c r="T1615" i="5"/>
  <c r="M1615" i="5"/>
  <c r="AD1614" i="5"/>
  <c r="T1614" i="5"/>
  <c r="M1614" i="5"/>
  <c r="AD1613" i="5"/>
  <c r="T1613" i="5"/>
  <c r="S1613" i="5"/>
  <c r="M1613" i="5"/>
  <c r="P1613" i="5" s="1"/>
  <c r="W1613" i="5" s="1"/>
  <c r="AD1612" i="5"/>
  <c r="T1612" i="5"/>
  <c r="Q1612" i="5"/>
  <c r="V1612" i="5" s="1"/>
  <c r="M1612" i="5"/>
  <c r="S1612" i="5" s="1"/>
  <c r="AD1611" i="5"/>
  <c r="Y1611" i="5"/>
  <c r="T1611" i="5"/>
  <c r="U1611" i="5" s="1"/>
  <c r="S1611" i="5"/>
  <c r="R1611" i="5"/>
  <c r="X1611" i="5" s="1"/>
  <c r="Q1611" i="5"/>
  <c r="V1611" i="5" s="1"/>
  <c r="M1611" i="5"/>
  <c r="P1611" i="5" s="1"/>
  <c r="W1611" i="5" s="1"/>
  <c r="Z1611" i="5" s="1"/>
  <c r="AD1610" i="5"/>
  <c r="T1610" i="5"/>
  <c r="Q1610" i="5"/>
  <c r="V1610" i="5" s="1"/>
  <c r="P1610" i="5"/>
  <c r="W1610" i="5" s="1"/>
  <c r="M1610" i="5"/>
  <c r="S1610" i="5" s="1"/>
  <c r="AD1609" i="5"/>
  <c r="T1609" i="5"/>
  <c r="S1609" i="5"/>
  <c r="Q1609" i="5"/>
  <c r="V1609" i="5" s="1"/>
  <c r="M1609" i="5"/>
  <c r="P1609" i="5" s="1"/>
  <c r="W1609" i="5" s="1"/>
  <c r="AD1608" i="5"/>
  <c r="T1608" i="5"/>
  <c r="Q1608" i="5"/>
  <c r="V1608" i="5" s="1"/>
  <c r="P1608" i="5"/>
  <c r="W1608" i="5" s="1"/>
  <c r="M1608" i="5"/>
  <c r="S1608" i="5" s="1"/>
  <c r="AD1607" i="5"/>
  <c r="T1607" i="5"/>
  <c r="M1607" i="5"/>
  <c r="AD1606" i="5"/>
  <c r="V1606" i="5"/>
  <c r="T1606" i="5"/>
  <c r="Q1606" i="5"/>
  <c r="P1606" i="5"/>
  <c r="R1606" i="5" s="1"/>
  <c r="Y1606" i="5" s="1"/>
  <c r="M1606" i="5"/>
  <c r="S1606" i="5" s="1"/>
  <c r="AD1605" i="5"/>
  <c r="T1605" i="5"/>
  <c r="M1605" i="5"/>
  <c r="AD1604" i="5"/>
  <c r="T1604" i="5"/>
  <c r="M1604" i="5"/>
  <c r="P1604" i="5" s="1"/>
  <c r="AD1603" i="5"/>
  <c r="T1603" i="5"/>
  <c r="M1603" i="5"/>
  <c r="AD1602" i="5"/>
  <c r="T1602" i="5"/>
  <c r="M1602" i="5"/>
  <c r="AD1601" i="5"/>
  <c r="T1601" i="5"/>
  <c r="S1601" i="5"/>
  <c r="M1601" i="5"/>
  <c r="P1601" i="5" s="1"/>
  <c r="W1601" i="5" s="1"/>
  <c r="AD1600" i="5"/>
  <c r="T1600" i="5"/>
  <c r="Q1600" i="5"/>
  <c r="V1600" i="5" s="1"/>
  <c r="M1600" i="5"/>
  <c r="S1600" i="5" s="1"/>
  <c r="AD1599" i="5"/>
  <c r="T1599" i="5"/>
  <c r="S1599" i="5"/>
  <c r="Q1599" i="5"/>
  <c r="V1599" i="5" s="1"/>
  <c r="M1599" i="5"/>
  <c r="P1599" i="5" s="1"/>
  <c r="W1599" i="5" s="1"/>
  <c r="AD1598" i="5"/>
  <c r="T1598" i="5"/>
  <c r="Q1598" i="5"/>
  <c r="V1598" i="5" s="1"/>
  <c r="P1598" i="5"/>
  <c r="W1598" i="5" s="1"/>
  <c r="M1598" i="5"/>
  <c r="S1598" i="5" s="1"/>
  <c r="AD1597" i="5"/>
  <c r="W1597" i="5"/>
  <c r="T1597" i="5"/>
  <c r="S1597" i="5"/>
  <c r="M1597" i="5"/>
  <c r="P1597" i="5" s="1"/>
  <c r="AD1596" i="5"/>
  <c r="T1596" i="5"/>
  <c r="M1596" i="5"/>
  <c r="S1596" i="5" s="1"/>
  <c r="AD1595" i="5"/>
  <c r="T1595" i="5"/>
  <c r="M1595" i="5"/>
  <c r="AD1594" i="5"/>
  <c r="T1594" i="5"/>
  <c r="M1594" i="5"/>
  <c r="S1594" i="5" s="1"/>
  <c r="AD1593" i="5"/>
  <c r="T1593" i="5"/>
  <c r="M1593" i="5"/>
  <c r="AD1592" i="5"/>
  <c r="T1592" i="5"/>
  <c r="M1592" i="5"/>
  <c r="AD1591" i="5"/>
  <c r="T1591" i="5"/>
  <c r="M1591" i="5"/>
  <c r="S1591" i="5" s="1"/>
  <c r="AD1590" i="5"/>
  <c r="T1590" i="5"/>
  <c r="M1590" i="5"/>
  <c r="AD1589" i="5"/>
  <c r="T1589" i="5"/>
  <c r="S1589" i="5"/>
  <c r="M1589" i="5"/>
  <c r="P1589" i="5" s="1"/>
  <c r="W1589" i="5" s="1"/>
  <c r="AD1588" i="5"/>
  <c r="T1588" i="5"/>
  <c r="Q1588" i="5"/>
  <c r="V1588" i="5" s="1"/>
  <c r="M1588" i="5"/>
  <c r="S1588" i="5" s="1"/>
  <c r="AD1587" i="5"/>
  <c r="Y1587" i="5"/>
  <c r="T1587" i="5"/>
  <c r="S1587" i="5"/>
  <c r="R1587" i="5"/>
  <c r="X1587" i="5" s="1"/>
  <c r="Q1587" i="5"/>
  <c r="V1587" i="5" s="1"/>
  <c r="M1587" i="5"/>
  <c r="P1587" i="5" s="1"/>
  <c r="W1587" i="5" s="1"/>
  <c r="AD1586" i="5"/>
  <c r="W1586" i="5"/>
  <c r="T1586" i="5"/>
  <c r="Q1586" i="5"/>
  <c r="V1586" i="5" s="1"/>
  <c r="P1586" i="5"/>
  <c r="M1586" i="5"/>
  <c r="S1586" i="5" s="1"/>
  <c r="AD1585" i="5"/>
  <c r="T1585" i="5"/>
  <c r="M1585" i="5"/>
  <c r="P1585" i="5" s="1"/>
  <c r="AD1584" i="5"/>
  <c r="V1584" i="5"/>
  <c r="T1584" i="5"/>
  <c r="Q1584" i="5"/>
  <c r="P1584" i="5"/>
  <c r="R1584" i="5" s="1"/>
  <c r="M1584" i="5"/>
  <c r="S1584" i="5" s="1"/>
  <c r="AD1583" i="5"/>
  <c r="T1583" i="5"/>
  <c r="Q1583" i="5"/>
  <c r="V1583" i="5" s="1"/>
  <c r="M1583" i="5"/>
  <c r="AD1582" i="5"/>
  <c r="T1582" i="5"/>
  <c r="M1582" i="5"/>
  <c r="S1582" i="5" s="1"/>
  <c r="AD1581" i="5"/>
  <c r="T1581" i="5"/>
  <c r="Q1581" i="5"/>
  <c r="V1581" i="5" s="1"/>
  <c r="M1581" i="5"/>
  <c r="AD1580" i="5"/>
  <c r="W1580" i="5"/>
  <c r="T1580" i="5"/>
  <c r="P1580" i="5"/>
  <c r="M1580" i="5"/>
  <c r="AD1579" i="5"/>
  <c r="T1579" i="5"/>
  <c r="M1579" i="5"/>
  <c r="AD1578" i="5"/>
  <c r="T1578" i="5"/>
  <c r="M1578" i="5"/>
  <c r="AD1577" i="5"/>
  <c r="T1577" i="5"/>
  <c r="Q1577" i="5"/>
  <c r="V1577" i="5" s="1"/>
  <c r="M1577" i="5"/>
  <c r="S1577" i="5" s="1"/>
  <c r="AD1576" i="5"/>
  <c r="T1576" i="5"/>
  <c r="M1576" i="5"/>
  <c r="AD1575" i="5"/>
  <c r="T1575" i="5"/>
  <c r="Q1575" i="5"/>
  <c r="V1575" i="5" s="1"/>
  <c r="M1575" i="5"/>
  <c r="S1575" i="5" s="1"/>
  <c r="AD1574" i="5"/>
  <c r="T1574" i="5"/>
  <c r="M1574" i="5"/>
  <c r="AD1573" i="5"/>
  <c r="T1573" i="5"/>
  <c r="S1573" i="5"/>
  <c r="M1573" i="5"/>
  <c r="Q1573" i="5" s="1"/>
  <c r="V1573" i="5" s="1"/>
  <c r="AD1572" i="5"/>
  <c r="T1572" i="5"/>
  <c r="M1572" i="5"/>
  <c r="Q1572" i="5" s="1"/>
  <c r="V1572" i="5" s="1"/>
  <c r="AD1571" i="5"/>
  <c r="V1571" i="5"/>
  <c r="T1571" i="5"/>
  <c r="Q1571" i="5"/>
  <c r="P1571" i="5"/>
  <c r="R1571" i="5" s="1"/>
  <c r="M1571" i="5"/>
  <c r="S1571" i="5" s="1"/>
  <c r="AD1570" i="5"/>
  <c r="T1570" i="5"/>
  <c r="P1570" i="5"/>
  <c r="W1570" i="5" s="1"/>
  <c r="M1570" i="5"/>
  <c r="Q1570" i="5" s="1"/>
  <c r="V1570" i="5" s="1"/>
  <c r="AD1569" i="5"/>
  <c r="T1569" i="5"/>
  <c r="M1569" i="5"/>
  <c r="S1569" i="5" s="1"/>
  <c r="AD1568" i="5"/>
  <c r="T1568" i="5"/>
  <c r="M1568" i="5"/>
  <c r="Q1568" i="5" s="1"/>
  <c r="V1568" i="5" s="1"/>
  <c r="AD1567" i="5"/>
  <c r="V1567" i="5"/>
  <c r="T1567" i="5"/>
  <c r="S1567" i="5"/>
  <c r="Q1567" i="5"/>
  <c r="P1567" i="5"/>
  <c r="R1567" i="5" s="1"/>
  <c r="M1567" i="5"/>
  <c r="AD1566" i="5"/>
  <c r="T1566" i="5"/>
  <c r="S1566" i="5"/>
  <c r="P1566" i="5"/>
  <c r="W1566" i="5" s="1"/>
  <c r="M1566" i="5"/>
  <c r="Q1566" i="5" s="1"/>
  <c r="V1566" i="5" s="1"/>
  <c r="AD1565" i="5"/>
  <c r="T1565" i="5"/>
  <c r="S1565" i="5"/>
  <c r="Q1565" i="5"/>
  <c r="V1565" i="5" s="1"/>
  <c r="M1565" i="5"/>
  <c r="P1565" i="5" s="1"/>
  <c r="AD1564" i="5"/>
  <c r="T1564" i="5"/>
  <c r="S1564" i="5"/>
  <c r="M1564" i="5"/>
  <c r="Q1564" i="5" s="1"/>
  <c r="V1564" i="5" s="1"/>
  <c r="AD1563" i="5"/>
  <c r="T1563" i="5"/>
  <c r="M1563" i="5"/>
  <c r="P1563" i="5" s="1"/>
  <c r="AD1562" i="5"/>
  <c r="T1562" i="5"/>
  <c r="S1562" i="5"/>
  <c r="M1562" i="5"/>
  <c r="Q1562" i="5" s="1"/>
  <c r="V1562" i="5" s="1"/>
  <c r="AD1561" i="5"/>
  <c r="T1561" i="5"/>
  <c r="S1561" i="5"/>
  <c r="M1561" i="5"/>
  <c r="Q1561" i="5" s="1"/>
  <c r="V1561" i="5" s="1"/>
  <c r="AD1560" i="5"/>
  <c r="T1560" i="5"/>
  <c r="M1560" i="5"/>
  <c r="Q1560" i="5" s="1"/>
  <c r="V1560" i="5" s="1"/>
  <c r="AD1559" i="5"/>
  <c r="V1559" i="5"/>
  <c r="T1559" i="5"/>
  <c r="Q1559" i="5"/>
  <c r="P1559" i="5"/>
  <c r="R1559" i="5" s="1"/>
  <c r="M1559" i="5"/>
  <c r="S1559" i="5" s="1"/>
  <c r="AD1558" i="5"/>
  <c r="T1558" i="5"/>
  <c r="P1558" i="5"/>
  <c r="W1558" i="5" s="1"/>
  <c r="M1558" i="5"/>
  <c r="Q1558" i="5" s="1"/>
  <c r="V1558" i="5" s="1"/>
  <c r="AD1557" i="5"/>
  <c r="T1557" i="5"/>
  <c r="M1557" i="5"/>
  <c r="S1557" i="5" s="1"/>
  <c r="AD1556" i="5"/>
  <c r="T1556" i="5"/>
  <c r="M1556" i="5"/>
  <c r="Q1556" i="5" s="1"/>
  <c r="V1556" i="5" s="1"/>
  <c r="AD1555" i="5"/>
  <c r="V1555" i="5"/>
  <c r="T1555" i="5"/>
  <c r="S1555" i="5"/>
  <c r="Q1555" i="5"/>
  <c r="P1555" i="5"/>
  <c r="R1555" i="5" s="1"/>
  <c r="M1555" i="5"/>
  <c r="AD1554" i="5"/>
  <c r="T1554" i="5"/>
  <c r="S1554" i="5"/>
  <c r="P1554" i="5"/>
  <c r="W1554" i="5" s="1"/>
  <c r="M1554" i="5"/>
  <c r="Q1554" i="5" s="1"/>
  <c r="V1554" i="5" s="1"/>
  <c r="AD1553" i="5"/>
  <c r="T1553" i="5"/>
  <c r="S1553" i="5"/>
  <c r="Q1553" i="5"/>
  <c r="V1553" i="5" s="1"/>
  <c r="M1553" i="5"/>
  <c r="P1553" i="5" s="1"/>
  <c r="AD1552" i="5"/>
  <c r="T1552" i="5"/>
  <c r="S1552" i="5"/>
  <c r="M1552" i="5"/>
  <c r="Q1552" i="5" s="1"/>
  <c r="V1552" i="5" s="1"/>
  <c r="AD1551" i="5"/>
  <c r="T1551" i="5"/>
  <c r="M1551" i="5"/>
  <c r="P1551" i="5" s="1"/>
  <c r="AD1550" i="5"/>
  <c r="T1550" i="5"/>
  <c r="S1550" i="5"/>
  <c r="M1550" i="5"/>
  <c r="Q1550" i="5" s="1"/>
  <c r="V1550" i="5" s="1"/>
  <c r="AD1549" i="5"/>
  <c r="T1549" i="5"/>
  <c r="S1549" i="5"/>
  <c r="M1549" i="5"/>
  <c r="Q1549" i="5" s="1"/>
  <c r="V1549" i="5" s="1"/>
  <c r="AD1548" i="5"/>
  <c r="T1548" i="5"/>
  <c r="M1548" i="5"/>
  <c r="Q1548" i="5" s="1"/>
  <c r="V1548" i="5" s="1"/>
  <c r="AD1547" i="5"/>
  <c r="V1547" i="5"/>
  <c r="T1547" i="5"/>
  <c r="Q1547" i="5"/>
  <c r="P1547" i="5"/>
  <c r="R1547" i="5" s="1"/>
  <c r="M1547" i="5"/>
  <c r="S1547" i="5" s="1"/>
  <c r="AD1546" i="5"/>
  <c r="T1546" i="5"/>
  <c r="P1546" i="5"/>
  <c r="W1546" i="5" s="1"/>
  <c r="M1546" i="5"/>
  <c r="Q1546" i="5" s="1"/>
  <c r="V1546" i="5" s="1"/>
  <c r="AD1545" i="5"/>
  <c r="T1545" i="5"/>
  <c r="M1545" i="5"/>
  <c r="S1545" i="5" s="1"/>
  <c r="AD1544" i="5"/>
  <c r="T1544" i="5"/>
  <c r="M1544" i="5"/>
  <c r="P1544" i="5" s="1"/>
  <c r="AD1543" i="5"/>
  <c r="T1543" i="5"/>
  <c r="M1543" i="5"/>
  <c r="S1543" i="5" s="1"/>
  <c r="AD1542" i="5"/>
  <c r="T1542" i="5"/>
  <c r="M1542" i="5"/>
  <c r="P1542" i="5" s="1"/>
  <c r="AD1541" i="5"/>
  <c r="T1541" i="5"/>
  <c r="M1541" i="5"/>
  <c r="S1541" i="5" s="1"/>
  <c r="AD1540" i="5"/>
  <c r="T1540" i="5"/>
  <c r="M1540" i="5"/>
  <c r="P1540" i="5" s="1"/>
  <c r="AD1539" i="5"/>
  <c r="T1539" i="5"/>
  <c r="Q1539" i="5"/>
  <c r="V1539" i="5" s="1"/>
  <c r="M1539" i="5"/>
  <c r="S1539" i="5" s="1"/>
  <c r="AD1538" i="5"/>
  <c r="T1538" i="5"/>
  <c r="M1538" i="5"/>
  <c r="P1538" i="5" s="1"/>
  <c r="AD1537" i="5"/>
  <c r="T1537" i="5"/>
  <c r="Q1537" i="5"/>
  <c r="V1537" i="5" s="1"/>
  <c r="M1537" i="5"/>
  <c r="S1537" i="5" s="1"/>
  <c r="AD1536" i="5"/>
  <c r="T1536" i="5"/>
  <c r="M1536" i="5"/>
  <c r="P1536" i="5" s="1"/>
  <c r="AD1535" i="5"/>
  <c r="T1535" i="5"/>
  <c r="Q1535" i="5"/>
  <c r="V1535" i="5" s="1"/>
  <c r="M1535" i="5"/>
  <c r="S1535" i="5" s="1"/>
  <c r="AD1534" i="5"/>
  <c r="T1534" i="5"/>
  <c r="M1534" i="5"/>
  <c r="P1534" i="5" s="1"/>
  <c r="AD1533" i="5"/>
  <c r="T1533" i="5"/>
  <c r="Q1533" i="5"/>
  <c r="V1533" i="5" s="1"/>
  <c r="M1533" i="5"/>
  <c r="S1533" i="5" s="1"/>
  <c r="AD1532" i="5"/>
  <c r="T1532" i="5"/>
  <c r="M1532" i="5"/>
  <c r="P1532" i="5" s="1"/>
  <c r="AD1531" i="5"/>
  <c r="T1531" i="5"/>
  <c r="Q1531" i="5"/>
  <c r="V1531" i="5" s="1"/>
  <c r="M1531" i="5"/>
  <c r="S1531" i="5" s="1"/>
  <c r="AD1530" i="5"/>
  <c r="T1530" i="5"/>
  <c r="M1530" i="5"/>
  <c r="P1530" i="5" s="1"/>
  <c r="AD1529" i="5"/>
  <c r="T1529" i="5"/>
  <c r="Q1529" i="5"/>
  <c r="V1529" i="5" s="1"/>
  <c r="M1529" i="5"/>
  <c r="S1529" i="5" s="1"/>
  <c r="AD1528" i="5"/>
  <c r="T1528" i="5"/>
  <c r="M1528" i="5"/>
  <c r="P1528" i="5" s="1"/>
  <c r="AD1527" i="5"/>
  <c r="T1527" i="5"/>
  <c r="Q1527" i="5"/>
  <c r="V1527" i="5" s="1"/>
  <c r="M1527" i="5"/>
  <c r="S1527" i="5" s="1"/>
  <c r="AD1526" i="5"/>
  <c r="T1526" i="5"/>
  <c r="M1526" i="5"/>
  <c r="P1526" i="5" s="1"/>
  <c r="AD1525" i="5"/>
  <c r="T1525" i="5"/>
  <c r="Q1525" i="5"/>
  <c r="V1525" i="5" s="1"/>
  <c r="M1525" i="5"/>
  <c r="S1525" i="5" s="1"/>
  <c r="AD1524" i="5"/>
  <c r="T1524" i="5"/>
  <c r="M1524" i="5"/>
  <c r="P1524" i="5" s="1"/>
  <c r="AD1523" i="5"/>
  <c r="T1523" i="5"/>
  <c r="Q1523" i="5"/>
  <c r="V1523" i="5" s="1"/>
  <c r="M1523" i="5"/>
  <c r="S1523" i="5" s="1"/>
  <c r="AD1522" i="5"/>
  <c r="T1522" i="5"/>
  <c r="M1522" i="5"/>
  <c r="P1522" i="5" s="1"/>
  <c r="W1522" i="5" s="1"/>
  <c r="AD1521" i="5"/>
  <c r="T1521" i="5"/>
  <c r="Q1521" i="5"/>
  <c r="V1521" i="5" s="1"/>
  <c r="M1521" i="5"/>
  <c r="AD1520" i="5"/>
  <c r="T1520" i="5"/>
  <c r="M1520" i="5"/>
  <c r="P1520" i="5" s="1"/>
  <c r="W1520" i="5" s="1"/>
  <c r="AD1519" i="5"/>
  <c r="V1519" i="5"/>
  <c r="T1519" i="5"/>
  <c r="S1519" i="5"/>
  <c r="R1519" i="5"/>
  <c r="Y1519" i="5" s="1"/>
  <c r="Q1519" i="5"/>
  <c r="P1519" i="5"/>
  <c r="W1519" i="5" s="1"/>
  <c r="M1519" i="5"/>
  <c r="AD1518" i="5"/>
  <c r="T1518" i="5"/>
  <c r="M1518" i="5"/>
  <c r="AD1517" i="5"/>
  <c r="V1517" i="5"/>
  <c r="T1517" i="5"/>
  <c r="S1517" i="5"/>
  <c r="Q1517" i="5"/>
  <c r="P1517" i="5"/>
  <c r="W1517" i="5" s="1"/>
  <c r="M1517" i="5"/>
  <c r="AD1516" i="5"/>
  <c r="T1516" i="5"/>
  <c r="S1516" i="5"/>
  <c r="M1516" i="5"/>
  <c r="AD1515" i="5"/>
  <c r="V1515" i="5"/>
  <c r="T1515" i="5"/>
  <c r="S1515" i="5"/>
  <c r="R1515" i="5"/>
  <c r="Y1515" i="5" s="1"/>
  <c r="Q1515" i="5"/>
  <c r="P1515" i="5"/>
  <c r="W1515" i="5" s="1"/>
  <c r="M1515" i="5"/>
  <c r="AD1514" i="5"/>
  <c r="T1514" i="5"/>
  <c r="M1514" i="5"/>
  <c r="AD1513" i="5"/>
  <c r="V1513" i="5"/>
  <c r="T1513" i="5"/>
  <c r="S1513" i="5"/>
  <c r="Q1513" i="5"/>
  <c r="P1513" i="5"/>
  <c r="W1513" i="5" s="1"/>
  <c r="M1513" i="5"/>
  <c r="AD1512" i="5"/>
  <c r="T1512" i="5"/>
  <c r="S1512" i="5"/>
  <c r="M1512" i="5"/>
  <c r="AD1511" i="5"/>
  <c r="V1511" i="5"/>
  <c r="T1511" i="5"/>
  <c r="S1511" i="5"/>
  <c r="R1511" i="5"/>
  <c r="Y1511" i="5" s="1"/>
  <c r="Q1511" i="5"/>
  <c r="P1511" i="5"/>
  <c r="W1511" i="5" s="1"/>
  <c r="M1511" i="5"/>
  <c r="AD1510" i="5"/>
  <c r="T1510" i="5"/>
  <c r="M1510" i="5"/>
  <c r="AD1509" i="5"/>
  <c r="V1509" i="5"/>
  <c r="T1509" i="5"/>
  <c r="S1509" i="5"/>
  <c r="Q1509" i="5"/>
  <c r="P1509" i="5"/>
  <c r="W1509" i="5" s="1"/>
  <c r="M1509" i="5"/>
  <c r="AD1508" i="5"/>
  <c r="T1508" i="5"/>
  <c r="S1508" i="5"/>
  <c r="M1508" i="5"/>
  <c r="AD1507" i="5"/>
  <c r="V1507" i="5"/>
  <c r="T1507" i="5"/>
  <c r="S1507" i="5"/>
  <c r="R1507" i="5"/>
  <c r="Y1507" i="5" s="1"/>
  <c r="Q1507" i="5"/>
  <c r="P1507" i="5"/>
  <c r="W1507" i="5" s="1"/>
  <c r="M1507" i="5"/>
  <c r="AD1506" i="5"/>
  <c r="T1506" i="5"/>
  <c r="M1506" i="5"/>
  <c r="AD1505" i="5"/>
  <c r="V1505" i="5"/>
  <c r="T1505" i="5"/>
  <c r="S1505" i="5"/>
  <c r="Q1505" i="5"/>
  <c r="P1505" i="5"/>
  <c r="W1505" i="5" s="1"/>
  <c r="M1505" i="5"/>
  <c r="AD1504" i="5"/>
  <c r="T1504" i="5"/>
  <c r="S1504" i="5"/>
  <c r="M1504" i="5"/>
  <c r="AD1503" i="5"/>
  <c r="V1503" i="5"/>
  <c r="T1503" i="5"/>
  <c r="S1503" i="5"/>
  <c r="R1503" i="5"/>
  <c r="Y1503" i="5" s="1"/>
  <c r="Q1503" i="5"/>
  <c r="P1503" i="5"/>
  <c r="W1503" i="5" s="1"/>
  <c r="M1503" i="5"/>
  <c r="AD1502" i="5"/>
  <c r="T1502" i="5"/>
  <c r="M1502" i="5"/>
  <c r="AD1501" i="5"/>
  <c r="V1501" i="5"/>
  <c r="T1501" i="5"/>
  <c r="S1501" i="5"/>
  <c r="Q1501" i="5"/>
  <c r="P1501" i="5"/>
  <c r="W1501" i="5" s="1"/>
  <c r="M1501" i="5"/>
  <c r="AD1500" i="5"/>
  <c r="T1500" i="5"/>
  <c r="S1500" i="5"/>
  <c r="M1500" i="5"/>
  <c r="AD1499" i="5"/>
  <c r="V1499" i="5"/>
  <c r="T1499" i="5"/>
  <c r="S1499" i="5"/>
  <c r="R1499" i="5"/>
  <c r="Y1499" i="5" s="1"/>
  <c r="Q1499" i="5"/>
  <c r="P1499" i="5"/>
  <c r="W1499" i="5" s="1"/>
  <c r="M1499" i="5"/>
  <c r="AD1498" i="5"/>
  <c r="T1498" i="5"/>
  <c r="M1498" i="5"/>
  <c r="AD1497" i="5"/>
  <c r="V1497" i="5"/>
  <c r="T1497" i="5"/>
  <c r="S1497" i="5"/>
  <c r="Q1497" i="5"/>
  <c r="P1497" i="5"/>
  <c r="W1497" i="5" s="1"/>
  <c r="M1497" i="5"/>
  <c r="AD1496" i="5"/>
  <c r="T1496" i="5"/>
  <c r="S1496" i="5"/>
  <c r="M1496" i="5"/>
  <c r="AD1495" i="5"/>
  <c r="V1495" i="5"/>
  <c r="T1495" i="5"/>
  <c r="S1495" i="5"/>
  <c r="R1495" i="5"/>
  <c r="Y1495" i="5" s="1"/>
  <c r="Q1495" i="5"/>
  <c r="P1495" i="5"/>
  <c r="W1495" i="5" s="1"/>
  <c r="M1495" i="5"/>
  <c r="AD1494" i="5"/>
  <c r="T1494" i="5"/>
  <c r="M1494" i="5"/>
  <c r="AD1493" i="5"/>
  <c r="V1493" i="5"/>
  <c r="T1493" i="5"/>
  <c r="S1493" i="5"/>
  <c r="Q1493" i="5"/>
  <c r="P1493" i="5"/>
  <c r="W1493" i="5" s="1"/>
  <c r="M1493" i="5"/>
  <c r="AD1492" i="5"/>
  <c r="T1492" i="5"/>
  <c r="M1492" i="5"/>
  <c r="Q1492" i="5" s="1"/>
  <c r="V1492" i="5" s="1"/>
  <c r="AD1491" i="5"/>
  <c r="Y1491" i="5"/>
  <c r="V1491" i="5"/>
  <c r="T1491" i="5"/>
  <c r="S1491" i="5"/>
  <c r="R1491" i="5"/>
  <c r="X1491" i="5" s="1"/>
  <c r="Q1491" i="5"/>
  <c r="P1491" i="5"/>
  <c r="W1491" i="5" s="1"/>
  <c r="M1491" i="5"/>
  <c r="AD1490" i="5"/>
  <c r="V1490" i="5"/>
  <c r="T1490" i="5"/>
  <c r="S1490" i="5"/>
  <c r="P1490" i="5"/>
  <c r="M1490" i="5"/>
  <c r="Q1490" i="5" s="1"/>
  <c r="AD1489" i="5"/>
  <c r="V1489" i="5"/>
  <c r="T1489" i="5"/>
  <c r="S1489" i="5"/>
  <c r="R1489" i="5"/>
  <c r="X1489" i="5" s="1"/>
  <c r="Q1489" i="5"/>
  <c r="P1489" i="5"/>
  <c r="W1489" i="5" s="1"/>
  <c r="M1489" i="5"/>
  <c r="AD1488" i="5"/>
  <c r="T1488" i="5"/>
  <c r="M1488" i="5"/>
  <c r="Q1488" i="5" s="1"/>
  <c r="V1488" i="5" s="1"/>
  <c r="AD1487" i="5"/>
  <c r="Y1487" i="5"/>
  <c r="V1487" i="5"/>
  <c r="T1487" i="5"/>
  <c r="S1487" i="5"/>
  <c r="R1487" i="5"/>
  <c r="X1487" i="5" s="1"/>
  <c r="Q1487" i="5"/>
  <c r="P1487" i="5"/>
  <c r="W1487" i="5" s="1"/>
  <c r="M1487" i="5"/>
  <c r="AD1486" i="5"/>
  <c r="V1486" i="5"/>
  <c r="T1486" i="5"/>
  <c r="M1486" i="5"/>
  <c r="Q1486" i="5" s="1"/>
  <c r="AD1485" i="5"/>
  <c r="T1485" i="5"/>
  <c r="S1485" i="5"/>
  <c r="R1485" i="5"/>
  <c r="Y1485" i="5" s="1"/>
  <c r="Q1485" i="5"/>
  <c r="V1485" i="5" s="1"/>
  <c r="P1485" i="5"/>
  <c r="W1485" i="5" s="1"/>
  <c r="M1485" i="5"/>
  <c r="AD1484" i="5"/>
  <c r="T1484" i="5"/>
  <c r="M1484" i="5"/>
  <c r="Q1484" i="5" s="1"/>
  <c r="V1484" i="5" s="1"/>
  <c r="AD1483" i="5"/>
  <c r="T1483" i="5"/>
  <c r="S1483" i="5"/>
  <c r="Q1483" i="5"/>
  <c r="V1483" i="5" s="1"/>
  <c r="P1483" i="5"/>
  <c r="W1483" i="5" s="1"/>
  <c r="M1483" i="5"/>
  <c r="AD1482" i="5"/>
  <c r="V1482" i="5"/>
  <c r="T1482" i="5"/>
  <c r="S1482" i="5"/>
  <c r="P1482" i="5"/>
  <c r="M1482" i="5"/>
  <c r="Q1482" i="5" s="1"/>
  <c r="AD1481" i="5"/>
  <c r="V1481" i="5"/>
  <c r="T1481" i="5"/>
  <c r="S1481" i="5"/>
  <c r="R1481" i="5"/>
  <c r="Y1481" i="5" s="1"/>
  <c r="Q1481" i="5"/>
  <c r="P1481" i="5"/>
  <c r="W1481" i="5" s="1"/>
  <c r="M1481" i="5"/>
  <c r="AD1480" i="5"/>
  <c r="T1480" i="5"/>
  <c r="S1480" i="5"/>
  <c r="M1480" i="5"/>
  <c r="Q1480" i="5" s="1"/>
  <c r="V1480" i="5" s="1"/>
  <c r="AD1479" i="5"/>
  <c r="V1479" i="5"/>
  <c r="T1479" i="5"/>
  <c r="S1479" i="5"/>
  <c r="Q1479" i="5"/>
  <c r="P1479" i="5"/>
  <c r="W1479" i="5" s="1"/>
  <c r="M1479" i="5"/>
  <c r="AD1478" i="5"/>
  <c r="V1478" i="5"/>
  <c r="T1478" i="5"/>
  <c r="S1478" i="5"/>
  <c r="P1478" i="5"/>
  <c r="M1478" i="5"/>
  <c r="Q1478" i="5" s="1"/>
  <c r="AD1477" i="5"/>
  <c r="T1477" i="5"/>
  <c r="S1477" i="5"/>
  <c r="Q1477" i="5"/>
  <c r="V1477" i="5" s="1"/>
  <c r="P1477" i="5"/>
  <c r="R1477" i="5" s="1"/>
  <c r="M1477" i="5"/>
  <c r="AD1476" i="5"/>
  <c r="V1476" i="5"/>
  <c r="T1476" i="5"/>
  <c r="S1476" i="5"/>
  <c r="M1476" i="5"/>
  <c r="Q1476" i="5" s="1"/>
  <c r="AD1475" i="5"/>
  <c r="T1475" i="5"/>
  <c r="S1475" i="5"/>
  <c r="Q1475" i="5"/>
  <c r="R1475" i="5" s="1"/>
  <c r="P1475" i="5"/>
  <c r="W1475" i="5" s="1"/>
  <c r="M1475" i="5"/>
  <c r="AD1474" i="5"/>
  <c r="T1474" i="5"/>
  <c r="Q1474" i="5"/>
  <c r="V1474" i="5" s="1"/>
  <c r="M1474" i="5"/>
  <c r="S1474" i="5" s="1"/>
  <c r="AD1473" i="5"/>
  <c r="T1473" i="5"/>
  <c r="S1473" i="5"/>
  <c r="Q1473" i="5"/>
  <c r="R1473" i="5" s="1"/>
  <c r="P1473" i="5"/>
  <c r="W1473" i="5" s="1"/>
  <c r="M1473" i="5"/>
  <c r="AD1472" i="5"/>
  <c r="T1472" i="5"/>
  <c r="Q1472" i="5"/>
  <c r="V1472" i="5" s="1"/>
  <c r="M1472" i="5"/>
  <c r="S1472" i="5" s="1"/>
  <c r="AD1471" i="5"/>
  <c r="T1471" i="5"/>
  <c r="S1471" i="5"/>
  <c r="Q1471" i="5"/>
  <c r="R1471" i="5" s="1"/>
  <c r="P1471" i="5"/>
  <c r="W1471" i="5" s="1"/>
  <c r="M1471" i="5"/>
  <c r="AD1470" i="5"/>
  <c r="T1470" i="5"/>
  <c r="Q1470" i="5"/>
  <c r="V1470" i="5" s="1"/>
  <c r="M1470" i="5"/>
  <c r="S1470" i="5" s="1"/>
  <c r="AD1469" i="5"/>
  <c r="T1469" i="5"/>
  <c r="S1469" i="5"/>
  <c r="Q1469" i="5"/>
  <c r="R1469" i="5" s="1"/>
  <c r="P1469" i="5"/>
  <c r="W1469" i="5" s="1"/>
  <c r="M1469" i="5"/>
  <c r="AD1468" i="5"/>
  <c r="T1468" i="5"/>
  <c r="Q1468" i="5"/>
  <c r="V1468" i="5" s="1"/>
  <c r="M1468" i="5"/>
  <c r="S1468" i="5" s="1"/>
  <c r="AD1467" i="5"/>
  <c r="T1467" i="5"/>
  <c r="S1467" i="5"/>
  <c r="Q1467" i="5"/>
  <c r="R1467" i="5" s="1"/>
  <c r="P1467" i="5"/>
  <c r="W1467" i="5" s="1"/>
  <c r="M1467" i="5"/>
  <c r="AD1466" i="5"/>
  <c r="T1466" i="5"/>
  <c r="Q1466" i="5"/>
  <c r="V1466" i="5" s="1"/>
  <c r="M1466" i="5"/>
  <c r="S1466" i="5" s="1"/>
  <c r="AD1465" i="5"/>
  <c r="T1465" i="5"/>
  <c r="S1465" i="5"/>
  <c r="Q1465" i="5"/>
  <c r="R1465" i="5" s="1"/>
  <c r="P1465" i="5"/>
  <c r="W1465" i="5" s="1"/>
  <c r="M1465" i="5"/>
  <c r="AD1464" i="5"/>
  <c r="T1464" i="5"/>
  <c r="Q1464" i="5"/>
  <c r="V1464" i="5" s="1"/>
  <c r="M1464" i="5"/>
  <c r="S1464" i="5" s="1"/>
  <c r="AD1463" i="5"/>
  <c r="T1463" i="5"/>
  <c r="S1463" i="5"/>
  <c r="Q1463" i="5"/>
  <c r="R1463" i="5" s="1"/>
  <c r="P1463" i="5"/>
  <c r="W1463" i="5" s="1"/>
  <c r="M1463" i="5"/>
  <c r="AD1462" i="5"/>
  <c r="T1462" i="5"/>
  <c r="Q1462" i="5"/>
  <c r="V1462" i="5" s="1"/>
  <c r="M1462" i="5"/>
  <c r="S1462" i="5" s="1"/>
  <c r="AD1461" i="5"/>
  <c r="T1461" i="5"/>
  <c r="S1461" i="5"/>
  <c r="Q1461" i="5"/>
  <c r="R1461" i="5" s="1"/>
  <c r="P1461" i="5"/>
  <c r="W1461" i="5" s="1"/>
  <c r="M1461" i="5"/>
  <c r="AD1460" i="5"/>
  <c r="T1460" i="5"/>
  <c r="Q1460" i="5"/>
  <c r="V1460" i="5" s="1"/>
  <c r="M1460" i="5"/>
  <c r="S1460" i="5" s="1"/>
  <c r="AD1459" i="5"/>
  <c r="T1459" i="5"/>
  <c r="S1459" i="5"/>
  <c r="Q1459" i="5"/>
  <c r="R1459" i="5" s="1"/>
  <c r="P1459" i="5"/>
  <c r="W1459" i="5" s="1"/>
  <c r="M1459" i="5"/>
  <c r="AD1458" i="5"/>
  <c r="T1458" i="5"/>
  <c r="Q1458" i="5"/>
  <c r="V1458" i="5" s="1"/>
  <c r="M1458" i="5"/>
  <c r="S1458" i="5" s="1"/>
  <c r="AD1457" i="5"/>
  <c r="T1457" i="5"/>
  <c r="S1457" i="5"/>
  <c r="Q1457" i="5"/>
  <c r="R1457" i="5" s="1"/>
  <c r="P1457" i="5"/>
  <c r="W1457" i="5" s="1"/>
  <c r="M1457" i="5"/>
  <c r="AD1456" i="5"/>
  <c r="T1456" i="5"/>
  <c r="Q1456" i="5"/>
  <c r="V1456" i="5" s="1"/>
  <c r="M1456" i="5"/>
  <c r="S1456" i="5" s="1"/>
  <c r="AD1455" i="5"/>
  <c r="T1455" i="5"/>
  <c r="S1455" i="5"/>
  <c r="Q1455" i="5"/>
  <c r="R1455" i="5" s="1"/>
  <c r="P1455" i="5"/>
  <c r="W1455" i="5" s="1"/>
  <c r="M1455" i="5"/>
  <c r="AD1454" i="5"/>
  <c r="T1454" i="5"/>
  <c r="Q1454" i="5"/>
  <c r="V1454" i="5" s="1"/>
  <c r="M1454" i="5"/>
  <c r="S1454" i="5" s="1"/>
  <c r="AD1453" i="5"/>
  <c r="T1453" i="5"/>
  <c r="S1453" i="5"/>
  <c r="Q1453" i="5"/>
  <c r="R1453" i="5" s="1"/>
  <c r="P1453" i="5"/>
  <c r="W1453" i="5" s="1"/>
  <c r="M1453" i="5"/>
  <c r="AD1452" i="5"/>
  <c r="T1452" i="5"/>
  <c r="Q1452" i="5"/>
  <c r="V1452" i="5" s="1"/>
  <c r="M1452" i="5"/>
  <c r="S1452" i="5" s="1"/>
  <c r="AD1451" i="5"/>
  <c r="T1451" i="5"/>
  <c r="S1451" i="5"/>
  <c r="Q1451" i="5"/>
  <c r="R1451" i="5" s="1"/>
  <c r="P1451" i="5"/>
  <c r="W1451" i="5" s="1"/>
  <c r="M1451" i="5"/>
  <c r="AD1450" i="5"/>
  <c r="T1450" i="5"/>
  <c r="S1450" i="5"/>
  <c r="Q1450" i="5"/>
  <c r="V1450" i="5" s="1"/>
  <c r="M1450" i="5"/>
  <c r="P1450" i="5" s="1"/>
  <c r="AD1449" i="5"/>
  <c r="T1449" i="5"/>
  <c r="S1449" i="5"/>
  <c r="Q1449" i="5"/>
  <c r="R1449" i="5" s="1"/>
  <c r="P1449" i="5"/>
  <c r="W1449" i="5" s="1"/>
  <c r="M1449" i="5"/>
  <c r="AD1448" i="5"/>
  <c r="T1448" i="5"/>
  <c r="S1448" i="5"/>
  <c r="Q1448" i="5"/>
  <c r="V1448" i="5" s="1"/>
  <c r="M1448" i="5"/>
  <c r="P1448" i="5" s="1"/>
  <c r="AD1447" i="5"/>
  <c r="T1447" i="5"/>
  <c r="S1447" i="5"/>
  <c r="Q1447" i="5"/>
  <c r="R1447" i="5" s="1"/>
  <c r="P1447" i="5"/>
  <c r="W1447" i="5" s="1"/>
  <c r="M1447" i="5"/>
  <c r="AD1446" i="5"/>
  <c r="T1446" i="5"/>
  <c r="S1446" i="5"/>
  <c r="Q1446" i="5"/>
  <c r="V1446" i="5" s="1"/>
  <c r="M1446" i="5"/>
  <c r="P1446" i="5" s="1"/>
  <c r="AD1445" i="5"/>
  <c r="T1445" i="5"/>
  <c r="S1445" i="5"/>
  <c r="Q1445" i="5"/>
  <c r="R1445" i="5" s="1"/>
  <c r="P1445" i="5"/>
  <c r="W1445" i="5" s="1"/>
  <c r="M1445" i="5"/>
  <c r="AD1444" i="5"/>
  <c r="T1444" i="5"/>
  <c r="S1444" i="5"/>
  <c r="Q1444" i="5"/>
  <c r="V1444" i="5" s="1"/>
  <c r="M1444" i="5"/>
  <c r="P1444" i="5" s="1"/>
  <c r="AD1443" i="5"/>
  <c r="T1443" i="5"/>
  <c r="S1443" i="5"/>
  <c r="Q1443" i="5"/>
  <c r="R1443" i="5" s="1"/>
  <c r="P1443" i="5"/>
  <c r="W1443" i="5" s="1"/>
  <c r="M1443" i="5"/>
  <c r="AD1442" i="5"/>
  <c r="T1442" i="5"/>
  <c r="S1442" i="5"/>
  <c r="Q1442" i="5"/>
  <c r="V1442" i="5" s="1"/>
  <c r="M1442" i="5"/>
  <c r="P1442" i="5" s="1"/>
  <c r="AD1441" i="5"/>
  <c r="T1441" i="5"/>
  <c r="S1441" i="5"/>
  <c r="Q1441" i="5"/>
  <c r="R1441" i="5" s="1"/>
  <c r="P1441" i="5"/>
  <c r="W1441" i="5" s="1"/>
  <c r="M1441" i="5"/>
  <c r="AD1440" i="5"/>
  <c r="T1440" i="5"/>
  <c r="S1440" i="5"/>
  <c r="Q1440" i="5"/>
  <c r="V1440" i="5" s="1"/>
  <c r="M1440" i="5"/>
  <c r="P1440" i="5" s="1"/>
  <c r="AD1439" i="5"/>
  <c r="T1439" i="5"/>
  <c r="S1439" i="5"/>
  <c r="Q1439" i="5"/>
  <c r="R1439" i="5" s="1"/>
  <c r="P1439" i="5"/>
  <c r="W1439" i="5" s="1"/>
  <c r="M1439" i="5"/>
  <c r="AD1438" i="5"/>
  <c r="T1438" i="5"/>
  <c r="S1438" i="5"/>
  <c r="Q1438" i="5"/>
  <c r="V1438" i="5" s="1"/>
  <c r="M1438" i="5"/>
  <c r="P1438" i="5" s="1"/>
  <c r="AD1437" i="5"/>
  <c r="Q1437" i="5"/>
  <c r="V1437" i="5" s="1"/>
  <c r="P1437" i="5"/>
  <c r="R1437" i="5" s="1"/>
  <c r="M1437" i="5"/>
  <c r="S1437" i="5" s="1"/>
  <c r="AD1436" i="5"/>
  <c r="T1436" i="5"/>
  <c r="P1436" i="5"/>
  <c r="W1436" i="5" s="1"/>
  <c r="M1436" i="5"/>
  <c r="Q1436" i="5" s="1"/>
  <c r="V1436" i="5" s="1"/>
  <c r="AD1435" i="5"/>
  <c r="T1435" i="5"/>
  <c r="Q1435" i="5"/>
  <c r="V1435" i="5" s="1"/>
  <c r="M1435" i="5"/>
  <c r="S1435" i="5" s="1"/>
  <c r="AD1434" i="5"/>
  <c r="T1434" i="5"/>
  <c r="S1434" i="5"/>
  <c r="M1434" i="5"/>
  <c r="Q1434" i="5" s="1"/>
  <c r="V1434" i="5" s="1"/>
  <c r="AD1433" i="5"/>
  <c r="V1433" i="5"/>
  <c r="T1433" i="5"/>
  <c r="S1433" i="5"/>
  <c r="R1433" i="5"/>
  <c r="Y1433" i="5" s="1"/>
  <c r="Q1433" i="5"/>
  <c r="P1433" i="5"/>
  <c r="W1433" i="5" s="1"/>
  <c r="M1433" i="5"/>
  <c r="AD1430" i="5"/>
  <c r="Y1430" i="5"/>
  <c r="W1430" i="5"/>
  <c r="V1430" i="5"/>
  <c r="T1430" i="5"/>
  <c r="U1430" i="5" s="1"/>
  <c r="S1430" i="5"/>
  <c r="R1430" i="5"/>
  <c r="X1430" i="5" s="1"/>
  <c r="Q1430" i="5"/>
  <c r="P1430" i="5"/>
  <c r="E1430" i="5"/>
  <c r="AD1427" i="5"/>
  <c r="W1427" i="5"/>
  <c r="V1427" i="5"/>
  <c r="S1427" i="5"/>
  <c r="R1427" i="5"/>
  <c r="Y1427" i="5" s="1"/>
  <c r="Q1427" i="5"/>
  <c r="T1427" i="5" s="1"/>
  <c r="P1427" i="5"/>
  <c r="E1427" i="5"/>
  <c r="AD1426" i="5"/>
  <c r="X1426" i="5"/>
  <c r="W1426" i="5"/>
  <c r="V1426" i="5"/>
  <c r="S1426" i="5"/>
  <c r="R1426" i="5"/>
  <c r="Y1426" i="5" s="1"/>
  <c r="Q1426" i="5"/>
  <c r="P1426" i="5"/>
  <c r="E1426" i="5"/>
  <c r="AD1425" i="5"/>
  <c r="Y1425" i="5"/>
  <c r="W1425" i="5"/>
  <c r="V1425" i="5"/>
  <c r="S1425" i="5"/>
  <c r="R1425" i="5"/>
  <c r="X1425" i="5" s="1"/>
  <c r="Q1425" i="5"/>
  <c r="P1425" i="5"/>
  <c r="T1425" i="5" s="1"/>
  <c r="E1425" i="5"/>
  <c r="AD1424" i="5"/>
  <c r="W1424" i="5"/>
  <c r="V1424" i="5"/>
  <c r="S1424" i="5"/>
  <c r="R1424" i="5"/>
  <c r="Y1424" i="5" s="1"/>
  <c r="Q1424" i="5"/>
  <c r="T1424" i="5" s="1"/>
  <c r="P1424" i="5"/>
  <c r="E1424" i="5"/>
  <c r="AD1423" i="5"/>
  <c r="W1423" i="5"/>
  <c r="V1423" i="5"/>
  <c r="S1423" i="5"/>
  <c r="R1423" i="5"/>
  <c r="Y1423" i="5" s="1"/>
  <c r="Q1423" i="5"/>
  <c r="P1423" i="5"/>
  <c r="T1423" i="5" s="1"/>
  <c r="E1423" i="5"/>
  <c r="AD1422" i="5"/>
  <c r="Y1422" i="5"/>
  <c r="W1422" i="5"/>
  <c r="V1422" i="5"/>
  <c r="S1422" i="5"/>
  <c r="R1422" i="5"/>
  <c r="X1422" i="5" s="1"/>
  <c r="Q1422" i="5"/>
  <c r="P1422" i="5"/>
  <c r="T1422" i="5" s="1"/>
  <c r="E1422" i="5"/>
  <c r="AD1421" i="5"/>
  <c r="Y1421" i="5"/>
  <c r="W1421" i="5"/>
  <c r="V1421" i="5"/>
  <c r="T1421" i="5"/>
  <c r="S1421" i="5"/>
  <c r="R1421" i="5"/>
  <c r="X1421" i="5" s="1"/>
  <c r="Q1421" i="5"/>
  <c r="P1421" i="5"/>
  <c r="E1421" i="5"/>
  <c r="AD1420" i="5"/>
  <c r="X1420" i="5"/>
  <c r="W1420" i="5"/>
  <c r="V1420" i="5"/>
  <c r="S1420" i="5"/>
  <c r="R1420" i="5"/>
  <c r="Y1420" i="5" s="1"/>
  <c r="Q1420" i="5"/>
  <c r="P1420" i="5"/>
  <c r="T1420" i="5" s="1"/>
  <c r="U1420" i="5" s="1"/>
  <c r="E1420" i="5"/>
  <c r="AD1419" i="5"/>
  <c r="Y1419" i="5"/>
  <c r="W1419" i="5"/>
  <c r="V1419" i="5"/>
  <c r="S1419" i="5"/>
  <c r="R1419" i="5"/>
  <c r="X1419" i="5" s="1"/>
  <c r="Q1419" i="5"/>
  <c r="P1419" i="5"/>
  <c r="T1419" i="5" s="1"/>
  <c r="E1419" i="5"/>
  <c r="AD1418" i="5"/>
  <c r="W1418" i="5"/>
  <c r="V1418" i="5"/>
  <c r="T1418" i="5"/>
  <c r="S1418" i="5"/>
  <c r="R1418" i="5"/>
  <c r="Y1418" i="5" s="1"/>
  <c r="Q1418" i="5"/>
  <c r="P1418" i="5"/>
  <c r="E1418" i="5"/>
  <c r="AD1417" i="5"/>
  <c r="X1417" i="5"/>
  <c r="W1417" i="5"/>
  <c r="V1417" i="5"/>
  <c r="S1417" i="5"/>
  <c r="R1417" i="5"/>
  <c r="Y1417" i="5" s="1"/>
  <c r="Q1417" i="5"/>
  <c r="P1417" i="5"/>
  <c r="T1417" i="5" s="1"/>
  <c r="U1417" i="5" s="1"/>
  <c r="E1417" i="5"/>
  <c r="AD1416" i="5"/>
  <c r="Y1416" i="5"/>
  <c r="W1416" i="5"/>
  <c r="V1416" i="5"/>
  <c r="S1416" i="5"/>
  <c r="R1416" i="5"/>
  <c r="X1416" i="5" s="1"/>
  <c r="Q1416" i="5"/>
  <c r="P1416" i="5"/>
  <c r="T1416" i="5" s="1"/>
  <c r="E1416" i="5"/>
  <c r="AD1415" i="5"/>
  <c r="Y1415" i="5"/>
  <c r="W1415" i="5"/>
  <c r="V1415" i="5"/>
  <c r="T1415" i="5"/>
  <c r="S1415" i="5"/>
  <c r="R1415" i="5"/>
  <c r="X1415" i="5" s="1"/>
  <c r="U1415" i="5" s="1"/>
  <c r="Q1415" i="5"/>
  <c r="P1415" i="5"/>
  <c r="E1415" i="5"/>
  <c r="AD1414" i="5"/>
  <c r="X1414" i="5"/>
  <c r="W1414" i="5"/>
  <c r="V1414" i="5"/>
  <c r="S1414" i="5"/>
  <c r="R1414" i="5"/>
  <c r="Y1414" i="5" s="1"/>
  <c r="Q1414" i="5"/>
  <c r="P1414" i="5"/>
  <c r="E1414" i="5"/>
  <c r="AD1413" i="5"/>
  <c r="W1413" i="5"/>
  <c r="V1413" i="5"/>
  <c r="T1413" i="5"/>
  <c r="S1413" i="5"/>
  <c r="R1413" i="5"/>
  <c r="Y1413" i="5" s="1"/>
  <c r="Q1413" i="5"/>
  <c r="P1413" i="5"/>
  <c r="E1413" i="5"/>
  <c r="AD1412" i="5"/>
  <c r="W1412" i="5"/>
  <c r="V1412" i="5"/>
  <c r="S1412" i="5"/>
  <c r="R1412" i="5"/>
  <c r="Y1412" i="5" s="1"/>
  <c r="Q1412" i="5"/>
  <c r="P1412" i="5"/>
  <c r="T1412" i="5" s="1"/>
  <c r="E1412" i="5"/>
  <c r="AD1411" i="5"/>
  <c r="W1411" i="5"/>
  <c r="V1411" i="5"/>
  <c r="T1411" i="5"/>
  <c r="S1411" i="5"/>
  <c r="R1411" i="5"/>
  <c r="Y1411" i="5" s="1"/>
  <c r="Q1411" i="5"/>
  <c r="P1411" i="5"/>
  <c r="E1411" i="5"/>
  <c r="AD1410" i="5"/>
  <c r="W1410" i="5"/>
  <c r="V1410" i="5"/>
  <c r="S1410" i="5"/>
  <c r="R1410" i="5"/>
  <c r="Y1410" i="5" s="1"/>
  <c r="Q1410" i="5"/>
  <c r="P1410" i="5"/>
  <c r="T1410" i="5" s="1"/>
  <c r="E1410" i="5"/>
  <c r="AD1409" i="5"/>
  <c r="Y1409" i="5"/>
  <c r="W1409" i="5"/>
  <c r="V1409" i="5"/>
  <c r="S1409" i="5"/>
  <c r="R1409" i="5"/>
  <c r="X1409" i="5" s="1"/>
  <c r="Q1409" i="5"/>
  <c r="P1409" i="5"/>
  <c r="T1409" i="5" s="1"/>
  <c r="E1409" i="5"/>
  <c r="AD1408" i="5"/>
  <c r="X1408" i="5"/>
  <c r="W1408" i="5"/>
  <c r="V1408" i="5"/>
  <c r="S1408" i="5"/>
  <c r="R1408" i="5"/>
  <c r="Y1408" i="5" s="1"/>
  <c r="Q1408" i="5"/>
  <c r="P1408" i="5"/>
  <c r="T1408" i="5" s="1"/>
  <c r="E1408" i="5"/>
  <c r="AD1407" i="5"/>
  <c r="W1407" i="5"/>
  <c r="V1407" i="5"/>
  <c r="T1407" i="5"/>
  <c r="S1407" i="5"/>
  <c r="R1407" i="5"/>
  <c r="Y1407" i="5" s="1"/>
  <c r="Q1407" i="5"/>
  <c r="P1407" i="5"/>
  <c r="E1407" i="5"/>
  <c r="AD1406" i="5"/>
  <c r="W1406" i="5"/>
  <c r="V1406" i="5"/>
  <c r="S1406" i="5"/>
  <c r="R1406" i="5"/>
  <c r="Y1406" i="5" s="1"/>
  <c r="Q1406" i="5"/>
  <c r="P1406" i="5"/>
  <c r="T1406" i="5" s="1"/>
  <c r="E1406" i="5"/>
  <c r="AD1405" i="5"/>
  <c r="W1405" i="5"/>
  <c r="V1405" i="5"/>
  <c r="T1405" i="5"/>
  <c r="S1405" i="5"/>
  <c r="R1405" i="5"/>
  <c r="Y1405" i="5" s="1"/>
  <c r="Q1405" i="5"/>
  <c r="P1405" i="5"/>
  <c r="E1405" i="5"/>
  <c r="AD1404" i="5"/>
  <c r="W1404" i="5"/>
  <c r="V1404" i="5"/>
  <c r="S1404" i="5"/>
  <c r="R1404" i="5"/>
  <c r="Y1404" i="5" s="1"/>
  <c r="Q1404" i="5"/>
  <c r="P1404" i="5"/>
  <c r="T1404" i="5" s="1"/>
  <c r="E1404" i="5"/>
  <c r="AD1403" i="5"/>
  <c r="Y1403" i="5"/>
  <c r="W1403" i="5"/>
  <c r="V1403" i="5"/>
  <c r="S1403" i="5"/>
  <c r="R1403" i="5"/>
  <c r="X1403" i="5" s="1"/>
  <c r="Q1403" i="5"/>
  <c r="P1403" i="5"/>
  <c r="T1403" i="5" s="1"/>
  <c r="E1403" i="5"/>
  <c r="AD1402" i="5"/>
  <c r="X1402" i="5"/>
  <c r="W1402" i="5"/>
  <c r="V1402" i="5"/>
  <c r="S1402" i="5"/>
  <c r="R1402" i="5"/>
  <c r="Y1402" i="5" s="1"/>
  <c r="Q1402" i="5"/>
  <c r="P1402" i="5"/>
  <c r="T1402" i="5" s="1"/>
  <c r="E1402" i="5"/>
  <c r="AD1401" i="5"/>
  <c r="X1401" i="5"/>
  <c r="W1401" i="5"/>
  <c r="V1401" i="5"/>
  <c r="U1401" i="5"/>
  <c r="Z1401" i="5" s="1"/>
  <c r="AE1401" i="5" s="1"/>
  <c r="S1401" i="5"/>
  <c r="AA1401" i="5" s="1"/>
  <c r="AC1401" i="5" s="1"/>
  <c r="R1401" i="5"/>
  <c r="Y1401" i="5" s="1"/>
  <c r="Q1401" i="5"/>
  <c r="P1401" i="5"/>
  <c r="E1401" i="5"/>
  <c r="AD1400" i="5"/>
  <c r="X1400" i="5"/>
  <c r="W1400" i="5"/>
  <c r="Z1400" i="5" s="1"/>
  <c r="AE1400" i="5" s="1"/>
  <c r="V1400" i="5"/>
  <c r="U1400" i="5"/>
  <c r="S1400" i="5"/>
  <c r="AA1400" i="5" s="1"/>
  <c r="AC1400" i="5" s="1"/>
  <c r="R1400" i="5"/>
  <c r="Y1400" i="5" s="1"/>
  <c r="Q1400" i="5"/>
  <c r="P1400" i="5"/>
  <c r="E1400" i="5"/>
  <c r="AD1399" i="5"/>
  <c r="X1399" i="5"/>
  <c r="U1399" i="5" s="1"/>
  <c r="Z1399" i="5" s="1"/>
  <c r="AE1399" i="5" s="1"/>
  <c r="W1399" i="5"/>
  <c r="V1399" i="5"/>
  <c r="S1399" i="5"/>
  <c r="R1399" i="5"/>
  <c r="Y1399" i="5" s="1"/>
  <c r="Q1399" i="5"/>
  <c r="P1399" i="5"/>
  <c r="E1399" i="5"/>
  <c r="AD1398" i="5"/>
  <c r="X1398" i="5"/>
  <c r="W1398" i="5"/>
  <c r="V1398" i="5"/>
  <c r="U1398" i="5"/>
  <c r="S1398" i="5"/>
  <c r="R1398" i="5"/>
  <c r="Y1398" i="5" s="1"/>
  <c r="Z1398" i="5" s="1"/>
  <c r="AE1398" i="5" s="1"/>
  <c r="Q1398" i="5"/>
  <c r="P1398" i="5"/>
  <c r="E1398" i="5"/>
  <c r="AD1397" i="5"/>
  <c r="W1397" i="5"/>
  <c r="V1397" i="5"/>
  <c r="S1397" i="5"/>
  <c r="R1397" i="5"/>
  <c r="Y1397" i="5" s="1"/>
  <c r="Q1397" i="5"/>
  <c r="P1397" i="5"/>
  <c r="T1397" i="5" s="1"/>
  <c r="E1397" i="5"/>
  <c r="AD1396" i="5"/>
  <c r="X1396" i="5"/>
  <c r="W1396" i="5"/>
  <c r="V1396" i="5"/>
  <c r="U1396" i="5"/>
  <c r="S1396" i="5"/>
  <c r="R1396" i="5"/>
  <c r="Y1396" i="5" s="1"/>
  <c r="Z1396" i="5" s="1"/>
  <c r="AE1396" i="5" s="1"/>
  <c r="Q1396" i="5"/>
  <c r="P1396" i="5"/>
  <c r="E1396" i="5"/>
  <c r="AD1395" i="5"/>
  <c r="X1395" i="5"/>
  <c r="W1395" i="5"/>
  <c r="V1395" i="5"/>
  <c r="U1395" i="5"/>
  <c r="S1395" i="5"/>
  <c r="R1395" i="5"/>
  <c r="Y1395" i="5" s="1"/>
  <c r="Q1395" i="5"/>
  <c r="P1395" i="5"/>
  <c r="E1395" i="5"/>
  <c r="AD1394" i="5"/>
  <c r="Y1394" i="5"/>
  <c r="W1394" i="5"/>
  <c r="V1394" i="5"/>
  <c r="T1394" i="5"/>
  <c r="S1394" i="5"/>
  <c r="R1394" i="5"/>
  <c r="X1394" i="5" s="1"/>
  <c r="Q1394" i="5"/>
  <c r="P1394" i="5"/>
  <c r="E1394" i="5"/>
  <c r="AD1393" i="5"/>
  <c r="X1393" i="5"/>
  <c r="W1393" i="5"/>
  <c r="V1393" i="5"/>
  <c r="S1393" i="5"/>
  <c r="R1393" i="5"/>
  <c r="Y1393" i="5" s="1"/>
  <c r="Q1393" i="5"/>
  <c r="P1393" i="5"/>
  <c r="T1393" i="5" s="1"/>
  <c r="E1393" i="5"/>
  <c r="AD1392" i="5"/>
  <c r="W1392" i="5"/>
  <c r="V1392" i="5"/>
  <c r="S1392" i="5"/>
  <c r="R1392" i="5"/>
  <c r="Y1392" i="5" s="1"/>
  <c r="Q1392" i="5"/>
  <c r="P1392" i="5"/>
  <c r="T1392" i="5" s="1"/>
  <c r="E1392" i="5"/>
  <c r="AD1391" i="5"/>
  <c r="X1391" i="5"/>
  <c r="W1391" i="5"/>
  <c r="V1391" i="5"/>
  <c r="Z1391" i="5" s="1"/>
  <c r="AE1391" i="5" s="1"/>
  <c r="U1391" i="5"/>
  <c r="S1391" i="5"/>
  <c r="AA1391" i="5" s="1"/>
  <c r="AC1391" i="5" s="1"/>
  <c r="R1391" i="5"/>
  <c r="Y1391" i="5" s="1"/>
  <c r="Q1391" i="5"/>
  <c r="P1391" i="5"/>
  <c r="E1391" i="5"/>
  <c r="AD1390" i="5"/>
  <c r="X1390" i="5"/>
  <c r="W1390" i="5"/>
  <c r="V1390" i="5"/>
  <c r="S1390" i="5"/>
  <c r="R1390" i="5"/>
  <c r="Y1390" i="5" s="1"/>
  <c r="Q1390" i="5"/>
  <c r="P1390" i="5"/>
  <c r="E1390" i="5"/>
  <c r="AD1389" i="5"/>
  <c r="Y1389" i="5"/>
  <c r="W1389" i="5"/>
  <c r="V1389" i="5"/>
  <c r="T1389" i="5"/>
  <c r="U1389" i="5" s="1"/>
  <c r="Z1389" i="5" s="1"/>
  <c r="AE1389" i="5" s="1"/>
  <c r="S1389" i="5"/>
  <c r="R1389" i="5"/>
  <c r="X1389" i="5" s="1"/>
  <c r="Q1389" i="5"/>
  <c r="P1389" i="5"/>
  <c r="E1389" i="5"/>
  <c r="AD1388" i="5"/>
  <c r="W1388" i="5"/>
  <c r="V1388" i="5"/>
  <c r="S1388" i="5"/>
  <c r="R1388" i="5"/>
  <c r="X1388" i="5" s="1"/>
  <c r="Q1388" i="5"/>
  <c r="T1388" i="5" s="1"/>
  <c r="P1388" i="5"/>
  <c r="E1388" i="5"/>
  <c r="AD1387" i="5"/>
  <c r="W1387" i="5"/>
  <c r="V1387" i="5"/>
  <c r="S1387" i="5"/>
  <c r="R1387" i="5"/>
  <c r="Y1387" i="5" s="1"/>
  <c r="Q1387" i="5"/>
  <c r="P1387" i="5"/>
  <c r="T1387" i="5" s="1"/>
  <c r="E1387" i="5"/>
  <c r="AD1386" i="5"/>
  <c r="Y1386" i="5"/>
  <c r="W1386" i="5"/>
  <c r="V1386" i="5"/>
  <c r="T1386" i="5"/>
  <c r="U1386" i="5" s="1"/>
  <c r="S1386" i="5"/>
  <c r="R1386" i="5"/>
  <c r="X1386" i="5" s="1"/>
  <c r="Q1386" i="5"/>
  <c r="P1386" i="5"/>
  <c r="E1386" i="5"/>
  <c r="AD1385" i="5"/>
  <c r="X1385" i="5"/>
  <c r="U1385" i="5" s="1"/>
  <c r="Z1385" i="5" s="1"/>
  <c r="W1385" i="5"/>
  <c r="V1385" i="5"/>
  <c r="S1385" i="5"/>
  <c r="R1385" i="5"/>
  <c r="Y1385" i="5" s="1"/>
  <c r="Q1385" i="5"/>
  <c r="P1385" i="5"/>
  <c r="E1385" i="5"/>
  <c r="AD1384" i="5"/>
  <c r="X1384" i="5"/>
  <c r="U1384" i="5" s="1"/>
  <c r="Z1384" i="5" s="1"/>
  <c r="AE1384" i="5" s="1"/>
  <c r="W1384" i="5"/>
  <c r="V1384" i="5"/>
  <c r="S1384" i="5"/>
  <c r="R1384" i="5"/>
  <c r="Y1384" i="5" s="1"/>
  <c r="Q1384" i="5"/>
  <c r="P1384" i="5"/>
  <c r="E1384" i="5"/>
  <c r="AD1383" i="5"/>
  <c r="Y1383" i="5"/>
  <c r="W1383" i="5"/>
  <c r="V1383" i="5"/>
  <c r="T1383" i="5"/>
  <c r="Z1383" i="5" s="1"/>
  <c r="S1383" i="5"/>
  <c r="R1383" i="5"/>
  <c r="X1383" i="5" s="1"/>
  <c r="U1383" i="5" s="1"/>
  <c r="Q1383" i="5"/>
  <c r="P1383" i="5"/>
  <c r="E1383" i="5"/>
  <c r="AD1382" i="5"/>
  <c r="Y1382" i="5"/>
  <c r="W1382" i="5"/>
  <c r="V1382" i="5"/>
  <c r="T1382" i="5"/>
  <c r="S1382" i="5"/>
  <c r="R1382" i="5"/>
  <c r="X1382" i="5" s="1"/>
  <c r="Q1382" i="5"/>
  <c r="P1382" i="5"/>
  <c r="E1382" i="5"/>
  <c r="AD1381" i="5"/>
  <c r="X1381" i="5"/>
  <c r="U1381" i="5" s="1"/>
  <c r="Z1381" i="5" s="1"/>
  <c r="W1381" i="5"/>
  <c r="V1381" i="5"/>
  <c r="S1381" i="5"/>
  <c r="R1381" i="5"/>
  <c r="Y1381" i="5" s="1"/>
  <c r="Q1381" i="5"/>
  <c r="P1381" i="5"/>
  <c r="E1381" i="5"/>
  <c r="AD1380" i="5"/>
  <c r="X1380" i="5"/>
  <c r="W1380" i="5"/>
  <c r="V1380" i="5"/>
  <c r="U1380" i="5"/>
  <c r="S1380" i="5"/>
  <c r="AA1380" i="5" s="1"/>
  <c r="AC1380" i="5" s="1"/>
  <c r="R1380" i="5"/>
  <c r="Y1380" i="5" s="1"/>
  <c r="Z1380" i="5" s="1"/>
  <c r="AE1380" i="5" s="1"/>
  <c r="Q1380" i="5"/>
  <c r="P1380" i="5"/>
  <c r="E1380" i="5"/>
  <c r="AD1379" i="5"/>
  <c r="X1379" i="5"/>
  <c r="U1379" i="5" s="1"/>
  <c r="Z1379" i="5" s="1"/>
  <c r="W1379" i="5"/>
  <c r="V1379" i="5"/>
  <c r="S1379" i="5"/>
  <c r="R1379" i="5"/>
  <c r="Y1379" i="5" s="1"/>
  <c r="Q1379" i="5"/>
  <c r="P1379" i="5"/>
  <c r="E1379" i="5"/>
  <c r="AD1378" i="5"/>
  <c r="W1378" i="5"/>
  <c r="V1378" i="5"/>
  <c r="T1378" i="5"/>
  <c r="S1378" i="5"/>
  <c r="R1378" i="5"/>
  <c r="Y1378" i="5" s="1"/>
  <c r="Q1378" i="5"/>
  <c r="P1378" i="5"/>
  <c r="E1378" i="5"/>
  <c r="AD1377" i="5"/>
  <c r="X1377" i="5"/>
  <c r="U1377" i="5" s="1"/>
  <c r="Z1377" i="5" s="1"/>
  <c r="AE1377" i="5" s="1"/>
  <c r="W1377" i="5"/>
  <c r="V1377" i="5"/>
  <c r="S1377" i="5"/>
  <c r="R1377" i="5"/>
  <c r="Y1377" i="5" s="1"/>
  <c r="Q1377" i="5"/>
  <c r="P1377" i="5"/>
  <c r="E1377" i="5"/>
  <c r="AD1376" i="5"/>
  <c r="Y1376" i="5"/>
  <c r="W1376" i="5"/>
  <c r="V1376" i="5"/>
  <c r="S1376" i="5"/>
  <c r="R1376" i="5"/>
  <c r="X1376" i="5" s="1"/>
  <c r="Q1376" i="5"/>
  <c r="P1376" i="5"/>
  <c r="T1376" i="5" s="1"/>
  <c r="E1376" i="5"/>
  <c r="AD1375" i="5"/>
  <c r="Y1375" i="5"/>
  <c r="Z1375" i="5" s="1"/>
  <c r="AE1375" i="5" s="1"/>
  <c r="W1375" i="5"/>
  <c r="V1375" i="5"/>
  <c r="U1375" i="5"/>
  <c r="S1375" i="5"/>
  <c r="R1375" i="5"/>
  <c r="Q1375" i="5"/>
  <c r="P1375" i="5"/>
  <c r="E1375" i="5"/>
  <c r="AD1374" i="5"/>
  <c r="W1374" i="5"/>
  <c r="V1374" i="5"/>
  <c r="S1374" i="5"/>
  <c r="R1374" i="5"/>
  <c r="Y1374" i="5" s="1"/>
  <c r="Q1374" i="5"/>
  <c r="P1374" i="5"/>
  <c r="E1374" i="5"/>
  <c r="AD1373" i="5"/>
  <c r="W1373" i="5"/>
  <c r="V1373" i="5"/>
  <c r="S1373" i="5"/>
  <c r="R1373" i="5"/>
  <c r="Y1373" i="5" s="1"/>
  <c r="Q1373" i="5"/>
  <c r="P1373" i="5"/>
  <c r="T1373" i="5" s="1"/>
  <c r="E1373" i="5"/>
  <c r="AD1372" i="5"/>
  <c r="X1372" i="5"/>
  <c r="W1372" i="5"/>
  <c r="V1372" i="5"/>
  <c r="Z1372" i="5" s="1"/>
  <c r="AE1372" i="5" s="1"/>
  <c r="U1372" i="5"/>
  <c r="S1372" i="5"/>
  <c r="AA1372" i="5" s="1"/>
  <c r="AC1372" i="5" s="1"/>
  <c r="R1372" i="5"/>
  <c r="Y1372" i="5" s="1"/>
  <c r="Q1372" i="5"/>
  <c r="P1372" i="5"/>
  <c r="E1372" i="5"/>
  <c r="AD1371" i="5"/>
  <c r="W1371" i="5"/>
  <c r="V1371" i="5"/>
  <c r="S1371" i="5"/>
  <c r="R1371" i="5"/>
  <c r="Y1371" i="5" s="1"/>
  <c r="Q1371" i="5"/>
  <c r="P1371" i="5"/>
  <c r="E1371" i="5"/>
  <c r="AD1370" i="5"/>
  <c r="W1370" i="5"/>
  <c r="V1370" i="5"/>
  <c r="S1370" i="5"/>
  <c r="R1370" i="5"/>
  <c r="X1370" i="5" s="1"/>
  <c r="Q1370" i="5"/>
  <c r="P1370" i="5"/>
  <c r="T1370" i="5" s="1"/>
  <c r="E1370" i="5"/>
  <c r="AD1369" i="5"/>
  <c r="W1369" i="5"/>
  <c r="V1369" i="5"/>
  <c r="T1369" i="5"/>
  <c r="S1369" i="5"/>
  <c r="R1369" i="5"/>
  <c r="Y1369" i="5" s="1"/>
  <c r="Q1369" i="5"/>
  <c r="P1369" i="5"/>
  <c r="E1369" i="5"/>
  <c r="AD1368" i="5"/>
  <c r="W1368" i="5"/>
  <c r="V1368" i="5"/>
  <c r="S1368" i="5"/>
  <c r="R1368" i="5"/>
  <c r="Y1368" i="5" s="1"/>
  <c r="Q1368" i="5"/>
  <c r="P1368" i="5"/>
  <c r="T1368" i="5" s="1"/>
  <c r="E1368" i="5"/>
  <c r="AD1367" i="5"/>
  <c r="W1367" i="5"/>
  <c r="V1367" i="5"/>
  <c r="S1367" i="5"/>
  <c r="R1367" i="5"/>
  <c r="X1367" i="5" s="1"/>
  <c r="Q1367" i="5"/>
  <c r="P1367" i="5"/>
  <c r="T1367" i="5" s="1"/>
  <c r="E1367" i="5"/>
  <c r="AD1366" i="5"/>
  <c r="W1366" i="5"/>
  <c r="V1366" i="5"/>
  <c r="T1366" i="5"/>
  <c r="S1366" i="5"/>
  <c r="R1366" i="5"/>
  <c r="Y1366" i="5" s="1"/>
  <c r="Q1366" i="5"/>
  <c r="P1366" i="5"/>
  <c r="E1366" i="5"/>
  <c r="AD1365" i="5"/>
  <c r="W1365" i="5"/>
  <c r="V1365" i="5"/>
  <c r="S1365" i="5"/>
  <c r="R1365" i="5"/>
  <c r="Y1365" i="5" s="1"/>
  <c r="Q1365" i="5"/>
  <c r="P1365" i="5"/>
  <c r="T1365" i="5" s="1"/>
  <c r="E1365" i="5"/>
  <c r="AD1364" i="5"/>
  <c r="W1364" i="5"/>
  <c r="V1364" i="5"/>
  <c r="S1364" i="5"/>
  <c r="R1364" i="5"/>
  <c r="X1364" i="5" s="1"/>
  <c r="Q1364" i="5"/>
  <c r="P1364" i="5"/>
  <c r="T1364" i="5" s="1"/>
  <c r="E1364" i="5"/>
  <c r="AD1363" i="5"/>
  <c r="W1363" i="5"/>
  <c r="V1363" i="5"/>
  <c r="T1363" i="5"/>
  <c r="S1363" i="5"/>
  <c r="R1363" i="5"/>
  <c r="Y1363" i="5" s="1"/>
  <c r="Q1363" i="5"/>
  <c r="P1363" i="5"/>
  <c r="E1363" i="5"/>
  <c r="AD1362" i="5"/>
  <c r="W1362" i="5"/>
  <c r="V1362" i="5"/>
  <c r="S1362" i="5"/>
  <c r="R1362" i="5"/>
  <c r="Y1362" i="5" s="1"/>
  <c r="Q1362" i="5"/>
  <c r="P1362" i="5"/>
  <c r="T1362" i="5" s="1"/>
  <c r="E1362" i="5"/>
  <c r="AD1361" i="5"/>
  <c r="X1361" i="5"/>
  <c r="W1361" i="5"/>
  <c r="V1361" i="5"/>
  <c r="U1361" i="5"/>
  <c r="S1361" i="5"/>
  <c r="R1361" i="5"/>
  <c r="Y1361" i="5" s="1"/>
  <c r="Q1361" i="5"/>
  <c r="P1361" i="5"/>
  <c r="E1361" i="5"/>
  <c r="AD1360" i="5"/>
  <c r="W1360" i="5"/>
  <c r="V1360" i="5"/>
  <c r="S1360" i="5"/>
  <c r="R1360" i="5"/>
  <c r="Y1360" i="5" s="1"/>
  <c r="Q1360" i="5"/>
  <c r="P1360" i="5"/>
  <c r="E1360" i="5"/>
  <c r="AD1359" i="5"/>
  <c r="W1359" i="5"/>
  <c r="V1359" i="5"/>
  <c r="S1359" i="5"/>
  <c r="R1359" i="5"/>
  <c r="X1359" i="5" s="1"/>
  <c r="Q1359" i="5"/>
  <c r="P1359" i="5"/>
  <c r="T1359" i="5" s="1"/>
  <c r="E1359" i="5"/>
  <c r="AD1358" i="5"/>
  <c r="W1358" i="5"/>
  <c r="V1358" i="5"/>
  <c r="T1358" i="5"/>
  <c r="S1358" i="5"/>
  <c r="R1358" i="5"/>
  <c r="Y1358" i="5" s="1"/>
  <c r="Q1358" i="5"/>
  <c r="P1358" i="5"/>
  <c r="E1358" i="5"/>
  <c r="AD1357" i="5"/>
  <c r="W1357" i="5"/>
  <c r="V1357" i="5"/>
  <c r="S1357" i="5"/>
  <c r="R1357" i="5"/>
  <c r="Y1357" i="5" s="1"/>
  <c r="Q1357" i="5"/>
  <c r="P1357" i="5"/>
  <c r="T1357" i="5" s="1"/>
  <c r="E1357" i="5"/>
  <c r="AD1356" i="5"/>
  <c r="X1356" i="5"/>
  <c r="W1356" i="5"/>
  <c r="V1356" i="5"/>
  <c r="U1356" i="5"/>
  <c r="S1356" i="5"/>
  <c r="R1356" i="5"/>
  <c r="Y1356" i="5" s="1"/>
  <c r="Q1356" i="5"/>
  <c r="P1356" i="5"/>
  <c r="E1356" i="5"/>
  <c r="AD1355" i="5"/>
  <c r="W1355" i="5"/>
  <c r="V1355" i="5"/>
  <c r="S1355" i="5"/>
  <c r="R1355" i="5"/>
  <c r="Y1355" i="5" s="1"/>
  <c r="Q1355" i="5"/>
  <c r="P1355" i="5"/>
  <c r="E1355" i="5"/>
  <c r="AD1354" i="5"/>
  <c r="X1354" i="5"/>
  <c r="W1354" i="5"/>
  <c r="V1354" i="5"/>
  <c r="U1354" i="5"/>
  <c r="S1354" i="5"/>
  <c r="R1354" i="5"/>
  <c r="Y1354" i="5" s="1"/>
  <c r="Q1354" i="5"/>
  <c r="P1354" i="5"/>
  <c r="E1354" i="5"/>
  <c r="AD1353" i="5"/>
  <c r="W1353" i="5"/>
  <c r="V1353" i="5"/>
  <c r="T1353" i="5"/>
  <c r="S1353" i="5"/>
  <c r="R1353" i="5"/>
  <c r="Y1353" i="5" s="1"/>
  <c r="Q1353" i="5"/>
  <c r="P1353" i="5"/>
  <c r="E1353" i="5"/>
  <c r="AD1352" i="5"/>
  <c r="Y1352" i="5"/>
  <c r="W1352" i="5"/>
  <c r="V1352" i="5"/>
  <c r="T1352" i="5"/>
  <c r="S1352" i="5"/>
  <c r="R1352" i="5"/>
  <c r="X1352" i="5" s="1"/>
  <c r="Q1352" i="5"/>
  <c r="P1352" i="5"/>
  <c r="E1352" i="5"/>
  <c r="AD1351" i="5"/>
  <c r="W1351" i="5"/>
  <c r="V1351" i="5"/>
  <c r="S1351" i="5"/>
  <c r="R1351" i="5"/>
  <c r="Y1351" i="5" s="1"/>
  <c r="Q1351" i="5"/>
  <c r="P1351" i="5"/>
  <c r="T1351" i="5" s="1"/>
  <c r="E1351" i="5"/>
  <c r="AD1350" i="5"/>
  <c r="Y1350" i="5"/>
  <c r="W1350" i="5"/>
  <c r="V1350" i="5"/>
  <c r="S1350" i="5"/>
  <c r="R1350" i="5"/>
  <c r="X1350" i="5" s="1"/>
  <c r="Q1350" i="5"/>
  <c r="P1350" i="5"/>
  <c r="T1350" i="5" s="1"/>
  <c r="E1350" i="5"/>
  <c r="AD1349" i="5"/>
  <c r="Y1349" i="5"/>
  <c r="W1349" i="5"/>
  <c r="V1349" i="5"/>
  <c r="T1349" i="5"/>
  <c r="S1349" i="5"/>
  <c r="R1349" i="5"/>
  <c r="X1349" i="5" s="1"/>
  <c r="Q1349" i="5"/>
  <c r="P1349" i="5"/>
  <c r="E1349" i="5"/>
  <c r="AD1348" i="5"/>
  <c r="W1348" i="5"/>
  <c r="V1348" i="5"/>
  <c r="S1348" i="5"/>
  <c r="R1348" i="5"/>
  <c r="Y1348" i="5" s="1"/>
  <c r="Q1348" i="5"/>
  <c r="P1348" i="5"/>
  <c r="T1348" i="5" s="1"/>
  <c r="E1348" i="5"/>
  <c r="AD1347" i="5"/>
  <c r="W1347" i="5"/>
  <c r="V1347" i="5"/>
  <c r="S1347" i="5"/>
  <c r="R1347" i="5"/>
  <c r="Y1347" i="5" s="1"/>
  <c r="Q1347" i="5"/>
  <c r="P1347" i="5"/>
  <c r="E1347" i="5"/>
  <c r="AD1346" i="5"/>
  <c r="W1346" i="5"/>
  <c r="V1346" i="5"/>
  <c r="S1346" i="5"/>
  <c r="R1346" i="5"/>
  <c r="Y1346" i="5" s="1"/>
  <c r="Q1346" i="5"/>
  <c r="P1346" i="5"/>
  <c r="T1346" i="5" s="1"/>
  <c r="E1346" i="5"/>
  <c r="AD1345" i="5"/>
  <c r="W1345" i="5"/>
  <c r="V1345" i="5"/>
  <c r="S1345" i="5"/>
  <c r="R1345" i="5"/>
  <c r="X1345" i="5" s="1"/>
  <c r="Q1345" i="5"/>
  <c r="P1345" i="5"/>
  <c r="T1345" i="5" s="1"/>
  <c r="E1345" i="5"/>
  <c r="AD1344" i="5"/>
  <c r="X1344" i="5"/>
  <c r="W1344" i="5"/>
  <c r="V1344" i="5"/>
  <c r="U1344" i="5"/>
  <c r="S1344" i="5"/>
  <c r="R1344" i="5"/>
  <c r="Y1344" i="5" s="1"/>
  <c r="Z1344" i="5" s="1"/>
  <c r="AE1344" i="5" s="1"/>
  <c r="Q1344" i="5"/>
  <c r="P1344" i="5"/>
  <c r="E1344" i="5"/>
  <c r="AD1343" i="5"/>
  <c r="X1343" i="5"/>
  <c r="U1343" i="5" s="1"/>
  <c r="W1343" i="5"/>
  <c r="V1343" i="5"/>
  <c r="S1343" i="5"/>
  <c r="R1343" i="5"/>
  <c r="Y1343" i="5" s="1"/>
  <c r="Q1343" i="5"/>
  <c r="P1343" i="5"/>
  <c r="E1343" i="5"/>
  <c r="AD1342" i="5"/>
  <c r="W1342" i="5"/>
  <c r="V1342" i="5"/>
  <c r="T1342" i="5"/>
  <c r="S1342" i="5"/>
  <c r="R1342" i="5"/>
  <c r="Y1342" i="5" s="1"/>
  <c r="Q1342" i="5"/>
  <c r="P1342" i="5"/>
  <c r="E1342" i="5"/>
  <c r="AD1341" i="5"/>
  <c r="X1341" i="5"/>
  <c r="U1341" i="5" s="1"/>
  <c r="W1341" i="5"/>
  <c r="V1341" i="5"/>
  <c r="S1341" i="5"/>
  <c r="R1341" i="5"/>
  <c r="Y1341" i="5" s="1"/>
  <c r="Q1341" i="5"/>
  <c r="P1341" i="5"/>
  <c r="E1341" i="5"/>
  <c r="AD1340" i="5"/>
  <c r="W1340" i="5"/>
  <c r="V1340" i="5"/>
  <c r="S1340" i="5"/>
  <c r="R1340" i="5"/>
  <c r="Y1340" i="5" s="1"/>
  <c r="Q1340" i="5"/>
  <c r="P1340" i="5"/>
  <c r="E1340" i="5"/>
  <c r="AD1339" i="5"/>
  <c r="X1339" i="5"/>
  <c r="U1339" i="5" s="1"/>
  <c r="W1339" i="5"/>
  <c r="V1339" i="5"/>
  <c r="S1339" i="5"/>
  <c r="R1339" i="5"/>
  <c r="Y1339" i="5" s="1"/>
  <c r="Q1339" i="5"/>
  <c r="P1339" i="5"/>
  <c r="E1339" i="5"/>
  <c r="AD1338" i="5"/>
  <c r="Y1338" i="5"/>
  <c r="W1338" i="5"/>
  <c r="V1338" i="5"/>
  <c r="S1338" i="5"/>
  <c r="R1338" i="5"/>
  <c r="X1338" i="5" s="1"/>
  <c r="Q1338" i="5"/>
  <c r="P1338" i="5"/>
  <c r="T1338" i="5" s="1"/>
  <c r="E1338" i="5"/>
  <c r="AD1337" i="5"/>
  <c r="W1337" i="5"/>
  <c r="V1337" i="5"/>
  <c r="S1337" i="5"/>
  <c r="R1337" i="5"/>
  <c r="Y1337" i="5" s="1"/>
  <c r="Q1337" i="5"/>
  <c r="P1337" i="5"/>
  <c r="E1337" i="5"/>
  <c r="AD1336" i="5"/>
  <c r="W1336" i="5"/>
  <c r="V1336" i="5"/>
  <c r="S1336" i="5"/>
  <c r="R1336" i="5"/>
  <c r="X1336" i="5" s="1"/>
  <c r="Q1336" i="5"/>
  <c r="P1336" i="5"/>
  <c r="T1336" i="5" s="1"/>
  <c r="E1336" i="5"/>
  <c r="AD1335" i="5"/>
  <c r="X1335" i="5"/>
  <c r="W1335" i="5"/>
  <c r="V1335" i="5"/>
  <c r="U1335" i="5"/>
  <c r="S1335" i="5"/>
  <c r="R1335" i="5"/>
  <c r="Y1335" i="5" s="1"/>
  <c r="Z1335" i="5" s="1"/>
  <c r="AE1335" i="5" s="1"/>
  <c r="Q1335" i="5"/>
  <c r="P1335" i="5"/>
  <c r="E1335" i="5"/>
  <c r="AD1334" i="5"/>
  <c r="X1334" i="5"/>
  <c r="U1334" i="5" s="1"/>
  <c r="Z1334" i="5" s="1"/>
  <c r="W1334" i="5"/>
  <c r="V1334" i="5"/>
  <c r="S1334" i="5"/>
  <c r="R1334" i="5"/>
  <c r="Y1334" i="5" s="1"/>
  <c r="Q1334" i="5"/>
  <c r="P1334" i="5"/>
  <c r="E1334" i="5"/>
  <c r="AD1333" i="5"/>
  <c r="W1333" i="5"/>
  <c r="V1333" i="5"/>
  <c r="T1333" i="5"/>
  <c r="S1333" i="5"/>
  <c r="R1333" i="5"/>
  <c r="Y1333" i="5" s="1"/>
  <c r="Q1333" i="5"/>
  <c r="P1333" i="5"/>
  <c r="E1333" i="5"/>
  <c r="AD1332" i="5"/>
  <c r="W1332" i="5"/>
  <c r="V1332" i="5"/>
  <c r="S1332" i="5"/>
  <c r="R1332" i="5"/>
  <c r="Y1332" i="5" s="1"/>
  <c r="Q1332" i="5"/>
  <c r="P1332" i="5"/>
  <c r="T1332" i="5" s="1"/>
  <c r="E1332" i="5"/>
  <c r="AD1331" i="5"/>
  <c r="X1331" i="5"/>
  <c r="W1331" i="5"/>
  <c r="V1331" i="5"/>
  <c r="U1331" i="5"/>
  <c r="S1331" i="5"/>
  <c r="R1331" i="5"/>
  <c r="Y1331" i="5" s="1"/>
  <c r="Q1331" i="5"/>
  <c r="P1331" i="5"/>
  <c r="E1331" i="5"/>
  <c r="AD1330" i="5"/>
  <c r="Y1330" i="5"/>
  <c r="W1330" i="5"/>
  <c r="V1330" i="5"/>
  <c r="T1330" i="5"/>
  <c r="U1330" i="5" s="1"/>
  <c r="S1330" i="5"/>
  <c r="R1330" i="5"/>
  <c r="X1330" i="5" s="1"/>
  <c r="Q1330" i="5"/>
  <c r="P1330" i="5"/>
  <c r="E1330" i="5"/>
  <c r="AD1329" i="5"/>
  <c r="X1329" i="5"/>
  <c r="U1329" i="5" s="1"/>
  <c r="W1329" i="5"/>
  <c r="V1329" i="5"/>
  <c r="S1329" i="5"/>
  <c r="R1329" i="5"/>
  <c r="Y1329" i="5" s="1"/>
  <c r="Q1329" i="5"/>
  <c r="P1329" i="5"/>
  <c r="E1329" i="5"/>
  <c r="AD1328" i="5"/>
  <c r="X1328" i="5"/>
  <c r="W1328" i="5"/>
  <c r="V1328" i="5"/>
  <c r="U1328" i="5"/>
  <c r="S1328" i="5"/>
  <c r="AA1328" i="5" s="1"/>
  <c r="AC1328" i="5" s="1"/>
  <c r="R1328" i="5"/>
  <c r="Y1328" i="5" s="1"/>
  <c r="Z1328" i="5" s="1"/>
  <c r="AE1328" i="5" s="1"/>
  <c r="Q1328" i="5"/>
  <c r="P1328" i="5"/>
  <c r="E1328" i="5"/>
  <c r="AD1327" i="5"/>
  <c r="W1327" i="5"/>
  <c r="V1327" i="5"/>
  <c r="S1327" i="5"/>
  <c r="R1327" i="5"/>
  <c r="Y1327" i="5" s="1"/>
  <c r="Q1327" i="5"/>
  <c r="P1327" i="5"/>
  <c r="T1327" i="5" s="1"/>
  <c r="E1327" i="5"/>
  <c r="AD1326" i="5"/>
  <c r="W1326" i="5"/>
  <c r="V1326" i="5"/>
  <c r="S1326" i="5"/>
  <c r="R1326" i="5"/>
  <c r="Y1326" i="5" s="1"/>
  <c r="Q1326" i="5"/>
  <c r="P1326" i="5"/>
  <c r="E1326" i="5"/>
  <c r="AD1325" i="5"/>
  <c r="X1325" i="5"/>
  <c r="U1325" i="5" s="1"/>
  <c r="Z1325" i="5" s="1"/>
  <c r="AE1325" i="5" s="1"/>
  <c r="W1325" i="5"/>
  <c r="V1325" i="5"/>
  <c r="S1325" i="5"/>
  <c r="R1325" i="5"/>
  <c r="Y1325" i="5" s="1"/>
  <c r="Q1325" i="5"/>
  <c r="P1325" i="5"/>
  <c r="E1325" i="5"/>
  <c r="AD1324" i="5"/>
  <c r="W1324" i="5"/>
  <c r="V1324" i="5"/>
  <c r="S1324" i="5"/>
  <c r="R1324" i="5"/>
  <c r="Y1324" i="5" s="1"/>
  <c r="Q1324" i="5"/>
  <c r="P1324" i="5"/>
  <c r="E1324" i="5"/>
  <c r="AD1323" i="5"/>
  <c r="W1323" i="5"/>
  <c r="V1323" i="5"/>
  <c r="S1323" i="5"/>
  <c r="R1323" i="5"/>
  <c r="Y1323" i="5" s="1"/>
  <c r="Q1323" i="5"/>
  <c r="P1323" i="5"/>
  <c r="T1323" i="5" s="1"/>
  <c r="E1323" i="5"/>
  <c r="AD1322" i="5"/>
  <c r="X1322" i="5"/>
  <c r="W1322" i="5"/>
  <c r="V1322" i="5"/>
  <c r="U1322" i="5"/>
  <c r="S1322" i="5"/>
  <c r="R1322" i="5"/>
  <c r="Y1322" i="5" s="1"/>
  <c r="Q1322" i="5"/>
  <c r="P1322" i="5"/>
  <c r="E1322" i="5"/>
  <c r="AD1321" i="5"/>
  <c r="W1321" i="5"/>
  <c r="V1321" i="5"/>
  <c r="S1321" i="5"/>
  <c r="R1321" i="5"/>
  <c r="Y1321" i="5" s="1"/>
  <c r="Q1321" i="5"/>
  <c r="P1321" i="5"/>
  <c r="E1321" i="5"/>
  <c r="AD1320" i="5"/>
  <c r="X1320" i="5"/>
  <c r="W1320" i="5"/>
  <c r="V1320" i="5"/>
  <c r="U1320" i="5"/>
  <c r="S1320" i="5"/>
  <c r="R1320" i="5"/>
  <c r="Y1320" i="5" s="1"/>
  <c r="Q1320" i="5"/>
  <c r="P1320" i="5"/>
  <c r="E1320" i="5"/>
  <c r="AD1319" i="5"/>
  <c r="W1319" i="5"/>
  <c r="V1319" i="5"/>
  <c r="S1319" i="5"/>
  <c r="R1319" i="5"/>
  <c r="Y1319" i="5" s="1"/>
  <c r="Q1319" i="5"/>
  <c r="P1319" i="5"/>
  <c r="E1319" i="5"/>
  <c r="AD1318" i="5"/>
  <c r="X1318" i="5"/>
  <c r="W1318" i="5"/>
  <c r="V1318" i="5"/>
  <c r="U1318" i="5"/>
  <c r="S1318" i="5"/>
  <c r="R1318" i="5"/>
  <c r="Y1318" i="5" s="1"/>
  <c r="Q1318" i="5"/>
  <c r="P1318" i="5"/>
  <c r="E1318" i="5"/>
  <c r="AD1317" i="5"/>
  <c r="W1317" i="5"/>
  <c r="V1317" i="5"/>
  <c r="S1317" i="5"/>
  <c r="R1317" i="5"/>
  <c r="Y1317" i="5" s="1"/>
  <c r="Q1317" i="5"/>
  <c r="P1317" i="5"/>
  <c r="E1317" i="5"/>
  <c r="AD1316" i="5"/>
  <c r="W1316" i="5"/>
  <c r="V1316" i="5"/>
  <c r="S1316" i="5"/>
  <c r="R1316" i="5"/>
  <c r="X1316" i="5" s="1"/>
  <c r="Q1316" i="5"/>
  <c r="P1316" i="5"/>
  <c r="T1316" i="5" s="1"/>
  <c r="E1316" i="5"/>
  <c r="AD1315" i="5"/>
  <c r="X1315" i="5"/>
  <c r="W1315" i="5"/>
  <c r="V1315" i="5"/>
  <c r="U1315" i="5"/>
  <c r="S1315" i="5"/>
  <c r="R1315" i="5"/>
  <c r="Y1315" i="5" s="1"/>
  <c r="Z1315" i="5" s="1"/>
  <c r="AE1315" i="5" s="1"/>
  <c r="Q1315" i="5"/>
  <c r="P1315" i="5"/>
  <c r="E1315" i="5"/>
  <c r="AD1314" i="5"/>
  <c r="W1314" i="5"/>
  <c r="V1314" i="5"/>
  <c r="S1314" i="5"/>
  <c r="R1314" i="5"/>
  <c r="Y1314" i="5" s="1"/>
  <c r="Q1314" i="5"/>
  <c r="P1314" i="5"/>
  <c r="T1314" i="5" s="1"/>
  <c r="E1314" i="5"/>
  <c r="AD1313" i="5"/>
  <c r="W1313" i="5"/>
  <c r="V1313" i="5"/>
  <c r="S1313" i="5"/>
  <c r="R1313" i="5"/>
  <c r="Y1313" i="5" s="1"/>
  <c r="Q1313" i="5"/>
  <c r="P1313" i="5"/>
  <c r="E1313" i="5"/>
  <c r="AD1312" i="5"/>
  <c r="W1312" i="5"/>
  <c r="V1312" i="5"/>
  <c r="S1312" i="5"/>
  <c r="R1312" i="5"/>
  <c r="Y1312" i="5" s="1"/>
  <c r="Q1312" i="5"/>
  <c r="P1312" i="5"/>
  <c r="T1312" i="5" s="1"/>
  <c r="E1312" i="5"/>
  <c r="AD1311" i="5"/>
  <c r="X1311" i="5"/>
  <c r="W1311" i="5"/>
  <c r="V1311" i="5"/>
  <c r="U1311" i="5"/>
  <c r="S1311" i="5"/>
  <c r="R1311" i="5"/>
  <c r="Y1311" i="5" s="1"/>
  <c r="Q1311" i="5"/>
  <c r="P1311" i="5"/>
  <c r="E1311" i="5"/>
  <c r="AD1310" i="5"/>
  <c r="W1310" i="5"/>
  <c r="V1310" i="5"/>
  <c r="S1310" i="5"/>
  <c r="R1310" i="5"/>
  <c r="Y1310" i="5" s="1"/>
  <c r="Q1310" i="5"/>
  <c r="P1310" i="5"/>
  <c r="E1310" i="5"/>
  <c r="AD1309" i="5"/>
  <c r="X1309" i="5"/>
  <c r="W1309" i="5"/>
  <c r="V1309" i="5"/>
  <c r="U1309" i="5"/>
  <c r="S1309" i="5"/>
  <c r="R1309" i="5"/>
  <c r="Y1309" i="5" s="1"/>
  <c r="Q1309" i="5"/>
  <c r="P1309" i="5"/>
  <c r="E1309" i="5"/>
  <c r="AD1308" i="5"/>
  <c r="W1308" i="5"/>
  <c r="V1308" i="5"/>
  <c r="S1308" i="5"/>
  <c r="R1308" i="5"/>
  <c r="Y1308" i="5" s="1"/>
  <c r="Q1308" i="5"/>
  <c r="P1308" i="5"/>
  <c r="E1308" i="5"/>
  <c r="AD1307" i="5"/>
  <c r="W1307" i="5"/>
  <c r="V1307" i="5"/>
  <c r="S1307" i="5"/>
  <c r="R1307" i="5"/>
  <c r="X1307" i="5" s="1"/>
  <c r="Q1307" i="5"/>
  <c r="P1307" i="5"/>
  <c r="T1307" i="5" s="1"/>
  <c r="E1307" i="5"/>
  <c r="AD1306" i="5"/>
  <c r="W1306" i="5"/>
  <c r="V1306" i="5"/>
  <c r="T1306" i="5"/>
  <c r="S1306" i="5"/>
  <c r="R1306" i="5"/>
  <c r="Y1306" i="5" s="1"/>
  <c r="Q1306" i="5"/>
  <c r="P1306" i="5"/>
  <c r="E1306" i="5"/>
  <c r="AD1305" i="5"/>
  <c r="X1305" i="5"/>
  <c r="U1305" i="5" s="1"/>
  <c r="Z1305" i="5" s="1"/>
  <c r="AE1305" i="5" s="1"/>
  <c r="W1305" i="5"/>
  <c r="V1305" i="5"/>
  <c r="S1305" i="5"/>
  <c r="R1305" i="5"/>
  <c r="Y1305" i="5" s="1"/>
  <c r="Q1305" i="5"/>
  <c r="P1305" i="5"/>
  <c r="E1305" i="5"/>
  <c r="AD1304" i="5"/>
  <c r="W1304" i="5"/>
  <c r="V1304" i="5"/>
  <c r="S1304" i="5"/>
  <c r="R1304" i="5"/>
  <c r="Y1304" i="5" s="1"/>
  <c r="Q1304" i="5"/>
  <c r="P1304" i="5"/>
  <c r="E1304" i="5"/>
  <c r="AD1303" i="5"/>
  <c r="W1303" i="5"/>
  <c r="V1303" i="5"/>
  <c r="S1303" i="5"/>
  <c r="R1303" i="5"/>
  <c r="Y1303" i="5" s="1"/>
  <c r="Q1303" i="5"/>
  <c r="P1303" i="5"/>
  <c r="T1303" i="5" s="1"/>
  <c r="E1303" i="5"/>
  <c r="AD1302" i="5"/>
  <c r="X1302" i="5"/>
  <c r="W1302" i="5"/>
  <c r="V1302" i="5"/>
  <c r="U1302" i="5"/>
  <c r="S1302" i="5"/>
  <c r="R1302" i="5"/>
  <c r="Y1302" i="5" s="1"/>
  <c r="Q1302" i="5"/>
  <c r="P1302" i="5"/>
  <c r="E1302" i="5"/>
  <c r="AD1301" i="5"/>
  <c r="W1301" i="5"/>
  <c r="V1301" i="5"/>
  <c r="S1301" i="5"/>
  <c r="R1301" i="5"/>
  <c r="Y1301" i="5" s="1"/>
  <c r="Q1301" i="5"/>
  <c r="P1301" i="5"/>
  <c r="E1301" i="5"/>
  <c r="AD1300" i="5"/>
  <c r="X1300" i="5"/>
  <c r="W1300" i="5"/>
  <c r="V1300" i="5"/>
  <c r="U1300" i="5"/>
  <c r="S1300" i="5"/>
  <c r="R1300" i="5"/>
  <c r="Y1300" i="5" s="1"/>
  <c r="Q1300" i="5"/>
  <c r="P1300" i="5"/>
  <c r="E1300" i="5"/>
  <c r="AD1299" i="5"/>
  <c r="W1299" i="5"/>
  <c r="V1299" i="5"/>
  <c r="S1299" i="5"/>
  <c r="R1299" i="5"/>
  <c r="Y1299" i="5" s="1"/>
  <c r="Q1299" i="5"/>
  <c r="P1299" i="5"/>
  <c r="E1299" i="5"/>
  <c r="AD1298" i="5"/>
  <c r="W1298" i="5"/>
  <c r="V1298" i="5"/>
  <c r="S1298" i="5"/>
  <c r="R1298" i="5"/>
  <c r="X1298" i="5" s="1"/>
  <c r="Q1298" i="5"/>
  <c r="P1298" i="5"/>
  <c r="T1298" i="5" s="1"/>
  <c r="E1298" i="5"/>
  <c r="AD1297" i="5"/>
  <c r="X1297" i="5"/>
  <c r="W1297" i="5"/>
  <c r="V1297" i="5"/>
  <c r="U1297" i="5"/>
  <c r="S1297" i="5"/>
  <c r="R1297" i="5"/>
  <c r="Y1297" i="5" s="1"/>
  <c r="Z1297" i="5" s="1"/>
  <c r="AE1297" i="5" s="1"/>
  <c r="Q1297" i="5"/>
  <c r="P1297" i="5"/>
  <c r="E1297" i="5"/>
  <c r="AD1296" i="5"/>
  <c r="X1296" i="5"/>
  <c r="U1296" i="5" s="1"/>
  <c r="W1296" i="5"/>
  <c r="V1296" i="5"/>
  <c r="S1296" i="5"/>
  <c r="R1296" i="5"/>
  <c r="Y1296" i="5" s="1"/>
  <c r="Q1296" i="5"/>
  <c r="P1296" i="5"/>
  <c r="E1296" i="5"/>
  <c r="AD1295" i="5"/>
  <c r="X1295" i="5"/>
  <c r="W1295" i="5"/>
  <c r="V1295" i="5"/>
  <c r="U1295" i="5"/>
  <c r="S1295" i="5"/>
  <c r="AA1295" i="5" s="1"/>
  <c r="AC1295" i="5" s="1"/>
  <c r="R1295" i="5"/>
  <c r="Y1295" i="5" s="1"/>
  <c r="Z1295" i="5" s="1"/>
  <c r="AE1295" i="5" s="1"/>
  <c r="Q1295" i="5"/>
  <c r="P1295" i="5"/>
  <c r="E1295" i="5"/>
  <c r="AD1294" i="5"/>
  <c r="X1294" i="5"/>
  <c r="U1294" i="5" s="1"/>
  <c r="W1294" i="5"/>
  <c r="V1294" i="5"/>
  <c r="S1294" i="5"/>
  <c r="R1294" i="5"/>
  <c r="Y1294" i="5" s="1"/>
  <c r="Q1294" i="5"/>
  <c r="P1294" i="5"/>
  <c r="E1294" i="5"/>
  <c r="AD1293" i="5"/>
  <c r="X1293" i="5"/>
  <c r="W1293" i="5"/>
  <c r="V1293" i="5"/>
  <c r="U1293" i="5"/>
  <c r="S1293" i="5"/>
  <c r="R1293" i="5"/>
  <c r="Y1293" i="5" s="1"/>
  <c r="Z1293" i="5" s="1"/>
  <c r="AE1293" i="5" s="1"/>
  <c r="Q1293" i="5"/>
  <c r="P1293" i="5"/>
  <c r="E1293" i="5"/>
  <c r="AD1292" i="5"/>
  <c r="X1292" i="5"/>
  <c r="U1292" i="5" s="1"/>
  <c r="Z1292" i="5" s="1"/>
  <c r="W1292" i="5"/>
  <c r="V1292" i="5"/>
  <c r="S1292" i="5"/>
  <c r="R1292" i="5"/>
  <c r="Y1292" i="5" s="1"/>
  <c r="Q1292" i="5"/>
  <c r="P1292" i="5"/>
  <c r="E1292" i="5"/>
  <c r="AD1291" i="5"/>
  <c r="X1291" i="5"/>
  <c r="W1291" i="5"/>
  <c r="V1291" i="5"/>
  <c r="U1291" i="5"/>
  <c r="S1291" i="5"/>
  <c r="AA1291" i="5" s="1"/>
  <c r="AC1291" i="5" s="1"/>
  <c r="R1291" i="5"/>
  <c r="Y1291" i="5" s="1"/>
  <c r="Z1291" i="5" s="1"/>
  <c r="AE1291" i="5" s="1"/>
  <c r="Q1291" i="5"/>
  <c r="P1291" i="5"/>
  <c r="E1291" i="5"/>
  <c r="AD1290" i="5"/>
  <c r="X1290" i="5"/>
  <c r="U1290" i="5" s="1"/>
  <c r="Z1290" i="5" s="1"/>
  <c r="W1290" i="5"/>
  <c r="V1290" i="5"/>
  <c r="S1290" i="5"/>
  <c r="R1290" i="5"/>
  <c r="Y1290" i="5" s="1"/>
  <c r="Q1290" i="5"/>
  <c r="P1290" i="5"/>
  <c r="E1290" i="5"/>
  <c r="AD1289" i="5"/>
  <c r="X1289" i="5"/>
  <c r="W1289" i="5"/>
  <c r="V1289" i="5"/>
  <c r="U1289" i="5"/>
  <c r="S1289" i="5"/>
  <c r="R1289" i="5"/>
  <c r="Y1289" i="5" s="1"/>
  <c r="Z1289" i="5" s="1"/>
  <c r="AE1289" i="5" s="1"/>
  <c r="Q1289" i="5"/>
  <c r="P1289" i="5"/>
  <c r="E1289" i="5"/>
  <c r="AD1288" i="5"/>
  <c r="X1288" i="5"/>
  <c r="U1288" i="5" s="1"/>
  <c r="Z1288" i="5" s="1"/>
  <c r="W1288" i="5"/>
  <c r="V1288" i="5"/>
  <c r="S1288" i="5"/>
  <c r="R1288" i="5"/>
  <c r="Y1288" i="5" s="1"/>
  <c r="Q1288" i="5"/>
  <c r="P1288" i="5"/>
  <c r="E1288" i="5"/>
  <c r="AD1287" i="5"/>
  <c r="X1287" i="5"/>
  <c r="W1287" i="5"/>
  <c r="V1287" i="5"/>
  <c r="U1287" i="5"/>
  <c r="S1287" i="5"/>
  <c r="AA1287" i="5" s="1"/>
  <c r="AC1287" i="5" s="1"/>
  <c r="R1287" i="5"/>
  <c r="Y1287" i="5" s="1"/>
  <c r="Z1287" i="5" s="1"/>
  <c r="AE1287" i="5" s="1"/>
  <c r="Q1287" i="5"/>
  <c r="P1287" i="5"/>
  <c r="E1287" i="5"/>
  <c r="AD1286" i="5"/>
  <c r="W1286" i="5"/>
  <c r="V1286" i="5"/>
  <c r="S1286" i="5"/>
  <c r="R1286" i="5"/>
  <c r="Y1286" i="5" s="1"/>
  <c r="Q1286" i="5"/>
  <c r="P1286" i="5"/>
  <c r="T1286" i="5" s="1"/>
  <c r="E1286" i="5"/>
  <c r="AD1285" i="5"/>
  <c r="Y1285" i="5"/>
  <c r="W1285" i="5"/>
  <c r="V1285" i="5"/>
  <c r="T1285" i="5"/>
  <c r="Z1285" i="5" s="1"/>
  <c r="S1285" i="5"/>
  <c r="R1285" i="5"/>
  <c r="X1285" i="5" s="1"/>
  <c r="U1285" i="5" s="1"/>
  <c r="Q1285" i="5"/>
  <c r="P1285" i="5"/>
  <c r="E1285" i="5"/>
  <c r="AD1284" i="5"/>
  <c r="Y1284" i="5"/>
  <c r="W1284" i="5"/>
  <c r="V1284" i="5"/>
  <c r="T1284" i="5"/>
  <c r="S1284" i="5"/>
  <c r="R1284" i="5"/>
  <c r="X1284" i="5" s="1"/>
  <c r="Q1284" i="5"/>
  <c r="P1284" i="5"/>
  <c r="E1284" i="5"/>
  <c r="AD1283" i="5"/>
  <c r="X1283" i="5"/>
  <c r="U1283" i="5" s="1"/>
  <c r="Z1283" i="5" s="1"/>
  <c r="W1283" i="5"/>
  <c r="V1283" i="5"/>
  <c r="S1283" i="5"/>
  <c r="R1283" i="5"/>
  <c r="Y1283" i="5" s="1"/>
  <c r="Q1283" i="5"/>
  <c r="P1283" i="5"/>
  <c r="E1283" i="5"/>
  <c r="AD1282" i="5"/>
  <c r="X1282" i="5"/>
  <c r="W1282" i="5"/>
  <c r="V1282" i="5"/>
  <c r="U1282" i="5"/>
  <c r="S1282" i="5"/>
  <c r="R1282" i="5"/>
  <c r="Y1282" i="5" s="1"/>
  <c r="Z1282" i="5" s="1"/>
  <c r="AE1282" i="5" s="1"/>
  <c r="Q1282" i="5"/>
  <c r="P1282" i="5"/>
  <c r="E1282" i="5"/>
  <c r="AD1281" i="5"/>
  <c r="X1281" i="5"/>
  <c r="U1281" i="5" s="1"/>
  <c r="Z1281" i="5" s="1"/>
  <c r="W1281" i="5"/>
  <c r="V1281" i="5"/>
  <c r="S1281" i="5"/>
  <c r="R1281" i="5"/>
  <c r="Y1281" i="5" s="1"/>
  <c r="Q1281" i="5"/>
  <c r="P1281" i="5"/>
  <c r="E1281" i="5"/>
  <c r="AD1280" i="5"/>
  <c r="W1280" i="5"/>
  <c r="V1280" i="5"/>
  <c r="T1280" i="5"/>
  <c r="S1280" i="5"/>
  <c r="R1280" i="5"/>
  <c r="Y1280" i="5" s="1"/>
  <c r="Q1280" i="5"/>
  <c r="P1280" i="5"/>
  <c r="E1280" i="5"/>
  <c r="AD1279" i="5"/>
  <c r="X1279" i="5"/>
  <c r="U1279" i="5" s="1"/>
  <c r="Z1279" i="5" s="1"/>
  <c r="AE1279" i="5" s="1"/>
  <c r="W1279" i="5"/>
  <c r="V1279" i="5"/>
  <c r="S1279" i="5"/>
  <c r="AA1279" i="5" s="1"/>
  <c r="AC1279" i="5" s="1"/>
  <c r="R1279" i="5"/>
  <c r="Y1279" i="5" s="1"/>
  <c r="Q1279" i="5"/>
  <c r="P1279" i="5"/>
  <c r="E1279" i="5"/>
  <c r="AD1278" i="5"/>
  <c r="W1278" i="5"/>
  <c r="V1278" i="5"/>
  <c r="S1278" i="5"/>
  <c r="R1278" i="5"/>
  <c r="Y1278" i="5" s="1"/>
  <c r="Q1278" i="5"/>
  <c r="P1278" i="5"/>
  <c r="E1278" i="5"/>
  <c r="AD1277" i="5"/>
  <c r="W1277" i="5"/>
  <c r="V1277" i="5"/>
  <c r="S1277" i="5"/>
  <c r="R1277" i="5"/>
  <c r="Y1277" i="5" s="1"/>
  <c r="Q1277" i="5"/>
  <c r="P1277" i="5"/>
  <c r="T1277" i="5" s="1"/>
  <c r="E1277" i="5"/>
  <c r="AD1276" i="5"/>
  <c r="X1276" i="5"/>
  <c r="W1276" i="5"/>
  <c r="V1276" i="5"/>
  <c r="U1276" i="5"/>
  <c r="S1276" i="5"/>
  <c r="R1276" i="5"/>
  <c r="Y1276" i="5" s="1"/>
  <c r="Q1276" i="5"/>
  <c r="P1276" i="5"/>
  <c r="E1276" i="5"/>
  <c r="AD1275" i="5"/>
  <c r="W1275" i="5"/>
  <c r="V1275" i="5"/>
  <c r="S1275" i="5"/>
  <c r="R1275" i="5"/>
  <c r="Y1275" i="5" s="1"/>
  <c r="Q1275" i="5"/>
  <c r="P1275" i="5"/>
  <c r="E1275" i="5"/>
  <c r="AD1274" i="5"/>
  <c r="X1274" i="5"/>
  <c r="W1274" i="5"/>
  <c r="V1274" i="5"/>
  <c r="U1274" i="5"/>
  <c r="S1274" i="5"/>
  <c r="R1274" i="5"/>
  <c r="Y1274" i="5" s="1"/>
  <c r="Q1274" i="5"/>
  <c r="P1274" i="5"/>
  <c r="E1274" i="5"/>
  <c r="AD1273" i="5"/>
  <c r="W1273" i="5"/>
  <c r="V1273" i="5"/>
  <c r="S1273" i="5"/>
  <c r="R1273" i="5"/>
  <c r="Y1273" i="5" s="1"/>
  <c r="Q1273" i="5"/>
  <c r="P1273" i="5"/>
  <c r="E1273" i="5"/>
  <c r="AD1272" i="5"/>
  <c r="X1272" i="5"/>
  <c r="W1272" i="5"/>
  <c r="V1272" i="5"/>
  <c r="U1272" i="5"/>
  <c r="S1272" i="5"/>
  <c r="R1272" i="5"/>
  <c r="Y1272" i="5" s="1"/>
  <c r="Q1272" i="5"/>
  <c r="P1272" i="5"/>
  <c r="E1272" i="5"/>
  <c r="AD1271" i="5"/>
  <c r="Y1271" i="5"/>
  <c r="W1271" i="5"/>
  <c r="V1271" i="5"/>
  <c r="S1271" i="5"/>
  <c r="R1271" i="5"/>
  <c r="X1271" i="5" s="1"/>
  <c r="Q1271" i="5"/>
  <c r="T1271" i="5" s="1"/>
  <c r="P1271" i="5"/>
  <c r="E1271" i="5"/>
  <c r="AD1270" i="5"/>
  <c r="W1270" i="5"/>
  <c r="V1270" i="5"/>
  <c r="S1270" i="5"/>
  <c r="R1270" i="5"/>
  <c r="Y1270" i="5" s="1"/>
  <c r="Q1270" i="5"/>
  <c r="P1270" i="5"/>
  <c r="T1270" i="5" s="1"/>
  <c r="E1270" i="5"/>
  <c r="AD1269" i="5"/>
  <c r="Y1269" i="5"/>
  <c r="W1269" i="5"/>
  <c r="V1269" i="5"/>
  <c r="S1269" i="5"/>
  <c r="R1269" i="5"/>
  <c r="X1269" i="5" s="1"/>
  <c r="Q1269" i="5"/>
  <c r="P1269" i="5"/>
  <c r="T1269" i="5" s="1"/>
  <c r="E1269" i="5"/>
  <c r="AD1268" i="5"/>
  <c r="Y1268" i="5"/>
  <c r="W1268" i="5"/>
  <c r="V1268" i="5"/>
  <c r="S1268" i="5"/>
  <c r="R1268" i="5"/>
  <c r="X1268" i="5" s="1"/>
  <c r="Q1268" i="5"/>
  <c r="T1268" i="5" s="1"/>
  <c r="P1268" i="5"/>
  <c r="E1268" i="5"/>
  <c r="AD1267" i="5"/>
  <c r="W1267" i="5"/>
  <c r="V1267" i="5"/>
  <c r="S1267" i="5"/>
  <c r="R1267" i="5"/>
  <c r="Y1267" i="5" s="1"/>
  <c r="Q1267" i="5"/>
  <c r="P1267" i="5"/>
  <c r="T1267" i="5" s="1"/>
  <c r="E1267" i="5"/>
  <c r="AD1266" i="5"/>
  <c r="Y1266" i="5"/>
  <c r="W1266" i="5"/>
  <c r="V1266" i="5"/>
  <c r="S1266" i="5"/>
  <c r="R1266" i="5"/>
  <c r="X1266" i="5" s="1"/>
  <c r="Q1266" i="5"/>
  <c r="P1266" i="5"/>
  <c r="T1266" i="5" s="1"/>
  <c r="E1266" i="5"/>
  <c r="AD1265" i="5"/>
  <c r="W1265" i="5"/>
  <c r="V1265" i="5"/>
  <c r="S1265" i="5"/>
  <c r="R1265" i="5"/>
  <c r="Y1265" i="5" s="1"/>
  <c r="Q1265" i="5"/>
  <c r="P1265" i="5"/>
  <c r="E1265" i="5"/>
  <c r="AD1264" i="5"/>
  <c r="W1264" i="5"/>
  <c r="V1264" i="5"/>
  <c r="S1264" i="5"/>
  <c r="R1264" i="5"/>
  <c r="X1264" i="5" s="1"/>
  <c r="Q1264" i="5"/>
  <c r="P1264" i="5"/>
  <c r="T1264" i="5" s="1"/>
  <c r="E1264" i="5"/>
  <c r="AD1263" i="5"/>
  <c r="W1263" i="5"/>
  <c r="V1263" i="5"/>
  <c r="T1263" i="5"/>
  <c r="S1263" i="5"/>
  <c r="R1263" i="5"/>
  <c r="Y1263" i="5" s="1"/>
  <c r="Q1263" i="5"/>
  <c r="P1263" i="5"/>
  <c r="E1263" i="5"/>
  <c r="AD1262" i="5"/>
  <c r="W1262" i="5"/>
  <c r="V1262" i="5"/>
  <c r="S1262" i="5"/>
  <c r="R1262" i="5"/>
  <c r="Y1262" i="5" s="1"/>
  <c r="Q1262" i="5"/>
  <c r="P1262" i="5"/>
  <c r="T1262" i="5" s="1"/>
  <c r="E1262" i="5"/>
  <c r="AD1261" i="5"/>
  <c r="X1261" i="5"/>
  <c r="W1261" i="5"/>
  <c r="V1261" i="5"/>
  <c r="U1261" i="5"/>
  <c r="S1261" i="5"/>
  <c r="R1261" i="5"/>
  <c r="Y1261" i="5" s="1"/>
  <c r="Q1261" i="5"/>
  <c r="P1261" i="5"/>
  <c r="E1261" i="5"/>
  <c r="AD1260" i="5"/>
  <c r="W1260" i="5"/>
  <c r="V1260" i="5"/>
  <c r="S1260" i="5"/>
  <c r="R1260" i="5"/>
  <c r="Y1260" i="5" s="1"/>
  <c r="Q1260" i="5"/>
  <c r="P1260" i="5"/>
  <c r="E1260" i="5"/>
  <c r="AD1259" i="5"/>
  <c r="W1259" i="5"/>
  <c r="V1259" i="5"/>
  <c r="S1259" i="5"/>
  <c r="R1259" i="5"/>
  <c r="X1259" i="5" s="1"/>
  <c r="Q1259" i="5"/>
  <c r="P1259" i="5"/>
  <c r="T1259" i="5" s="1"/>
  <c r="E1259" i="5"/>
  <c r="AD1258" i="5"/>
  <c r="W1258" i="5"/>
  <c r="V1258" i="5"/>
  <c r="T1258" i="5"/>
  <c r="S1258" i="5"/>
  <c r="R1258" i="5"/>
  <c r="Y1258" i="5" s="1"/>
  <c r="Q1258" i="5"/>
  <c r="P1258" i="5"/>
  <c r="E1258" i="5"/>
  <c r="AD1257" i="5"/>
  <c r="W1257" i="5"/>
  <c r="V1257" i="5"/>
  <c r="S1257" i="5"/>
  <c r="R1257" i="5"/>
  <c r="Y1257" i="5" s="1"/>
  <c r="Q1257" i="5"/>
  <c r="P1257" i="5"/>
  <c r="T1257" i="5" s="1"/>
  <c r="E1257" i="5"/>
  <c r="AD1256" i="5"/>
  <c r="W1256" i="5"/>
  <c r="V1256" i="5"/>
  <c r="S1256" i="5"/>
  <c r="R1256" i="5"/>
  <c r="X1256" i="5" s="1"/>
  <c r="Q1256" i="5"/>
  <c r="P1256" i="5"/>
  <c r="T1256" i="5" s="1"/>
  <c r="E1256" i="5"/>
  <c r="AD1255" i="5"/>
  <c r="W1255" i="5"/>
  <c r="V1255" i="5"/>
  <c r="T1255" i="5"/>
  <c r="S1255" i="5"/>
  <c r="R1255" i="5"/>
  <c r="Y1255" i="5" s="1"/>
  <c r="Q1255" i="5"/>
  <c r="P1255" i="5"/>
  <c r="E1255" i="5"/>
  <c r="AD1254" i="5"/>
  <c r="W1254" i="5"/>
  <c r="V1254" i="5"/>
  <c r="S1254" i="5"/>
  <c r="R1254" i="5"/>
  <c r="Y1254" i="5" s="1"/>
  <c r="Q1254" i="5"/>
  <c r="P1254" i="5"/>
  <c r="T1254" i="5" s="1"/>
  <c r="E1254" i="5"/>
  <c r="AD1253" i="5"/>
  <c r="X1253" i="5"/>
  <c r="W1253" i="5"/>
  <c r="V1253" i="5"/>
  <c r="U1253" i="5"/>
  <c r="S1253" i="5"/>
  <c r="R1253" i="5"/>
  <c r="Y1253" i="5" s="1"/>
  <c r="Q1253" i="5"/>
  <c r="P1253" i="5"/>
  <c r="E1253" i="5"/>
  <c r="AD1252" i="5"/>
  <c r="W1252" i="5"/>
  <c r="V1252" i="5"/>
  <c r="S1252" i="5"/>
  <c r="R1252" i="5"/>
  <c r="Y1252" i="5" s="1"/>
  <c r="Q1252" i="5"/>
  <c r="P1252" i="5"/>
  <c r="E1252" i="5"/>
  <c r="AD1251" i="5"/>
  <c r="X1251" i="5"/>
  <c r="W1251" i="5"/>
  <c r="V1251" i="5"/>
  <c r="U1251" i="5"/>
  <c r="S1251" i="5"/>
  <c r="R1251" i="5"/>
  <c r="Y1251" i="5" s="1"/>
  <c r="Q1251" i="5"/>
  <c r="P1251" i="5"/>
  <c r="E1251" i="5"/>
  <c r="AD1250" i="5"/>
  <c r="W1250" i="5"/>
  <c r="V1250" i="5"/>
  <c r="S1250" i="5"/>
  <c r="R1250" i="5"/>
  <c r="Y1250" i="5" s="1"/>
  <c r="Q1250" i="5"/>
  <c r="P1250" i="5"/>
  <c r="E1250" i="5"/>
  <c r="AD1249" i="5"/>
  <c r="W1249" i="5"/>
  <c r="V1249" i="5"/>
  <c r="S1249" i="5"/>
  <c r="R1249" i="5"/>
  <c r="X1249" i="5" s="1"/>
  <c r="Q1249" i="5"/>
  <c r="P1249" i="5"/>
  <c r="T1249" i="5" s="1"/>
  <c r="E1249" i="5"/>
  <c r="AD1248" i="5"/>
  <c r="W1248" i="5"/>
  <c r="V1248" i="5"/>
  <c r="T1248" i="5"/>
  <c r="S1248" i="5"/>
  <c r="R1248" i="5"/>
  <c r="Y1248" i="5" s="1"/>
  <c r="Q1248" i="5"/>
  <c r="P1248" i="5"/>
  <c r="E1248" i="5"/>
  <c r="AD1247" i="5"/>
  <c r="W1247" i="5"/>
  <c r="V1247" i="5"/>
  <c r="S1247" i="5"/>
  <c r="R1247" i="5"/>
  <c r="Y1247" i="5" s="1"/>
  <c r="Q1247" i="5"/>
  <c r="P1247" i="5"/>
  <c r="T1247" i="5" s="1"/>
  <c r="E1247" i="5"/>
  <c r="AD1246" i="5"/>
  <c r="W1246" i="5"/>
  <c r="V1246" i="5"/>
  <c r="S1246" i="5"/>
  <c r="R1246" i="5"/>
  <c r="X1246" i="5" s="1"/>
  <c r="Q1246" i="5"/>
  <c r="P1246" i="5"/>
  <c r="T1246" i="5" s="1"/>
  <c r="E1246" i="5"/>
  <c r="AD1245" i="5"/>
  <c r="X1245" i="5"/>
  <c r="U1245" i="5" s="1"/>
  <c r="Z1245" i="5" s="1"/>
  <c r="AE1245" i="5" s="1"/>
  <c r="W1245" i="5"/>
  <c r="V1245" i="5"/>
  <c r="S1245" i="5"/>
  <c r="R1245" i="5"/>
  <c r="Y1245" i="5" s="1"/>
  <c r="Q1245" i="5"/>
  <c r="P1245" i="5"/>
  <c r="E1245" i="5"/>
  <c r="AD1244" i="5"/>
  <c r="X1244" i="5"/>
  <c r="W1244" i="5"/>
  <c r="V1244" i="5"/>
  <c r="U1244" i="5"/>
  <c r="S1244" i="5"/>
  <c r="R1244" i="5"/>
  <c r="Y1244" i="5" s="1"/>
  <c r="Q1244" i="5"/>
  <c r="P1244" i="5"/>
  <c r="E1244" i="5"/>
  <c r="AD1243" i="5"/>
  <c r="W1243" i="5"/>
  <c r="V1243" i="5"/>
  <c r="T1243" i="5"/>
  <c r="S1243" i="5"/>
  <c r="R1243" i="5"/>
  <c r="Y1243" i="5" s="1"/>
  <c r="Q1243" i="5"/>
  <c r="P1243" i="5"/>
  <c r="E1243" i="5"/>
  <c r="AD1242" i="5"/>
  <c r="X1242" i="5"/>
  <c r="U1242" i="5" s="1"/>
  <c r="W1242" i="5"/>
  <c r="V1242" i="5"/>
  <c r="S1242" i="5"/>
  <c r="R1242" i="5"/>
  <c r="Y1242" i="5" s="1"/>
  <c r="Q1242" i="5"/>
  <c r="P1242" i="5"/>
  <c r="E1242" i="5"/>
  <c r="AD1241" i="5"/>
  <c r="W1241" i="5"/>
  <c r="V1241" i="5"/>
  <c r="S1241" i="5"/>
  <c r="R1241" i="5"/>
  <c r="Y1241" i="5" s="1"/>
  <c r="Q1241" i="5"/>
  <c r="P1241" i="5"/>
  <c r="E1241" i="5"/>
  <c r="AD1240" i="5"/>
  <c r="W1240" i="5"/>
  <c r="V1240" i="5"/>
  <c r="S1240" i="5"/>
  <c r="R1240" i="5"/>
  <c r="Y1240" i="5" s="1"/>
  <c r="Q1240" i="5"/>
  <c r="P1240" i="5"/>
  <c r="T1240" i="5" s="1"/>
  <c r="E1240" i="5"/>
  <c r="AD1239" i="5"/>
  <c r="X1239" i="5"/>
  <c r="W1239" i="5"/>
  <c r="V1239" i="5"/>
  <c r="Z1239" i="5" s="1"/>
  <c r="AE1239" i="5" s="1"/>
  <c r="U1239" i="5"/>
  <c r="S1239" i="5"/>
  <c r="R1239" i="5"/>
  <c r="Y1239" i="5" s="1"/>
  <c r="Q1239" i="5"/>
  <c r="P1239" i="5"/>
  <c r="E1239" i="5"/>
  <c r="AD1238" i="5"/>
  <c r="W1238" i="5"/>
  <c r="V1238" i="5"/>
  <c r="S1238" i="5"/>
  <c r="R1238" i="5"/>
  <c r="X1238" i="5" s="1"/>
  <c r="U1238" i="5" s="1"/>
  <c r="Q1238" i="5"/>
  <c r="P1238" i="5"/>
  <c r="E1238" i="5"/>
  <c r="AD1237" i="5"/>
  <c r="W1237" i="5"/>
  <c r="V1237" i="5"/>
  <c r="S1237" i="5"/>
  <c r="R1237" i="5"/>
  <c r="X1237" i="5" s="1"/>
  <c r="Q1237" i="5"/>
  <c r="P1237" i="5"/>
  <c r="T1237" i="5" s="1"/>
  <c r="E1237" i="5"/>
  <c r="AD1236" i="5"/>
  <c r="X1236" i="5"/>
  <c r="U1236" i="5" s="1"/>
  <c r="Z1236" i="5" s="1"/>
  <c r="AE1236" i="5" s="1"/>
  <c r="W1236" i="5"/>
  <c r="V1236" i="5"/>
  <c r="S1236" i="5"/>
  <c r="R1236" i="5"/>
  <c r="Y1236" i="5" s="1"/>
  <c r="Q1236" i="5"/>
  <c r="P1236" i="5"/>
  <c r="E1236" i="5"/>
  <c r="AD1235" i="5"/>
  <c r="W1235" i="5"/>
  <c r="V1235" i="5"/>
  <c r="S1235" i="5"/>
  <c r="R1235" i="5"/>
  <c r="Y1235" i="5" s="1"/>
  <c r="Q1235" i="5"/>
  <c r="P1235" i="5"/>
  <c r="T1235" i="5" s="1"/>
  <c r="E1235" i="5"/>
  <c r="AD1234" i="5"/>
  <c r="W1234" i="5"/>
  <c r="V1234" i="5"/>
  <c r="S1234" i="5"/>
  <c r="R1234" i="5"/>
  <c r="Y1234" i="5" s="1"/>
  <c r="Q1234" i="5"/>
  <c r="P1234" i="5"/>
  <c r="E1234" i="5"/>
  <c r="AD1233" i="5"/>
  <c r="X1233" i="5"/>
  <c r="U1233" i="5" s="1"/>
  <c r="Z1233" i="5" s="1"/>
  <c r="AE1233" i="5" s="1"/>
  <c r="W1233" i="5"/>
  <c r="V1233" i="5"/>
  <c r="S1233" i="5"/>
  <c r="R1233" i="5"/>
  <c r="Y1233" i="5" s="1"/>
  <c r="Q1233" i="5"/>
  <c r="P1233" i="5"/>
  <c r="E1233" i="5"/>
  <c r="AD1232" i="5"/>
  <c r="W1232" i="5"/>
  <c r="V1232" i="5"/>
  <c r="S1232" i="5"/>
  <c r="R1232" i="5"/>
  <c r="Y1232" i="5" s="1"/>
  <c r="Q1232" i="5"/>
  <c r="P1232" i="5"/>
  <c r="E1232" i="5"/>
  <c r="AD1231" i="5"/>
  <c r="X1231" i="5"/>
  <c r="U1231" i="5" s="1"/>
  <c r="W1231" i="5"/>
  <c r="V1231" i="5"/>
  <c r="S1231" i="5"/>
  <c r="R1231" i="5"/>
  <c r="Y1231" i="5" s="1"/>
  <c r="Q1231" i="5"/>
  <c r="P1231" i="5"/>
  <c r="E1231" i="5"/>
  <c r="AD1230" i="5"/>
  <c r="W1230" i="5"/>
  <c r="V1230" i="5"/>
  <c r="S1230" i="5"/>
  <c r="R1230" i="5"/>
  <c r="Y1230" i="5" s="1"/>
  <c r="Q1230" i="5"/>
  <c r="P1230" i="5"/>
  <c r="E1230" i="5"/>
  <c r="AD1229" i="5"/>
  <c r="X1229" i="5"/>
  <c r="U1229" i="5" s="1"/>
  <c r="Z1229" i="5" s="1"/>
  <c r="AE1229" i="5" s="1"/>
  <c r="W1229" i="5"/>
  <c r="V1229" i="5"/>
  <c r="S1229" i="5"/>
  <c r="R1229" i="5"/>
  <c r="Y1229" i="5" s="1"/>
  <c r="Q1229" i="5"/>
  <c r="P1229" i="5"/>
  <c r="E1229" i="5"/>
  <c r="AD1228" i="5"/>
  <c r="W1228" i="5"/>
  <c r="V1228" i="5"/>
  <c r="S1228" i="5"/>
  <c r="R1228" i="5"/>
  <c r="Y1228" i="5" s="1"/>
  <c r="Q1228" i="5"/>
  <c r="P1228" i="5"/>
  <c r="E1228" i="5"/>
  <c r="AD1227" i="5"/>
  <c r="X1227" i="5"/>
  <c r="U1227" i="5" s="1"/>
  <c r="Z1227" i="5" s="1"/>
  <c r="AE1227" i="5" s="1"/>
  <c r="W1227" i="5"/>
  <c r="V1227" i="5"/>
  <c r="S1227" i="5"/>
  <c r="R1227" i="5"/>
  <c r="Y1227" i="5" s="1"/>
  <c r="Q1227" i="5"/>
  <c r="P1227" i="5"/>
  <c r="E1227" i="5"/>
  <c r="AD1226" i="5"/>
  <c r="W1226" i="5"/>
  <c r="V1226" i="5"/>
  <c r="S1226" i="5"/>
  <c r="R1226" i="5"/>
  <c r="Q1226" i="5"/>
  <c r="P1226" i="5"/>
  <c r="E1226" i="5"/>
  <c r="AD1225" i="5"/>
  <c r="X1225" i="5"/>
  <c r="W1225" i="5"/>
  <c r="V1225" i="5"/>
  <c r="S1225" i="5"/>
  <c r="R1225" i="5"/>
  <c r="Y1225" i="5" s="1"/>
  <c r="Q1225" i="5"/>
  <c r="P1225" i="5"/>
  <c r="T1225" i="5" s="1"/>
  <c r="E1225" i="5"/>
  <c r="AD1224" i="5"/>
  <c r="X1224" i="5"/>
  <c r="W1224" i="5"/>
  <c r="V1224" i="5"/>
  <c r="Z1224" i="5" s="1"/>
  <c r="AE1224" i="5" s="1"/>
  <c r="U1224" i="5"/>
  <c r="S1224" i="5"/>
  <c r="R1224" i="5"/>
  <c r="Y1224" i="5" s="1"/>
  <c r="Q1224" i="5"/>
  <c r="P1224" i="5"/>
  <c r="E1224" i="5"/>
  <c r="AD1223" i="5"/>
  <c r="Y1223" i="5"/>
  <c r="W1223" i="5"/>
  <c r="V1223" i="5"/>
  <c r="T1223" i="5"/>
  <c r="U1223" i="5" s="1"/>
  <c r="S1223" i="5"/>
  <c r="R1223" i="5"/>
  <c r="X1223" i="5" s="1"/>
  <c r="Q1223" i="5"/>
  <c r="P1223" i="5"/>
  <c r="E1223" i="5"/>
  <c r="AD1222" i="5"/>
  <c r="X1222" i="5"/>
  <c r="W1222" i="5"/>
  <c r="V1222" i="5"/>
  <c r="U1222" i="5"/>
  <c r="Z1222" i="5" s="1"/>
  <c r="AE1222" i="5" s="1"/>
  <c r="S1222" i="5"/>
  <c r="R1222" i="5"/>
  <c r="Y1222" i="5" s="1"/>
  <c r="Q1222" i="5"/>
  <c r="P1222" i="5"/>
  <c r="E1222" i="5"/>
  <c r="AD1221" i="5"/>
  <c r="W1221" i="5"/>
  <c r="V1221" i="5"/>
  <c r="T1221" i="5"/>
  <c r="S1221" i="5"/>
  <c r="R1221" i="5"/>
  <c r="Y1221" i="5" s="1"/>
  <c r="Q1221" i="5"/>
  <c r="P1221" i="5"/>
  <c r="E1221" i="5"/>
  <c r="AD1220" i="5"/>
  <c r="Y1220" i="5"/>
  <c r="X1220" i="5"/>
  <c r="U1220" i="5" s="1"/>
  <c r="Z1220" i="5" s="1"/>
  <c r="AE1220" i="5" s="1"/>
  <c r="W1220" i="5"/>
  <c r="V1220" i="5"/>
  <c r="S1220" i="5"/>
  <c r="R1220" i="5"/>
  <c r="Q1220" i="5"/>
  <c r="P1220" i="5"/>
  <c r="E1220" i="5"/>
  <c r="AD1219" i="5"/>
  <c r="AB1219" i="5"/>
  <c r="W1219" i="5"/>
  <c r="V1219" i="5"/>
  <c r="S1219" i="5"/>
  <c r="R1219" i="5"/>
  <c r="X1219" i="5" s="1"/>
  <c r="Q1219" i="5"/>
  <c r="P1219" i="5"/>
  <c r="T1219" i="5" s="1"/>
  <c r="E1219" i="5"/>
  <c r="AD1218" i="5"/>
  <c r="W1218" i="5"/>
  <c r="V1218" i="5"/>
  <c r="T1218" i="5"/>
  <c r="S1218" i="5"/>
  <c r="R1218" i="5"/>
  <c r="Y1218" i="5" s="1"/>
  <c r="Q1218" i="5"/>
  <c r="P1218" i="5"/>
  <c r="E1218" i="5"/>
  <c r="AD1217" i="5"/>
  <c r="AB1217" i="5"/>
  <c r="Y1217" i="5"/>
  <c r="W1217" i="5"/>
  <c r="V1217" i="5"/>
  <c r="T1217" i="5"/>
  <c r="U1217" i="5" s="1"/>
  <c r="S1217" i="5"/>
  <c r="R1217" i="5"/>
  <c r="X1217" i="5" s="1"/>
  <c r="Q1217" i="5"/>
  <c r="P1217" i="5"/>
  <c r="E1217" i="5"/>
  <c r="AD1216" i="5"/>
  <c r="X1216" i="5"/>
  <c r="W1216" i="5"/>
  <c r="V1216" i="5"/>
  <c r="U1216" i="5"/>
  <c r="Z1216" i="5" s="1"/>
  <c r="AE1216" i="5" s="1"/>
  <c r="S1216" i="5"/>
  <c r="R1216" i="5"/>
  <c r="Y1216" i="5" s="1"/>
  <c r="Q1216" i="5"/>
  <c r="P1216" i="5"/>
  <c r="E1216" i="5"/>
  <c r="AD1215" i="5"/>
  <c r="W1215" i="5"/>
  <c r="V1215" i="5"/>
  <c r="T1215" i="5"/>
  <c r="S1215" i="5"/>
  <c r="R1215" i="5"/>
  <c r="Y1215" i="5" s="1"/>
  <c r="Q1215" i="5"/>
  <c r="P1215" i="5"/>
  <c r="E1215" i="5"/>
  <c r="AD1214" i="5"/>
  <c r="X1214" i="5"/>
  <c r="W1214" i="5"/>
  <c r="V1214" i="5"/>
  <c r="S1214" i="5"/>
  <c r="R1214" i="5"/>
  <c r="Y1214" i="5" s="1"/>
  <c r="Q1214" i="5"/>
  <c r="P1214" i="5"/>
  <c r="T1214" i="5" s="1"/>
  <c r="E1214" i="5"/>
  <c r="AD1213" i="5"/>
  <c r="W1213" i="5"/>
  <c r="V1213" i="5"/>
  <c r="S1213" i="5"/>
  <c r="R1213" i="5"/>
  <c r="X1213" i="5" s="1"/>
  <c r="Q1213" i="5"/>
  <c r="T1213" i="5" s="1"/>
  <c r="P1213" i="5"/>
  <c r="E1213" i="5"/>
  <c r="AD1212" i="5"/>
  <c r="AB1212" i="5"/>
  <c r="Y1212" i="5"/>
  <c r="W1212" i="5"/>
  <c r="V1212" i="5"/>
  <c r="T1212" i="5"/>
  <c r="U1212" i="5" s="1"/>
  <c r="S1212" i="5"/>
  <c r="R1212" i="5"/>
  <c r="X1212" i="5" s="1"/>
  <c r="Q1212" i="5"/>
  <c r="P1212" i="5"/>
  <c r="E1212" i="5"/>
  <c r="AD1211" i="5"/>
  <c r="X1211" i="5"/>
  <c r="U1211" i="5" s="1"/>
  <c r="Z1211" i="5" s="1"/>
  <c r="AE1211" i="5" s="1"/>
  <c r="W1211" i="5"/>
  <c r="V1211" i="5"/>
  <c r="S1211" i="5"/>
  <c r="R1211" i="5"/>
  <c r="Y1211" i="5" s="1"/>
  <c r="Q1211" i="5"/>
  <c r="P1211" i="5"/>
  <c r="E1211" i="5"/>
  <c r="AD1210" i="5"/>
  <c r="W1210" i="5"/>
  <c r="V1210" i="5"/>
  <c r="S1210" i="5"/>
  <c r="R1210" i="5"/>
  <c r="X1210" i="5" s="1"/>
  <c r="Q1210" i="5"/>
  <c r="P1210" i="5"/>
  <c r="T1210" i="5" s="1"/>
  <c r="E1210" i="5"/>
  <c r="AD1209" i="5"/>
  <c r="W1209" i="5"/>
  <c r="V1209" i="5"/>
  <c r="T1209" i="5"/>
  <c r="S1209" i="5"/>
  <c r="R1209" i="5"/>
  <c r="Y1209" i="5" s="1"/>
  <c r="Q1209" i="5"/>
  <c r="P1209" i="5"/>
  <c r="E1209" i="5"/>
  <c r="AD1208" i="5"/>
  <c r="W1208" i="5"/>
  <c r="V1208" i="5"/>
  <c r="S1208" i="5"/>
  <c r="R1208" i="5"/>
  <c r="X1208" i="5" s="1"/>
  <c r="Q1208" i="5"/>
  <c r="P1208" i="5"/>
  <c r="T1208" i="5" s="1"/>
  <c r="E1208" i="5"/>
  <c r="AD1207" i="5"/>
  <c r="AB1207" i="5"/>
  <c r="X1207" i="5"/>
  <c r="W1207" i="5"/>
  <c r="V1207" i="5"/>
  <c r="S1207" i="5"/>
  <c r="R1207" i="5"/>
  <c r="Y1207" i="5" s="1"/>
  <c r="Q1207" i="5"/>
  <c r="P1207" i="5"/>
  <c r="E1207" i="5"/>
  <c r="AD1206" i="5"/>
  <c r="W1206" i="5"/>
  <c r="V1206" i="5"/>
  <c r="U1206" i="5"/>
  <c r="S1206" i="5"/>
  <c r="R1206" i="5"/>
  <c r="X1206" i="5" s="1"/>
  <c r="Q1206" i="5"/>
  <c r="P1206" i="5"/>
  <c r="E1206" i="5"/>
  <c r="AD1205" i="5"/>
  <c r="X1205" i="5"/>
  <c r="U1205" i="5" s="1"/>
  <c r="W1205" i="5"/>
  <c r="V1205" i="5"/>
  <c r="S1205" i="5"/>
  <c r="R1205" i="5"/>
  <c r="Y1205" i="5" s="1"/>
  <c r="Q1205" i="5"/>
  <c r="P1205" i="5"/>
  <c r="E1205" i="5"/>
  <c r="AD1204" i="5"/>
  <c r="Y1204" i="5"/>
  <c r="W1204" i="5"/>
  <c r="V1204" i="5"/>
  <c r="S1204" i="5"/>
  <c r="R1204" i="5"/>
  <c r="X1204" i="5" s="1"/>
  <c r="Q1204" i="5"/>
  <c r="P1204" i="5"/>
  <c r="T1204" i="5" s="1"/>
  <c r="E1204" i="5"/>
  <c r="AD1203" i="5"/>
  <c r="X1203" i="5"/>
  <c r="W1203" i="5"/>
  <c r="V1203" i="5"/>
  <c r="S1203" i="5"/>
  <c r="R1203" i="5"/>
  <c r="Y1203" i="5" s="1"/>
  <c r="Q1203" i="5"/>
  <c r="T1203" i="5" s="1"/>
  <c r="P1203" i="5"/>
  <c r="E1203" i="5"/>
  <c r="AD1202" i="5"/>
  <c r="AB1202" i="5"/>
  <c r="W1202" i="5"/>
  <c r="V1202" i="5"/>
  <c r="S1202" i="5"/>
  <c r="R1202" i="5"/>
  <c r="X1202" i="5" s="1"/>
  <c r="Q1202" i="5"/>
  <c r="P1202" i="5"/>
  <c r="T1202" i="5" s="1"/>
  <c r="E1202" i="5"/>
  <c r="AD1201" i="5"/>
  <c r="X1201" i="5"/>
  <c r="W1201" i="5"/>
  <c r="V1201" i="5"/>
  <c r="U1201" i="5"/>
  <c r="Z1201" i="5" s="1"/>
  <c r="AE1201" i="5" s="1"/>
  <c r="S1201" i="5"/>
  <c r="R1201" i="5"/>
  <c r="Y1201" i="5" s="1"/>
  <c r="Q1201" i="5"/>
  <c r="P1201" i="5"/>
  <c r="E1201" i="5"/>
  <c r="AD1200" i="5"/>
  <c r="W1200" i="5"/>
  <c r="V1200" i="5"/>
  <c r="T1200" i="5"/>
  <c r="S1200" i="5"/>
  <c r="R1200" i="5"/>
  <c r="Y1200" i="5" s="1"/>
  <c r="Q1200" i="5"/>
  <c r="P1200" i="5"/>
  <c r="E1200" i="5"/>
  <c r="AD1199" i="5"/>
  <c r="AB1199" i="5"/>
  <c r="X1199" i="5"/>
  <c r="W1199" i="5"/>
  <c r="V1199" i="5"/>
  <c r="S1199" i="5"/>
  <c r="R1199" i="5"/>
  <c r="Y1199" i="5" s="1"/>
  <c r="Q1199" i="5"/>
  <c r="T1199" i="5" s="1"/>
  <c r="P1199" i="5"/>
  <c r="E1199" i="5"/>
  <c r="AD1198" i="5"/>
  <c r="X1198" i="5"/>
  <c r="W1198" i="5"/>
  <c r="V1198" i="5"/>
  <c r="U1198" i="5"/>
  <c r="Z1198" i="5" s="1"/>
  <c r="AE1198" i="5" s="1"/>
  <c r="S1198" i="5"/>
  <c r="AA1198" i="5" s="1"/>
  <c r="AC1198" i="5" s="1"/>
  <c r="R1198" i="5"/>
  <c r="Y1198" i="5" s="1"/>
  <c r="Q1198" i="5"/>
  <c r="P1198" i="5"/>
  <c r="E1198" i="5"/>
  <c r="AD1197" i="5"/>
  <c r="W1197" i="5"/>
  <c r="V1197" i="5"/>
  <c r="S1197" i="5"/>
  <c r="R1197" i="5"/>
  <c r="Y1197" i="5" s="1"/>
  <c r="Q1197" i="5"/>
  <c r="T1197" i="5" s="1"/>
  <c r="P1197" i="5"/>
  <c r="E1197" i="5"/>
  <c r="AD1196" i="5"/>
  <c r="W1196" i="5"/>
  <c r="V1196" i="5"/>
  <c r="S1196" i="5"/>
  <c r="R1196" i="5"/>
  <c r="Y1196" i="5" s="1"/>
  <c r="Q1196" i="5"/>
  <c r="P1196" i="5"/>
  <c r="T1196" i="5" s="1"/>
  <c r="E1196" i="5"/>
  <c r="AD1195" i="5"/>
  <c r="Y1195" i="5"/>
  <c r="W1195" i="5"/>
  <c r="V1195" i="5"/>
  <c r="T1195" i="5"/>
  <c r="U1195" i="5" s="1"/>
  <c r="S1195" i="5"/>
  <c r="R1195" i="5"/>
  <c r="X1195" i="5" s="1"/>
  <c r="Q1195" i="5"/>
  <c r="P1195" i="5"/>
  <c r="E1195" i="5"/>
  <c r="AD1194" i="5"/>
  <c r="Y1194" i="5"/>
  <c r="W1194" i="5"/>
  <c r="V1194" i="5"/>
  <c r="S1194" i="5"/>
  <c r="R1194" i="5"/>
  <c r="X1194" i="5" s="1"/>
  <c r="Q1194" i="5"/>
  <c r="T1194" i="5" s="1"/>
  <c r="P1194" i="5"/>
  <c r="E1194" i="5"/>
  <c r="AD1193" i="5"/>
  <c r="AB1193" i="5"/>
  <c r="W1193" i="5"/>
  <c r="V1193" i="5"/>
  <c r="T1193" i="5"/>
  <c r="S1193" i="5"/>
  <c r="R1193" i="5"/>
  <c r="Y1193" i="5" s="1"/>
  <c r="Q1193" i="5"/>
  <c r="P1193" i="5"/>
  <c r="E1193" i="5"/>
  <c r="AD1192" i="5"/>
  <c r="X1192" i="5"/>
  <c r="U1192" i="5" s="1"/>
  <c r="Z1192" i="5" s="1"/>
  <c r="AE1192" i="5" s="1"/>
  <c r="W1192" i="5"/>
  <c r="V1192" i="5"/>
  <c r="S1192" i="5"/>
  <c r="AA1192" i="5" s="1"/>
  <c r="AC1192" i="5" s="1"/>
  <c r="R1192" i="5"/>
  <c r="Y1192" i="5" s="1"/>
  <c r="Q1192" i="5"/>
  <c r="P1192" i="5"/>
  <c r="E1192" i="5"/>
  <c r="AD1191" i="5"/>
  <c r="Y1191" i="5"/>
  <c r="W1191" i="5"/>
  <c r="V1191" i="5"/>
  <c r="T1191" i="5"/>
  <c r="Z1191" i="5" s="1"/>
  <c r="AE1191" i="5" s="1"/>
  <c r="S1191" i="5"/>
  <c r="R1191" i="5"/>
  <c r="X1191" i="5" s="1"/>
  <c r="U1191" i="5" s="1"/>
  <c r="Q1191" i="5"/>
  <c r="P1191" i="5"/>
  <c r="E1191" i="5"/>
  <c r="AD1190" i="5"/>
  <c r="X1190" i="5"/>
  <c r="W1190" i="5"/>
  <c r="V1190" i="5"/>
  <c r="S1190" i="5"/>
  <c r="R1190" i="5"/>
  <c r="Y1190" i="5" s="1"/>
  <c r="Q1190" i="5"/>
  <c r="P1190" i="5"/>
  <c r="E1190" i="5"/>
  <c r="AD1189" i="5"/>
  <c r="Y1189" i="5"/>
  <c r="W1189" i="5"/>
  <c r="V1189" i="5"/>
  <c r="S1189" i="5"/>
  <c r="R1189" i="5"/>
  <c r="X1189" i="5" s="1"/>
  <c r="Q1189" i="5"/>
  <c r="T1189" i="5" s="1"/>
  <c r="P1189" i="5"/>
  <c r="E1189" i="5"/>
  <c r="AD1188" i="5"/>
  <c r="AB1188" i="5"/>
  <c r="Y1188" i="5"/>
  <c r="W1188" i="5"/>
  <c r="V1188" i="5"/>
  <c r="S1188" i="5"/>
  <c r="R1188" i="5"/>
  <c r="X1188" i="5" s="1"/>
  <c r="Q1188" i="5"/>
  <c r="P1188" i="5"/>
  <c r="T1188" i="5" s="1"/>
  <c r="E1188" i="5"/>
  <c r="AD1187" i="5"/>
  <c r="X1187" i="5"/>
  <c r="W1187" i="5"/>
  <c r="V1187" i="5"/>
  <c r="S1187" i="5"/>
  <c r="R1187" i="5"/>
  <c r="Y1187" i="5" s="1"/>
  <c r="Q1187" i="5"/>
  <c r="T1187" i="5" s="1"/>
  <c r="P1187" i="5"/>
  <c r="E1187" i="5"/>
  <c r="AD1186" i="5"/>
  <c r="W1186" i="5"/>
  <c r="V1186" i="5"/>
  <c r="T1186" i="5"/>
  <c r="S1186" i="5"/>
  <c r="R1186" i="5"/>
  <c r="Y1186" i="5" s="1"/>
  <c r="Q1186" i="5"/>
  <c r="P1186" i="5"/>
  <c r="E1186" i="5"/>
  <c r="AD1185" i="5"/>
  <c r="W1185" i="5"/>
  <c r="V1185" i="5"/>
  <c r="T1185" i="5"/>
  <c r="S1185" i="5"/>
  <c r="R1185" i="5"/>
  <c r="Y1185" i="5" s="1"/>
  <c r="Q1185" i="5"/>
  <c r="P1185" i="5"/>
  <c r="E1185" i="5"/>
  <c r="AD1184" i="5"/>
  <c r="W1184" i="5"/>
  <c r="V1184" i="5"/>
  <c r="T1184" i="5"/>
  <c r="S1184" i="5"/>
  <c r="R1184" i="5"/>
  <c r="Y1184" i="5" s="1"/>
  <c r="Q1184" i="5"/>
  <c r="P1184" i="5"/>
  <c r="E1184" i="5"/>
  <c r="AD1183" i="5"/>
  <c r="AB1183" i="5"/>
  <c r="X1183" i="5"/>
  <c r="U1183" i="5" s="1"/>
  <c r="Z1183" i="5" s="1"/>
  <c r="W1183" i="5"/>
  <c r="V1183" i="5"/>
  <c r="S1183" i="5"/>
  <c r="R1183" i="5"/>
  <c r="Y1183" i="5" s="1"/>
  <c r="Q1183" i="5"/>
  <c r="P1183" i="5"/>
  <c r="E1183" i="5"/>
  <c r="AD1182" i="5"/>
  <c r="Y1182" i="5"/>
  <c r="W1182" i="5"/>
  <c r="V1182" i="5"/>
  <c r="S1182" i="5"/>
  <c r="R1182" i="5"/>
  <c r="X1182" i="5" s="1"/>
  <c r="Q1182" i="5"/>
  <c r="P1182" i="5"/>
  <c r="T1182" i="5" s="1"/>
  <c r="E1182" i="5"/>
  <c r="AD1181" i="5"/>
  <c r="X1181" i="5"/>
  <c r="W1181" i="5"/>
  <c r="V1181" i="5"/>
  <c r="S1181" i="5"/>
  <c r="R1181" i="5"/>
  <c r="Y1181" i="5" s="1"/>
  <c r="Q1181" i="5"/>
  <c r="T1181" i="5" s="1"/>
  <c r="P1181" i="5"/>
  <c r="E1181" i="5"/>
  <c r="AD1180" i="5"/>
  <c r="W1180" i="5"/>
  <c r="V1180" i="5"/>
  <c r="T1180" i="5"/>
  <c r="S1180" i="5"/>
  <c r="R1180" i="5"/>
  <c r="Y1180" i="5" s="1"/>
  <c r="Q1180" i="5"/>
  <c r="P1180" i="5"/>
  <c r="E1180" i="5"/>
  <c r="AD1179" i="5"/>
  <c r="AB1179" i="5"/>
  <c r="Y1179" i="5"/>
  <c r="W1179" i="5"/>
  <c r="V1179" i="5"/>
  <c r="S1179" i="5"/>
  <c r="R1179" i="5"/>
  <c r="X1179" i="5" s="1"/>
  <c r="U1179" i="5" s="1"/>
  <c r="Z1179" i="5" s="1"/>
  <c r="AE1179" i="5" s="1"/>
  <c r="Q1179" i="5"/>
  <c r="P1179" i="5"/>
  <c r="E1179" i="5"/>
  <c r="AD1178" i="5"/>
  <c r="X1178" i="5"/>
  <c r="W1178" i="5"/>
  <c r="V1178" i="5"/>
  <c r="T1178" i="5"/>
  <c r="U1178" i="5" s="1"/>
  <c r="S1178" i="5"/>
  <c r="R1178" i="5"/>
  <c r="Y1178" i="5" s="1"/>
  <c r="Z1178" i="5" s="1"/>
  <c r="AE1178" i="5" s="1"/>
  <c r="Q1178" i="5"/>
  <c r="P1178" i="5"/>
  <c r="E1178" i="5"/>
  <c r="AD1177" i="5"/>
  <c r="W1177" i="5"/>
  <c r="V1177" i="5"/>
  <c r="S1177" i="5"/>
  <c r="R1177" i="5"/>
  <c r="Y1177" i="5" s="1"/>
  <c r="Q1177" i="5"/>
  <c r="P1177" i="5"/>
  <c r="T1177" i="5" s="1"/>
  <c r="E1177" i="5"/>
  <c r="AD1176" i="5"/>
  <c r="AB1176" i="5"/>
  <c r="Y1176" i="5"/>
  <c r="W1176" i="5"/>
  <c r="V1176" i="5"/>
  <c r="T1176" i="5"/>
  <c r="U1176" i="5" s="1"/>
  <c r="S1176" i="5"/>
  <c r="R1176" i="5"/>
  <c r="X1176" i="5" s="1"/>
  <c r="Q1176" i="5"/>
  <c r="P1176" i="5"/>
  <c r="E1176" i="5"/>
  <c r="AD1175" i="5"/>
  <c r="W1175" i="5"/>
  <c r="V1175" i="5"/>
  <c r="S1175" i="5"/>
  <c r="R1175" i="5"/>
  <c r="Y1175" i="5" s="1"/>
  <c r="Q1175" i="5"/>
  <c r="P1175" i="5"/>
  <c r="E1175" i="5"/>
  <c r="AD1174" i="5"/>
  <c r="W1174" i="5"/>
  <c r="V1174" i="5"/>
  <c r="T1174" i="5"/>
  <c r="S1174" i="5"/>
  <c r="R1174" i="5"/>
  <c r="Y1174" i="5" s="1"/>
  <c r="Q1174" i="5"/>
  <c r="P1174" i="5"/>
  <c r="E1174" i="5"/>
  <c r="AD1173" i="5"/>
  <c r="Y1173" i="5"/>
  <c r="W1173" i="5"/>
  <c r="V1173" i="5"/>
  <c r="T1173" i="5"/>
  <c r="S1173" i="5"/>
  <c r="R1173" i="5"/>
  <c r="X1173" i="5" s="1"/>
  <c r="U1173" i="5" s="1"/>
  <c r="Q1173" i="5"/>
  <c r="P1173" i="5"/>
  <c r="E1173" i="5"/>
  <c r="AD1172" i="5"/>
  <c r="AB1172" i="5"/>
  <c r="W1172" i="5"/>
  <c r="V1172" i="5"/>
  <c r="S1172" i="5"/>
  <c r="R1172" i="5"/>
  <c r="Y1172" i="5" s="1"/>
  <c r="Q1172" i="5"/>
  <c r="T1172" i="5" s="1"/>
  <c r="P1172" i="5"/>
  <c r="E1172" i="5"/>
  <c r="AD1171" i="5"/>
  <c r="W1171" i="5"/>
  <c r="V1171" i="5"/>
  <c r="S1171" i="5"/>
  <c r="R1171" i="5"/>
  <c r="Y1171" i="5" s="1"/>
  <c r="Q1171" i="5"/>
  <c r="P1171" i="5"/>
  <c r="E1171" i="5"/>
  <c r="AD1170" i="5"/>
  <c r="W1170" i="5"/>
  <c r="V1170" i="5"/>
  <c r="S1170" i="5"/>
  <c r="R1170" i="5"/>
  <c r="Y1170" i="5" s="1"/>
  <c r="Q1170" i="5"/>
  <c r="P1170" i="5"/>
  <c r="T1170" i="5" s="1"/>
  <c r="E1170" i="5"/>
  <c r="AD1169" i="5"/>
  <c r="Y1169" i="5"/>
  <c r="W1169" i="5"/>
  <c r="V1169" i="5"/>
  <c r="S1169" i="5"/>
  <c r="R1169" i="5"/>
  <c r="X1169" i="5" s="1"/>
  <c r="U1169" i="5" s="1"/>
  <c r="Z1169" i="5" s="1"/>
  <c r="AE1169" i="5" s="1"/>
  <c r="Q1169" i="5"/>
  <c r="P1169" i="5"/>
  <c r="E1169" i="5"/>
  <c r="AD1168" i="5"/>
  <c r="Y1168" i="5"/>
  <c r="W1168" i="5"/>
  <c r="V1168" i="5"/>
  <c r="S1168" i="5"/>
  <c r="R1168" i="5"/>
  <c r="X1168" i="5" s="1"/>
  <c r="Q1168" i="5"/>
  <c r="T1168" i="5" s="1"/>
  <c r="P1168" i="5"/>
  <c r="E1168" i="5"/>
  <c r="AD1167" i="5"/>
  <c r="AB1167" i="5"/>
  <c r="W1167" i="5"/>
  <c r="V1167" i="5"/>
  <c r="S1167" i="5"/>
  <c r="R1167" i="5"/>
  <c r="Y1167" i="5" s="1"/>
  <c r="Q1167" i="5"/>
  <c r="P1167" i="5"/>
  <c r="E1167" i="5"/>
  <c r="AD1166" i="5"/>
  <c r="W1166" i="5"/>
  <c r="V1166" i="5"/>
  <c r="S1166" i="5"/>
  <c r="R1166" i="5"/>
  <c r="Y1166" i="5" s="1"/>
  <c r="Q1166" i="5"/>
  <c r="P1166" i="5"/>
  <c r="T1166" i="5" s="1"/>
  <c r="E1166" i="5"/>
  <c r="AD1165" i="5"/>
  <c r="Y1165" i="5"/>
  <c r="W1165" i="5"/>
  <c r="V1165" i="5"/>
  <c r="T1165" i="5"/>
  <c r="U1165" i="5" s="1"/>
  <c r="S1165" i="5"/>
  <c r="R1165" i="5"/>
  <c r="X1165" i="5" s="1"/>
  <c r="Q1165" i="5"/>
  <c r="P1165" i="5"/>
  <c r="E1165" i="5"/>
  <c r="AD1164" i="5"/>
  <c r="AB1164" i="5"/>
  <c r="W1164" i="5"/>
  <c r="V1164" i="5"/>
  <c r="T1164" i="5"/>
  <c r="S1164" i="5"/>
  <c r="R1164" i="5"/>
  <c r="Y1164" i="5" s="1"/>
  <c r="Q1164" i="5"/>
  <c r="P1164" i="5"/>
  <c r="E1164" i="5"/>
  <c r="AD1163" i="5"/>
  <c r="W1163" i="5"/>
  <c r="V1163" i="5"/>
  <c r="T1163" i="5"/>
  <c r="S1163" i="5"/>
  <c r="R1163" i="5"/>
  <c r="Y1163" i="5" s="1"/>
  <c r="Q1163" i="5"/>
  <c r="P1163" i="5"/>
  <c r="E1163" i="5"/>
  <c r="AD1162" i="5"/>
  <c r="W1162" i="5"/>
  <c r="V1162" i="5"/>
  <c r="S1162" i="5"/>
  <c r="R1162" i="5"/>
  <c r="Y1162" i="5" s="1"/>
  <c r="Q1162" i="5"/>
  <c r="T1162" i="5" s="1"/>
  <c r="P1162" i="5"/>
  <c r="E1162" i="5"/>
  <c r="AD1161" i="5"/>
  <c r="AB1161" i="5"/>
  <c r="Y1161" i="5"/>
  <c r="W1161" i="5"/>
  <c r="V1161" i="5"/>
  <c r="S1161" i="5"/>
  <c r="R1161" i="5"/>
  <c r="X1161" i="5" s="1"/>
  <c r="Q1161" i="5"/>
  <c r="P1161" i="5"/>
  <c r="T1161" i="5" s="1"/>
  <c r="E1161" i="5"/>
  <c r="AD1160" i="5"/>
  <c r="X1160" i="5"/>
  <c r="U1160" i="5" s="1"/>
  <c r="W1160" i="5"/>
  <c r="V1160" i="5"/>
  <c r="S1160" i="5"/>
  <c r="R1160" i="5"/>
  <c r="Y1160" i="5" s="1"/>
  <c r="Q1160" i="5"/>
  <c r="P1160" i="5"/>
  <c r="E1160" i="5"/>
  <c r="AD1159" i="5"/>
  <c r="W1159" i="5"/>
  <c r="V1159" i="5"/>
  <c r="T1159" i="5"/>
  <c r="S1159" i="5"/>
  <c r="R1159" i="5"/>
  <c r="Y1159" i="5" s="1"/>
  <c r="Q1159" i="5"/>
  <c r="P1159" i="5"/>
  <c r="E1159" i="5"/>
  <c r="AD1158" i="5"/>
  <c r="X1158" i="5"/>
  <c r="U1158" i="5" s="1"/>
  <c r="W1158" i="5"/>
  <c r="V1158" i="5"/>
  <c r="S1158" i="5"/>
  <c r="R1158" i="5"/>
  <c r="Y1158" i="5" s="1"/>
  <c r="Q1158" i="5"/>
  <c r="P1158" i="5"/>
  <c r="E1158" i="5"/>
  <c r="AD1157" i="5"/>
  <c r="X1157" i="5"/>
  <c r="W1157" i="5"/>
  <c r="V1157" i="5"/>
  <c r="S1157" i="5"/>
  <c r="R1157" i="5"/>
  <c r="Y1157" i="5" s="1"/>
  <c r="Q1157" i="5"/>
  <c r="P1157" i="5"/>
  <c r="E1157" i="5"/>
  <c r="AD1156" i="5"/>
  <c r="Y1156" i="5"/>
  <c r="W1156" i="5"/>
  <c r="V1156" i="5"/>
  <c r="S1156" i="5"/>
  <c r="R1156" i="5"/>
  <c r="X1156" i="5" s="1"/>
  <c r="Q1156" i="5"/>
  <c r="P1156" i="5"/>
  <c r="T1156" i="5" s="1"/>
  <c r="E1156" i="5"/>
  <c r="AD1155" i="5"/>
  <c r="AB1155" i="5"/>
  <c r="Y1155" i="5"/>
  <c r="W1155" i="5"/>
  <c r="V1155" i="5"/>
  <c r="T1155" i="5"/>
  <c r="Z1155" i="5" s="1"/>
  <c r="AE1155" i="5" s="1"/>
  <c r="S1155" i="5"/>
  <c r="R1155" i="5"/>
  <c r="X1155" i="5" s="1"/>
  <c r="U1155" i="5" s="1"/>
  <c r="Q1155" i="5"/>
  <c r="P1155" i="5"/>
  <c r="E1155" i="5"/>
  <c r="AD1154" i="5"/>
  <c r="X1154" i="5"/>
  <c r="W1154" i="5"/>
  <c r="V1154" i="5"/>
  <c r="S1154" i="5"/>
  <c r="R1154" i="5"/>
  <c r="Y1154" i="5" s="1"/>
  <c r="Q1154" i="5"/>
  <c r="P1154" i="5"/>
  <c r="T1154" i="5" s="1"/>
  <c r="E1154" i="5"/>
  <c r="AD1153" i="5"/>
  <c r="X1153" i="5"/>
  <c r="U1153" i="5" s="1"/>
  <c r="Z1153" i="5" s="1"/>
  <c r="AE1153" i="5" s="1"/>
  <c r="W1153" i="5"/>
  <c r="V1153" i="5"/>
  <c r="S1153" i="5"/>
  <c r="AA1153" i="5" s="1"/>
  <c r="AC1153" i="5" s="1"/>
  <c r="R1153" i="5"/>
  <c r="Y1153" i="5" s="1"/>
  <c r="Q1153" i="5"/>
  <c r="P1153" i="5"/>
  <c r="E1153" i="5"/>
  <c r="AD1152" i="5"/>
  <c r="X1152" i="5"/>
  <c r="U1152" i="5" s="1"/>
  <c r="Z1152" i="5" s="1"/>
  <c r="AE1152" i="5" s="1"/>
  <c r="W1152" i="5"/>
  <c r="V1152" i="5"/>
  <c r="S1152" i="5"/>
  <c r="R1152" i="5"/>
  <c r="Y1152" i="5" s="1"/>
  <c r="Q1152" i="5"/>
  <c r="P1152" i="5"/>
  <c r="E1152" i="5"/>
  <c r="AD1151" i="5"/>
  <c r="X1151" i="5"/>
  <c r="U1151" i="5" s="1"/>
  <c r="Z1151" i="5" s="1"/>
  <c r="AE1151" i="5" s="1"/>
  <c r="W1151" i="5"/>
  <c r="V1151" i="5"/>
  <c r="S1151" i="5"/>
  <c r="AA1151" i="5" s="1"/>
  <c r="AC1151" i="5" s="1"/>
  <c r="R1151" i="5"/>
  <c r="Y1151" i="5" s="1"/>
  <c r="Q1151" i="5"/>
  <c r="P1151" i="5"/>
  <c r="E1151" i="5"/>
  <c r="AD1150" i="5"/>
  <c r="X1150" i="5"/>
  <c r="U1150" i="5" s="1"/>
  <c r="Z1150" i="5" s="1"/>
  <c r="AE1150" i="5" s="1"/>
  <c r="W1150" i="5"/>
  <c r="V1150" i="5"/>
  <c r="S1150" i="5"/>
  <c r="R1150" i="5"/>
  <c r="Y1150" i="5" s="1"/>
  <c r="Q1150" i="5"/>
  <c r="P1150" i="5"/>
  <c r="E1150" i="5"/>
  <c r="AD1149" i="5"/>
  <c r="X1149" i="5"/>
  <c r="U1149" i="5" s="1"/>
  <c r="Z1149" i="5" s="1"/>
  <c r="AE1149" i="5" s="1"/>
  <c r="W1149" i="5"/>
  <c r="V1149" i="5"/>
  <c r="S1149" i="5"/>
  <c r="AA1149" i="5" s="1"/>
  <c r="AC1149" i="5" s="1"/>
  <c r="R1149" i="5"/>
  <c r="Y1149" i="5" s="1"/>
  <c r="Q1149" i="5"/>
  <c r="P1149" i="5"/>
  <c r="E1149" i="5"/>
  <c r="AD1148" i="5"/>
  <c r="X1148" i="5"/>
  <c r="U1148" i="5" s="1"/>
  <c r="Z1148" i="5" s="1"/>
  <c r="AE1148" i="5" s="1"/>
  <c r="W1148" i="5"/>
  <c r="V1148" i="5"/>
  <c r="S1148" i="5"/>
  <c r="R1148" i="5"/>
  <c r="Y1148" i="5" s="1"/>
  <c r="Q1148" i="5"/>
  <c r="P1148" i="5"/>
  <c r="E1148" i="5"/>
  <c r="AD1147" i="5"/>
  <c r="W1147" i="5"/>
  <c r="V1147" i="5"/>
  <c r="T1147" i="5"/>
  <c r="S1147" i="5"/>
  <c r="R1147" i="5"/>
  <c r="Y1147" i="5" s="1"/>
  <c r="Q1147" i="5"/>
  <c r="P1147" i="5"/>
  <c r="E1147" i="5"/>
  <c r="AD1146" i="5"/>
  <c r="AB1146" i="5"/>
  <c r="Y1146" i="5"/>
  <c r="W1146" i="5"/>
  <c r="V1146" i="5"/>
  <c r="S1146" i="5"/>
  <c r="R1146" i="5"/>
  <c r="X1146" i="5" s="1"/>
  <c r="Q1146" i="5"/>
  <c r="P1146" i="5"/>
  <c r="T1146" i="5" s="1"/>
  <c r="E1146" i="5"/>
  <c r="AD1145" i="5"/>
  <c r="Y1145" i="5"/>
  <c r="W1145" i="5"/>
  <c r="V1145" i="5"/>
  <c r="S1145" i="5"/>
  <c r="R1145" i="5"/>
  <c r="X1145" i="5" s="1"/>
  <c r="Q1145" i="5"/>
  <c r="T1145" i="5" s="1"/>
  <c r="P1145" i="5"/>
  <c r="E1145" i="5"/>
  <c r="AD1144" i="5"/>
  <c r="AB1144" i="5"/>
  <c r="W1144" i="5"/>
  <c r="V1144" i="5"/>
  <c r="S1144" i="5"/>
  <c r="R1144" i="5"/>
  <c r="Y1144" i="5" s="1"/>
  <c r="Q1144" i="5"/>
  <c r="P1144" i="5"/>
  <c r="T1144" i="5" s="1"/>
  <c r="E1144" i="5"/>
  <c r="AD1143" i="5"/>
  <c r="W1143" i="5"/>
  <c r="V1143" i="5"/>
  <c r="T1143" i="5"/>
  <c r="U1143" i="5" s="1"/>
  <c r="S1143" i="5"/>
  <c r="R1143" i="5"/>
  <c r="X1143" i="5" s="1"/>
  <c r="Q1143" i="5"/>
  <c r="P1143" i="5"/>
  <c r="E1143" i="5"/>
  <c r="AD1142" i="5"/>
  <c r="W1142" i="5"/>
  <c r="V1142" i="5"/>
  <c r="T1142" i="5"/>
  <c r="S1142" i="5"/>
  <c r="R1142" i="5"/>
  <c r="Y1142" i="5" s="1"/>
  <c r="Q1142" i="5"/>
  <c r="P1142" i="5"/>
  <c r="E1142" i="5"/>
  <c r="AD1141" i="5"/>
  <c r="W1141" i="5"/>
  <c r="V1141" i="5"/>
  <c r="S1141" i="5"/>
  <c r="R1141" i="5"/>
  <c r="Y1141" i="5" s="1"/>
  <c r="Q1141" i="5"/>
  <c r="P1141" i="5"/>
  <c r="T1141" i="5" s="1"/>
  <c r="E1141" i="5"/>
  <c r="AD1140" i="5"/>
  <c r="W1140" i="5"/>
  <c r="V1140" i="5"/>
  <c r="T1140" i="5"/>
  <c r="U1140" i="5" s="1"/>
  <c r="S1140" i="5"/>
  <c r="R1140" i="5"/>
  <c r="X1140" i="5" s="1"/>
  <c r="Q1140" i="5"/>
  <c r="P1140" i="5"/>
  <c r="E1140" i="5"/>
  <c r="AD1139" i="5"/>
  <c r="X1139" i="5"/>
  <c r="U1139" i="5" s="1"/>
  <c r="W1139" i="5"/>
  <c r="V1139" i="5"/>
  <c r="S1139" i="5"/>
  <c r="R1139" i="5"/>
  <c r="Y1139" i="5" s="1"/>
  <c r="Q1139" i="5"/>
  <c r="P1139" i="5"/>
  <c r="E1139" i="5"/>
  <c r="AD1138" i="5"/>
  <c r="W1138" i="5"/>
  <c r="V1138" i="5"/>
  <c r="S1138" i="5"/>
  <c r="R1138" i="5"/>
  <c r="Y1138" i="5" s="1"/>
  <c r="Q1138" i="5"/>
  <c r="P1138" i="5"/>
  <c r="E1138" i="5"/>
  <c r="AD1137" i="5"/>
  <c r="W1137" i="5"/>
  <c r="V1137" i="5"/>
  <c r="T1137" i="5"/>
  <c r="S1137" i="5"/>
  <c r="R1137" i="5"/>
  <c r="Y1137" i="5" s="1"/>
  <c r="Q1137" i="5"/>
  <c r="P1137" i="5"/>
  <c r="E1137" i="5"/>
  <c r="AD1136" i="5"/>
  <c r="W1136" i="5"/>
  <c r="V1136" i="5"/>
  <c r="S1136" i="5"/>
  <c r="R1136" i="5"/>
  <c r="Y1136" i="5" s="1"/>
  <c r="Q1136" i="5"/>
  <c r="P1136" i="5"/>
  <c r="T1136" i="5" s="1"/>
  <c r="E1136" i="5"/>
  <c r="AD1135" i="5"/>
  <c r="W1135" i="5"/>
  <c r="V1135" i="5"/>
  <c r="T1135" i="5"/>
  <c r="S1135" i="5"/>
  <c r="R1135" i="5"/>
  <c r="X1135" i="5" s="1"/>
  <c r="Q1135" i="5"/>
  <c r="P1135" i="5"/>
  <c r="E1135" i="5"/>
  <c r="AD1134" i="5"/>
  <c r="W1134" i="5"/>
  <c r="V1134" i="5"/>
  <c r="T1134" i="5"/>
  <c r="S1134" i="5"/>
  <c r="R1134" i="5"/>
  <c r="Y1134" i="5" s="1"/>
  <c r="Q1134" i="5"/>
  <c r="P1134" i="5"/>
  <c r="E1134" i="5"/>
  <c r="AD1133" i="5"/>
  <c r="W1133" i="5"/>
  <c r="V1133" i="5"/>
  <c r="S1133" i="5"/>
  <c r="R1133" i="5"/>
  <c r="Y1133" i="5" s="1"/>
  <c r="Q1133" i="5"/>
  <c r="P1133" i="5"/>
  <c r="T1133" i="5" s="1"/>
  <c r="E1133" i="5"/>
  <c r="AD1132" i="5"/>
  <c r="W1132" i="5"/>
  <c r="V1132" i="5"/>
  <c r="T1132" i="5"/>
  <c r="U1132" i="5" s="1"/>
  <c r="S1132" i="5"/>
  <c r="R1132" i="5"/>
  <c r="X1132" i="5" s="1"/>
  <c r="Q1132" i="5"/>
  <c r="P1132" i="5"/>
  <c r="E1132" i="5"/>
  <c r="AD1131" i="5"/>
  <c r="W1131" i="5"/>
  <c r="V1131" i="5"/>
  <c r="T1131" i="5"/>
  <c r="S1131" i="5"/>
  <c r="R1131" i="5"/>
  <c r="Y1131" i="5" s="1"/>
  <c r="Q1131" i="5"/>
  <c r="P1131" i="5"/>
  <c r="E1131" i="5"/>
  <c r="AD1130" i="5"/>
  <c r="AB1130" i="5"/>
  <c r="Y1130" i="5"/>
  <c r="W1130" i="5"/>
  <c r="V1130" i="5"/>
  <c r="S1130" i="5"/>
  <c r="R1130" i="5"/>
  <c r="X1130" i="5" s="1"/>
  <c r="Q1130" i="5"/>
  <c r="T1130" i="5" s="1"/>
  <c r="P1130" i="5"/>
  <c r="E1130" i="5"/>
  <c r="AD1129" i="5"/>
  <c r="Y1129" i="5"/>
  <c r="W1129" i="5"/>
  <c r="V1129" i="5"/>
  <c r="S1129" i="5"/>
  <c r="R1129" i="5"/>
  <c r="X1129" i="5" s="1"/>
  <c r="Q1129" i="5"/>
  <c r="P1129" i="5"/>
  <c r="T1129" i="5" s="1"/>
  <c r="E1129" i="5"/>
  <c r="AD1128" i="5"/>
  <c r="Y1128" i="5"/>
  <c r="W1128" i="5"/>
  <c r="V1128" i="5"/>
  <c r="S1128" i="5"/>
  <c r="R1128" i="5"/>
  <c r="X1128" i="5" s="1"/>
  <c r="Q1128" i="5"/>
  <c r="T1128" i="5" s="1"/>
  <c r="P1128" i="5"/>
  <c r="E1128" i="5"/>
  <c r="AD1127" i="5"/>
  <c r="Y1127" i="5"/>
  <c r="W1127" i="5"/>
  <c r="V1127" i="5"/>
  <c r="S1127" i="5"/>
  <c r="R1127" i="5"/>
  <c r="X1127" i="5" s="1"/>
  <c r="Q1127" i="5"/>
  <c r="T1127" i="5" s="1"/>
  <c r="P1127" i="5"/>
  <c r="E1127" i="5"/>
  <c r="AD1126" i="5"/>
  <c r="AB1126" i="5"/>
  <c r="W1126" i="5"/>
  <c r="V1126" i="5"/>
  <c r="S1126" i="5"/>
  <c r="R1126" i="5"/>
  <c r="Y1126" i="5" s="1"/>
  <c r="Q1126" i="5"/>
  <c r="P1126" i="5"/>
  <c r="T1126" i="5" s="1"/>
  <c r="E1126" i="5"/>
  <c r="AD1125" i="5"/>
  <c r="W1125" i="5"/>
  <c r="V1125" i="5"/>
  <c r="T1125" i="5"/>
  <c r="S1125" i="5"/>
  <c r="R1125" i="5"/>
  <c r="X1125" i="5" s="1"/>
  <c r="Q1125" i="5"/>
  <c r="P1125" i="5"/>
  <c r="E1125" i="5"/>
  <c r="AD1124" i="5"/>
  <c r="AB1124" i="5"/>
  <c r="Y1124" i="5"/>
  <c r="W1124" i="5"/>
  <c r="V1124" i="5"/>
  <c r="S1124" i="5"/>
  <c r="R1124" i="5"/>
  <c r="X1124" i="5" s="1"/>
  <c r="Q1124" i="5"/>
  <c r="T1124" i="5" s="1"/>
  <c r="P1124" i="5"/>
  <c r="E1124" i="5"/>
  <c r="AD1123" i="5"/>
  <c r="Y1123" i="5"/>
  <c r="W1123" i="5"/>
  <c r="V1123" i="5"/>
  <c r="S1123" i="5"/>
  <c r="R1123" i="5"/>
  <c r="X1123" i="5" s="1"/>
  <c r="Q1123" i="5"/>
  <c r="T1123" i="5" s="1"/>
  <c r="P1123" i="5"/>
  <c r="E1123" i="5"/>
  <c r="AD1122" i="5"/>
  <c r="Y1122" i="5"/>
  <c r="W1122" i="5"/>
  <c r="V1122" i="5"/>
  <c r="S1122" i="5"/>
  <c r="R1122" i="5"/>
  <c r="X1122" i="5" s="1"/>
  <c r="Q1122" i="5"/>
  <c r="P1122" i="5"/>
  <c r="T1122" i="5" s="1"/>
  <c r="E1122" i="5"/>
  <c r="AD1121" i="5"/>
  <c r="Y1121" i="5"/>
  <c r="W1121" i="5"/>
  <c r="V1121" i="5"/>
  <c r="S1121" i="5"/>
  <c r="R1121" i="5"/>
  <c r="X1121" i="5" s="1"/>
  <c r="Q1121" i="5"/>
  <c r="T1121" i="5" s="1"/>
  <c r="P1121" i="5"/>
  <c r="E1121" i="5"/>
  <c r="AD1120" i="5"/>
  <c r="Y1120" i="5"/>
  <c r="W1120" i="5"/>
  <c r="V1120" i="5"/>
  <c r="S1120" i="5"/>
  <c r="R1120" i="5"/>
  <c r="X1120" i="5" s="1"/>
  <c r="Q1120" i="5"/>
  <c r="T1120" i="5" s="1"/>
  <c r="P1120" i="5"/>
  <c r="E1120" i="5"/>
  <c r="AD1119" i="5"/>
  <c r="Y1119" i="5"/>
  <c r="W1119" i="5"/>
  <c r="V1119" i="5"/>
  <c r="S1119" i="5"/>
  <c r="R1119" i="5"/>
  <c r="X1119" i="5" s="1"/>
  <c r="Q1119" i="5"/>
  <c r="P1119" i="5"/>
  <c r="T1119" i="5" s="1"/>
  <c r="E1119" i="5"/>
  <c r="AD1118" i="5"/>
  <c r="AB1118" i="5"/>
  <c r="W1118" i="5"/>
  <c r="V1118" i="5"/>
  <c r="T1118" i="5"/>
  <c r="U1118" i="5" s="1"/>
  <c r="S1118" i="5"/>
  <c r="R1118" i="5"/>
  <c r="X1118" i="5" s="1"/>
  <c r="Q1118" i="5"/>
  <c r="P1118" i="5"/>
  <c r="E1118" i="5"/>
  <c r="AD1117" i="5"/>
  <c r="W1117" i="5"/>
  <c r="V1117" i="5"/>
  <c r="T1117" i="5"/>
  <c r="S1117" i="5"/>
  <c r="R1117" i="5"/>
  <c r="Y1117" i="5" s="1"/>
  <c r="Q1117" i="5"/>
  <c r="P1117" i="5"/>
  <c r="E1117" i="5"/>
  <c r="AD1116" i="5"/>
  <c r="W1116" i="5"/>
  <c r="V1116" i="5"/>
  <c r="S1116" i="5"/>
  <c r="R1116" i="5"/>
  <c r="Y1116" i="5" s="1"/>
  <c r="Q1116" i="5"/>
  <c r="P1116" i="5"/>
  <c r="T1116" i="5" s="1"/>
  <c r="E1116" i="5"/>
  <c r="AD1115" i="5"/>
  <c r="W1115" i="5"/>
  <c r="V1115" i="5"/>
  <c r="T1115" i="5"/>
  <c r="S1115" i="5"/>
  <c r="R1115" i="5"/>
  <c r="X1115" i="5" s="1"/>
  <c r="Q1115" i="5"/>
  <c r="P1115" i="5"/>
  <c r="E1115" i="5"/>
  <c r="AD1114" i="5"/>
  <c r="AB1114" i="5"/>
  <c r="Y1114" i="5"/>
  <c r="W1114" i="5"/>
  <c r="V1114" i="5"/>
  <c r="S1114" i="5"/>
  <c r="R1114" i="5"/>
  <c r="X1114" i="5" s="1"/>
  <c r="Q1114" i="5"/>
  <c r="T1114" i="5" s="1"/>
  <c r="P1114" i="5"/>
  <c r="E1114" i="5"/>
  <c r="AD1113" i="5"/>
  <c r="Y1113" i="5"/>
  <c r="W1113" i="5"/>
  <c r="V1113" i="5"/>
  <c r="S1113" i="5"/>
  <c r="R1113" i="5"/>
  <c r="X1113" i="5" s="1"/>
  <c r="Q1113" i="5"/>
  <c r="T1113" i="5" s="1"/>
  <c r="P1113" i="5"/>
  <c r="E1113" i="5"/>
  <c r="AD1112" i="5"/>
  <c r="Y1112" i="5"/>
  <c r="W1112" i="5"/>
  <c r="V1112" i="5"/>
  <c r="S1112" i="5"/>
  <c r="R1112" i="5"/>
  <c r="X1112" i="5" s="1"/>
  <c r="Q1112" i="5"/>
  <c r="P1112" i="5"/>
  <c r="T1112" i="5" s="1"/>
  <c r="E1112" i="5"/>
  <c r="AD1111" i="5"/>
  <c r="Y1111" i="5"/>
  <c r="W1111" i="5"/>
  <c r="V1111" i="5"/>
  <c r="S1111" i="5"/>
  <c r="R1111" i="5"/>
  <c r="X1111" i="5" s="1"/>
  <c r="Q1111" i="5"/>
  <c r="T1111" i="5" s="1"/>
  <c r="P1111" i="5"/>
  <c r="E1111" i="5"/>
  <c r="AD1110" i="5"/>
  <c r="AB1110" i="5"/>
  <c r="W1110" i="5"/>
  <c r="V1110" i="5"/>
  <c r="T1110" i="5"/>
  <c r="S1110" i="5"/>
  <c r="R1110" i="5"/>
  <c r="Y1110" i="5" s="1"/>
  <c r="Q1110" i="5"/>
  <c r="P1110" i="5"/>
  <c r="E1110" i="5"/>
  <c r="AD1109" i="5"/>
  <c r="X1109" i="5"/>
  <c r="U1109" i="5" s="1"/>
  <c r="W1109" i="5"/>
  <c r="V1109" i="5"/>
  <c r="S1109" i="5"/>
  <c r="R1109" i="5"/>
  <c r="Y1109" i="5" s="1"/>
  <c r="Q1109" i="5"/>
  <c r="P1109" i="5"/>
  <c r="E1109" i="5"/>
  <c r="AD1108" i="5"/>
  <c r="Y1108" i="5"/>
  <c r="W1108" i="5"/>
  <c r="V1108" i="5"/>
  <c r="S1108" i="5"/>
  <c r="R1108" i="5"/>
  <c r="X1108" i="5" s="1"/>
  <c r="Q1108" i="5"/>
  <c r="T1108" i="5" s="1"/>
  <c r="P1108" i="5"/>
  <c r="E1108" i="5"/>
  <c r="AD1107" i="5"/>
  <c r="Y1107" i="5"/>
  <c r="W1107" i="5"/>
  <c r="V1107" i="5"/>
  <c r="S1107" i="5"/>
  <c r="R1107" i="5"/>
  <c r="X1107" i="5" s="1"/>
  <c r="Q1107" i="5"/>
  <c r="T1107" i="5" s="1"/>
  <c r="P1107" i="5"/>
  <c r="E1107" i="5"/>
  <c r="AD1106" i="5"/>
  <c r="AB1106" i="5"/>
  <c r="W1106" i="5"/>
  <c r="V1106" i="5"/>
  <c r="S1106" i="5"/>
  <c r="R1106" i="5"/>
  <c r="Y1106" i="5" s="1"/>
  <c r="Q1106" i="5"/>
  <c r="P1106" i="5"/>
  <c r="T1106" i="5" s="1"/>
  <c r="E1106" i="5"/>
  <c r="AD1105" i="5"/>
  <c r="W1105" i="5"/>
  <c r="V1105" i="5"/>
  <c r="T1105" i="5"/>
  <c r="U1105" i="5" s="1"/>
  <c r="S1105" i="5"/>
  <c r="R1105" i="5"/>
  <c r="X1105" i="5" s="1"/>
  <c r="Q1105" i="5"/>
  <c r="P1105" i="5"/>
  <c r="E1105" i="5"/>
  <c r="AD1104" i="5"/>
  <c r="AB1104" i="5"/>
  <c r="Y1104" i="5"/>
  <c r="W1104" i="5"/>
  <c r="V1104" i="5"/>
  <c r="S1104" i="5"/>
  <c r="R1104" i="5"/>
  <c r="X1104" i="5" s="1"/>
  <c r="Q1104" i="5"/>
  <c r="T1104" i="5" s="1"/>
  <c r="P1104" i="5"/>
  <c r="E1104" i="5"/>
  <c r="AD1103" i="5"/>
  <c r="Y1103" i="5"/>
  <c r="W1103" i="5"/>
  <c r="V1103" i="5"/>
  <c r="S1103" i="5"/>
  <c r="R1103" i="5"/>
  <c r="X1103" i="5" s="1"/>
  <c r="Q1103" i="5"/>
  <c r="T1103" i="5" s="1"/>
  <c r="P1103" i="5"/>
  <c r="E1103" i="5"/>
  <c r="AD1102" i="5"/>
  <c r="AB1102" i="5"/>
  <c r="W1102" i="5"/>
  <c r="V1102" i="5"/>
  <c r="S1102" i="5"/>
  <c r="R1102" i="5"/>
  <c r="Y1102" i="5" s="1"/>
  <c r="Q1102" i="5"/>
  <c r="P1102" i="5"/>
  <c r="T1102" i="5" s="1"/>
  <c r="E1102" i="5"/>
  <c r="AD1101" i="5"/>
  <c r="X1101" i="5"/>
  <c r="U1101" i="5" s="1"/>
  <c r="Z1101" i="5" s="1"/>
  <c r="AE1101" i="5" s="1"/>
  <c r="W1101" i="5"/>
  <c r="V1101" i="5"/>
  <c r="S1101" i="5"/>
  <c r="AA1101" i="5" s="1"/>
  <c r="AC1101" i="5" s="1"/>
  <c r="R1101" i="5"/>
  <c r="Y1101" i="5" s="1"/>
  <c r="Q1101" i="5"/>
  <c r="P1101" i="5"/>
  <c r="E1101" i="5"/>
  <c r="AD1100" i="5"/>
  <c r="Y1100" i="5"/>
  <c r="W1100" i="5"/>
  <c r="V1100" i="5"/>
  <c r="S1100" i="5"/>
  <c r="R1100" i="5"/>
  <c r="X1100" i="5" s="1"/>
  <c r="Q1100" i="5"/>
  <c r="T1100" i="5" s="1"/>
  <c r="P1100" i="5"/>
  <c r="E1100" i="5"/>
  <c r="AD1099" i="5"/>
  <c r="Y1099" i="5"/>
  <c r="W1099" i="5"/>
  <c r="V1099" i="5"/>
  <c r="S1099" i="5"/>
  <c r="R1099" i="5"/>
  <c r="X1099" i="5" s="1"/>
  <c r="Q1099" i="5"/>
  <c r="P1099" i="5"/>
  <c r="T1099" i="5" s="1"/>
  <c r="E1099" i="5"/>
  <c r="AD1098" i="5"/>
  <c r="Y1098" i="5"/>
  <c r="W1098" i="5"/>
  <c r="V1098" i="5"/>
  <c r="S1098" i="5"/>
  <c r="R1098" i="5"/>
  <c r="X1098" i="5" s="1"/>
  <c r="Q1098" i="5"/>
  <c r="T1098" i="5" s="1"/>
  <c r="P1098" i="5"/>
  <c r="E1098" i="5"/>
  <c r="AD1097" i="5"/>
  <c r="AB1097" i="5"/>
  <c r="W1097" i="5"/>
  <c r="V1097" i="5"/>
  <c r="T1097" i="5"/>
  <c r="S1097" i="5"/>
  <c r="R1097" i="5"/>
  <c r="Y1097" i="5" s="1"/>
  <c r="Q1097" i="5"/>
  <c r="P1097" i="5"/>
  <c r="E1097" i="5"/>
  <c r="AD1096" i="5"/>
  <c r="W1096" i="5"/>
  <c r="V1096" i="5"/>
  <c r="S1096" i="5"/>
  <c r="R1096" i="5"/>
  <c r="Y1096" i="5" s="1"/>
  <c r="Q1096" i="5"/>
  <c r="P1096" i="5"/>
  <c r="T1096" i="5" s="1"/>
  <c r="E1096" i="5"/>
  <c r="AD1095" i="5"/>
  <c r="W1095" i="5"/>
  <c r="V1095" i="5"/>
  <c r="T1095" i="5"/>
  <c r="U1095" i="5" s="1"/>
  <c r="S1095" i="5"/>
  <c r="R1095" i="5"/>
  <c r="X1095" i="5" s="1"/>
  <c r="Q1095" i="5"/>
  <c r="P1095" i="5"/>
  <c r="E1095" i="5"/>
  <c r="AD1094" i="5"/>
  <c r="AB1094" i="5"/>
  <c r="AA1794" i="5" s="1"/>
  <c r="Y1094" i="5"/>
  <c r="W1094" i="5"/>
  <c r="V1094" i="5"/>
  <c r="S1094" i="5"/>
  <c r="R1094" i="5"/>
  <c r="X1094" i="5" s="1"/>
  <c r="Q1094" i="5"/>
  <c r="P1094" i="5"/>
  <c r="T1094" i="5" s="1"/>
  <c r="E1094" i="5"/>
  <c r="AD1093" i="5"/>
  <c r="Y1093" i="5"/>
  <c r="W1093" i="5"/>
  <c r="V1093" i="5"/>
  <c r="T1093" i="5"/>
  <c r="S1093" i="5"/>
  <c r="R1093" i="5"/>
  <c r="X1093" i="5" s="1"/>
  <c r="Q1093" i="5"/>
  <c r="P1093" i="5"/>
  <c r="E1093" i="5"/>
  <c r="AD1092" i="5"/>
  <c r="W1092" i="5"/>
  <c r="V1092" i="5"/>
  <c r="S1092" i="5"/>
  <c r="R1092" i="5"/>
  <c r="Y1092" i="5" s="1"/>
  <c r="Q1092" i="5"/>
  <c r="P1092" i="5"/>
  <c r="T1092" i="5" s="1"/>
  <c r="E1092" i="5"/>
  <c r="AD1091" i="5"/>
  <c r="Y1091" i="5"/>
  <c r="W1091" i="5"/>
  <c r="V1091" i="5"/>
  <c r="S1091" i="5"/>
  <c r="R1091" i="5"/>
  <c r="X1091" i="5" s="1"/>
  <c r="Q1091" i="5"/>
  <c r="P1091" i="5"/>
  <c r="T1091" i="5" s="1"/>
  <c r="E1091" i="5"/>
  <c r="AD1090" i="5"/>
  <c r="Y1090" i="5"/>
  <c r="W1090" i="5"/>
  <c r="V1090" i="5"/>
  <c r="T1090" i="5"/>
  <c r="U1090" i="5" s="1"/>
  <c r="S1090" i="5"/>
  <c r="R1090" i="5"/>
  <c r="X1090" i="5" s="1"/>
  <c r="Q1090" i="5"/>
  <c r="P1090" i="5"/>
  <c r="E1090" i="5"/>
  <c r="AD1089" i="5"/>
  <c r="AB1089" i="5"/>
  <c r="Y1089" i="5"/>
  <c r="W1089" i="5"/>
  <c r="V1089" i="5"/>
  <c r="S1089" i="5"/>
  <c r="R1089" i="5"/>
  <c r="X1089" i="5" s="1"/>
  <c r="Q1089" i="5"/>
  <c r="P1089" i="5"/>
  <c r="T1089" i="5" s="1"/>
  <c r="E1089" i="5"/>
  <c r="AD1088" i="5"/>
  <c r="W1088" i="5"/>
  <c r="V1088" i="5"/>
  <c r="S1088" i="5"/>
  <c r="R1088" i="5"/>
  <c r="X1088" i="5" s="1"/>
  <c r="Q1088" i="5"/>
  <c r="T1088" i="5" s="1"/>
  <c r="P1088" i="5"/>
  <c r="E1088" i="5"/>
  <c r="AD1087" i="5"/>
  <c r="AB1087" i="5"/>
  <c r="Y1087" i="5"/>
  <c r="W1087" i="5"/>
  <c r="V1087" i="5"/>
  <c r="S1087" i="5"/>
  <c r="R1087" i="5"/>
  <c r="X1087" i="5" s="1"/>
  <c r="Q1087" i="5"/>
  <c r="P1087" i="5"/>
  <c r="T1087" i="5" s="1"/>
  <c r="E1087" i="5"/>
  <c r="AD1086" i="5"/>
  <c r="Y1086" i="5"/>
  <c r="W1086" i="5"/>
  <c r="V1086" i="5"/>
  <c r="T1086" i="5"/>
  <c r="U1086" i="5" s="1"/>
  <c r="S1086" i="5"/>
  <c r="R1086" i="5"/>
  <c r="X1086" i="5" s="1"/>
  <c r="Q1086" i="5"/>
  <c r="P1086" i="5"/>
  <c r="E1086" i="5"/>
  <c r="AD1085" i="5"/>
  <c r="W1085" i="5"/>
  <c r="V1085" i="5"/>
  <c r="S1085" i="5"/>
  <c r="R1085" i="5"/>
  <c r="Y1085" i="5" s="1"/>
  <c r="Q1085" i="5"/>
  <c r="P1085" i="5"/>
  <c r="T1085" i="5" s="1"/>
  <c r="E1085" i="5"/>
  <c r="AD1084" i="5"/>
  <c r="Y1084" i="5"/>
  <c r="W1084" i="5"/>
  <c r="V1084" i="5"/>
  <c r="S1084" i="5"/>
  <c r="R1084" i="5"/>
  <c r="X1084" i="5" s="1"/>
  <c r="Q1084" i="5"/>
  <c r="P1084" i="5"/>
  <c r="T1084" i="5" s="1"/>
  <c r="E1084" i="5"/>
  <c r="AD1083" i="5"/>
  <c r="W1083" i="5"/>
  <c r="V1083" i="5"/>
  <c r="S1083" i="5"/>
  <c r="R1083" i="5"/>
  <c r="Y1083" i="5" s="1"/>
  <c r="Q1083" i="5"/>
  <c r="P1083" i="5"/>
  <c r="E1083" i="5"/>
  <c r="AD1082" i="5"/>
  <c r="X1082" i="5"/>
  <c r="U1082" i="5" s="1"/>
  <c r="W1082" i="5"/>
  <c r="V1082" i="5"/>
  <c r="S1082" i="5"/>
  <c r="R1082" i="5"/>
  <c r="Y1082" i="5" s="1"/>
  <c r="Q1082" i="5"/>
  <c r="P1082" i="5"/>
  <c r="E1082" i="5"/>
  <c r="AD1081" i="5"/>
  <c r="Y1081" i="5"/>
  <c r="W1081" i="5"/>
  <c r="V1081" i="5"/>
  <c r="T1081" i="5"/>
  <c r="S1081" i="5"/>
  <c r="R1081" i="5"/>
  <c r="X1081" i="5" s="1"/>
  <c r="Q1081" i="5"/>
  <c r="P1081" i="5"/>
  <c r="E1081" i="5"/>
  <c r="AD1080" i="5"/>
  <c r="W1080" i="5"/>
  <c r="V1080" i="5"/>
  <c r="S1080" i="5"/>
  <c r="R1080" i="5"/>
  <c r="Y1080" i="5" s="1"/>
  <c r="Q1080" i="5"/>
  <c r="P1080" i="5"/>
  <c r="T1080" i="5" s="1"/>
  <c r="E1080" i="5"/>
  <c r="AD1079" i="5"/>
  <c r="Y1079" i="5"/>
  <c r="W1079" i="5"/>
  <c r="V1079" i="5"/>
  <c r="S1079" i="5"/>
  <c r="R1079" i="5"/>
  <c r="X1079" i="5" s="1"/>
  <c r="Q1079" i="5"/>
  <c r="P1079" i="5"/>
  <c r="T1079" i="5" s="1"/>
  <c r="E1079" i="5"/>
  <c r="AD1078" i="5"/>
  <c r="Y1078" i="5"/>
  <c r="W1078" i="5"/>
  <c r="V1078" i="5"/>
  <c r="T1078" i="5"/>
  <c r="U1078" i="5" s="1"/>
  <c r="S1078" i="5"/>
  <c r="R1078" i="5"/>
  <c r="X1078" i="5" s="1"/>
  <c r="Q1078" i="5"/>
  <c r="P1078" i="5"/>
  <c r="E1078" i="5"/>
  <c r="AD1077" i="5"/>
  <c r="AB1077" i="5"/>
  <c r="Y1077" i="5"/>
  <c r="W1077" i="5"/>
  <c r="V1077" i="5"/>
  <c r="S1077" i="5"/>
  <c r="R1077" i="5"/>
  <c r="X1077" i="5" s="1"/>
  <c r="Q1077" i="5"/>
  <c r="P1077" i="5"/>
  <c r="T1077" i="5" s="1"/>
  <c r="E1077" i="5"/>
  <c r="AD1076" i="5"/>
  <c r="W1076" i="5"/>
  <c r="V1076" i="5"/>
  <c r="S1076" i="5"/>
  <c r="R1076" i="5"/>
  <c r="X1076" i="5" s="1"/>
  <c r="Q1076" i="5"/>
  <c r="T1076" i="5" s="1"/>
  <c r="P1076" i="5"/>
  <c r="E1076" i="5"/>
  <c r="AD1075" i="5"/>
  <c r="AB1075" i="5"/>
  <c r="Y1075" i="5"/>
  <c r="W1075" i="5"/>
  <c r="V1075" i="5"/>
  <c r="S1075" i="5"/>
  <c r="R1075" i="5"/>
  <c r="X1075" i="5" s="1"/>
  <c r="Q1075" i="5"/>
  <c r="P1075" i="5"/>
  <c r="T1075" i="5" s="1"/>
  <c r="E1075" i="5"/>
  <c r="AD1074" i="5"/>
  <c r="Y1074" i="5"/>
  <c r="W1074" i="5"/>
  <c r="V1074" i="5"/>
  <c r="T1074" i="5"/>
  <c r="S1074" i="5"/>
  <c r="R1074" i="5"/>
  <c r="X1074" i="5" s="1"/>
  <c r="Q1074" i="5"/>
  <c r="P1074" i="5"/>
  <c r="E1074" i="5"/>
  <c r="AD1073" i="5"/>
  <c r="W1073" i="5"/>
  <c r="V1073" i="5"/>
  <c r="S1073" i="5"/>
  <c r="R1073" i="5"/>
  <c r="Y1073" i="5" s="1"/>
  <c r="Q1073" i="5"/>
  <c r="P1073" i="5"/>
  <c r="T1073" i="5" s="1"/>
  <c r="E1073" i="5"/>
  <c r="AD1072" i="5"/>
  <c r="AB1072" i="5"/>
  <c r="W1072" i="5"/>
  <c r="V1072" i="5"/>
  <c r="S1072" i="5"/>
  <c r="R1072" i="5"/>
  <c r="X1072" i="5" s="1"/>
  <c r="Q1072" i="5"/>
  <c r="T1072" i="5" s="1"/>
  <c r="P1072" i="5"/>
  <c r="E1072" i="5"/>
  <c r="AD1071" i="5"/>
  <c r="W1071" i="5"/>
  <c r="V1071" i="5"/>
  <c r="T1071" i="5"/>
  <c r="S1071" i="5"/>
  <c r="R1071" i="5"/>
  <c r="Y1071" i="5" s="1"/>
  <c r="Q1071" i="5"/>
  <c r="P1071" i="5"/>
  <c r="E1071" i="5"/>
  <c r="AD1070" i="5"/>
  <c r="Y1070" i="5"/>
  <c r="W1070" i="5"/>
  <c r="V1070" i="5"/>
  <c r="S1070" i="5"/>
  <c r="R1070" i="5"/>
  <c r="X1070" i="5" s="1"/>
  <c r="Q1070" i="5"/>
  <c r="P1070" i="5"/>
  <c r="T1070" i="5" s="1"/>
  <c r="E1070" i="5"/>
  <c r="AD1069" i="5"/>
  <c r="W1069" i="5"/>
  <c r="V1069" i="5"/>
  <c r="S1069" i="5"/>
  <c r="R1069" i="5"/>
  <c r="X1069" i="5" s="1"/>
  <c r="Q1069" i="5"/>
  <c r="T1069" i="5" s="1"/>
  <c r="P1069" i="5"/>
  <c r="E1069" i="5"/>
  <c r="AD1068" i="5"/>
  <c r="AB1068" i="5"/>
  <c r="W1068" i="5"/>
  <c r="V1068" i="5"/>
  <c r="S1068" i="5"/>
  <c r="R1068" i="5"/>
  <c r="Y1068" i="5" s="1"/>
  <c r="Q1068" i="5"/>
  <c r="P1068" i="5"/>
  <c r="E1068" i="5"/>
  <c r="AD1067" i="5"/>
  <c r="Y1067" i="5"/>
  <c r="W1067" i="5"/>
  <c r="V1067" i="5"/>
  <c r="S1067" i="5"/>
  <c r="R1067" i="5"/>
  <c r="X1067" i="5" s="1"/>
  <c r="Q1067" i="5"/>
  <c r="P1067" i="5"/>
  <c r="T1067" i="5" s="1"/>
  <c r="E1067" i="5"/>
  <c r="AD1066" i="5"/>
  <c r="W1066" i="5"/>
  <c r="V1066" i="5"/>
  <c r="S1066" i="5"/>
  <c r="R1066" i="5"/>
  <c r="X1066" i="5" s="1"/>
  <c r="Q1066" i="5"/>
  <c r="T1066" i="5" s="1"/>
  <c r="P1066" i="5"/>
  <c r="E1066" i="5"/>
  <c r="AD1065" i="5"/>
  <c r="AB1065" i="5"/>
  <c r="Y1065" i="5"/>
  <c r="W1065" i="5"/>
  <c r="V1065" i="5"/>
  <c r="S1065" i="5"/>
  <c r="R1065" i="5"/>
  <c r="X1065" i="5" s="1"/>
  <c r="Q1065" i="5"/>
  <c r="P1065" i="5"/>
  <c r="T1065" i="5" s="1"/>
  <c r="E1065" i="5"/>
  <c r="AD1064" i="5"/>
  <c r="Y1064" i="5"/>
  <c r="W1064" i="5"/>
  <c r="V1064" i="5"/>
  <c r="T1064" i="5"/>
  <c r="U1064" i="5" s="1"/>
  <c r="S1064" i="5"/>
  <c r="R1064" i="5"/>
  <c r="X1064" i="5" s="1"/>
  <c r="Q1064" i="5"/>
  <c r="P1064" i="5"/>
  <c r="E1064" i="5"/>
  <c r="AD1063" i="5"/>
  <c r="W1063" i="5"/>
  <c r="V1063" i="5"/>
  <c r="S1063" i="5"/>
  <c r="R1063" i="5"/>
  <c r="Y1063" i="5" s="1"/>
  <c r="Q1063" i="5"/>
  <c r="P1063" i="5"/>
  <c r="T1063" i="5" s="1"/>
  <c r="E1063" i="5"/>
  <c r="AD1062" i="5"/>
  <c r="Y1062" i="5"/>
  <c r="W1062" i="5"/>
  <c r="V1062" i="5"/>
  <c r="S1062" i="5"/>
  <c r="R1062" i="5"/>
  <c r="X1062" i="5" s="1"/>
  <c r="Q1062" i="5"/>
  <c r="P1062" i="5"/>
  <c r="T1062" i="5" s="1"/>
  <c r="E1062" i="5"/>
  <c r="AD1061" i="5"/>
  <c r="AB1061" i="5"/>
  <c r="X1061" i="5"/>
  <c r="W1061" i="5"/>
  <c r="V1061" i="5"/>
  <c r="U1061" i="5"/>
  <c r="S1061" i="5"/>
  <c r="R1061" i="5"/>
  <c r="Y1061" i="5" s="1"/>
  <c r="Q1061" i="5"/>
  <c r="P1061" i="5"/>
  <c r="E1061" i="5"/>
  <c r="AD1060" i="5"/>
  <c r="W1060" i="5"/>
  <c r="V1060" i="5"/>
  <c r="S1060" i="5"/>
  <c r="R1060" i="5"/>
  <c r="Y1060" i="5" s="1"/>
  <c r="Q1060" i="5"/>
  <c r="P1060" i="5"/>
  <c r="T1060" i="5" s="1"/>
  <c r="E1060" i="5"/>
  <c r="AD1059" i="5"/>
  <c r="Y1059" i="5"/>
  <c r="W1059" i="5"/>
  <c r="V1059" i="5"/>
  <c r="S1059" i="5"/>
  <c r="R1059" i="5"/>
  <c r="X1059" i="5" s="1"/>
  <c r="Q1059" i="5"/>
  <c r="P1059" i="5"/>
  <c r="T1059" i="5" s="1"/>
  <c r="E1059" i="5"/>
  <c r="AD1058" i="5"/>
  <c r="Y1058" i="5"/>
  <c r="W1058" i="5"/>
  <c r="V1058" i="5"/>
  <c r="T1058" i="5"/>
  <c r="S1058" i="5"/>
  <c r="R1058" i="5"/>
  <c r="X1058" i="5" s="1"/>
  <c r="Q1058" i="5"/>
  <c r="P1058" i="5"/>
  <c r="E1058" i="5"/>
  <c r="AD1057" i="5"/>
  <c r="W1057" i="5"/>
  <c r="V1057" i="5"/>
  <c r="S1057" i="5"/>
  <c r="R1057" i="5"/>
  <c r="Y1057" i="5" s="1"/>
  <c r="Q1057" i="5"/>
  <c r="P1057" i="5"/>
  <c r="T1057" i="5" s="1"/>
  <c r="E1057" i="5"/>
  <c r="AD1056" i="5"/>
  <c r="Y1056" i="5"/>
  <c r="W1056" i="5"/>
  <c r="V1056" i="5"/>
  <c r="S1056" i="5"/>
  <c r="R1056" i="5"/>
  <c r="X1056" i="5" s="1"/>
  <c r="Q1056" i="5"/>
  <c r="P1056" i="5"/>
  <c r="T1056" i="5" s="1"/>
  <c r="E1056" i="5"/>
  <c r="AD1055" i="5"/>
  <c r="Y1055" i="5"/>
  <c r="W1055" i="5"/>
  <c r="V1055" i="5"/>
  <c r="T1055" i="5"/>
  <c r="U1055" i="5" s="1"/>
  <c r="S1055" i="5"/>
  <c r="R1055" i="5"/>
  <c r="X1055" i="5" s="1"/>
  <c r="Q1055" i="5"/>
  <c r="P1055" i="5"/>
  <c r="E1055" i="5"/>
  <c r="AD1054" i="5"/>
  <c r="W1054" i="5"/>
  <c r="V1054" i="5"/>
  <c r="S1054" i="5"/>
  <c r="R1054" i="5"/>
  <c r="Y1054" i="5" s="1"/>
  <c r="Q1054" i="5"/>
  <c r="P1054" i="5"/>
  <c r="T1054" i="5" s="1"/>
  <c r="E1054" i="5"/>
  <c r="AD1053" i="5"/>
  <c r="Y1053" i="5"/>
  <c r="W1053" i="5"/>
  <c r="V1053" i="5"/>
  <c r="S1053" i="5"/>
  <c r="R1053" i="5"/>
  <c r="X1053" i="5" s="1"/>
  <c r="Q1053" i="5"/>
  <c r="P1053" i="5"/>
  <c r="T1053" i="5" s="1"/>
  <c r="E1053" i="5"/>
  <c r="AD1052" i="5"/>
  <c r="Y1052" i="5"/>
  <c r="W1052" i="5"/>
  <c r="V1052" i="5"/>
  <c r="T1052" i="5"/>
  <c r="S1052" i="5"/>
  <c r="R1052" i="5"/>
  <c r="X1052" i="5" s="1"/>
  <c r="Q1052" i="5"/>
  <c r="P1052" i="5"/>
  <c r="E1052" i="5"/>
  <c r="AD1051" i="5"/>
  <c r="W1051" i="5"/>
  <c r="V1051" i="5"/>
  <c r="S1051" i="5"/>
  <c r="R1051" i="5"/>
  <c r="Y1051" i="5" s="1"/>
  <c r="Q1051" i="5"/>
  <c r="P1051" i="5"/>
  <c r="T1051" i="5" s="1"/>
  <c r="E1051" i="5"/>
  <c r="AD1050" i="5"/>
  <c r="AB1050" i="5"/>
  <c r="W1050" i="5"/>
  <c r="V1050" i="5"/>
  <c r="S1050" i="5"/>
  <c r="R1050" i="5"/>
  <c r="X1050" i="5" s="1"/>
  <c r="Q1050" i="5"/>
  <c r="T1050" i="5" s="1"/>
  <c r="P1050" i="5"/>
  <c r="E1050" i="5"/>
  <c r="AD1049" i="5"/>
  <c r="W1049" i="5"/>
  <c r="V1049" i="5"/>
  <c r="T1049" i="5"/>
  <c r="S1049" i="5"/>
  <c r="R1049" i="5"/>
  <c r="Y1049" i="5" s="1"/>
  <c r="Q1049" i="5"/>
  <c r="P1049" i="5"/>
  <c r="E1049" i="5"/>
  <c r="AD1048" i="5"/>
  <c r="AB1048" i="5"/>
  <c r="Y1048" i="5"/>
  <c r="W1048" i="5"/>
  <c r="V1048" i="5"/>
  <c r="T1048" i="5"/>
  <c r="S1048" i="5"/>
  <c r="R1048" i="5"/>
  <c r="X1048" i="5" s="1"/>
  <c r="Q1048" i="5"/>
  <c r="P1048" i="5"/>
  <c r="E1048" i="5"/>
  <c r="AD1047" i="5"/>
  <c r="W1047" i="5"/>
  <c r="V1047" i="5"/>
  <c r="S1047" i="5"/>
  <c r="R1047" i="5"/>
  <c r="Y1047" i="5" s="1"/>
  <c r="Q1047" i="5"/>
  <c r="P1047" i="5"/>
  <c r="T1047" i="5" s="1"/>
  <c r="E1047" i="5"/>
  <c r="AD1046" i="5"/>
  <c r="Y1046" i="5"/>
  <c r="W1046" i="5"/>
  <c r="V1046" i="5"/>
  <c r="S1046" i="5"/>
  <c r="R1046" i="5"/>
  <c r="X1046" i="5" s="1"/>
  <c r="Q1046" i="5"/>
  <c r="P1046" i="5"/>
  <c r="T1046" i="5" s="1"/>
  <c r="E1046" i="5"/>
  <c r="AD1045" i="5"/>
  <c r="AB1045" i="5"/>
  <c r="W1045" i="5"/>
  <c r="V1045" i="5"/>
  <c r="T1045" i="5"/>
  <c r="S1045" i="5"/>
  <c r="R1045" i="5"/>
  <c r="Y1045" i="5" s="1"/>
  <c r="Q1045" i="5"/>
  <c r="P1045" i="5"/>
  <c r="E1045" i="5"/>
  <c r="AD1044" i="5"/>
  <c r="Y1044" i="5"/>
  <c r="W1044" i="5"/>
  <c r="V1044" i="5"/>
  <c r="S1044" i="5"/>
  <c r="R1044" i="5"/>
  <c r="X1044" i="5" s="1"/>
  <c r="Q1044" i="5"/>
  <c r="P1044" i="5"/>
  <c r="T1044" i="5" s="1"/>
  <c r="E1044" i="5"/>
  <c r="AD1043" i="5"/>
  <c r="AB1043" i="5"/>
  <c r="W1043" i="5"/>
  <c r="V1043" i="5"/>
  <c r="S1043" i="5"/>
  <c r="R1043" i="5"/>
  <c r="Y1043" i="5" s="1"/>
  <c r="Q1043" i="5"/>
  <c r="P1043" i="5"/>
  <c r="T1043" i="5" s="1"/>
  <c r="E1043" i="5"/>
  <c r="AD1042" i="5"/>
  <c r="Y1042" i="5"/>
  <c r="W1042" i="5"/>
  <c r="V1042" i="5"/>
  <c r="S1042" i="5"/>
  <c r="R1042" i="5"/>
  <c r="X1042" i="5" s="1"/>
  <c r="Q1042" i="5"/>
  <c r="P1042" i="5"/>
  <c r="T1042" i="5" s="1"/>
  <c r="E1042" i="5"/>
  <c r="AD1041" i="5"/>
  <c r="Y1041" i="5"/>
  <c r="W1041" i="5"/>
  <c r="V1041" i="5"/>
  <c r="T1041" i="5"/>
  <c r="U1041" i="5" s="1"/>
  <c r="S1041" i="5"/>
  <c r="R1041" i="5"/>
  <c r="X1041" i="5" s="1"/>
  <c r="Q1041" i="5"/>
  <c r="P1041" i="5"/>
  <c r="E1041" i="5"/>
  <c r="AD1040" i="5"/>
  <c r="W1040" i="5"/>
  <c r="V1040" i="5"/>
  <c r="S1040" i="5"/>
  <c r="R1040" i="5"/>
  <c r="Y1040" i="5" s="1"/>
  <c r="Q1040" i="5"/>
  <c r="P1040" i="5"/>
  <c r="T1040" i="5" s="1"/>
  <c r="E1040" i="5"/>
  <c r="AD1039" i="5"/>
  <c r="Y1039" i="5"/>
  <c r="W1039" i="5"/>
  <c r="V1039" i="5"/>
  <c r="S1039" i="5"/>
  <c r="R1039" i="5"/>
  <c r="X1039" i="5" s="1"/>
  <c r="Q1039" i="5"/>
  <c r="P1039" i="5"/>
  <c r="T1039" i="5" s="1"/>
  <c r="E1039" i="5"/>
  <c r="AD1038" i="5"/>
  <c r="AB1038" i="5"/>
  <c r="W1038" i="5"/>
  <c r="V1038" i="5"/>
  <c r="T1038" i="5"/>
  <c r="S1038" i="5"/>
  <c r="R1038" i="5"/>
  <c r="Y1038" i="5" s="1"/>
  <c r="Q1038" i="5"/>
  <c r="P1038" i="5"/>
  <c r="E1038" i="5"/>
  <c r="AD1037" i="5"/>
  <c r="Y1037" i="5"/>
  <c r="W1037" i="5"/>
  <c r="V1037" i="5"/>
  <c r="S1037" i="5"/>
  <c r="R1037" i="5"/>
  <c r="X1037" i="5" s="1"/>
  <c r="Q1037" i="5"/>
  <c r="P1037" i="5"/>
  <c r="T1037" i="5" s="1"/>
  <c r="E1037" i="5"/>
  <c r="AD1036" i="5"/>
  <c r="AB1036" i="5"/>
  <c r="W1036" i="5"/>
  <c r="V1036" i="5"/>
  <c r="S1036" i="5"/>
  <c r="R1036" i="5"/>
  <c r="Y1036" i="5" s="1"/>
  <c r="Q1036" i="5"/>
  <c r="P1036" i="5"/>
  <c r="T1036" i="5" s="1"/>
  <c r="E1036" i="5"/>
  <c r="AD1035" i="5"/>
  <c r="Y1035" i="5"/>
  <c r="W1035" i="5"/>
  <c r="V1035" i="5"/>
  <c r="S1035" i="5"/>
  <c r="R1035" i="5"/>
  <c r="X1035" i="5" s="1"/>
  <c r="Q1035" i="5"/>
  <c r="P1035" i="5"/>
  <c r="T1035" i="5" s="1"/>
  <c r="E1035" i="5"/>
  <c r="AD1034" i="5"/>
  <c r="Y1034" i="5"/>
  <c r="W1034" i="5"/>
  <c r="V1034" i="5"/>
  <c r="T1034" i="5"/>
  <c r="S1034" i="5"/>
  <c r="R1034" i="5"/>
  <c r="X1034" i="5" s="1"/>
  <c r="Q1034" i="5"/>
  <c r="P1034" i="5"/>
  <c r="E1034" i="5"/>
  <c r="AD1033" i="5"/>
  <c r="X1033" i="5"/>
  <c r="W1033" i="5"/>
  <c r="V1033" i="5"/>
  <c r="S1033" i="5"/>
  <c r="R1033" i="5"/>
  <c r="Y1033" i="5" s="1"/>
  <c r="Q1033" i="5"/>
  <c r="P1033" i="5"/>
  <c r="T1033" i="5" s="1"/>
  <c r="E1033" i="5"/>
  <c r="AD1032" i="5"/>
  <c r="AB1032" i="5"/>
  <c r="W1032" i="5"/>
  <c r="V1032" i="5"/>
  <c r="S1032" i="5"/>
  <c r="R1032" i="5"/>
  <c r="X1032" i="5" s="1"/>
  <c r="Q1032" i="5"/>
  <c r="T1032" i="5" s="1"/>
  <c r="P1032" i="5"/>
  <c r="E1032" i="5"/>
  <c r="AD1031" i="5"/>
  <c r="W1031" i="5"/>
  <c r="V1031" i="5"/>
  <c r="T1031" i="5"/>
  <c r="S1031" i="5"/>
  <c r="R1031" i="5"/>
  <c r="Y1031" i="5" s="1"/>
  <c r="Q1031" i="5"/>
  <c r="P1031" i="5"/>
  <c r="E1031" i="5"/>
  <c r="AD1030" i="5"/>
  <c r="Y1030" i="5"/>
  <c r="W1030" i="5"/>
  <c r="V1030" i="5"/>
  <c r="S1030" i="5"/>
  <c r="R1030" i="5"/>
  <c r="X1030" i="5" s="1"/>
  <c r="Q1030" i="5"/>
  <c r="P1030" i="5"/>
  <c r="T1030" i="5" s="1"/>
  <c r="E1030" i="5"/>
  <c r="AD1029" i="5"/>
  <c r="W1029" i="5"/>
  <c r="V1029" i="5"/>
  <c r="S1029" i="5"/>
  <c r="R1029" i="5"/>
  <c r="X1029" i="5" s="1"/>
  <c r="Q1029" i="5"/>
  <c r="T1029" i="5" s="1"/>
  <c r="P1029" i="5"/>
  <c r="E1029" i="5"/>
  <c r="AD1028" i="5"/>
  <c r="AB1028" i="5"/>
  <c r="Y1028" i="5"/>
  <c r="W1028" i="5"/>
  <c r="V1028" i="5"/>
  <c r="S1028" i="5"/>
  <c r="R1028" i="5"/>
  <c r="X1028" i="5" s="1"/>
  <c r="Q1028" i="5"/>
  <c r="P1028" i="5"/>
  <c r="T1028" i="5" s="1"/>
  <c r="E1028" i="5"/>
  <c r="AD1027" i="5"/>
  <c r="Y1027" i="5"/>
  <c r="W1027" i="5"/>
  <c r="V1027" i="5"/>
  <c r="T1027" i="5"/>
  <c r="S1027" i="5"/>
  <c r="R1027" i="5"/>
  <c r="X1027" i="5" s="1"/>
  <c r="Q1027" i="5"/>
  <c r="P1027" i="5"/>
  <c r="E1027" i="5"/>
  <c r="AD1026" i="5"/>
  <c r="X1026" i="5"/>
  <c r="W1026" i="5"/>
  <c r="V1026" i="5"/>
  <c r="S1026" i="5"/>
  <c r="R1026" i="5"/>
  <c r="Y1026" i="5" s="1"/>
  <c r="Q1026" i="5"/>
  <c r="P1026" i="5"/>
  <c r="T1026" i="5" s="1"/>
  <c r="E1026" i="5"/>
  <c r="AD1025" i="5"/>
  <c r="Y1025" i="5"/>
  <c r="W1025" i="5"/>
  <c r="V1025" i="5"/>
  <c r="S1025" i="5"/>
  <c r="R1025" i="5"/>
  <c r="X1025" i="5" s="1"/>
  <c r="Q1025" i="5"/>
  <c r="P1025" i="5"/>
  <c r="T1025" i="5" s="1"/>
  <c r="E1025" i="5"/>
  <c r="AD1024" i="5"/>
  <c r="Y1024" i="5"/>
  <c r="W1024" i="5"/>
  <c r="V1024" i="5"/>
  <c r="T1024" i="5"/>
  <c r="U1024" i="5" s="1"/>
  <c r="S1024" i="5"/>
  <c r="R1024" i="5"/>
  <c r="X1024" i="5" s="1"/>
  <c r="Q1024" i="5"/>
  <c r="P1024" i="5"/>
  <c r="E1024" i="5"/>
  <c r="AD1023" i="5"/>
  <c r="W1023" i="5"/>
  <c r="V1023" i="5"/>
  <c r="S1023" i="5"/>
  <c r="R1023" i="5"/>
  <c r="Y1023" i="5" s="1"/>
  <c r="Q1023" i="5"/>
  <c r="P1023" i="5"/>
  <c r="T1023" i="5" s="1"/>
  <c r="E1023" i="5"/>
  <c r="AD1022" i="5"/>
  <c r="W1022" i="5"/>
  <c r="V1022" i="5"/>
  <c r="S1022" i="5"/>
  <c r="R1022" i="5"/>
  <c r="Y1022" i="5" s="1"/>
  <c r="Q1022" i="5"/>
  <c r="P1022" i="5"/>
  <c r="E1022" i="5"/>
  <c r="AD1021" i="5"/>
  <c r="Y1021" i="5"/>
  <c r="W1021" i="5"/>
  <c r="V1021" i="5"/>
  <c r="S1021" i="5"/>
  <c r="R1021" i="5"/>
  <c r="X1021" i="5" s="1"/>
  <c r="Q1021" i="5"/>
  <c r="P1021" i="5"/>
  <c r="T1021" i="5" s="1"/>
  <c r="E1021" i="5"/>
  <c r="AD1020" i="5"/>
  <c r="AB1020" i="5"/>
  <c r="W1020" i="5"/>
  <c r="V1020" i="5"/>
  <c r="S1020" i="5"/>
  <c r="R1020" i="5"/>
  <c r="Y1020" i="5" s="1"/>
  <c r="Q1020" i="5"/>
  <c r="P1020" i="5"/>
  <c r="T1020" i="5" s="1"/>
  <c r="E1020" i="5"/>
  <c r="AD1019" i="5"/>
  <c r="Y1019" i="5"/>
  <c r="W1019" i="5"/>
  <c r="V1019" i="5"/>
  <c r="S1019" i="5"/>
  <c r="R1019" i="5"/>
  <c r="X1019" i="5" s="1"/>
  <c r="Q1019" i="5"/>
  <c r="P1019" i="5"/>
  <c r="T1019" i="5" s="1"/>
  <c r="E1019" i="5"/>
  <c r="AD1018" i="5"/>
  <c r="W1018" i="5"/>
  <c r="V1018" i="5"/>
  <c r="S1018" i="5"/>
  <c r="R1018" i="5"/>
  <c r="Y1018" i="5" s="1"/>
  <c r="Q1018" i="5"/>
  <c r="P1018" i="5"/>
  <c r="E1018" i="5"/>
  <c r="AD1017" i="5"/>
  <c r="AB1017" i="5"/>
  <c r="X1017" i="5"/>
  <c r="W1017" i="5"/>
  <c r="V1017" i="5"/>
  <c r="S1017" i="5"/>
  <c r="R1017" i="5"/>
  <c r="Y1017" i="5" s="1"/>
  <c r="Q1017" i="5"/>
  <c r="P1017" i="5"/>
  <c r="T1017" i="5" s="1"/>
  <c r="E1017" i="5"/>
  <c r="AD1016" i="5"/>
  <c r="AB1016" i="5"/>
  <c r="W1016" i="5"/>
  <c r="V1016" i="5"/>
  <c r="S1016" i="5"/>
  <c r="R1016" i="5"/>
  <c r="X1016" i="5" s="1"/>
  <c r="Q1016" i="5"/>
  <c r="T1016" i="5" s="1"/>
  <c r="P1016" i="5"/>
  <c r="E1016" i="5"/>
  <c r="AD1015" i="5"/>
  <c r="W1015" i="5"/>
  <c r="V1015" i="5"/>
  <c r="T1015" i="5"/>
  <c r="S1015" i="5"/>
  <c r="R1015" i="5"/>
  <c r="Y1015" i="5" s="1"/>
  <c r="Q1015" i="5"/>
  <c r="P1015" i="5"/>
  <c r="E1015" i="5"/>
  <c r="AD1014" i="5"/>
  <c r="Y1014" i="5"/>
  <c r="W1014" i="5"/>
  <c r="V1014" i="5"/>
  <c r="S1014" i="5"/>
  <c r="R1014" i="5"/>
  <c r="X1014" i="5" s="1"/>
  <c r="Q1014" i="5"/>
  <c r="P1014" i="5"/>
  <c r="T1014" i="5" s="1"/>
  <c r="E1014" i="5"/>
  <c r="AD1013" i="5"/>
  <c r="AB1013" i="5"/>
  <c r="W1013" i="5"/>
  <c r="V1013" i="5"/>
  <c r="S1013" i="5"/>
  <c r="R1013" i="5"/>
  <c r="Y1013" i="5" s="1"/>
  <c r="Q1013" i="5"/>
  <c r="P1013" i="5"/>
  <c r="T1013" i="5" s="1"/>
  <c r="E1013" i="5"/>
  <c r="AD1012" i="5"/>
  <c r="Y1012" i="5"/>
  <c r="W1012" i="5"/>
  <c r="V1012" i="5"/>
  <c r="S1012" i="5"/>
  <c r="R1012" i="5"/>
  <c r="X1012" i="5" s="1"/>
  <c r="Q1012" i="5"/>
  <c r="P1012" i="5"/>
  <c r="T1012" i="5" s="1"/>
  <c r="E1012" i="5"/>
  <c r="AD1011" i="5"/>
  <c r="AB1011" i="5"/>
  <c r="W1011" i="5"/>
  <c r="V1011" i="5"/>
  <c r="T1011" i="5"/>
  <c r="S1011" i="5"/>
  <c r="R1011" i="5"/>
  <c r="Y1011" i="5" s="1"/>
  <c r="Q1011" i="5"/>
  <c r="P1011" i="5"/>
  <c r="E1011" i="5"/>
  <c r="AD1010" i="5"/>
  <c r="Y1010" i="5"/>
  <c r="W1010" i="5"/>
  <c r="V1010" i="5"/>
  <c r="S1010" i="5"/>
  <c r="R1010" i="5"/>
  <c r="X1010" i="5" s="1"/>
  <c r="Q1010" i="5"/>
  <c r="P1010" i="5"/>
  <c r="T1010" i="5" s="1"/>
  <c r="E1010" i="5"/>
  <c r="AD1009" i="5"/>
  <c r="W1009" i="5"/>
  <c r="V1009" i="5"/>
  <c r="S1009" i="5"/>
  <c r="R1009" i="5"/>
  <c r="X1009" i="5" s="1"/>
  <c r="Q1009" i="5"/>
  <c r="T1009" i="5" s="1"/>
  <c r="P1009" i="5"/>
  <c r="E1009" i="5"/>
  <c r="AD1008" i="5"/>
  <c r="AB1008" i="5"/>
  <c r="Y1008" i="5"/>
  <c r="W1008" i="5"/>
  <c r="V1008" i="5"/>
  <c r="S1008" i="5"/>
  <c r="R1008" i="5"/>
  <c r="X1008" i="5" s="1"/>
  <c r="Q1008" i="5"/>
  <c r="P1008" i="5"/>
  <c r="T1008" i="5" s="1"/>
  <c r="E1008" i="5"/>
  <c r="AD1007" i="5"/>
  <c r="Y1007" i="5"/>
  <c r="W1007" i="5"/>
  <c r="V1007" i="5"/>
  <c r="T1007" i="5"/>
  <c r="S1007" i="5"/>
  <c r="R1007" i="5"/>
  <c r="X1007" i="5" s="1"/>
  <c r="Q1007" i="5"/>
  <c r="P1007" i="5"/>
  <c r="E1007" i="5"/>
  <c r="AD1006" i="5"/>
  <c r="X1006" i="5"/>
  <c r="W1006" i="5"/>
  <c r="V1006" i="5"/>
  <c r="S1006" i="5"/>
  <c r="R1006" i="5"/>
  <c r="Y1006" i="5" s="1"/>
  <c r="Q1006" i="5"/>
  <c r="P1006" i="5"/>
  <c r="T1006" i="5" s="1"/>
  <c r="E1006" i="5"/>
  <c r="AD1005" i="5"/>
  <c r="AB1005" i="5"/>
  <c r="W1005" i="5"/>
  <c r="V1005" i="5"/>
  <c r="S1005" i="5"/>
  <c r="R1005" i="5"/>
  <c r="X1005" i="5" s="1"/>
  <c r="Q1005" i="5"/>
  <c r="T1005" i="5" s="1"/>
  <c r="P1005" i="5"/>
  <c r="E1005" i="5"/>
  <c r="AD1004" i="5"/>
  <c r="W1004" i="5"/>
  <c r="V1004" i="5"/>
  <c r="T1004" i="5"/>
  <c r="S1004" i="5"/>
  <c r="R1004" i="5"/>
  <c r="Y1004" i="5" s="1"/>
  <c r="Q1004" i="5"/>
  <c r="P1004" i="5"/>
  <c r="E1004" i="5"/>
  <c r="AD1003" i="5"/>
  <c r="Y1003" i="5"/>
  <c r="W1003" i="5"/>
  <c r="V1003" i="5"/>
  <c r="S1003" i="5"/>
  <c r="R1003" i="5"/>
  <c r="X1003" i="5" s="1"/>
  <c r="Q1003" i="5"/>
  <c r="P1003" i="5"/>
  <c r="T1003" i="5" s="1"/>
  <c r="E1003" i="5"/>
  <c r="AD1002" i="5"/>
  <c r="W1002" i="5"/>
  <c r="V1002" i="5"/>
  <c r="S1002" i="5"/>
  <c r="R1002" i="5"/>
  <c r="X1002" i="5" s="1"/>
  <c r="Q1002" i="5"/>
  <c r="T1002" i="5" s="1"/>
  <c r="P1002" i="5"/>
  <c r="E1002" i="5"/>
  <c r="AD1001" i="5"/>
  <c r="X1001" i="5"/>
  <c r="W1001" i="5"/>
  <c r="V1001" i="5"/>
  <c r="U1001" i="5"/>
  <c r="Z1001" i="5" s="1"/>
  <c r="AE1001" i="5" s="1"/>
  <c r="S1001" i="5"/>
  <c r="R1001" i="5"/>
  <c r="Y1001" i="5" s="1"/>
  <c r="Q1001" i="5"/>
  <c r="P1001" i="5"/>
  <c r="E1001" i="5"/>
  <c r="AD1000" i="5"/>
  <c r="W1000" i="5"/>
  <c r="V1000" i="5"/>
  <c r="S1000" i="5"/>
  <c r="R1000" i="5"/>
  <c r="Y1000" i="5" s="1"/>
  <c r="Q1000" i="5"/>
  <c r="P1000" i="5"/>
  <c r="T1000" i="5" s="1"/>
  <c r="E1000" i="5"/>
  <c r="AD999" i="5"/>
  <c r="AB999" i="5"/>
  <c r="W999" i="5"/>
  <c r="V999" i="5"/>
  <c r="S999" i="5"/>
  <c r="R999" i="5"/>
  <c r="X999" i="5" s="1"/>
  <c r="Q999" i="5"/>
  <c r="T999" i="5" s="1"/>
  <c r="P999" i="5"/>
  <c r="E999" i="5"/>
  <c r="AD998" i="5"/>
  <c r="W998" i="5"/>
  <c r="V998" i="5"/>
  <c r="T998" i="5"/>
  <c r="S998" i="5"/>
  <c r="R998" i="5"/>
  <c r="Y998" i="5" s="1"/>
  <c r="Q998" i="5"/>
  <c r="P998" i="5"/>
  <c r="E998" i="5"/>
  <c r="AD997" i="5"/>
  <c r="Y997" i="5"/>
  <c r="W997" i="5"/>
  <c r="V997" i="5"/>
  <c r="S997" i="5"/>
  <c r="R997" i="5"/>
  <c r="X997" i="5" s="1"/>
  <c r="Q997" i="5"/>
  <c r="P997" i="5"/>
  <c r="T997" i="5" s="1"/>
  <c r="E997" i="5"/>
  <c r="AD996" i="5"/>
  <c r="AB996" i="5"/>
  <c r="X996" i="5"/>
  <c r="W996" i="5"/>
  <c r="V996" i="5"/>
  <c r="S996" i="5"/>
  <c r="R996" i="5"/>
  <c r="Y996" i="5" s="1"/>
  <c r="Q996" i="5"/>
  <c r="P996" i="5"/>
  <c r="T996" i="5" s="1"/>
  <c r="E996" i="5"/>
  <c r="AD995" i="5"/>
  <c r="Y995" i="5"/>
  <c r="W995" i="5"/>
  <c r="V995" i="5"/>
  <c r="S995" i="5"/>
  <c r="R995" i="5"/>
  <c r="X995" i="5" s="1"/>
  <c r="Q995" i="5"/>
  <c r="P995" i="5"/>
  <c r="T995" i="5" s="1"/>
  <c r="E995" i="5"/>
  <c r="AD994" i="5"/>
  <c r="Y994" i="5"/>
  <c r="W994" i="5"/>
  <c r="V994" i="5"/>
  <c r="T994" i="5"/>
  <c r="S994" i="5"/>
  <c r="R994" i="5"/>
  <c r="X994" i="5" s="1"/>
  <c r="Q994" i="5"/>
  <c r="P994" i="5"/>
  <c r="E994" i="5"/>
  <c r="AD993" i="5"/>
  <c r="X993" i="5"/>
  <c r="W993" i="5"/>
  <c r="V993" i="5"/>
  <c r="S993" i="5"/>
  <c r="R993" i="5"/>
  <c r="Y993" i="5" s="1"/>
  <c r="Q993" i="5"/>
  <c r="P993" i="5"/>
  <c r="T993" i="5" s="1"/>
  <c r="E993" i="5"/>
  <c r="AD992" i="5"/>
  <c r="Y992" i="5"/>
  <c r="W992" i="5"/>
  <c r="V992" i="5"/>
  <c r="S992" i="5"/>
  <c r="R992" i="5"/>
  <c r="X992" i="5" s="1"/>
  <c r="Q992" i="5"/>
  <c r="P992" i="5"/>
  <c r="T992" i="5" s="1"/>
  <c r="E992" i="5"/>
  <c r="AD991" i="5"/>
  <c r="Y991" i="5"/>
  <c r="W991" i="5"/>
  <c r="V991" i="5"/>
  <c r="T991" i="5"/>
  <c r="U991" i="5" s="1"/>
  <c r="S991" i="5"/>
  <c r="R991" i="5"/>
  <c r="X991" i="5" s="1"/>
  <c r="Q991" i="5"/>
  <c r="P991" i="5"/>
  <c r="E991" i="5"/>
  <c r="AD990" i="5"/>
  <c r="W990" i="5"/>
  <c r="V990" i="5"/>
  <c r="S990" i="5"/>
  <c r="R990" i="5"/>
  <c r="Y990" i="5" s="1"/>
  <c r="Q990" i="5"/>
  <c r="P990" i="5"/>
  <c r="T990" i="5" s="1"/>
  <c r="E990" i="5"/>
  <c r="AD989" i="5"/>
  <c r="AB989" i="5"/>
  <c r="W989" i="5"/>
  <c r="V989" i="5"/>
  <c r="S989" i="5"/>
  <c r="R989" i="5"/>
  <c r="X989" i="5" s="1"/>
  <c r="Q989" i="5"/>
  <c r="P989" i="5"/>
  <c r="T989" i="5" s="1"/>
  <c r="E989" i="5"/>
  <c r="AD988" i="5"/>
  <c r="W988" i="5"/>
  <c r="V988" i="5"/>
  <c r="T988" i="5"/>
  <c r="S988" i="5"/>
  <c r="R988" i="5"/>
  <c r="Y988" i="5" s="1"/>
  <c r="Q988" i="5"/>
  <c r="P988" i="5"/>
  <c r="E988" i="5"/>
  <c r="AD987" i="5"/>
  <c r="Y987" i="5"/>
  <c r="W987" i="5"/>
  <c r="V987" i="5"/>
  <c r="S987" i="5"/>
  <c r="R987" i="5"/>
  <c r="X987" i="5" s="1"/>
  <c r="Q987" i="5"/>
  <c r="P987" i="5"/>
  <c r="T987" i="5" s="1"/>
  <c r="E987" i="5"/>
  <c r="AD986" i="5"/>
  <c r="AB986" i="5"/>
  <c r="X986" i="5"/>
  <c r="W986" i="5"/>
  <c r="V986" i="5"/>
  <c r="S986" i="5"/>
  <c r="R986" i="5"/>
  <c r="Y986" i="5" s="1"/>
  <c r="Q986" i="5"/>
  <c r="P986" i="5"/>
  <c r="T986" i="5" s="1"/>
  <c r="E986" i="5"/>
  <c r="AD985" i="5"/>
  <c r="Y985" i="5"/>
  <c r="W985" i="5"/>
  <c r="V985" i="5"/>
  <c r="S985" i="5"/>
  <c r="R985" i="5"/>
  <c r="X985" i="5" s="1"/>
  <c r="Q985" i="5"/>
  <c r="P985" i="5"/>
  <c r="T985" i="5" s="1"/>
  <c r="E985" i="5"/>
  <c r="AD984" i="5"/>
  <c r="Y984" i="5"/>
  <c r="W984" i="5"/>
  <c r="V984" i="5"/>
  <c r="T984" i="5"/>
  <c r="S984" i="5"/>
  <c r="R984" i="5"/>
  <c r="X984" i="5" s="1"/>
  <c r="Q984" i="5"/>
  <c r="P984" i="5"/>
  <c r="E984" i="5"/>
  <c r="AD983" i="5"/>
  <c r="AB983" i="5"/>
  <c r="Y983" i="5"/>
  <c r="W983" i="5"/>
  <c r="V983" i="5"/>
  <c r="S983" i="5"/>
  <c r="R983" i="5"/>
  <c r="X983" i="5" s="1"/>
  <c r="Q983" i="5"/>
  <c r="P983" i="5"/>
  <c r="T983" i="5" s="1"/>
  <c r="E983" i="5"/>
  <c r="AD982" i="5"/>
  <c r="W982" i="5"/>
  <c r="V982" i="5"/>
  <c r="S982" i="5"/>
  <c r="R982" i="5"/>
  <c r="X982" i="5" s="1"/>
  <c r="Q982" i="5"/>
  <c r="P982" i="5"/>
  <c r="E982" i="5"/>
  <c r="AD981" i="5"/>
  <c r="AB981" i="5"/>
  <c r="Y981" i="5"/>
  <c r="W981" i="5"/>
  <c r="V981" i="5"/>
  <c r="S981" i="5"/>
  <c r="R981" i="5"/>
  <c r="X981" i="5" s="1"/>
  <c r="Q981" i="5"/>
  <c r="P981" i="5"/>
  <c r="T981" i="5" s="1"/>
  <c r="E981" i="5"/>
  <c r="AD980" i="5"/>
  <c r="Y980" i="5"/>
  <c r="W980" i="5"/>
  <c r="V980" i="5"/>
  <c r="T980" i="5"/>
  <c r="U980" i="5" s="1"/>
  <c r="S980" i="5"/>
  <c r="R980" i="5"/>
  <c r="X980" i="5" s="1"/>
  <c r="Q980" i="5"/>
  <c r="P980" i="5"/>
  <c r="E980" i="5"/>
  <c r="AD979" i="5"/>
  <c r="W979" i="5"/>
  <c r="V979" i="5"/>
  <c r="S979" i="5"/>
  <c r="R979" i="5"/>
  <c r="Y979" i="5" s="1"/>
  <c r="Q979" i="5"/>
  <c r="P979" i="5"/>
  <c r="T979" i="5" s="1"/>
  <c r="E979" i="5"/>
  <c r="AD978" i="5"/>
  <c r="AB978" i="5"/>
  <c r="W978" i="5"/>
  <c r="V978" i="5"/>
  <c r="S978" i="5"/>
  <c r="R978" i="5"/>
  <c r="X978" i="5" s="1"/>
  <c r="Q978" i="5"/>
  <c r="P978" i="5"/>
  <c r="T978" i="5" s="1"/>
  <c r="E978" i="5"/>
  <c r="AD977" i="5"/>
  <c r="W977" i="5"/>
  <c r="V977" i="5"/>
  <c r="T977" i="5"/>
  <c r="S977" i="5"/>
  <c r="R977" i="5"/>
  <c r="Y977" i="5" s="1"/>
  <c r="Q977" i="5"/>
  <c r="P977" i="5"/>
  <c r="E977" i="5"/>
  <c r="AD976" i="5"/>
  <c r="AB976" i="5"/>
  <c r="Y976" i="5"/>
  <c r="W976" i="5"/>
  <c r="V976" i="5"/>
  <c r="T976" i="5"/>
  <c r="S976" i="5"/>
  <c r="R976" i="5"/>
  <c r="X976" i="5" s="1"/>
  <c r="Q976" i="5"/>
  <c r="P976" i="5"/>
  <c r="E976" i="5"/>
  <c r="AD975" i="5"/>
  <c r="X975" i="5"/>
  <c r="W975" i="5"/>
  <c r="V975" i="5"/>
  <c r="S975" i="5"/>
  <c r="R975" i="5"/>
  <c r="Y975" i="5" s="1"/>
  <c r="Q975" i="5"/>
  <c r="P975" i="5"/>
  <c r="T975" i="5" s="1"/>
  <c r="E975" i="5"/>
  <c r="AD974" i="5"/>
  <c r="AB974" i="5"/>
  <c r="W974" i="5"/>
  <c r="V974" i="5"/>
  <c r="S974" i="5"/>
  <c r="R974" i="5"/>
  <c r="X974" i="5" s="1"/>
  <c r="Q974" i="5"/>
  <c r="P974" i="5"/>
  <c r="E974" i="5"/>
  <c r="AD973" i="5"/>
  <c r="W973" i="5"/>
  <c r="V973" i="5"/>
  <c r="T973" i="5"/>
  <c r="S973" i="5"/>
  <c r="R973" i="5"/>
  <c r="Y973" i="5" s="1"/>
  <c r="Q973" i="5"/>
  <c r="P973" i="5"/>
  <c r="E973" i="5"/>
  <c r="AD972" i="5"/>
  <c r="AB972" i="5"/>
  <c r="Y972" i="5"/>
  <c r="W972" i="5"/>
  <c r="V972" i="5"/>
  <c r="T972" i="5"/>
  <c r="S972" i="5"/>
  <c r="R972" i="5"/>
  <c r="X972" i="5" s="1"/>
  <c r="Q972" i="5"/>
  <c r="P972" i="5"/>
  <c r="E972" i="5"/>
  <c r="AD971" i="5"/>
  <c r="X971" i="5"/>
  <c r="W971" i="5"/>
  <c r="V971" i="5"/>
  <c r="S971" i="5"/>
  <c r="R971" i="5"/>
  <c r="Y971" i="5" s="1"/>
  <c r="Q971" i="5"/>
  <c r="P971" i="5"/>
  <c r="T971" i="5" s="1"/>
  <c r="E971" i="5"/>
  <c r="AD970" i="5"/>
  <c r="Y970" i="5"/>
  <c r="W970" i="5"/>
  <c r="V970" i="5"/>
  <c r="S970" i="5"/>
  <c r="R970" i="5"/>
  <c r="X970" i="5" s="1"/>
  <c r="Q970" i="5"/>
  <c r="P970" i="5"/>
  <c r="T970" i="5" s="1"/>
  <c r="E970" i="5"/>
  <c r="AD969" i="5"/>
  <c r="Y969" i="5"/>
  <c r="W969" i="5"/>
  <c r="V969" i="5"/>
  <c r="T969" i="5"/>
  <c r="U969" i="5" s="1"/>
  <c r="S969" i="5"/>
  <c r="R969" i="5"/>
  <c r="X969" i="5" s="1"/>
  <c r="Q969" i="5"/>
  <c r="P969" i="5"/>
  <c r="E969" i="5"/>
  <c r="AD968" i="5"/>
  <c r="W968" i="5"/>
  <c r="V968" i="5"/>
  <c r="S968" i="5"/>
  <c r="R968" i="5"/>
  <c r="Y968" i="5" s="1"/>
  <c r="Q968" i="5"/>
  <c r="P968" i="5"/>
  <c r="T968" i="5" s="1"/>
  <c r="E968" i="5"/>
  <c r="AD967" i="5"/>
  <c r="Y967" i="5"/>
  <c r="W967" i="5"/>
  <c r="V967" i="5"/>
  <c r="S967" i="5"/>
  <c r="R967" i="5"/>
  <c r="X967" i="5" s="1"/>
  <c r="Q967" i="5"/>
  <c r="P967" i="5"/>
  <c r="T967" i="5" s="1"/>
  <c r="E967" i="5"/>
  <c r="AD966" i="5"/>
  <c r="AB966" i="5"/>
  <c r="W966" i="5"/>
  <c r="V966" i="5"/>
  <c r="T966" i="5"/>
  <c r="S966" i="5"/>
  <c r="R966" i="5"/>
  <c r="Y966" i="5" s="1"/>
  <c r="Q966" i="5"/>
  <c r="P966" i="5"/>
  <c r="E966" i="5"/>
  <c r="AD965" i="5"/>
  <c r="W965" i="5"/>
  <c r="V965" i="5"/>
  <c r="S965" i="5"/>
  <c r="R965" i="5"/>
  <c r="X965" i="5" s="1"/>
  <c r="U965" i="5" s="1"/>
  <c r="Q965" i="5"/>
  <c r="P965" i="5"/>
  <c r="E965" i="5"/>
  <c r="AD964" i="5"/>
  <c r="W964" i="5"/>
  <c r="V964" i="5"/>
  <c r="S964" i="5"/>
  <c r="R964" i="5"/>
  <c r="Y964" i="5" s="1"/>
  <c r="Q964" i="5"/>
  <c r="P964" i="5"/>
  <c r="E964" i="5"/>
  <c r="AD963" i="5"/>
  <c r="AB963" i="5"/>
  <c r="W963" i="5"/>
  <c r="V963" i="5"/>
  <c r="S963" i="5"/>
  <c r="R963" i="5"/>
  <c r="Y963" i="5" s="1"/>
  <c r="Q963" i="5"/>
  <c r="P963" i="5"/>
  <c r="E963" i="5"/>
  <c r="AD962" i="5"/>
  <c r="X962" i="5"/>
  <c r="W962" i="5"/>
  <c r="V962" i="5"/>
  <c r="U962" i="5"/>
  <c r="S962" i="5"/>
  <c r="R962" i="5"/>
  <c r="Y962" i="5" s="1"/>
  <c r="Q962" i="5"/>
  <c r="P962" i="5"/>
  <c r="E962" i="5"/>
  <c r="AD961" i="5"/>
  <c r="W961" i="5"/>
  <c r="V961" i="5"/>
  <c r="S961" i="5"/>
  <c r="R961" i="5"/>
  <c r="Y961" i="5" s="1"/>
  <c r="Q961" i="5"/>
  <c r="P961" i="5"/>
  <c r="E961" i="5"/>
  <c r="AD960" i="5"/>
  <c r="AB960" i="5"/>
  <c r="X960" i="5"/>
  <c r="U960" i="5" s="1"/>
  <c r="W960" i="5"/>
  <c r="V960" i="5"/>
  <c r="S960" i="5"/>
  <c r="R960" i="5"/>
  <c r="Y960" i="5" s="1"/>
  <c r="Q960" i="5"/>
  <c r="P960" i="5"/>
  <c r="E960" i="5"/>
  <c r="AD959" i="5"/>
  <c r="X959" i="5"/>
  <c r="W959" i="5"/>
  <c r="V959" i="5"/>
  <c r="U959" i="5"/>
  <c r="S959" i="5"/>
  <c r="R959" i="5"/>
  <c r="Y959" i="5" s="1"/>
  <c r="Q959" i="5"/>
  <c r="P959" i="5"/>
  <c r="E959" i="5"/>
  <c r="AD958" i="5"/>
  <c r="AB958" i="5"/>
  <c r="Y958" i="5"/>
  <c r="W958" i="5"/>
  <c r="V958" i="5"/>
  <c r="S958" i="5"/>
  <c r="R958" i="5"/>
  <c r="X958" i="5" s="1"/>
  <c r="U958" i="5" s="1"/>
  <c r="Q958" i="5"/>
  <c r="P958" i="5"/>
  <c r="E958" i="5"/>
  <c r="AD957" i="5"/>
  <c r="Y957" i="5"/>
  <c r="W957" i="5"/>
  <c r="V957" i="5"/>
  <c r="S957" i="5"/>
  <c r="R957" i="5"/>
  <c r="X957" i="5" s="1"/>
  <c r="Q957" i="5"/>
  <c r="P957" i="5"/>
  <c r="T957" i="5" s="1"/>
  <c r="E957" i="5"/>
  <c r="AD956" i="5"/>
  <c r="W956" i="5"/>
  <c r="V956" i="5"/>
  <c r="S956" i="5"/>
  <c r="R956" i="5"/>
  <c r="Y956" i="5" s="1"/>
  <c r="Q956" i="5"/>
  <c r="P956" i="5"/>
  <c r="E956" i="5"/>
  <c r="AD955" i="5"/>
  <c r="AB955" i="5"/>
  <c r="X955" i="5"/>
  <c r="W955" i="5"/>
  <c r="V955" i="5"/>
  <c r="S955" i="5"/>
  <c r="R955" i="5"/>
  <c r="Y955" i="5" s="1"/>
  <c r="Q955" i="5"/>
  <c r="P955" i="5"/>
  <c r="T955" i="5" s="1"/>
  <c r="E955" i="5"/>
  <c r="AD954" i="5"/>
  <c r="W954" i="5"/>
  <c r="V954" i="5"/>
  <c r="S954" i="5"/>
  <c r="R954" i="5"/>
  <c r="Y954" i="5" s="1"/>
  <c r="Q954" i="5"/>
  <c r="P954" i="5"/>
  <c r="E954" i="5"/>
  <c r="AD953" i="5"/>
  <c r="Y953" i="5"/>
  <c r="W953" i="5"/>
  <c r="V953" i="5"/>
  <c r="T953" i="5"/>
  <c r="S953" i="5"/>
  <c r="R953" i="5"/>
  <c r="X953" i="5" s="1"/>
  <c r="Q953" i="5"/>
  <c r="P953" i="5"/>
  <c r="E953" i="5"/>
  <c r="AD952" i="5"/>
  <c r="AB952" i="5"/>
  <c r="X952" i="5"/>
  <c r="U952" i="5" s="1"/>
  <c r="W952" i="5"/>
  <c r="V952" i="5"/>
  <c r="S952" i="5"/>
  <c r="R952" i="5"/>
  <c r="Y952" i="5" s="1"/>
  <c r="Q952" i="5"/>
  <c r="P952" i="5"/>
  <c r="E952" i="5"/>
  <c r="AD951" i="5"/>
  <c r="W951" i="5"/>
  <c r="V951" i="5"/>
  <c r="T951" i="5"/>
  <c r="S951" i="5"/>
  <c r="R951" i="5"/>
  <c r="Y951" i="5" s="1"/>
  <c r="Q951" i="5"/>
  <c r="P951" i="5"/>
  <c r="E951" i="5"/>
  <c r="AD950" i="5"/>
  <c r="Y950" i="5"/>
  <c r="W950" i="5"/>
  <c r="V950" i="5"/>
  <c r="S950" i="5"/>
  <c r="R950" i="5"/>
  <c r="X950" i="5" s="1"/>
  <c r="U950" i="5" s="1"/>
  <c r="Q950" i="5"/>
  <c r="P950" i="5"/>
  <c r="E950" i="5"/>
  <c r="AD949" i="5"/>
  <c r="AB949" i="5"/>
  <c r="X949" i="5"/>
  <c r="W949" i="5"/>
  <c r="Z949" i="5" s="1"/>
  <c r="AE949" i="5" s="1"/>
  <c r="V949" i="5"/>
  <c r="U949" i="5"/>
  <c r="S949" i="5"/>
  <c r="R949" i="5"/>
  <c r="Y949" i="5" s="1"/>
  <c r="Q949" i="5"/>
  <c r="P949" i="5"/>
  <c r="E949" i="5"/>
  <c r="AD948" i="5"/>
  <c r="Y948" i="5"/>
  <c r="W948" i="5"/>
  <c r="V948" i="5"/>
  <c r="T948" i="5"/>
  <c r="U948" i="5" s="1"/>
  <c r="S948" i="5"/>
  <c r="R948" i="5"/>
  <c r="X948" i="5" s="1"/>
  <c r="Q948" i="5"/>
  <c r="P948" i="5"/>
  <c r="E948" i="5"/>
  <c r="AD947" i="5"/>
  <c r="AB947" i="5"/>
  <c r="Y947" i="5"/>
  <c r="W947" i="5"/>
  <c r="V947" i="5"/>
  <c r="S947" i="5"/>
  <c r="R947" i="5"/>
  <c r="X947" i="5" s="1"/>
  <c r="Q947" i="5"/>
  <c r="P947" i="5"/>
  <c r="T947" i="5" s="1"/>
  <c r="E947" i="5"/>
  <c r="AD946" i="5"/>
  <c r="W946" i="5"/>
  <c r="V946" i="5"/>
  <c r="S946" i="5"/>
  <c r="R946" i="5"/>
  <c r="X946" i="5" s="1"/>
  <c r="Q946" i="5"/>
  <c r="T946" i="5" s="1"/>
  <c r="P946" i="5"/>
  <c r="E946" i="5"/>
  <c r="AD945" i="5"/>
  <c r="W945" i="5"/>
  <c r="V945" i="5"/>
  <c r="T945" i="5"/>
  <c r="S945" i="5"/>
  <c r="R945" i="5"/>
  <c r="Y945" i="5" s="1"/>
  <c r="Q945" i="5"/>
  <c r="P945" i="5"/>
  <c r="E945" i="5"/>
  <c r="AD944" i="5"/>
  <c r="AB944" i="5"/>
  <c r="W944" i="5"/>
  <c r="V944" i="5"/>
  <c r="S944" i="5"/>
  <c r="R944" i="5"/>
  <c r="Y944" i="5" s="1"/>
  <c r="Q944" i="5"/>
  <c r="P944" i="5"/>
  <c r="E944" i="5"/>
  <c r="AD943" i="5"/>
  <c r="W943" i="5"/>
  <c r="V943" i="5"/>
  <c r="S943" i="5"/>
  <c r="R943" i="5"/>
  <c r="X943" i="5" s="1"/>
  <c r="Q943" i="5"/>
  <c r="T943" i="5" s="1"/>
  <c r="P943" i="5"/>
  <c r="E943" i="5"/>
  <c r="AD942" i="5"/>
  <c r="AB942" i="5"/>
  <c r="W942" i="5"/>
  <c r="V942" i="5"/>
  <c r="S942" i="5"/>
  <c r="R942" i="5"/>
  <c r="Y942" i="5" s="1"/>
  <c r="Q942" i="5"/>
  <c r="P942" i="5"/>
  <c r="E942" i="5"/>
  <c r="AD941" i="5"/>
  <c r="Y941" i="5"/>
  <c r="W941" i="5"/>
  <c r="V941" i="5"/>
  <c r="S941" i="5"/>
  <c r="R941" i="5"/>
  <c r="X941" i="5" s="1"/>
  <c r="U941" i="5" s="1"/>
  <c r="Q941" i="5"/>
  <c r="P941" i="5"/>
  <c r="E941" i="5"/>
  <c r="AD940" i="5"/>
  <c r="W940" i="5"/>
  <c r="V940" i="5"/>
  <c r="S940" i="5"/>
  <c r="R940" i="5"/>
  <c r="Y940" i="5" s="1"/>
  <c r="Q940" i="5"/>
  <c r="P940" i="5"/>
  <c r="E940" i="5"/>
  <c r="AD939" i="5"/>
  <c r="AB939" i="5"/>
  <c r="W939" i="5"/>
  <c r="V939" i="5"/>
  <c r="S939" i="5"/>
  <c r="R939" i="5"/>
  <c r="Y939" i="5" s="1"/>
  <c r="Q939" i="5"/>
  <c r="P939" i="5"/>
  <c r="E939" i="5"/>
  <c r="AD938" i="5"/>
  <c r="X938" i="5"/>
  <c r="W938" i="5"/>
  <c r="V938" i="5"/>
  <c r="U938" i="5"/>
  <c r="S938" i="5"/>
  <c r="R938" i="5"/>
  <c r="Y938" i="5" s="1"/>
  <c r="Q938" i="5"/>
  <c r="P938" i="5"/>
  <c r="E938" i="5"/>
  <c r="AD937" i="5"/>
  <c r="AB937" i="5"/>
  <c r="X937" i="5"/>
  <c r="W937" i="5"/>
  <c r="V937" i="5"/>
  <c r="U937" i="5"/>
  <c r="Z937" i="5" s="1"/>
  <c r="AE937" i="5" s="1"/>
  <c r="S937" i="5"/>
  <c r="R937" i="5"/>
  <c r="Y937" i="5" s="1"/>
  <c r="Q937" i="5"/>
  <c r="P937" i="5"/>
  <c r="E937" i="5"/>
  <c r="AD936" i="5"/>
  <c r="X936" i="5"/>
  <c r="U936" i="5" s="1"/>
  <c r="W936" i="5"/>
  <c r="V936" i="5"/>
  <c r="T936" i="5"/>
  <c r="S936" i="5"/>
  <c r="R936" i="5"/>
  <c r="Y936" i="5" s="1"/>
  <c r="Q936" i="5"/>
  <c r="P936" i="5"/>
  <c r="E936" i="5"/>
  <c r="AD935" i="5"/>
  <c r="W935" i="5"/>
  <c r="V935" i="5"/>
  <c r="S935" i="5"/>
  <c r="R935" i="5"/>
  <c r="Y935" i="5" s="1"/>
  <c r="Q935" i="5"/>
  <c r="P935" i="5"/>
  <c r="E935" i="5"/>
  <c r="AD934" i="5"/>
  <c r="W934" i="5"/>
  <c r="V934" i="5"/>
  <c r="S934" i="5"/>
  <c r="R934" i="5"/>
  <c r="X934" i="5" s="1"/>
  <c r="U934" i="5" s="1"/>
  <c r="Q934" i="5"/>
  <c r="P934" i="5"/>
  <c r="E934" i="5"/>
  <c r="AD933" i="5"/>
  <c r="W933" i="5"/>
  <c r="V933" i="5"/>
  <c r="S933" i="5"/>
  <c r="R933" i="5"/>
  <c r="Y933" i="5" s="1"/>
  <c r="Q933" i="5"/>
  <c r="P933" i="5"/>
  <c r="E933" i="5"/>
  <c r="AD932" i="5"/>
  <c r="W932" i="5"/>
  <c r="V932" i="5"/>
  <c r="S932" i="5"/>
  <c r="R932" i="5"/>
  <c r="X932" i="5" s="1"/>
  <c r="U932" i="5" s="1"/>
  <c r="Q932" i="5"/>
  <c r="P932" i="5"/>
  <c r="E932" i="5"/>
  <c r="AD931" i="5"/>
  <c r="AB931" i="5"/>
  <c r="X931" i="5"/>
  <c r="W931" i="5"/>
  <c r="V931" i="5"/>
  <c r="U931" i="5"/>
  <c r="S931" i="5"/>
  <c r="R931" i="5"/>
  <c r="Y931" i="5" s="1"/>
  <c r="Q931" i="5"/>
  <c r="P931" i="5"/>
  <c r="E931" i="5"/>
  <c r="AD930" i="5"/>
  <c r="W930" i="5"/>
  <c r="V930" i="5"/>
  <c r="S930" i="5"/>
  <c r="R930" i="5"/>
  <c r="Y930" i="5" s="1"/>
  <c r="Q930" i="5"/>
  <c r="P930" i="5"/>
  <c r="E930" i="5"/>
  <c r="AD929" i="5"/>
  <c r="X929" i="5"/>
  <c r="W929" i="5"/>
  <c r="V929" i="5"/>
  <c r="U929" i="5"/>
  <c r="S929" i="5"/>
  <c r="R929" i="5"/>
  <c r="Y929" i="5" s="1"/>
  <c r="Q929" i="5"/>
  <c r="P929" i="5"/>
  <c r="E929" i="5"/>
  <c r="AD928" i="5"/>
  <c r="AB928" i="5"/>
  <c r="W928" i="5"/>
  <c r="V928" i="5"/>
  <c r="T928" i="5"/>
  <c r="S928" i="5"/>
  <c r="R928" i="5"/>
  <c r="Y928" i="5" s="1"/>
  <c r="Q928" i="5"/>
  <c r="P928" i="5"/>
  <c r="E928" i="5"/>
  <c r="AD927" i="5"/>
  <c r="W927" i="5"/>
  <c r="V927" i="5"/>
  <c r="S927" i="5"/>
  <c r="R927" i="5"/>
  <c r="X927" i="5" s="1"/>
  <c r="U927" i="5" s="1"/>
  <c r="Q927" i="5"/>
  <c r="P927" i="5"/>
  <c r="E927" i="5"/>
  <c r="AD926" i="5"/>
  <c r="W926" i="5"/>
  <c r="V926" i="5"/>
  <c r="S926" i="5"/>
  <c r="R926" i="5"/>
  <c r="Y926" i="5" s="1"/>
  <c r="Q926" i="5"/>
  <c r="P926" i="5"/>
  <c r="E926" i="5"/>
  <c r="AD925" i="5"/>
  <c r="W925" i="5"/>
  <c r="V925" i="5"/>
  <c r="S925" i="5"/>
  <c r="R925" i="5"/>
  <c r="X925" i="5" s="1"/>
  <c r="U925" i="5" s="1"/>
  <c r="Q925" i="5"/>
  <c r="P925" i="5"/>
  <c r="E925" i="5"/>
  <c r="AD924" i="5"/>
  <c r="AB924" i="5"/>
  <c r="X924" i="5"/>
  <c r="W924" i="5"/>
  <c r="V924" i="5"/>
  <c r="U924" i="5"/>
  <c r="S924" i="5"/>
  <c r="R924" i="5"/>
  <c r="Y924" i="5" s="1"/>
  <c r="Q924" i="5"/>
  <c r="P924" i="5"/>
  <c r="E924" i="5"/>
  <c r="AD923" i="5"/>
  <c r="Y923" i="5"/>
  <c r="W923" i="5"/>
  <c r="V923" i="5"/>
  <c r="T923" i="5"/>
  <c r="U923" i="5" s="1"/>
  <c r="S923" i="5"/>
  <c r="R923" i="5"/>
  <c r="X923" i="5" s="1"/>
  <c r="Q923" i="5"/>
  <c r="P923" i="5"/>
  <c r="E923" i="5"/>
  <c r="AD922" i="5"/>
  <c r="AB922" i="5"/>
  <c r="Y922" i="5"/>
  <c r="W922" i="5"/>
  <c r="V922" i="5"/>
  <c r="S922" i="5"/>
  <c r="R922" i="5"/>
  <c r="X922" i="5" s="1"/>
  <c r="U922" i="5" s="1"/>
  <c r="Q922" i="5"/>
  <c r="P922" i="5"/>
  <c r="E922" i="5"/>
  <c r="AD921" i="5"/>
  <c r="W921" i="5"/>
  <c r="V921" i="5"/>
  <c r="S921" i="5"/>
  <c r="R921" i="5"/>
  <c r="Y921" i="5" s="1"/>
  <c r="Q921" i="5"/>
  <c r="P921" i="5"/>
  <c r="E921" i="5"/>
  <c r="AD920" i="5"/>
  <c r="Y920" i="5"/>
  <c r="W920" i="5"/>
  <c r="V920" i="5"/>
  <c r="S920" i="5"/>
  <c r="R920" i="5"/>
  <c r="X920" i="5" s="1"/>
  <c r="Q920" i="5"/>
  <c r="P920" i="5"/>
  <c r="T920" i="5" s="1"/>
  <c r="E920" i="5"/>
  <c r="AD919" i="5"/>
  <c r="AB919" i="5"/>
  <c r="X919" i="5"/>
  <c r="W919" i="5"/>
  <c r="V919" i="5"/>
  <c r="U919" i="5"/>
  <c r="S919" i="5"/>
  <c r="R919" i="5"/>
  <c r="Y919" i="5" s="1"/>
  <c r="Q919" i="5"/>
  <c r="P919" i="5"/>
  <c r="E919" i="5"/>
  <c r="AD918" i="5"/>
  <c r="X918" i="5"/>
  <c r="U918" i="5" s="1"/>
  <c r="W918" i="5"/>
  <c r="V918" i="5"/>
  <c r="S918" i="5"/>
  <c r="R918" i="5"/>
  <c r="Y918" i="5" s="1"/>
  <c r="Q918" i="5"/>
  <c r="P918" i="5"/>
  <c r="E918" i="5"/>
  <c r="AD917" i="5"/>
  <c r="X917" i="5"/>
  <c r="W917" i="5"/>
  <c r="V917" i="5"/>
  <c r="S917" i="5"/>
  <c r="R917" i="5"/>
  <c r="Y917" i="5" s="1"/>
  <c r="Q917" i="5"/>
  <c r="P917" i="5"/>
  <c r="T917" i="5" s="1"/>
  <c r="U917" i="5" s="1"/>
  <c r="E917" i="5"/>
  <c r="AD916" i="5"/>
  <c r="Y916" i="5"/>
  <c r="Z916" i="5" s="1"/>
  <c r="AE916" i="5" s="1"/>
  <c r="W916" i="5"/>
  <c r="V916" i="5"/>
  <c r="S916" i="5"/>
  <c r="R916" i="5"/>
  <c r="X916" i="5" s="1"/>
  <c r="U916" i="5" s="1"/>
  <c r="Q916" i="5"/>
  <c r="P916" i="5"/>
  <c r="E916" i="5"/>
  <c r="AD915" i="5"/>
  <c r="AB915" i="5"/>
  <c r="X915" i="5"/>
  <c r="W915" i="5"/>
  <c r="V915" i="5"/>
  <c r="S915" i="5"/>
  <c r="R915" i="5"/>
  <c r="Y915" i="5" s="1"/>
  <c r="Q915" i="5"/>
  <c r="T915" i="5" s="1"/>
  <c r="P915" i="5"/>
  <c r="E915" i="5"/>
  <c r="AD914" i="5"/>
  <c r="W914" i="5"/>
  <c r="V914" i="5"/>
  <c r="S914" i="5"/>
  <c r="R914" i="5"/>
  <c r="Y914" i="5" s="1"/>
  <c r="Q914" i="5"/>
  <c r="P914" i="5"/>
  <c r="T914" i="5" s="1"/>
  <c r="E914" i="5"/>
  <c r="AD913" i="5"/>
  <c r="W913" i="5"/>
  <c r="V913" i="5"/>
  <c r="S913" i="5"/>
  <c r="R913" i="5"/>
  <c r="X913" i="5" s="1"/>
  <c r="U913" i="5" s="1"/>
  <c r="Q913" i="5"/>
  <c r="P913" i="5"/>
  <c r="E913" i="5"/>
  <c r="AD912" i="5"/>
  <c r="Y912" i="5"/>
  <c r="W912" i="5"/>
  <c r="V912" i="5"/>
  <c r="S912" i="5"/>
  <c r="R912" i="5"/>
  <c r="X912" i="5" s="1"/>
  <c r="Q912" i="5"/>
  <c r="P912" i="5"/>
  <c r="T912" i="5" s="1"/>
  <c r="E912" i="5"/>
  <c r="AD911" i="5"/>
  <c r="X911" i="5"/>
  <c r="W911" i="5"/>
  <c r="V911" i="5"/>
  <c r="U911" i="5"/>
  <c r="Z911" i="5" s="1"/>
  <c r="AE911" i="5" s="1"/>
  <c r="S911" i="5"/>
  <c r="AA911" i="5" s="1"/>
  <c r="AC911" i="5" s="1"/>
  <c r="R911" i="5"/>
  <c r="Y911" i="5" s="1"/>
  <c r="Q911" i="5"/>
  <c r="P911" i="5"/>
  <c r="E911" i="5"/>
  <c r="AD910" i="5"/>
  <c r="X910" i="5"/>
  <c r="U910" i="5" s="1"/>
  <c r="Z910" i="5" s="1"/>
  <c r="AE910" i="5" s="1"/>
  <c r="W910" i="5"/>
  <c r="V910" i="5"/>
  <c r="S910" i="5"/>
  <c r="R910" i="5"/>
  <c r="Y910" i="5" s="1"/>
  <c r="Q910" i="5"/>
  <c r="P910" i="5"/>
  <c r="E910" i="5"/>
  <c r="AD909" i="5"/>
  <c r="X909" i="5"/>
  <c r="W909" i="5"/>
  <c r="V909" i="5"/>
  <c r="U909" i="5"/>
  <c r="Z909" i="5" s="1"/>
  <c r="AE909" i="5" s="1"/>
  <c r="S909" i="5"/>
  <c r="R909" i="5"/>
  <c r="Y909" i="5" s="1"/>
  <c r="Q909" i="5"/>
  <c r="P909" i="5"/>
  <c r="E909" i="5"/>
  <c r="AD908" i="5"/>
  <c r="W908" i="5"/>
  <c r="V908" i="5"/>
  <c r="T908" i="5"/>
  <c r="S908" i="5"/>
  <c r="R908" i="5"/>
  <c r="Y908" i="5" s="1"/>
  <c r="Q908" i="5"/>
  <c r="P908" i="5"/>
  <c r="E908" i="5"/>
  <c r="AD907" i="5"/>
  <c r="X907" i="5"/>
  <c r="W907" i="5"/>
  <c r="V907" i="5"/>
  <c r="U907" i="5"/>
  <c r="S907" i="5"/>
  <c r="R907" i="5"/>
  <c r="Y907" i="5" s="1"/>
  <c r="Q907" i="5"/>
  <c r="P907" i="5"/>
  <c r="E907" i="5"/>
  <c r="AD906" i="5"/>
  <c r="AB906" i="5"/>
  <c r="Y906" i="5"/>
  <c r="W906" i="5"/>
  <c r="V906" i="5"/>
  <c r="S906" i="5"/>
  <c r="R906" i="5"/>
  <c r="X906" i="5" s="1"/>
  <c r="Q906" i="5"/>
  <c r="P906" i="5"/>
  <c r="T906" i="5" s="1"/>
  <c r="E906" i="5"/>
  <c r="AD905" i="5"/>
  <c r="Y905" i="5"/>
  <c r="W905" i="5"/>
  <c r="V905" i="5"/>
  <c r="S905" i="5"/>
  <c r="R905" i="5"/>
  <c r="X905" i="5" s="1"/>
  <c r="U905" i="5" s="1"/>
  <c r="Z905" i="5" s="1"/>
  <c r="AE905" i="5" s="1"/>
  <c r="Q905" i="5"/>
  <c r="P905" i="5"/>
  <c r="E905" i="5"/>
  <c r="AD904" i="5"/>
  <c r="X904" i="5"/>
  <c r="W904" i="5"/>
  <c r="V904" i="5"/>
  <c r="U904" i="5"/>
  <c r="S904" i="5"/>
  <c r="R904" i="5"/>
  <c r="Y904" i="5" s="1"/>
  <c r="Z904" i="5" s="1"/>
  <c r="AE904" i="5" s="1"/>
  <c r="Q904" i="5"/>
  <c r="P904" i="5"/>
  <c r="E904" i="5"/>
  <c r="AD903" i="5"/>
  <c r="W903" i="5"/>
  <c r="V903" i="5"/>
  <c r="S903" i="5"/>
  <c r="R903" i="5"/>
  <c r="Y903" i="5" s="1"/>
  <c r="Q903" i="5"/>
  <c r="P903" i="5"/>
  <c r="E903" i="5"/>
  <c r="AD902" i="5"/>
  <c r="AB902" i="5"/>
  <c r="X902" i="5"/>
  <c r="W902" i="5"/>
  <c r="V902" i="5"/>
  <c r="U902" i="5"/>
  <c r="Z902" i="5" s="1"/>
  <c r="AE902" i="5" s="1"/>
  <c r="S902" i="5"/>
  <c r="R902" i="5"/>
  <c r="Y902" i="5" s="1"/>
  <c r="Q902" i="5"/>
  <c r="P902" i="5"/>
  <c r="E902" i="5"/>
  <c r="AD901" i="5"/>
  <c r="X901" i="5"/>
  <c r="W901" i="5"/>
  <c r="V901" i="5"/>
  <c r="U901" i="5"/>
  <c r="S901" i="5"/>
  <c r="AA901" i="5" s="1"/>
  <c r="AC901" i="5" s="1"/>
  <c r="R901" i="5"/>
  <c r="Y901" i="5" s="1"/>
  <c r="Z901" i="5" s="1"/>
  <c r="AE901" i="5" s="1"/>
  <c r="Q901" i="5"/>
  <c r="P901" i="5"/>
  <c r="E901" i="5"/>
  <c r="AD900" i="5"/>
  <c r="AB900" i="5"/>
  <c r="Y900" i="5"/>
  <c r="X900" i="5"/>
  <c r="W900" i="5"/>
  <c r="V900" i="5"/>
  <c r="S900" i="5"/>
  <c r="R900" i="5"/>
  <c r="Q900" i="5"/>
  <c r="P900" i="5"/>
  <c r="T900" i="5" s="1"/>
  <c r="E900" i="5"/>
  <c r="AD899" i="5"/>
  <c r="AB899" i="5"/>
  <c r="X899" i="5"/>
  <c r="U899" i="5" s="1"/>
  <c r="Z899" i="5" s="1"/>
  <c r="W899" i="5"/>
  <c r="V899" i="5"/>
  <c r="S899" i="5"/>
  <c r="R899" i="5"/>
  <c r="Y899" i="5" s="1"/>
  <c r="Q899" i="5"/>
  <c r="P899" i="5"/>
  <c r="E899" i="5"/>
  <c r="AD898" i="5"/>
  <c r="X898" i="5"/>
  <c r="W898" i="5"/>
  <c r="V898" i="5"/>
  <c r="U898" i="5"/>
  <c r="S898" i="5"/>
  <c r="AA898" i="5" s="1"/>
  <c r="AC898" i="5" s="1"/>
  <c r="R898" i="5"/>
  <c r="Y898" i="5" s="1"/>
  <c r="Z898" i="5" s="1"/>
  <c r="AE898" i="5" s="1"/>
  <c r="Q898" i="5"/>
  <c r="P898" i="5"/>
  <c r="E898" i="5"/>
  <c r="AD897" i="5"/>
  <c r="W897" i="5"/>
  <c r="V897" i="5"/>
  <c r="S897" i="5"/>
  <c r="R897" i="5"/>
  <c r="Y897" i="5" s="1"/>
  <c r="Q897" i="5"/>
  <c r="P897" i="5"/>
  <c r="T897" i="5" s="1"/>
  <c r="E897" i="5"/>
  <c r="AD896" i="5"/>
  <c r="Y896" i="5"/>
  <c r="W896" i="5"/>
  <c r="V896" i="5"/>
  <c r="S896" i="5"/>
  <c r="R896" i="5"/>
  <c r="X896" i="5" s="1"/>
  <c r="Q896" i="5"/>
  <c r="P896" i="5"/>
  <c r="T896" i="5" s="1"/>
  <c r="E896" i="5"/>
  <c r="AD895" i="5"/>
  <c r="AB895" i="5"/>
  <c r="X895" i="5"/>
  <c r="W895" i="5"/>
  <c r="V895" i="5"/>
  <c r="U895" i="5"/>
  <c r="S895" i="5"/>
  <c r="R895" i="5"/>
  <c r="Y895" i="5" s="1"/>
  <c r="Z895" i="5" s="1"/>
  <c r="AE895" i="5" s="1"/>
  <c r="Q895" i="5"/>
  <c r="P895" i="5"/>
  <c r="E895" i="5"/>
  <c r="AD894" i="5"/>
  <c r="W894" i="5"/>
  <c r="V894" i="5"/>
  <c r="T894" i="5"/>
  <c r="S894" i="5"/>
  <c r="R894" i="5"/>
  <c r="X894" i="5" s="1"/>
  <c r="Q894" i="5"/>
  <c r="P894" i="5"/>
  <c r="E894" i="5"/>
  <c r="AD893" i="5"/>
  <c r="AB893" i="5"/>
  <c r="W893" i="5"/>
  <c r="V893" i="5"/>
  <c r="T893" i="5"/>
  <c r="S893" i="5"/>
  <c r="AA893" i="5" s="1"/>
  <c r="R893" i="5"/>
  <c r="X893" i="5" s="1"/>
  <c r="U893" i="5" s="1"/>
  <c r="Z893" i="5" s="1"/>
  <c r="AE893" i="5" s="1"/>
  <c r="Q893" i="5"/>
  <c r="P893" i="5"/>
  <c r="E893" i="5"/>
  <c r="AD892" i="5"/>
  <c r="X892" i="5"/>
  <c r="S892" i="5"/>
  <c r="R892" i="5"/>
  <c r="W892" i="5" s="1"/>
  <c r="Q892" i="5"/>
  <c r="P892" i="5"/>
  <c r="E892" i="5"/>
  <c r="AD891" i="5"/>
  <c r="AB891" i="5"/>
  <c r="W891" i="5"/>
  <c r="V891" i="5"/>
  <c r="T891" i="5"/>
  <c r="U891" i="5" s="1"/>
  <c r="S891" i="5"/>
  <c r="R891" i="5"/>
  <c r="X891" i="5" s="1"/>
  <c r="Q891" i="5"/>
  <c r="P891" i="5"/>
  <c r="E891" i="5"/>
  <c r="AD890" i="5"/>
  <c r="S890" i="5"/>
  <c r="R890" i="5"/>
  <c r="V890" i="5" s="1"/>
  <c r="Q890" i="5"/>
  <c r="P890" i="5"/>
  <c r="T890" i="5" s="1"/>
  <c r="U890" i="5" s="1"/>
  <c r="E890" i="5"/>
  <c r="AD889" i="5"/>
  <c r="W889" i="5"/>
  <c r="V889" i="5"/>
  <c r="T889" i="5"/>
  <c r="U889" i="5" s="1"/>
  <c r="S889" i="5"/>
  <c r="R889" i="5"/>
  <c r="X889" i="5" s="1"/>
  <c r="Q889" i="5"/>
  <c r="P889" i="5"/>
  <c r="E889" i="5"/>
  <c r="AD888" i="5"/>
  <c r="S888" i="5"/>
  <c r="R888" i="5"/>
  <c r="V888" i="5" s="1"/>
  <c r="Q888" i="5"/>
  <c r="P888" i="5"/>
  <c r="T888" i="5" s="1"/>
  <c r="U888" i="5" s="1"/>
  <c r="E888" i="5"/>
  <c r="AD887" i="5"/>
  <c r="W887" i="5"/>
  <c r="V887" i="5"/>
  <c r="T887" i="5"/>
  <c r="U887" i="5" s="1"/>
  <c r="S887" i="5"/>
  <c r="R887" i="5"/>
  <c r="X887" i="5" s="1"/>
  <c r="Q887" i="5"/>
  <c r="P887" i="5"/>
  <c r="E887" i="5"/>
  <c r="AD886" i="5"/>
  <c r="X886" i="5"/>
  <c r="S886" i="5"/>
  <c r="R886" i="5"/>
  <c r="V886" i="5" s="1"/>
  <c r="Q886" i="5"/>
  <c r="T886" i="5" s="1"/>
  <c r="P886" i="5"/>
  <c r="E886" i="5"/>
  <c r="AD885" i="5"/>
  <c r="W885" i="5"/>
  <c r="V885" i="5"/>
  <c r="S885" i="5"/>
  <c r="R885" i="5"/>
  <c r="X885" i="5" s="1"/>
  <c r="Q885" i="5"/>
  <c r="P885" i="5"/>
  <c r="T885" i="5" s="1"/>
  <c r="E885" i="5"/>
  <c r="AD884" i="5"/>
  <c r="X884" i="5"/>
  <c r="W884" i="5"/>
  <c r="V884" i="5"/>
  <c r="S884" i="5"/>
  <c r="R884" i="5"/>
  <c r="Q884" i="5"/>
  <c r="P884" i="5"/>
  <c r="T884" i="5" s="1"/>
  <c r="E884" i="5"/>
  <c r="AD883" i="5"/>
  <c r="W883" i="5"/>
  <c r="V883" i="5"/>
  <c r="S883" i="5"/>
  <c r="R883" i="5"/>
  <c r="X883" i="5" s="1"/>
  <c r="Q883" i="5"/>
  <c r="P883" i="5"/>
  <c r="T883" i="5" s="1"/>
  <c r="E883" i="5"/>
  <c r="AD882" i="5"/>
  <c r="X882" i="5"/>
  <c r="S882" i="5"/>
  <c r="R882" i="5"/>
  <c r="V882" i="5" s="1"/>
  <c r="Q882" i="5"/>
  <c r="T882" i="5" s="1"/>
  <c r="P882" i="5"/>
  <c r="E882" i="5"/>
  <c r="AD881" i="5"/>
  <c r="W881" i="5"/>
  <c r="V881" i="5"/>
  <c r="S881" i="5"/>
  <c r="R881" i="5"/>
  <c r="X881" i="5" s="1"/>
  <c r="Q881" i="5"/>
  <c r="P881" i="5"/>
  <c r="T881" i="5" s="1"/>
  <c r="E881" i="5"/>
  <c r="AD880" i="5"/>
  <c r="AB880" i="5"/>
  <c r="X880" i="5"/>
  <c r="S880" i="5"/>
  <c r="R880" i="5"/>
  <c r="V880" i="5" s="1"/>
  <c r="Q880" i="5"/>
  <c r="T880" i="5" s="1"/>
  <c r="P880" i="5"/>
  <c r="E880" i="5"/>
  <c r="AD879" i="5"/>
  <c r="W879" i="5"/>
  <c r="T879" i="5"/>
  <c r="S879" i="5"/>
  <c r="R879" i="5"/>
  <c r="X879" i="5" s="1"/>
  <c r="Q879" i="5"/>
  <c r="P879" i="5"/>
  <c r="E879" i="5"/>
  <c r="AD878" i="5"/>
  <c r="X878" i="5"/>
  <c r="W878" i="5"/>
  <c r="U878" i="5"/>
  <c r="T878" i="5"/>
  <c r="Z878" i="5" s="1"/>
  <c r="AE878" i="5" s="1"/>
  <c r="S878" i="5"/>
  <c r="AA878" i="5" s="1"/>
  <c r="AC878" i="5" s="1"/>
  <c r="R878" i="5"/>
  <c r="V878" i="5" s="1"/>
  <c r="Q878" i="5"/>
  <c r="P878" i="5"/>
  <c r="E878" i="5"/>
  <c r="AD877" i="5"/>
  <c r="AB877" i="5"/>
  <c r="X877" i="5"/>
  <c r="S877" i="5"/>
  <c r="R877" i="5"/>
  <c r="W877" i="5" s="1"/>
  <c r="Q877" i="5"/>
  <c r="P877" i="5"/>
  <c r="E877" i="5"/>
  <c r="AD876" i="5"/>
  <c r="S876" i="5"/>
  <c r="R876" i="5"/>
  <c r="W876" i="5" s="1"/>
  <c r="Q876" i="5"/>
  <c r="P876" i="5"/>
  <c r="T876" i="5" s="1"/>
  <c r="E876" i="5"/>
  <c r="AD875" i="5"/>
  <c r="X875" i="5"/>
  <c r="S875" i="5"/>
  <c r="R875" i="5"/>
  <c r="V875" i="5" s="1"/>
  <c r="Q875" i="5"/>
  <c r="P875" i="5"/>
  <c r="E875" i="5"/>
  <c r="AD874" i="5"/>
  <c r="T874" i="5"/>
  <c r="U874" i="5" s="1"/>
  <c r="S874" i="5"/>
  <c r="R874" i="5"/>
  <c r="W874" i="5" s="1"/>
  <c r="Q874" i="5"/>
  <c r="P874" i="5"/>
  <c r="E874" i="5"/>
  <c r="AD873" i="5"/>
  <c r="X873" i="5"/>
  <c r="W873" i="5"/>
  <c r="V873" i="5"/>
  <c r="S873" i="5"/>
  <c r="R873" i="5"/>
  <c r="Q873" i="5"/>
  <c r="P873" i="5"/>
  <c r="T873" i="5" s="1"/>
  <c r="U873" i="5" s="1"/>
  <c r="E873" i="5"/>
  <c r="AD872" i="5"/>
  <c r="X872" i="5"/>
  <c r="V872" i="5"/>
  <c r="S872" i="5"/>
  <c r="R872" i="5"/>
  <c r="W872" i="5" s="1"/>
  <c r="Q872" i="5"/>
  <c r="P872" i="5"/>
  <c r="T872" i="5" s="1"/>
  <c r="E872" i="5"/>
  <c r="AD871" i="5"/>
  <c r="X871" i="5"/>
  <c r="S871" i="5"/>
  <c r="R871" i="5"/>
  <c r="W871" i="5" s="1"/>
  <c r="Q871" i="5"/>
  <c r="P871" i="5"/>
  <c r="E871" i="5"/>
  <c r="AD870" i="5"/>
  <c r="S870" i="5"/>
  <c r="R870" i="5"/>
  <c r="W870" i="5" s="1"/>
  <c r="Q870" i="5"/>
  <c r="P870" i="5"/>
  <c r="T870" i="5" s="1"/>
  <c r="E870" i="5"/>
  <c r="AD869" i="5"/>
  <c r="X869" i="5"/>
  <c r="S869" i="5"/>
  <c r="R869" i="5"/>
  <c r="V869" i="5" s="1"/>
  <c r="Q869" i="5"/>
  <c r="P869" i="5"/>
  <c r="E869" i="5"/>
  <c r="AD868" i="5"/>
  <c r="T868" i="5"/>
  <c r="U868" i="5" s="1"/>
  <c r="S868" i="5"/>
  <c r="R868" i="5"/>
  <c r="W868" i="5" s="1"/>
  <c r="Q868" i="5"/>
  <c r="P868" i="5"/>
  <c r="E868" i="5"/>
  <c r="AD867" i="5"/>
  <c r="X867" i="5"/>
  <c r="W867" i="5"/>
  <c r="V867" i="5"/>
  <c r="S867" i="5"/>
  <c r="R867" i="5"/>
  <c r="Q867" i="5"/>
  <c r="P867" i="5"/>
  <c r="T867" i="5" s="1"/>
  <c r="U867" i="5" s="1"/>
  <c r="E867" i="5"/>
  <c r="AD866" i="5"/>
  <c r="X866" i="5"/>
  <c r="V866" i="5"/>
  <c r="S866" i="5"/>
  <c r="R866" i="5"/>
  <c r="W866" i="5" s="1"/>
  <c r="Q866" i="5"/>
  <c r="P866" i="5"/>
  <c r="T866" i="5" s="1"/>
  <c r="E866" i="5"/>
  <c r="AD865" i="5"/>
  <c r="X865" i="5"/>
  <c r="S865" i="5"/>
  <c r="R865" i="5"/>
  <c r="W865" i="5" s="1"/>
  <c r="Q865" i="5"/>
  <c r="P865" i="5"/>
  <c r="E865" i="5"/>
  <c r="AD864" i="5"/>
  <c r="S864" i="5"/>
  <c r="R864" i="5"/>
  <c r="W864" i="5" s="1"/>
  <c r="Q864" i="5"/>
  <c r="P864" i="5"/>
  <c r="T864" i="5" s="1"/>
  <c r="E864" i="5"/>
  <c r="AD863" i="5"/>
  <c r="AB863" i="5"/>
  <c r="X863" i="5"/>
  <c r="W863" i="5"/>
  <c r="V863" i="5"/>
  <c r="S863" i="5"/>
  <c r="R863" i="5"/>
  <c r="Q863" i="5"/>
  <c r="P863" i="5"/>
  <c r="T863" i="5" s="1"/>
  <c r="E863" i="5"/>
  <c r="AD862" i="5"/>
  <c r="W862" i="5"/>
  <c r="V862" i="5"/>
  <c r="S862" i="5"/>
  <c r="R862" i="5"/>
  <c r="X862" i="5" s="1"/>
  <c r="Q862" i="5"/>
  <c r="P862" i="5"/>
  <c r="T862" i="5" s="1"/>
  <c r="E862" i="5"/>
  <c r="AD861" i="5"/>
  <c r="AB861" i="5"/>
  <c r="X861" i="5"/>
  <c r="T861" i="5"/>
  <c r="U861" i="5" s="1"/>
  <c r="S861" i="5"/>
  <c r="R861" i="5"/>
  <c r="V861" i="5" s="1"/>
  <c r="Q861" i="5"/>
  <c r="P861" i="5"/>
  <c r="E861" i="5"/>
  <c r="AD860" i="5"/>
  <c r="W860" i="5"/>
  <c r="V860" i="5"/>
  <c r="S860" i="5"/>
  <c r="R860" i="5"/>
  <c r="X860" i="5" s="1"/>
  <c r="Q860" i="5"/>
  <c r="P860" i="5"/>
  <c r="T860" i="5" s="1"/>
  <c r="E860" i="5"/>
  <c r="AD859" i="5"/>
  <c r="X859" i="5"/>
  <c r="S859" i="5"/>
  <c r="R859" i="5"/>
  <c r="V859" i="5" s="1"/>
  <c r="Q859" i="5"/>
  <c r="T859" i="5" s="1"/>
  <c r="P859" i="5"/>
  <c r="E859" i="5"/>
  <c r="AD858" i="5"/>
  <c r="AB858" i="5"/>
  <c r="X858" i="5"/>
  <c r="S858" i="5"/>
  <c r="R858" i="5"/>
  <c r="V858" i="5" s="1"/>
  <c r="Q858" i="5"/>
  <c r="P858" i="5"/>
  <c r="E858" i="5"/>
  <c r="AD857" i="5"/>
  <c r="T857" i="5"/>
  <c r="U857" i="5" s="1"/>
  <c r="S857" i="5"/>
  <c r="R857" i="5"/>
  <c r="W857" i="5" s="1"/>
  <c r="Q857" i="5"/>
  <c r="P857" i="5"/>
  <c r="E857" i="5"/>
  <c r="AD856" i="5"/>
  <c r="AB856" i="5"/>
  <c r="X856" i="5"/>
  <c r="S856" i="5"/>
  <c r="R856" i="5"/>
  <c r="W856" i="5" s="1"/>
  <c r="Q856" i="5"/>
  <c r="P856" i="5"/>
  <c r="T856" i="5" s="1"/>
  <c r="E856" i="5"/>
  <c r="AD855" i="5"/>
  <c r="AB855" i="5"/>
  <c r="T855" i="5"/>
  <c r="S855" i="5"/>
  <c r="R855" i="5"/>
  <c r="V855" i="5" s="1"/>
  <c r="Q855" i="5"/>
  <c r="P855" i="5"/>
  <c r="E855" i="5"/>
  <c r="AD854" i="5"/>
  <c r="X854" i="5"/>
  <c r="W854" i="5"/>
  <c r="S854" i="5"/>
  <c r="R854" i="5"/>
  <c r="V854" i="5" s="1"/>
  <c r="Q854" i="5"/>
  <c r="T854" i="5" s="1"/>
  <c r="P854" i="5"/>
  <c r="E854" i="5"/>
  <c r="AD853" i="5"/>
  <c r="S853" i="5"/>
  <c r="R853" i="5"/>
  <c r="X853" i="5" s="1"/>
  <c r="Q853" i="5"/>
  <c r="P853" i="5"/>
  <c r="T853" i="5" s="1"/>
  <c r="E853" i="5"/>
  <c r="AD852" i="5"/>
  <c r="AB852" i="5"/>
  <c r="X852" i="5"/>
  <c r="V852" i="5"/>
  <c r="S852" i="5"/>
  <c r="R852" i="5"/>
  <c r="W852" i="5" s="1"/>
  <c r="Q852" i="5"/>
  <c r="P852" i="5"/>
  <c r="T852" i="5" s="1"/>
  <c r="E852" i="5"/>
  <c r="AD851" i="5"/>
  <c r="X851" i="5"/>
  <c r="W851" i="5"/>
  <c r="V851" i="5"/>
  <c r="S851" i="5"/>
  <c r="R851" i="5"/>
  <c r="Q851" i="5"/>
  <c r="P851" i="5"/>
  <c r="T851" i="5" s="1"/>
  <c r="E851" i="5"/>
  <c r="AD850" i="5"/>
  <c r="AB850" i="5"/>
  <c r="W850" i="5"/>
  <c r="V850" i="5"/>
  <c r="S850" i="5"/>
  <c r="R850" i="5"/>
  <c r="X850" i="5" s="1"/>
  <c r="Q850" i="5"/>
  <c r="P850" i="5"/>
  <c r="T850" i="5" s="1"/>
  <c r="E850" i="5"/>
  <c r="AD849" i="5"/>
  <c r="X849" i="5"/>
  <c r="T849" i="5"/>
  <c r="U849" i="5" s="1"/>
  <c r="S849" i="5"/>
  <c r="R849" i="5"/>
  <c r="V849" i="5" s="1"/>
  <c r="Q849" i="5"/>
  <c r="P849" i="5"/>
  <c r="E849" i="5"/>
  <c r="AD848" i="5"/>
  <c r="W848" i="5"/>
  <c r="V848" i="5"/>
  <c r="S848" i="5"/>
  <c r="R848" i="5"/>
  <c r="X848" i="5" s="1"/>
  <c r="Q848" i="5"/>
  <c r="P848" i="5"/>
  <c r="T848" i="5" s="1"/>
  <c r="E848" i="5"/>
  <c r="AD847" i="5"/>
  <c r="X847" i="5"/>
  <c r="W847" i="5"/>
  <c r="V847" i="5"/>
  <c r="S847" i="5"/>
  <c r="R847" i="5"/>
  <c r="Q847" i="5"/>
  <c r="P847" i="5"/>
  <c r="T847" i="5" s="1"/>
  <c r="E847" i="5"/>
  <c r="AD846" i="5"/>
  <c r="W846" i="5"/>
  <c r="V846" i="5"/>
  <c r="S846" i="5"/>
  <c r="R846" i="5"/>
  <c r="X846" i="5" s="1"/>
  <c r="Q846" i="5"/>
  <c r="P846" i="5"/>
  <c r="T846" i="5" s="1"/>
  <c r="E846" i="5"/>
  <c r="AD845" i="5"/>
  <c r="X845" i="5"/>
  <c r="T845" i="5"/>
  <c r="U845" i="5" s="1"/>
  <c r="S845" i="5"/>
  <c r="R845" i="5"/>
  <c r="V845" i="5" s="1"/>
  <c r="Q845" i="5"/>
  <c r="P845" i="5"/>
  <c r="E845" i="5"/>
  <c r="AF842" i="5"/>
  <c r="Y842" i="5"/>
  <c r="X842" i="5"/>
  <c r="V842" i="5"/>
  <c r="R842" i="5"/>
  <c r="O842" i="5"/>
  <c r="P842" i="5" s="1"/>
  <c r="E842" i="5"/>
  <c r="AF841" i="5"/>
  <c r="Y841" i="5"/>
  <c r="W841" i="5"/>
  <c r="V841" i="5"/>
  <c r="R841" i="5"/>
  <c r="X841" i="5" s="1"/>
  <c r="O841" i="5"/>
  <c r="T841" i="5" s="1"/>
  <c r="E841" i="5"/>
  <c r="AF838" i="5"/>
  <c r="T838" i="5"/>
  <c r="W1806" i="5" s="1"/>
  <c r="R838" i="5"/>
  <c r="Y838" i="5" s="1"/>
  <c r="AB1806" i="5" s="1"/>
  <c r="P838" i="5"/>
  <c r="O838" i="5"/>
  <c r="E838" i="5"/>
  <c r="AF837" i="5"/>
  <c r="Y837" i="5"/>
  <c r="X837" i="5"/>
  <c r="V837" i="5"/>
  <c r="R837" i="5"/>
  <c r="O837" i="5"/>
  <c r="T837" i="5" s="1"/>
  <c r="E837" i="5"/>
  <c r="AF836" i="5"/>
  <c r="X836" i="5"/>
  <c r="V836" i="5"/>
  <c r="T836" i="5"/>
  <c r="U836" i="5" s="1"/>
  <c r="R836" i="5"/>
  <c r="Y836" i="5" s="1"/>
  <c r="P836" i="5"/>
  <c r="O836" i="5"/>
  <c r="E836" i="5"/>
  <c r="AF835" i="5"/>
  <c r="Y835" i="5"/>
  <c r="X835" i="5"/>
  <c r="U835" i="5"/>
  <c r="AA835" i="5" s="1"/>
  <c r="AB835" i="5" s="1"/>
  <c r="AC835" i="5" s="1"/>
  <c r="T835" i="5"/>
  <c r="Z835" i="5" s="1"/>
  <c r="AE835" i="5" s="1"/>
  <c r="R835" i="5"/>
  <c r="V835" i="5" s="1"/>
  <c r="P835" i="5"/>
  <c r="O835" i="5"/>
  <c r="E835" i="5"/>
  <c r="AF834" i="5"/>
  <c r="R834" i="5"/>
  <c r="X834" i="5" s="1"/>
  <c r="O834" i="5"/>
  <c r="T834" i="5" s="1"/>
  <c r="E834" i="5"/>
  <c r="AF833" i="5"/>
  <c r="X833" i="5"/>
  <c r="W833" i="5"/>
  <c r="V833" i="5"/>
  <c r="R833" i="5"/>
  <c r="Y833" i="5" s="1"/>
  <c r="O833" i="5"/>
  <c r="T833" i="5" s="1"/>
  <c r="U833" i="5" s="1"/>
  <c r="E833" i="5"/>
  <c r="AF832" i="5"/>
  <c r="T832" i="5"/>
  <c r="R832" i="5"/>
  <c r="Y832" i="5" s="1"/>
  <c r="O832" i="5"/>
  <c r="P832" i="5" s="1"/>
  <c r="E832" i="5"/>
  <c r="AF831" i="5"/>
  <c r="T831" i="5"/>
  <c r="U831" i="5" s="1"/>
  <c r="R831" i="5"/>
  <c r="X831" i="5" s="1"/>
  <c r="O831" i="5"/>
  <c r="P831" i="5" s="1"/>
  <c r="E831" i="5"/>
  <c r="AF830" i="5"/>
  <c r="Y830" i="5"/>
  <c r="X830" i="5"/>
  <c r="V830" i="5"/>
  <c r="R830" i="5"/>
  <c r="O830" i="5"/>
  <c r="P830" i="5" s="1"/>
  <c r="E830" i="5"/>
  <c r="AF829" i="5"/>
  <c r="Y829" i="5"/>
  <c r="R829" i="5"/>
  <c r="P829" i="5"/>
  <c r="O829" i="5"/>
  <c r="T829" i="5" s="1"/>
  <c r="E829" i="5"/>
  <c r="AF828" i="5"/>
  <c r="Y828" i="5"/>
  <c r="T828" i="5"/>
  <c r="U828" i="5" s="1"/>
  <c r="R828" i="5"/>
  <c r="X828" i="5" s="1"/>
  <c r="O828" i="5"/>
  <c r="P828" i="5" s="1"/>
  <c r="E828" i="5"/>
  <c r="AF827" i="5"/>
  <c r="X827" i="5"/>
  <c r="W827" i="5"/>
  <c r="U827" i="5"/>
  <c r="T827" i="5"/>
  <c r="R827" i="5"/>
  <c r="V827" i="5" s="1"/>
  <c r="P827" i="5"/>
  <c r="O827" i="5"/>
  <c r="E827" i="5"/>
  <c r="AF826" i="5"/>
  <c r="R826" i="5"/>
  <c r="X826" i="5" s="1"/>
  <c r="O826" i="5"/>
  <c r="T826" i="5" s="1"/>
  <c r="E826" i="5"/>
  <c r="AF825" i="5"/>
  <c r="X825" i="5"/>
  <c r="W825" i="5"/>
  <c r="V825" i="5"/>
  <c r="R825" i="5"/>
  <c r="Y825" i="5" s="1"/>
  <c r="O825" i="5"/>
  <c r="T825" i="5" s="1"/>
  <c r="U825" i="5" s="1"/>
  <c r="E825" i="5"/>
  <c r="AF824" i="5"/>
  <c r="X824" i="5"/>
  <c r="V824" i="5"/>
  <c r="R824" i="5"/>
  <c r="Y824" i="5" s="1"/>
  <c r="O824" i="5"/>
  <c r="T824" i="5" s="1"/>
  <c r="E824" i="5"/>
  <c r="AF823" i="5"/>
  <c r="T823" i="5"/>
  <c r="R823" i="5"/>
  <c r="V823" i="5" s="1"/>
  <c r="P823" i="5"/>
  <c r="O823" i="5"/>
  <c r="E823" i="5"/>
  <c r="AF822" i="5"/>
  <c r="X822" i="5"/>
  <c r="R822" i="5"/>
  <c r="W822" i="5" s="1"/>
  <c r="P822" i="5"/>
  <c r="O822" i="5"/>
  <c r="T822" i="5" s="1"/>
  <c r="E822" i="5"/>
  <c r="AF821" i="5"/>
  <c r="Y821" i="5"/>
  <c r="T821" i="5"/>
  <c r="R821" i="5"/>
  <c r="V821" i="5" s="1"/>
  <c r="P821" i="5"/>
  <c r="O821" i="5"/>
  <c r="E821" i="5"/>
  <c r="AF820" i="5"/>
  <c r="Y820" i="5"/>
  <c r="V820" i="5"/>
  <c r="U820" i="5"/>
  <c r="AA820" i="5" s="1"/>
  <c r="AB820" i="5" s="1"/>
  <c r="AC820" i="5" s="1"/>
  <c r="T820" i="5"/>
  <c r="Z820" i="5" s="1"/>
  <c r="AE820" i="5" s="1"/>
  <c r="R820" i="5"/>
  <c r="X820" i="5" s="1"/>
  <c r="O820" i="5"/>
  <c r="P820" i="5" s="1"/>
  <c r="E820" i="5"/>
  <c r="AF819" i="5"/>
  <c r="Y819" i="5"/>
  <c r="X819" i="5"/>
  <c r="V819" i="5"/>
  <c r="R819" i="5"/>
  <c r="O819" i="5"/>
  <c r="P819" i="5" s="1"/>
  <c r="E819" i="5"/>
  <c r="AF818" i="5"/>
  <c r="X818" i="5"/>
  <c r="U818" i="5"/>
  <c r="R818" i="5"/>
  <c r="V818" i="5" s="1"/>
  <c r="P818" i="5"/>
  <c r="O818" i="5"/>
  <c r="T818" i="5" s="1"/>
  <c r="E818" i="5"/>
  <c r="AF817" i="5"/>
  <c r="X817" i="5"/>
  <c r="W817" i="5"/>
  <c r="V817" i="5"/>
  <c r="R817" i="5"/>
  <c r="Y817" i="5" s="1"/>
  <c r="O817" i="5"/>
  <c r="P817" i="5" s="1"/>
  <c r="E817" i="5"/>
  <c r="AF816" i="5"/>
  <c r="R816" i="5"/>
  <c r="X816" i="5" s="1"/>
  <c r="O816" i="5"/>
  <c r="P816" i="5" s="1"/>
  <c r="E816" i="5"/>
  <c r="AF815" i="5"/>
  <c r="T815" i="5"/>
  <c r="R815" i="5"/>
  <c r="V815" i="5" s="1"/>
  <c r="P815" i="5"/>
  <c r="O815" i="5"/>
  <c r="E815" i="5"/>
  <c r="AF814" i="5"/>
  <c r="X814" i="5"/>
  <c r="R814" i="5"/>
  <c r="W814" i="5" s="1"/>
  <c r="P814" i="5"/>
  <c r="O814" i="5"/>
  <c r="T814" i="5" s="1"/>
  <c r="E814" i="5"/>
  <c r="AF813" i="5"/>
  <c r="V813" i="5"/>
  <c r="R813" i="5"/>
  <c r="W813" i="5" s="1"/>
  <c r="O813" i="5"/>
  <c r="T813" i="5" s="1"/>
  <c r="E813" i="5"/>
  <c r="AF812" i="5"/>
  <c r="X812" i="5"/>
  <c r="R812" i="5"/>
  <c r="Y812" i="5" s="1"/>
  <c r="P812" i="5"/>
  <c r="O812" i="5"/>
  <c r="T812" i="5" s="1"/>
  <c r="E812" i="5"/>
  <c r="AF811" i="5"/>
  <c r="Y811" i="5"/>
  <c r="W811" i="5"/>
  <c r="V811" i="5"/>
  <c r="T811" i="5"/>
  <c r="U811" i="5" s="1"/>
  <c r="R811" i="5"/>
  <c r="X811" i="5" s="1"/>
  <c r="O811" i="5"/>
  <c r="P811" i="5" s="1"/>
  <c r="E811" i="5"/>
  <c r="AF810" i="5"/>
  <c r="Y810" i="5"/>
  <c r="X810" i="5"/>
  <c r="T810" i="5"/>
  <c r="R810" i="5"/>
  <c r="V810" i="5" s="1"/>
  <c r="P810" i="5"/>
  <c r="O810" i="5"/>
  <c r="E810" i="5"/>
  <c r="AF809" i="5"/>
  <c r="X809" i="5"/>
  <c r="T809" i="5"/>
  <c r="U809" i="5" s="1"/>
  <c r="R809" i="5"/>
  <c r="W809" i="5" s="1"/>
  <c r="P809" i="5"/>
  <c r="O809" i="5"/>
  <c r="E809" i="5"/>
  <c r="AF808" i="5"/>
  <c r="X808" i="5"/>
  <c r="W808" i="5"/>
  <c r="V808" i="5"/>
  <c r="R808" i="5"/>
  <c r="Y808" i="5" s="1"/>
  <c r="O808" i="5"/>
  <c r="T808" i="5" s="1"/>
  <c r="U808" i="5" s="1"/>
  <c r="E808" i="5"/>
  <c r="AF807" i="5"/>
  <c r="X807" i="5"/>
  <c r="V807" i="5"/>
  <c r="T807" i="5"/>
  <c r="U807" i="5" s="1"/>
  <c r="R807" i="5"/>
  <c r="Y807" i="5" s="1"/>
  <c r="P807" i="5"/>
  <c r="O807" i="5"/>
  <c r="E807" i="5"/>
  <c r="AF806" i="5"/>
  <c r="X806" i="5"/>
  <c r="V806" i="5"/>
  <c r="R806" i="5"/>
  <c r="W806" i="5" s="1"/>
  <c r="O806" i="5"/>
  <c r="P806" i="5" s="1"/>
  <c r="E806" i="5"/>
  <c r="AF805" i="5"/>
  <c r="Y805" i="5"/>
  <c r="R805" i="5"/>
  <c r="P805" i="5"/>
  <c r="O805" i="5"/>
  <c r="T805" i="5" s="1"/>
  <c r="E805" i="5"/>
  <c r="AF804" i="5"/>
  <c r="Y804" i="5"/>
  <c r="T804" i="5"/>
  <c r="R804" i="5"/>
  <c r="V804" i="5" s="1"/>
  <c r="P804" i="5"/>
  <c r="O804" i="5"/>
  <c r="E804" i="5"/>
  <c r="AF803" i="5"/>
  <c r="Y803" i="5"/>
  <c r="V803" i="5"/>
  <c r="U803" i="5"/>
  <c r="AA803" i="5" s="1"/>
  <c r="AB803" i="5" s="1"/>
  <c r="AC803" i="5" s="1"/>
  <c r="T803" i="5"/>
  <c r="Z803" i="5" s="1"/>
  <c r="AE803" i="5" s="1"/>
  <c r="R803" i="5"/>
  <c r="X803" i="5" s="1"/>
  <c r="O803" i="5"/>
  <c r="P803" i="5" s="1"/>
  <c r="E803" i="5"/>
  <c r="AF802" i="5"/>
  <c r="X802" i="5"/>
  <c r="U802" i="5" s="1"/>
  <c r="T802" i="5"/>
  <c r="R802" i="5"/>
  <c r="V802" i="5" s="1"/>
  <c r="P802" i="5"/>
  <c r="O802" i="5"/>
  <c r="E802" i="5"/>
  <c r="AF801" i="5"/>
  <c r="Y801" i="5"/>
  <c r="R801" i="5"/>
  <c r="X801" i="5" s="1"/>
  <c r="U801" i="5" s="1"/>
  <c r="P801" i="5"/>
  <c r="O801" i="5"/>
  <c r="T801" i="5" s="1"/>
  <c r="E801" i="5"/>
  <c r="AF800" i="5"/>
  <c r="X800" i="5"/>
  <c r="W800" i="5"/>
  <c r="V800" i="5"/>
  <c r="R800" i="5"/>
  <c r="Y800" i="5" s="1"/>
  <c r="O800" i="5"/>
  <c r="P800" i="5" s="1"/>
  <c r="E800" i="5"/>
  <c r="AF799" i="5"/>
  <c r="Y799" i="5"/>
  <c r="W799" i="5"/>
  <c r="V799" i="5"/>
  <c r="T799" i="5"/>
  <c r="U799" i="5" s="1"/>
  <c r="R799" i="5"/>
  <c r="X799" i="5" s="1"/>
  <c r="P799" i="5"/>
  <c r="O799" i="5"/>
  <c r="E799" i="5"/>
  <c r="AF798" i="5"/>
  <c r="X798" i="5"/>
  <c r="V798" i="5"/>
  <c r="R798" i="5"/>
  <c r="W798" i="5" s="1"/>
  <c r="O798" i="5"/>
  <c r="P798" i="5" s="1"/>
  <c r="E798" i="5"/>
  <c r="AF797" i="5"/>
  <c r="T797" i="5"/>
  <c r="R797" i="5"/>
  <c r="V797" i="5" s="1"/>
  <c r="P797" i="5"/>
  <c r="O797" i="5"/>
  <c r="E797" i="5"/>
  <c r="AF796" i="5"/>
  <c r="X796" i="5"/>
  <c r="W796" i="5"/>
  <c r="V796" i="5"/>
  <c r="R796" i="5"/>
  <c r="O796" i="5"/>
  <c r="P796" i="5" s="1"/>
  <c r="E796" i="5"/>
  <c r="AF795" i="5"/>
  <c r="Y795" i="5"/>
  <c r="R795" i="5"/>
  <c r="P795" i="5"/>
  <c r="O795" i="5"/>
  <c r="T795" i="5" s="1"/>
  <c r="E795" i="5"/>
  <c r="AF794" i="5"/>
  <c r="Y794" i="5"/>
  <c r="T794" i="5"/>
  <c r="U794" i="5" s="1"/>
  <c r="R794" i="5"/>
  <c r="X794" i="5" s="1"/>
  <c r="O794" i="5"/>
  <c r="P794" i="5" s="1"/>
  <c r="E794" i="5"/>
  <c r="AF793" i="5"/>
  <c r="X793" i="5"/>
  <c r="W793" i="5"/>
  <c r="U793" i="5"/>
  <c r="T793" i="5"/>
  <c r="R793" i="5"/>
  <c r="V793" i="5" s="1"/>
  <c r="P793" i="5"/>
  <c r="O793" i="5"/>
  <c r="E793" i="5"/>
  <c r="AF792" i="5"/>
  <c r="R792" i="5"/>
  <c r="X792" i="5" s="1"/>
  <c r="O792" i="5"/>
  <c r="T792" i="5" s="1"/>
  <c r="E792" i="5"/>
  <c r="AF791" i="5"/>
  <c r="X791" i="5"/>
  <c r="W791" i="5"/>
  <c r="V791" i="5"/>
  <c r="R791" i="5"/>
  <c r="Y791" i="5" s="1"/>
  <c r="O791" i="5"/>
  <c r="T791" i="5" s="1"/>
  <c r="U791" i="5" s="1"/>
  <c r="E791" i="5"/>
  <c r="AF790" i="5"/>
  <c r="X790" i="5"/>
  <c r="V790" i="5"/>
  <c r="R790" i="5"/>
  <c r="Y790" i="5" s="1"/>
  <c r="O790" i="5"/>
  <c r="T790" i="5" s="1"/>
  <c r="E790" i="5"/>
  <c r="AF789" i="5"/>
  <c r="T789" i="5"/>
  <c r="R789" i="5"/>
  <c r="V789" i="5" s="1"/>
  <c r="P789" i="5"/>
  <c r="O789" i="5"/>
  <c r="E789" i="5"/>
  <c r="AF788" i="5"/>
  <c r="Y788" i="5"/>
  <c r="X788" i="5"/>
  <c r="V788" i="5"/>
  <c r="R788" i="5"/>
  <c r="O788" i="5"/>
  <c r="T788" i="5" s="1"/>
  <c r="E788" i="5"/>
  <c r="AF787" i="5"/>
  <c r="X787" i="5"/>
  <c r="T787" i="5"/>
  <c r="R787" i="5"/>
  <c r="Y787" i="5" s="1"/>
  <c r="P787" i="5"/>
  <c r="O787" i="5"/>
  <c r="E787" i="5"/>
  <c r="AF786" i="5"/>
  <c r="Y786" i="5"/>
  <c r="V786" i="5"/>
  <c r="U786" i="5"/>
  <c r="AA786" i="5" s="1"/>
  <c r="AB786" i="5" s="1"/>
  <c r="AC786" i="5" s="1"/>
  <c r="T786" i="5"/>
  <c r="Z786" i="5" s="1"/>
  <c r="AE786" i="5" s="1"/>
  <c r="R786" i="5"/>
  <c r="X786" i="5" s="1"/>
  <c r="O786" i="5"/>
  <c r="P786" i="5" s="1"/>
  <c r="E786" i="5"/>
  <c r="AF785" i="5"/>
  <c r="Y785" i="5"/>
  <c r="X785" i="5"/>
  <c r="V785" i="5"/>
  <c r="R785" i="5"/>
  <c r="O785" i="5"/>
  <c r="P785" i="5" s="1"/>
  <c r="E785" i="5"/>
  <c r="AF784" i="5"/>
  <c r="T784" i="5"/>
  <c r="R784" i="5"/>
  <c r="O784" i="5"/>
  <c r="P784" i="5" s="1"/>
  <c r="E784" i="5"/>
  <c r="AF783" i="5"/>
  <c r="T783" i="5"/>
  <c r="U783" i="5" s="1"/>
  <c r="R783" i="5"/>
  <c r="X783" i="5" s="1"/>
  <c r="O783" i="5"/>
  <c r="P783" i="5" s="1"/>
  <c r="E783" i="5"/>
  <c r="AF782" i="5"/>
  <c r="Y782" i="5"/>
  <c r="X782" i="5"/>
  <c r="V782" i="5"/>
  <c r="R782" i="5"/>
  <c r="O782" i="5"/>
  <c r="P782" i="5" s="1"/>
  <c r="E782" i="5"/>
  <c r="AF781" i="5"/>
  <c r="R781" i="5"/>
  <c r="O781" i="5"/>
  <c r="T781" i="5" s="1"/>
  <c r="E781" i="5"/>
  <c r="AF780" i="5"/>
  <c r="X780" i="5"/>
  <c r="V780" i="5"/>
  <c r="R780" i="5"/>
  <c r="Y780" i="5" s="1"/>
  <c r="O780" i="5"/>
  <c r="P780" i="5" s="1"/>
  <c r="E780" i="5"/>
  <c r="AF779" i="5"/>
  <c r="Y779" i="5"/>
  <c r="T779" i="5"/>
  <c r="R779" i="5"/>
  <c r="V779" i="5" s="1"/>
  <c r="P779" i="5"/>
  <c r="O779" i="5"/>
  <c r="E779" i="5"/>
  <c r="AF778" i="5"/>
  <c r="Y778" i="5"/>
  <c r="R778" i="5"/>
  <c r="X778" i="5" s="1"/>
  <c r="U778" i="5" s="1"/>
  <c r="P778" i="5"/>
  <c r="O778" i="5"/>
  <c r="T778" i="5" s="1"/>
  <c r="E778" i="5"/>
  <c r="AF777" i="5"/>
  <c r="X777" i="5"/>
  <c r="V777" i="5"/>
  <c r="R777" i="5"/>
  <c r="Y777" i="5" s="1"/>
  <c r="O777" i="5"/>
  <c r="P777" i="5" s="1"/>
  <c r="E777" i="5"/>
  <c r="AF776" i="5"/>
  <c r="T776" i="5"/>
  <c r="R776" i="5"/>
  <c r="V776" i="5" s="1"/>
  <c r="P776" i="5"/>
  <c r="O776" i="5"/>
  <c r="E776" i="5"/>
  <c r="AF775" i="5"/>
  <c r="X775" i="5"/>
  <c r="W775" i="5"/>
  <c r="V775" i="5"/>
  <c r="R775" i="5"/>
  <c r="O775" i="5"/>
  <c r="P775" i="5" s="1"/>
  <c r="E775" i="5"/>
  <c r="AF774" i="5"/>
  <c r="R774" i="5"/>
  <c r="O774" i="5"/>
  <c r="T774" i="5" s="1"/>
  <c r="E774" i="5"/>
  <c r="AF773" i="5"/>
  <c r="X773" i="5"/>
  <c r="V773" i="5"/>
  <c r="R773" i="5"/>
  <c r="Y773" i="5" s="1"/>
  <c r="O773" i="5"/>
  <c r="P773" i="5" s="1"/>
  <c r="E773" i="5"/>
  <c r="AF772" i="5"/>
  <c r="R772" i="5"/>
  <c r="W772" i="5" s="1"/>
  <c r="O772" i="5"/>
  <c r="P772" i="5" s="1"/>
  <c r="E772" i="5"/>
  <c r="AF771" i="5"/>
  <c r="Y771" i="5"/>
  <c r="T771" i="5"/>
  <c r="R771" i="5"/>
  <c r="V771" i="5" s="1"/>
  <c r="P771" i="5"/>
  <c r="O771" i="5"/>
  <c r="E771" i="5"/>
  <c r="AF770" i="5"/>
  <c r="Y770" i="5"/>
  <c r="X770" i="5"/>
  <c r="V770" i="5"/>
  <c r="R770" i="5"/>
  <c r="O770" i="5"/>
  <c r="P770" i="5" s="1"/>
  <c r="E770" i="5"/>
  <c r="AF769" i="5"/>
  <c r="Y769" i="5"/>
  <c r="R769" i="5"/>
  <c r="X769" i="5" s="1"/>
  <c r="O769" i="5"/>
  <c r="P769" i="5" s="1"/>
  <c r="E769" i="5"/>
  <c r="AF768" i="5"/>
  <c r="X768" i="5"/>
  <c r="T768" i="5"/>
  <c r="U768" i="5" s="1"/>
  <c r="R768" i="5"/>
  <c r="V768" i="5" s="1"/>
  <c r="P768" i="5"/>
  <c r="O768" i="5"/>
  <c r="E768" i="5"/>
  <c r="AF767" i="5"/>
  <c r="Y767" i="5"/>
  <c r="X767" i="5"/>
  <c r="V767" i="5"/>
  <c r="R767" i="5"/>
  <c r="O767" i="5"/>
  <c r="T767" i="5" s="1"/>
  <c r="U767" i="5" s="1"/>
  <c r="E767" i="5"/>
  <c r="AF766" i="5"/>
  <c r="T766" i="5"/>
  <c r="R766" i="5"/>
  <c r="Y766" i="5" s="1"/>
  <c r="O766" i="5"/>
  <c r="P766" i="5" s="1"/>
  <c r="E766" i="5"/>
  <c r="AF765" i="5"/>
  <c r="T765" i="5"/>
  <c r="U765" i="5" s="1"/>
  <c r="R765" i="5"/>
  <c r="X765" i="5" s="1"/>
  <c r="O765" i="5"/>
  <c r="P765" i="5" s="1"/>
  <c r="E765" i="5"/>
  <c r="AF764" i="5"/>
  <c r="Y764" i="5"/>
  <c r="X764" i="5"/>
  <c r="V764" i="5"/>
  <c r="R764" i="5"/>
  <c r="O764" i="5"/>
  <c r="P764" i="5" s="1"/>
  <c r="E764" i="5"/>
  <c r="AF763" i="5"/>
  <c r="Y763" i="5"/>
  <c r="R763" i="5"/>
  <c r="P763" i="5"/>
  <c r="O763" i="5"/>
  <c r="T763" i="5" s="1"/>
  <c r="E763" i="5"/>
  <c r="AF762" i="5"/>
  <c r="Y762" i="5"/>
  <c r="W762" i="5"/>
  <c r="V762" i="5"/>
  <c r="T762" i="5"/>
  <c r="U762" i="5" s="1"/>
  <c r="R762" i="5"/>
  <c r="X762" i="5" s="1"/>
  <c r="O762" i="5"/>
  <c r="P762" i="5" s="1"/>
  <c r="E762" i="5"/>
  <c r="AF761" i="5"/>
  <c r="X761" i="5"/>
  <c r="R761" i="5"/>
  <c r="W761" i="5" s="1"/>
  <c r="O761" i="5"/>
  <c r="P761" i="5" s="1"/>
  <c r="E761" i="5"/>
  <c r="AF760" i="5"/>
  <c r="R760" i="5"/>
  <c r="O760" i="5"/>
  <c r="T760" i="5" s="1"/>
  <c r="E760" i="5"/>
  <c r="AF759" i="5"/>
  <c r="V759" i="5"/>
  <c r="T759" i="5"/>
  <c r="R759" i="5"/>
  <c r="X759" i="5" s="1"/>
  <c r="U759" i="5" s="1"/>
  <c r="O759" i="5"/>
  <c r="P759" i="5" s="1"/>
  <c r="E759" i="5"/>
  <c r="AF758" i="5"/>
  <c r="Y758" i="5"/>
  <c r="W758" i="5"/>
  <c r="V758" i="5"/>
  <c r="R758" i="5"/>
  <c r="X758" i="5" s="1"/>
  <c r="P758" i="5"/>
  <c r="O758" i="5"/>
  <c r="T758" i="5" s="1"/>
  <c r="E758" i="5"/>
  <c r="AF757" i="5"/>
  <c r="Y757" i="5"/>
  <c r="T757" i="5"/>
  <c r="R757" i="5"/>
  <c r="V757" i="5" s="1"/>
  <c r="P757" i="5"/>
  <c r="O757" i="5"/>
  <c r="E757" i="5"/>
  <c r="AF756" i="5"/>
  <c r="Y756" i="5"/>
  <c r="X756" i="5"/>
  <c r="V756" i="5"/>
  <c r="R756" i="5"/>
  <c r="O756" i="5"/>
  <c r="T756" i="5" s="1"/>
  <c r="U756" i="5" s="1"/>
  <c r="E756" i="5"/>
  <c r="AF755" i="5"/>
  <c r="T755" i="5"/>
  <c r="R755" i="5"/>
  <c r="Y755" i="5" s="1"/>
  <c r="O755" i="5"/>
  <c r="P755" i="5" s="1"/>
  <c r="E755" i="5"/>
  <c r="AF754" i="5"/>
  <c r="Y754" i="5"/>
  <c r="W754" i="5"/>
  <c r="V754" i="5"/>
  <c r="R754" i="5"/>
  <c r="X754" i="5" s="1"/>
  <c r="O754" i="5"/>
  <c r="P754" i="5" s="1"/>
  <c r="E754" i="5"/>
  <c r="AF753" i="5"/>
  <c r="R753" i="5"/>
  <c r="W753" i="5" s="1"/>
  <c r="O753" i="5"/>
  <c r="P753" i="5" s="1"/>
  <c r="E753" i="5"/>
  <c r="AF752" i="5"/>
  <c r="Y752" i="5"/>
  <c r="T752" i="5"/>
  <c r="R752" i="5"/>
  <c r="V752" i="5" s="1"/>
  <c r="P752" i="5"/>
  <c r="O752" i="5"/>
  <c r="E752" i="5"/>
  <c r="AF751" i="5"/>
  <c r="Y751" i="5"/>
  <c r="X751" i="5"/>
  <c r="V751" i="5"/>
  <c r="R751" i="5"/>
  <c r="O751" i="5"/>
  <c r="P751" i="5" s="1"/>
  <c r="E751" i="5"/>
  <c r="AF750" i="5"/>
  <c r="Y750" i="5"/>
  <c r="R750" i="5"/>
  <c r="X750" i="5" s="1"/>
  <c r="O750" i="5"/>
  <c r="P750" i="5" s="1"/>
  <c r="E750" i="5"/>
  <c r="AF749" i="5"/>
  <c r="R749" i="5"/>
  <c r="O749" i="5"/>
  <c r="T749" i="5" s="1"/>
  <c r="E749" i="5"/>
  <c r="AF748" i="5"/>
  <c r="X748" i="5"/>
  <c r="W748" i="5"/>
  <c r="V748" i="5"/>
  <c r="R748" i="5"/>
  <c r="Y748" i="5" s="1"/>
  <c r="O748" i="5"/>
  <c r="T748" i="5" s="1"/>
  <c r="U748" i="5" s="1"/>
  <c r="E748" i="5"/>
  <c r="AF747" i="5"/>
  <c r="X747" i="5"/>
  <c r="V747" i="5"/>
  <c r="R747" i="5"/>
  <c r="Y747" i="5" s="1"/>
  <c r="O747" i="5"/>
  <c r="T747" i="5" s="1"/>
  <c r="E747" i="5"/>
  <c r="AF746" i="5"/>
  <c r="T746" i="5"/>
  <c r="R746" i="5"/>
  <c r="V746" i="5" s="1"/>
  <c r="P746" i="5"/>
  <c r="O746" i="5"/>
  <c r="E746" i="5"/>
  <c r="AF745" i="5"/>
  <c r="Y745" i="5"/>
  <c r="X745" i="5"/>
  <c r="V745" i="5"/>
  <c r="R745" i="5"/>
  <c r="O745" i="5"/>
  <c r="T745" i="5" s="1"/>
  <c r="E745" i="5"/>
  <c r="AF744" i="5"/>
  <c r="X744" i="5"/>
  <c r="V744" i="5"/>
  <c r="T744" i="5"/>
  <c r="U744" i="5" s="1"/>
  <c r="R744" i="5"/>
  <c r="Y744" i="5" s="1"/>
  <c r="P744" i="5"/>
  <c r="O744" i="5"/>
  <c r="E744" i="5"/>
  <c r="AF743" i="5"/>
  <c r="Y743" i="5"/>
  <c r="X743" i="5"/>
  <c r="U743" i="5"/>
  <c r="AA743" i="5" s="1"/>
  <c r="AB743" i="5" s="1"/>
  <c r="AC743" i="5" s="1"/>
  <c r="T743" i="5"/>
  <c r="Z743" i="5" s="1"/>
  <c r="AE743" i="5" s="1"/>
  <c r="R743" i="5"/>
  <c r="V743" i="5" s="1"/>
  <c r="P743" i="5"/>
  <c r="O743" i="5"/>
  <c r="E743" i="5"/>
  <c r="AF742" i="5"/>
  <c r="R742" i="5"/>
  <c r="X742" i="5" s="1"/>
  <c r="O742" i="5"/>
  <c r="T742" i="5" s="1"/>
  <c r="E742" i="5"/>
  <c r="AF741" i="5"/>
  <c r="X741" i="5"/>
  <c r="W741" i="5"/>
  <c r="V741" i="5"/>
  <c r="R741" i="5"/>
  <c r="Y741" i="5" s="1"/>
  <c r="O741" i="5"/>
  <c r="T741" i="5" s="1"/>
  <c r="U741" i="5" s="1"/>
  <c r="E741" i="5"/>
  <c r="AF740" i="5"/>
  <c r="T740" i="5"/>
  <c r="R740" i="5"/>
  <c r="O740" i="5"/>
  <c r="P740" i="5" s="1"/>
  <c r="E740" i="5"/>
  <c r="AF739" i="5"/>
  <c r="Y739" i="5"/>
  <c r="W739" i="5"/>
  <c r="V739" i="5"/>
  <c r="R739" i="5"/>
  <c r="X739" i="5" s="1"/>
  <c r="O739" i="5"/>
  <c r="P739" i="5" s="1"/>
  <c r="E739" i="5"/>
  <c r="AF738" i="5"/>
  <c r="Y738" i="5"/>
  <c r="T738" i="5"/>
  <c r="R738" i="5"/>
  <c r="V738" i="5" s="1"/>
  <c r="P738" i="5"/>
  <c r="O738" i="5"/>
  <c r="E738" i="5"/>
  <c r="AF737" i="5"/>
  <c r="Y737" i="5"/>
  <c r="R737" i="5"/>
  <c r="X737" i="5" s="1"/>
  <c r="U737" i="5" s="1"/>
  <c r="P737" i="5"/>
  <c r="O737" i="5"/>
  <c r="T737" i="5" s="1"/>
  <c r="E737" i="5"/>
  <c r="AF736" i="5"/>
  <c r="X736" i="5"/>
  <c r="V736" i="5"/>
  <c r="R736" i="5"/>
  <c r="Y736" i="5" s="1"/>
  <c r="O736" i="5"/>
  <c r="E736" i="5"/>
  <c r="AF735" i="5"/>
  <c r="T735" i="5"/>
  <c r="R735" i="5"/>
  <c r="P735" i="5"/>
  <c r="O735" i="5"/>
  <c r="E735" i="5"/>
  <c r="AF734" i="5"/>
  <c r="X734" i="5"/>
  <c r="W734" i="5"/>
  <c r="V734" i="5"/>
  <c r="R734" i="5"/>
  <c r="O734" i="5"/>
  <c r="P734" i="5" s="1"/>
  <c r="E734" i="5"/>
  <c r="AF733" i="5"/>
  <c r="R733" i="5"/>
  <c r="O733" i="5"/>
  <c r="T733" i="5" s="1"/>
  <c r="E733" i="5"/>
  <c r="AF732" i="5"/>
  <c r="X732" i="5"/>
  <c r="W732" i="5"/>
  <c r="V732" i="5"/>
  <c r="R732" i="5"/>
  <c r="Y732" i="5" s="1"/>
  <c r="O732" i="5"/>
  <c r="P732" i="5" s="1"/>
  <c r="E732" i="5"/>
  <c r="AF731" i="5"/>
  <c r="Y731" i="5"/>
  <c r="R731" i="5"/>
  <c r="X731" i="5" s="1"/>
  <c r="O731" i="5"/>
  <c r="E731" i="5"/>
  <c r="AF730" i="5"/>
  <c r="X730" i="5"/>
  <c r="T730" i="5"/>
  <c r="U730" i="5" s="1"/>
  <c r="R730" i="5"/>
  <c r="V730" i="5" s="1"/>
  <c r="P730" i="5"/>
  <c r="O730" i="5"/>
  <c r="E730" i="5"/>
  <c r="AF729" i="5"/>
  <c r="X729" i="5"/>
  <c r="W729" i="5"/>
  <c r="V729" i="5"/>
  <c r="R729" i="5"/>
  <c r="O729" i="5"/>
  <c r="E729" i="5"/>
  <c r="AF728" i="5"/>
  <c r="X728" i="5"/>
  <c r="U728" i="5"/>
  <c r="R728" i="5"/>
  <c r="V728" i="5" s="1"/>
  <c r="P728" i="5"/>
  <c r="O728" i="5"/>
  <c r="T728" i="5" s="1"/>
  <c r="E728" i="5"/>
  <c r="AF727" i="5"/>
  <c r="X727" i="5"/>
  <c r="W727" i="5"/>
  <c r="V727" i="5"/>
  <c r="R727" i="5"/>
  <c r="Y727" i="5" s="1"/>
  <c r="O727" i="5"/>
  <c r="E727" i="5"/>
  <c r="AF726" i="5"/>
  <c r="Y726" i="5"/>
  <c r="W726" i="5"/>
  <c r="V726" i="5"/>
  <c r="T726" i="5"/>
  <c r="U726" i="5" s="1"/>
  <c r="Z726" i="5" s="1"/>
  <c r="AE726" i="5" s="1"/>
  <c r="S726" i="5"/>
  <c r="R726" i="5"/>
  <c r="X726" i="5" s="1"/>
  <c r="P726" i="5"/>
  <c r="O726" i="5"/>
  <c r="E726" i="5"/>
  <c r="AF725" i="5"/>
  <c r="X725" i="5"/>
  <c r="V725" i="5"/>
  <c r="R725" i="5"/>
  <c r="W725" i="5" s="1"/>
  <c r="O725" i="5"/>
  <c r="P725" i="5" s="1"/>
  <c r="E725" i="5"/>
  <c r="AF724" i="5"/>
  <c r="T724" i="5"/>
  <c r="R724" i="5"/>
  <c r="Y724" i="5" s="1"/>
  <c r="P724" i="5"/>
  <c r="O724" i="5"/>
  <c r="E724" i="5"/>
  <c r="AF723" i="5"/>
  <c r="X723" i="5"/>
  <c r="W723" i="5"/>
  <c r="V723" i="5"/>
  <c r="R723" i="5"/>
  <c r="O723" i="5"/>
  <c r="P723" i="5" s="1"/>
  <c r="E723" i="5"/>
  <c r="AF722" i="5"/>
  <c r="Y722" i="5"/>
  <c r="R722" i="5"/>
  <c r="P722" i="5"/>
  <c r="O722" i="5"/>
  <c r="T722" i="5" s="1"/>
  <c r="E722" i="5"/>
  <c r="AF721" i="5"/>
  <c r="Y721" i="5"/>
  <c r="T721" i="5"/>
  <c r="U721" i="5" s="1"/>
  <c r="R721" i="5"/>
  <c r="X721" i="5" s="1"/>
  <c r="O721" i="5"/>
  <c r="P721" i="5" s="1"/>
  <c r="E721" i="5"/>
  <c r="AF720" i="5"/>
  <c r="V720" i="5"/>
  <c r="T720" i="5"/>
  <c r="R720" i="5"/>
  <c r="X720" i="5" s="1"/>
  <c r="O720" i="5"/>
  <c r="P720" i="5" s="1"/>
  <c r="E720" i="5"/>
  <c r="AF719" i="5"/>
  <c r="Y719" i="5"/>
  <c r="X719" i="5"/>
  <c r="V719" i="5"/>
  <c r="R719" i="5"/>
  <c r="O719" i="5"/>
  <c r="E719" i="5"/>
  <c r="AF718" i="5"/>
  <c r="R718" i="5"/>
  <c r="O718" i="5"/>
  <c r="P718" i="5" s="1"/>
  <c r="E718" i="5"/>
  <c r="AF717" i="5"/>
  <c r="T717" i="5"/>
  <c r="R717" i="5"/>
  <c r="V717" i="5" s="1"/>
  <c r="P717" i="5"/>
  <c r="O717" i="5"/>
  <c r="E717" i="5"/>
  <c r="AF716" i="5"/>
  <c r="X716" i="5"/>
  <c r="R716" i="5"/>
  <c r="W716" i="5" s="1"/>
  <c r="P716" i="5"/>
  <c r="O716" i="5"/>
  <c r="T716" i="5" s="1"/>
  <c r="E716" i="5"/>
  <c r="AF715" i="5"/>
  <c r="Y715" i="5"/>
  <c r="T715" i="5"/>
  <c r="R715" i="5"/>
  <c r="V715" i="5" s="1"/>
  <c r="P715" i="5"/>
  <c r="O715" i="5"/>
  <c r="E715" i="5"/>
  <c r="AF714" i="5"/>
  <c r="Y714" i="5"/>
  <c r="V714" i="5"/>
  <c r="U714" i="5"/>
  <c r="T714" i="5"/>
  <c r="Z714" i="5" s="1"/>
  <c r="AE714" i="5" s="1"/>
  <c r="R714" i="5"/>
  <c r="X714" i="5" s="1"/>
  <c r="O714" i="5"/>
  <c r="P714" i="5" s="1"/>
  <c r="E714" i="5"/>
  <c r="AF713" i="5"/>
  <c r="R713" i="5"/>
  <c r="O713" i="5"/>
  <c r="T713" i="5" s="1"/>
  <c r="E713" i="5"/>
  <c r="AF712" i="5"/>
  <c r="W712" i="5"/>
  <c r="R712" i="5"/>
  <c r="Y712" i="5" s="1"/>
  <c r="P712" i="5"/>
  <c r="O712" i="5"/>
  <c r="T712" i="5" s="1"/>
  <c r="E712" i="5"/>
  <c r="AF711" i="5"/>
  <c r="W711" i="5"/>
  <c r="V711" i="5"/>
  <c r="R711" i="5"/>
  <c r="X711" i="5" s="1"/>
  <c r="O711" i="5"/>
  <c r="E711" i="5"/>
  <c r="AF710" i="5"/>
  <c r="Y710" i="5"/>
  <c r="W710" i="5"/>
  <c r="V710" i="5"/>
  <c r="R710" i="5"/>
  <c r="X710" i="5" s="1"/>
  <c r="O710" i="5"/>
  <c r="P710" i="5" s="1"/>
  <c r="E710" i="5"/>
  <c r="AF709" i="5"/>
  <c r="T709" i="5"/>
  <c r="R709" i="5"/>
  <c r="V709" i="5" s="1"/>
  <c r="O709" i="5"/>
  <c r="P709" i="5" s="1"/>
  <c r="E709" i="5"/>
  <c r="AF708" i="5"/>
  <c r="Y708" i="5"/>
  <c r="W708" i="5"/>
  <c r="T708" i="5"/>
  <c r="R708" i="5"/>
  <c r="P708" i="5"/>
  <c r="O708" i="5"/>
  <c r="E708" i="5"/>
  <c r="AF707" i="5"/>
  <c r="R707" i="5"/>
  <c r="O707" i="5"/>
  <c r="T707" i="5" s="1"/>
  <c r="E707" i="5"/>
  <c r="AF706" i="5"/>
  <c r="W706" i="5"/>
  <c r="R706" i="5"/>
  <c r="Y706" i="5" s="1"/>
  <c r="P706" i="5"/>
  <c r="O706" i="5"/>
  <c r="T706" i="5" s="1"/>
  <c r="E706" i="5"/>
  <c r="AF705" i="5"/>
  <c r="W705" i="5"/>
  <c r="V705" i="5"/>
  <c r="R705" i="5"/>
  <c r="X705" i="5" s="1"/>
  <c r="O705" i="5"/>
  <c r="E705" i="5"/>
  <c r="AF704" i="5"/>
  <c r="Y704" i="5"/>
  <c r="W704" i="5"/>
  <c r="V704" i="5"/>
  <c r="R704" i="5"/>
  <c r="X704" i="5" s="1"/>
  <c r="O704" i="5"/>
  <c r="P704" i="5" s="1"/>
  <c r="E704" i="5"/>
  <c r="AF703" i="5"/>
  <c r="X703" i="5"/>
  <c r="T703" i="5"/>
  <c r="U703" i="5" s="1"/>
  <c r="R703" i="5"/>
  <c r="Y703" i="5" s="1"/>
  <c r="P703" i="5"/>
  <c r="O703" i="5"/>
  <c r="E703" i="5"/>
  <c r="AF702" i="5"/>
  <c r="R702" i="5"/>
  <c r="O702" i="5"/>
  <c r="T702" i="5" s="1"/>
  <c r="E702" i="5"/>
  <c r="AF701" i="5"/>
  <c r="X701" i="5"/>
  <c r="V701" i="5"/>
  <c r="R701" i="5"/>
  <c r="Y701" i="5" s="1"/>
  <c r="O701" i="5"/>
  <c r="E701" i="5"/>
  <c r="AF700" i="5"/>
  <c r="Y700" i="5"/>
  <c r="W700" i="5"/>
  <c r="V700" i="5"/>
  <c r="R700" i="5"/>
  <c r="X700" i="5" s="1"/>
  <c r="O700" i="5"/>
  <c r="P700" i="5" s="1"/>
  <c r="E700" i="5"/>
  <c r="AF699" i="5"/>
  <c r="T699" i="5"/>
  <c r="R699" i="5"/>
  <c r="V699" i="5" s="1"/>
  <c r="O699" i="5"/>
  <c r="P699" i="5" s="1"/>
  <c r="E699" i="5"/>
  <c r="AF698" i="5"/>
  <c r="Y698" i="5"/>
  <c r="W698" i="5"/>
  <c r="T698" i="5"/>
  <c r="R698" i="5"/>
  <c r="P698" i="5"/>
  <c r="O698" i="5"/>
  <c r="E698" i="5"/>
  <c r="AF697" i="5"/>
  <c r="X697" i="5"/>
  <c r="R697" i="5"/>
  <c r="Y697" i="5" s="1"/>
  <c r="P697" i="5"/>
  <c r="O697" i="5"/>
  <c r="T697" i="5" s="1"/>
  <c r="E697" i="5"/>
  <c r="AF696" i="5"/>
  <c r="X696" i="5"/>
  <c r="V696" i="5"/>
  <c r="R696" i="5"/>
  <c r="Y696" i="5" s="1"/>
  <c r="O696" i="5"/>
  <c r="P696" i="5" s="1"/>
  <c r="E696" i="5"/>
  <c r="AF695" i="5"/>
  <c r="X695" i="5"/>
  <c r="T695" i="5"/>
  <c r="U695" i="5" s="1"/>
  <c r="R695" i="5"/>
  <c r="Y695" i="5" s="1"/>
  <c r="P695" i="5"/>
  <c r="O695" i="5"/>
  <c r="E695" i="5"/>
  <c r="AF694" i="5"/>
  <c r="X694" i="5"/>
  <c r="R694" i="5"/>
  <c r="Y694" i="5" s="1"/>
  <c r="P694" i="5"/>
  <c r="O694" i="5"/>
  <c r="T694" i="5" s="1"/>
  <c r="E694" i="5"/>
  <c r="AF693" i="5"/>
  <c r="X693" i="5"/>
  <c r="V693" i="5"/>
  <c r="R693" i="5"/>
  <c r="Y693" i="5" s="1"/>
  <c r="O693" i="5"/>
  <c r="P693" i="5" s="1"/>
  <c r="E693" i="5"/>
  <c r="AF692" i="5"/>
  <c r="T692" i="5"/>
  <c r="R692" i="5"/>
  <c r="V692" i="5" s="1"/>
  <c r="O692" i="5"/>
  <c r="P692" i="5" s="1"/>
  <c r="E692" i="5"/>
  <c r="AF691" i="5"/>
  <c r="Y691" i="5"/>
  <c r="W691" i="5"/>
  <c r="T691" i="5"/>
  <c r="R691" i="5"/>
  <c r="P691" i="5"/>
  <c r="O691" i="5"/>
  <c r="E691" i="5"/>
  <c r="AF690" i="5"/>
  <c r="X690" i="5"/>
  <c r="R690" i="5"/>
  <c r="O690" i="5"/>
  <c r="T690" i="5" s="1"/>
  <c r="E690" i="5"/>
  <c r="AF689" i="5"/>
  <c r="W689" i="5"/>
  <c r="R689" i="5"/>
  <c r="Y689" i="5" s="1"/>
  <c r="P689" i="5"/>
  <c r="O689" i="5"/>
  <c r="T689" i="5" s="1"/>
  <c r="E689" i="5"/>
  <c r="AF688" i="5"/>
  <c r="W688" i="5"/>
  <c r="V688" i="5"/>
  <c r="R688" i="5"/>
  <c r="X688" i="5" s="1"/>
  <c r="O688" i="5"/>
  <c r="E688" i="5"/>
  <c r="AF687" i="5"/>
  <c r="Y687" i="5"/>
  <c r="W687" i="5"/>
  <c r="V687" i="5"/>
  <c r="R687" i="5"/>
  <c r="X687" i="5" s="1"/>
  <c r="O687" i="5"/>
  <c r="P687" i="5" s="1"/>
  <c r="E687" i="5"/>
  <c r="AF686" i="5"/>
  <c r="T686" i="5"/>
  <c r="R686" i="5"/>
  <c r="V686" i="5" s="1"/>
  <c r="O686" i="5"/>
  <c r="P686" i="5" s="1"/>
  <c r="E686" i="5"/>
  <c r="AF685" i="5"/>
  <c r="Y685" i="5"/>
  <c r="R685" i="5"/>
  <c r="O685" i="5"/>
  <c r="T685" i="5" s="1"/>
  <c r="E685" i="5"/>
  <c r="AF684" i="5"/>
  <c r="X684" i="5"/>
  <c r="V684" i="5"/>
  <c r="R684" i="5"/>
  <c r="Y684" i="5" s="1"/>
  <c r="O684" i="5"/>
  <c r="E684" i="5"/>
  <c r="AF683" i="5"/>
  <c r="T683" i="5"/>
  <c r="R683" i="5"/>
  <c r="V683" i="5" s="1"/>
  <c r="O683" i="5"/>
  <c r="P683" i="5" s="1"/>
  <c r="E683" i="5"/>
  <c r="AF682" i="5"/>
  <c r="Y682" i="5"/>
  <c r="W682" i="5"/>
  <c r="T682" i="5"/>
  <c r="R682" i="5"/>
  <c r="P682" i="5"/>
  <c r="O682" i="5"/>
  <c r="E682" i="5"/>
  <c r="AF681" i="5"/>
  <c r="X681" i="5"/>
  <c r="R681" i="5"/>
  <c r="O681" i="5"/>
  <c r="T681" i="5" s="1"/>
  <c r="E681" i="5"/>
  <c r="AF680" i="5"/>
  <c r="W680" i="5"/>
  <c r="R680" i="5"/>
  <c r="Y680" i="5" s="1"/>
  <c r="P680" i="5"/>
  <c r="O680" i="5"/>
  <c r="T680" i="5" s="1"/>
  <c r="E680" i="5"/>
  <c r="AF679" i="5"/>
  <c r="W679" i="5"/>
  <c r="V679" i="5"/>
  <c r="R679" i="5"/>
  <c r="X679" i="5" s="1"/>
  <c r="O679" i="5"/>
  <c r="E679" i="5"/>
  <c r="AF678" i="5"/>
  <c r="Y678" i="5"/>
  <c r="W678" i="5"/>
  <c r="V678" i="5"/>
  <c r="R678" i="5"/>
  <c r="X678" i="5" s="1"/>
  <c r="O678" i="5"/>
  <c r="P678" i="5" s="1"/>
  <c r="E678" i="5"/>
  <c r="AF677" i="5"/>
  <c r="X677" i="5"/>
  <c r="T677" i="5"/>
  <c r="U677" i="5" s="1"/>
  <c r="R677" i="5"/>
  <c r="Y677" i="5" s="1"/>
  <c r="P677" i="5"/>
  <c r="O677" i="5"/>
  <c r="E677" i="5"/>
  <c r="AF676" i="5"/>
  <c r="X676" i="5"/>
  <c r="R676" i="5"/>
  <c r="Y676" i="5" s="1"/>
  <c r="P676" i="5"/>
  <c r="O676" i="5"/>
  <c r="T676" i="5" s="1"/>
  <c r="E676" i="5"/>
  <c r="AF675" i="5"/>
  <c r="X675" i="5"/>
  <c r="V675" i="5"/>
  <c r="R675" i="5"/>
  <c r="Y675" i="5" s="1"/>
  <c r="O675" i="5"/>
  <c r="P675" i="5" s="1"/>
  <c r="E675" i="5"/>
  <c r="AF674" i="5"/>
  <c r="X674" i="5"/>
  <c r="T674" i="5"/>
  <c r="U674" i="5" s="1"/>
  <c r="R674" i="5"/>
  <c r="Y674" i="5" s="1"/>
  <c r="P674" i="5"/>
  <c r="O674" i="5"/>
  <c r="E674" i="5"/>
  <c r="AF673" i="5"/>
  <c r="X673" i="5"/>
  <c r="R673" i="5"/>
  <c r="Y673" i="5" s="1"/>
  <c r="P673" i="5"/>
  <c r="O673" i="5"/>
  <c r="T673" i="5" s="1"/>
  <c r="E673" i="5"/>
  <c r="AF672" i="5"/>
  <c r="X672" i="5"/>
  <c r="V672" i="5"/>
  <c r="R672" i="5"/>
  <c r="Y672" i="5" s="1"/>
  <c r="O672" i="5"/>
  <c r="P672" i="5" s="1"/>
  <c r="E672" i="5"/>
  <c r="AF671" i="5"/>
  <c r="T671" i="5"/>
  <c r="R671" i="5"/>
  <c r="V671" i="5" s="1"/>
  <c r="O671" i="5"/>
  <c r="P671" i="5" s="1"/>
  <c r="E671" i="5"/>
  <c r="AF670" i="5"/>
  <c r="Y670" i="5"/>
  <c r="W670" i="5"/>
  <c r="T670" i="5"/>
  <c r="R670" i="5"/>
  <c r="P670" i="5"/>
  <c r="O670" i="5"/>
  <c r="E670" i="5"/>
  <c r="AF669" i="5"/>
  <c r="X669" i="5"/>
  <c r="R669" i="5"/>
  <c r="O669" i="5"/>
  <c r="T669" i="5" s="1"/>
  <c r="E669" i="5"/>
  <c r="AF668" i="5"/>
  <c r="X668" i="5"/>
  <c r="V668" i="5"/>
  <c r="R668" i="5"/>
  <c r="Y668" i="5" s="1"/>
  <c r="O668" i="5"/>
  <c r="E668" i="5"/>
  <c r="AF667" i="5"/>
  <c r="T667" i="5"/>
  <c r="R667" i="5"/>
  <c r="V667" i="5" s="1"/>
  <c r="O667" i="5"/>
  <c r="P667" i="5" s="1"/>
  <c r="E667" i="5"/>
  <c r="AF666" i="5"/>
  <c r="Y666" i="5"/>
  <c r="W666" i="5"/>
  <c r="T666" i="5"/>
  <c r="R666" i="5"/>
  <c r="P666" i="5"/>
  <c r="O666" i="5"/>
  <c r="E666" i="5"/>
  <c r="AF665" i="5"/>
  <c r="X665" i="5"/>
  <c r="R665" i="5"/>
  <c r="O665" i="5"/>
  <c r="T665" i="5" s="1"/>
  <c r="E665" i="5"/>
  <c r="AF664" i="5"/>
  <c r="X664" i="5"/>
  <c r="V664" i="5"/>
  <c r="R664" i="5"/>
  <c r="Y664" i="5" s="1"/>
  <c r="O664" i="5"/>
  <c r="E664" i="5"/>
  <c r="AF663" i="5"/>
  <c r="T663" i="5"/>
  <c r="R663" i="5"/>
  <c r="V663" i="5" s="1"/>
  <c r="O663" i="5"/>
  <c r="P663" i="5" s="1"/>
  <c r="E663" i="5"/>
  <c r="AF662" i="5"/>
  <c r="Y662" i="5"/>
  <c r="R662" i="5"/>
  <c r="O662" i="5"/>
  <c r="T662" i="5" s="1"/>
  <c r="E662" i="5"/>
  <c r="AF661" i="5"/>
  <c r="X661" i="5"/>
  <c r="V661" i="5"/>
  <c r="R661" i="5"/>
  <c r="Y661" i="5" s="1"/>
  <c r="O661" i="5"/>
  <c r="E661" i="5"/>
  <c r="AF660" i="5"/>
  <c r="T660" i="5"/>
  <c r="R660" i="5"/>
  <c r="V660" i="5" s="1"/>
  <c r="O660" i="5"/>
  <c r="P660" i="5" s="1"/>
  <c r="E660" i="5"/>
  <c r="AF659" i="5"/>
  <c r="Y659" i="5"/>
  <c r="W659" i="5"/>
  <c r="T659" i="5"/>
  <c r="R659" i="5"/>
  <c r="P659" i="5"/>
  <c r="O659" i="5"/>
  <c r="E659" i="5"/>
  <c r="AF658" i="5"/>
  <c r="X658" i="5"/>
  <c r="R658" i="5"/>
  <c r="Y658" i="5" s="1"/>
  <c r="P658" i="5"/>
  <c r="O658" i="5"/>
  <c r="T658" i="5" s="1"/>
  <c r="E658" i="5"/>
  <c r="AF657" i="5"/>
  <c r="X657" i="5"/>
  <c r="V657" i="5"/>
  <c r="R657" i="5"/>
  <c r="Y657" i="5" s="1"/>
  <c r="O657" i="5"/>
  <c r="P657" i="5" s="1"/>
  <c r="E657" i="5"/>
  <c r="AF656" i="5"/>
  <c r="T656" i="5"/>
  <c r="R656" i="5"/>
  <c r="V656" i="5" s="1"/>
  <c r="O656" i="5"/>
  <c r="P656" i="5" s="1"/>
  <c r="E656" i="5"/>
  <c r="AF655" i="5"/>
  <c r="Y655" i="5"/>
  <c r="W655" i="5"/>
  <c r="T655" i="5"/>
  <c r="R655" i="5"/>
  <c r="P655" i="5"/>
  <c r="O655" i="5"/>
  <c r="E655" i="5"/>
  <c r="AF654" i="5"/>
  <c r="X654" i="5"/>
  <c r="R654" i="5"/>
  <c r="O654" i="5"/>
  <c r="T654" i="5" s="1"/>
  <c r="E654" i="5"/>
  <c r="AF653" i="5"/>
  <c r="W653" i="5"/>
  <c r="R653" i="5"/>
  <c r="Y653" i="5" s="1"/>
  <c r="P653" i="5"/>
  <c r="O653" i="5"/>
  <c r="T653" i="5" s="1"/>
  <c r="E653" i="5"/>
  <c r="AF652" i="5"/>
  <c r="W652" i="5"/>
  <c r="V652" i="5"/>
  <c r="R652" i="5"/>
  <c r="X652" i="5" s="1"/>
  <c r="O652" i="5"/>
  <c r="E652" i="5"/>
  <c r="AF651" i="5"/>
  <c r="Y651" i="5"/>
  <c r="W651" i="5"/>
  <c r="V651" i="5"/>
  <c r="R651" i="5"/>
  <c r="X651" i="5" s="1"/>
  <c r="O651" i="5"/>
  <c r="P651" i="5" s="1"/>
  <c r="E651" i="5"/>
  <c r="AF650" i="5"/>
  <c r="T650" i="5"/>
  <c r="R650" i="5"/>
  <c r="V650" i="5" s="1"/>
  <c r="O650" i="5"/>
  <c r="P650" i="5" s="1"/>
  <c r="E650" i="5"/>
  <c r="AF649" i="5"/>
  <c r="Y649" i="5"/>
  <c r="W649" i="5"/>
  <c r="T649" i="5"/>
  <c r="R649" i="5"/>
  <c r="P649" i="5"/>
  <c r="O649" i="5"/>
  <c r="E649" i="5"/>
  <c r="AF648" i="5"/>
  <c r="X648" i="5"/>
  <c r="R648" i="5"/>
  <c r="O648" i="5"/>
  <c r="T648" i="5" s="1"/>
  <c r="E648" i="5"/>
  <c r="AF647" i="5"/>
  <c r="X647" i="5"/>
  <c r="V647" i="5"/>
  <c r="R647" i="5"/>
  <c r="Y647" i="5" s="1"/>
  <c r="O647" i="5"/>
  <c r="E647" i="5"/>
  <c r="AF646" i="5"/>
  <c r="T646" i="5"/>
  <c r="R646" i="5"/>
  <c r="V646" i="5" s="1"/>
  <c r="O646" i="5"/>
  <c r="P646" i="5" s="1"/>
  <c r="E646" i="5"/>
  <c r="AF645" i="5"/>
  <c r="Y645" i="5"/>
  <c r="W645" i="5"/>
  <c r="T645" i="5"/>
  <c r="R645" i="5"/>
  <c r="P645" i="5"/>
  <c r="O645" i="5"/>
  <c r="E645" i="5"/>
  <c r="AF644" i="5"/>
  <c r="X644" i="5"/>
  <c r="R644" i="5"/>
  <c r="Y644" i="5" s="1"/>
  <c r="P644" i="5"/>
  <c r="O644" i="5"/>
  <c r="T644" i="5" s="1"/>
  <c r="E644" i="5"/>
  <c r="AF643" i="5"/>
  <c r="W643" i="5"/>
  <c r="V643" i="5"/>
  <c r="R643" i="5"/>
  <c r="X643" i="5" s="1"/>
  <c r="O643" i="5"/>
  <c r="E643" i="5"/>
  <c r="AF642" i="5"/>
  <c r="T642" i="5"/>
  <c r="R642" i="5"/>
  <c r="V642" i="5" s="1"/>
  <c r="O642" i="5"/>
  <c r="P642" i="5" s="1"/>
  <c r="E642" i="5"/>
  <c r="AF641" i="5"/>
  <c r="Y641" i="5"/>
  <c r="W641" i="5"/>
  <c r="T641" i="5"/>
  <c r="R641" i="5"/>
  <c r="P641" i="5"/>
  <c r="O641" i="5"/>
  <c r="E641" i="5"/>
  <c r="AF640" i="5"/>
  <c r="R640" i="5"/>
  <c r="O640" i="5"/>
  <c r="T640" i="5" s="1"/>
  <c r="E640" i="5"/>
  <c r="AF639" i="5"/>
  <c r="X639" i="5"/>
  <c r="V639" i="5"/>
  <c r="R639" i="5"/>
  <c r="Y639" i="5" s="1"/>
  <c r="O639" i="5"/>
  <c r="E639" i="5"/>
  <c r="AF638" i="5"/>
  <c r="Y638" i="5"/>
  <c r="W638" i="5"/>
  <c r="V638" i="5"/>
  <c r="R638" i="5"/>
  <c r="X638" i="5" s="1"/>
  <c r="O638" i="5"/>
  <c r="P638" i="5" s="1"/>
  <c r="E638" i="5"/>
  <c r="AF637" i="5"/>
  <c r="X637" i="5"/>
  <c r="T637" i="5"/>
  <c r="U637" i="5" s="1"/>
  <c r="R637" i="5"/>
  <c r="Y637" i="5" s="1"/>
  <c r="P637" i="5"/>
  <c r="O637" i="5"/>
  <c r="E637" i="5"/>
  <c r="AF636" i="5"/>
  <c r="X636" i="5"/>
  <c r="R636" i="5"/>
  <c r="O636" i="5"/>
  <c r="T636" i="5" s="1"/>
  <c r="E636" i="5"/>
  <c r="AF635" i="5"/>
  <c r="X635" i="5"/>
  <c r="V635" i="5"/>
  <c r="R635" i="5"/>
  <c r="Y635" i="5" s="1"/>
  <c r="O635" i="5"/>
  <c r="E635" i="5"/>
  <c r="AF634" i="5"/>
  <c r="T634" i="5"/>
  <c r="R634" i="5"/>
  <c r="V634" i="5" s="1"/>
  <c r="O634" i="5"/>
  <c r="P634" i="5" s="1"/>
  <c r="E634" i="5"/>
  <c r="AF633" i="5"/>
  <c r="Y633" i="5"/>
  <c r="W633" i="5"/>
  <c r="T633" i="5"/>
  <c r="R633" i="5"/>
  <c r="P633" i="5"/>
  <c r="O633" i="5"/>
  <c r="E633" i="5"/>
  <c r="AF632" i="5"/>
  <c r="X632" i="5"/>
  <c r="R632" i="5"/>
  <c r="O632" i="5"/>
  <c r="T632" i="5" s="1"/>
  <c r="E632" i="5"/>
  <c r="AF631" i="5"/>
  <c r="W631" i="5"/>
  <c r="R631" i="5"/>
  <c r="Y631" i="5" s="1"/>
  <c r="P631" i="5"/>
  <c r="O631" i="5"/>
  <c r="T631" i="5" s="1"/>
  <c r="E631" i="5"/>
  <c r="AF630" i="5"/>
  <c r="X630" i="5"/>
  <c r="V630" i="5"/>
  <c r="R630" i="5"/>
  <c r="Y630" i="5" s="1"/>
  <c r="O630" i="5"/>
  <c r="P630" i="5" s="1"/>
  <c r="E630" i="5"/>
  <c r="AF629" i="5"/>
  <c r="T629" i="5"/>
  <c r="R629" i="5"/>
  <c r="V629" i="5" s="1"/>
  <c r="O629" i="5"/>
  <c r="P629" i="5" s="1"/>
  <c r="E629" i="5"/>
  <c r="AF628" i="5"/>
  <c r="Y628" i="5"/>
  <c r="R628" i="5"/>
  <c r="O628" i="5"/>
  <c r="T628" i="5" s="1"/>
  <c r="E628" i="5"/>
  <c r="AF627" i="5"/>
  <c r="X627" i="5"/>
  <c r="V627" i="5"/>
  <c r="R627" i="5"/>
  <c r="Y627" i="5" s="1"/>
  <c r="O627" i="5"/>
  <c r="E627" i="5"/>
  <c r="AF626" i="5"/>
  <c r="Y626" i="5"/>
  <c r="W626" i="5"/>
  <c r="V626" i="5"/>
  <c r="R626" i="5"/>
  <c r="X626" i="5" s="1"/>
  <c r="O626" i="5"/>
  <c r="P626" i="5" s="1"/>
  <c r="E626" i="5"/>
  <c r="AF625" i="5"/>
  <c r="X625" i="5"/>
  <c r="T625" i="5"/>
  <c r="U625" i="5" s="1"/>
  <c r="R625" i="5"/>
  <c r="Y625" i="5" s="1"/>
  <c r="P625" i="5"/>
  <c r="O625" i="5"/>
  <c r="E625" i="5"/>
  <c r="AF624" i="5"/>
  <c r="R624" i="5"/>
  <c r="O624" i="5"/>
  <c r="T624" i="5" s="1"/>
  <c r="E624" i="5"/>
  <c r="AF623" i="5"/>
  <c r="W623" i="5"/>
  <c r="R623" i="5"/>
  <c r="Y623" i="5" s="1"/>
  <c r="P623" i="5"/>
  <c r="O623" i="5"/>
  <c r="T623" i="5" s="1"/>
  <c r="E623" i="5"/>
  <c r="AF622" i="5"/>
  <c r="X622" i="5"/>
  <c r="V622" i="5"/>
  <c r="R622" i="5"/>
  <c r="Y622" i="5" s="1"/>
  <c r="O622" i="5"/>
  <c r="P622" i="5" s="1"/>
  <c r="E622" i="5"/>
  <c r="AF621" i="5"/>
  <c r="T621" i="5"/>
  <c r="R621" i="5"/>
  <c r="V621" i="5" s="1"/>
  <c r="O621" i="5"/>
  <c r="P621" i="5" s="1"/>
  <c r="E621" i="5"/>
  <c r="AF620" i="5"/>
  <c r="R620" i="5"/>
  <c r="O620" i="5"/>
  <c r="T620" i="5" s="1"/>
  <c r="E620" i="5"/>
  <c r="AF619" i="5"/>
  <c r="X619" i="5"/>
  <c r="V619" i="5"/>
  <c r="R619" i="5"/>
  <c r="Y619" i="5" s="1"/>
  <c r="O619" i="5"/>
  <c r="E619" i="5"/>
  <c r="AF618" i="5"/>
  <c r="Y618" i="5"/>
  <c r="W618" i="5"/>
  <c r="V618" i="5"/>
  <c r="R618" i="5"/>
  <c r="X618" i="5" s="1"/>
  <c r="O618" i="5"/>
  <c r="E618" i="5"/>
  <c r="AF617" i="5"/>
  <c r="T617" i="5"/>
  <c r="R617" i="5"/>
  <c r="V617" i="5" s="1"/>
  <c r="O617" i="5"/>
  <c r="P617" i="5" s="1"/>
  <c r="E617" i="5"/>
  <c r="AF616" i="5"/>
  <c r="Y616" i="5"/>
  <c r="R616" i="5"/>
  <c r="O616" i="5"/>
  <c r="T616" i="5" s="1"/>
  <c r="E616" i="5"/>
  <c r="AF615" i="5"/>
  <c r="X615" i="5"/>
  <c r="W615" i="5"/>
  <c r="R615" i="5"/>
  <c r="P615" i="5"/>
  <c r="O615" i="5"/>
  <c r="T615" i="5" s="1"/>
  <c r="E615" i="5"/>
  <c r="AF614" i="5"/>
  <c r="W614" i="5"/>
  <c r="V614" i="5"/>
  <c r="R614" i="5"/>
  <c r="X614" i="5" s="1"/>
  <c r="O614" i="5"/>
  <c r="T614" i="5" s="1"/>
  <c r="E614" i="5"/>
  <c r="AF613" i="5"/>
  <c r="T613" i="5"/>
  <c r="R613" i="5"/>
  <c r="V613" i="5" s="1"/>
  <c r="O613" i="5"/>
  <c r="P613" i="5" s="1"/>
  <c r="E613" i="5"/>
  <c r="AF612" i="5"/>
  <c r="R612" i="5"/>
  <c r="O612" i="5"/>
  <c r="T612" i="5" s="1"/>
  <c r="E612" i="5"/>
  <c r="AF611" i="5"/>
  <c r="X611" i="5"/>
  <c r="V611" i="5"/>
  <c r="R611" i="5"/>
  <c r="Y611" i="5" s="1"/>
  <c r="O611" i="5"/>
  <c r="T611" i="5" s="1"/>
  <c r="E611" i="5"/>
  <c r="AF610" i="5"/>
  <c r="T610" i="5"/>
  <c r="R610" i="5"/>
  <c r="V610" i="5" s="1"/>
  <c r="O610" i="5"/>
  <c r="P610" i="5" s="1"/>
  <c r="E610" i="5"/>
  <c r="AF609" i="5"/>
  <c r="Y609" i="5"/>
  <c r="W609" i="5"/>
  <c r="T609" i="5"/>
  <c r="R609" i="5"/>
  <c r="P609" i="5"/>
  <c r="O609" i="5"/>
  <c r="E609" i="5"/>
  <c r="AF608" i="5"/>
  <c r="R608" i="5"/>
  <c r="P608" i="5"/>
  <c r="O608" i="5"/>
  <c r="T608" i="5" s="1"/>
  <c r="E608" i="5"/>
  <c r="AF607" i="5"/>
  <c r="W607" i="5"/>
  <c r="V607" i="5"/>
  <c r="R607" i="5"/>
  <c r="X607" i="5" s="1"/>
  <c r="P607" i="5"/>
  <c r="O607" i="5"/>
  <c r="T607" i="5" s="1"/>
  <c r="E607" i="5"/>
  <c r="AF606" i="5"/>
  <c r="T606" i="5"/>
  <c r="R606" i="5"/>
  <c r="V606" i="5" s="1"/>
  <c r="O606" i="5"/>
  <c r="P606" i="5" s="1"/>
  <c r="E606" i="5"/>
  <c r="AF605" i="5"/>
  <c r="Y605" i="5"/>
  <c r="W605" i="5"/>
  <c r="T605" i="5"/>
  <c r="R605" i="5"/>
  <c r="P605" i="5"/>
  <c r="O605" i="5"/>
  <c r="E605" i="5"/>
  <c r="AF604" i="5"/>
  <c r="R604" i="5"/>
  <c r="O604" i="5"/>
  <c r="T604" i="5" s="1"/>
  <c r="E604" i="5"/>
  <c r="AF603" i="5"/>
  <c r="R603" i="5"/>
  <c r="P603" i="5"/>
  <c r="O603" i="5"/>
  <c r="T603" i="5" s="1"/>
  <c r="E603" i="5"/>
  <c r="AF602" i="5"/>
  <c r="X602" i="5"/>
  <c r="V602" i="5"/>
  <c r="R602" i="5"/>
  <c r="Y602" i="5" s="1"/>
  <c r="O602" i="5"/>
  <c r="E602" i="5"/>
  <c r="AF601" i="5"/>
  <c r="X601" i="5"/>
  <c r="T601" i="5"/>
  <c r="U601" i="5" s="1"/>
  <c r="R601" i="5"/>
  <c r="Y601" i="5" s="1"/>
  <c r="P601" i="5"/>
  <c r="O601" i="5"/>
  <c r="E601" i="5"/>
  <c r="AF600" i="5"/>
  <c r="Y600" i="5"/>
  <c r="X600" i="5"/>
  <c r="R600" i="5"/>
  <c r="P600" i="5"/>
  <c r="O600" i="5"/>
  <c r="T600" i="5" s="1"/>
  <c r="E600" i="5"/>
  <c r="AF599" i="5"/>
  <c r="X599" i="5"/>
  <c r="V599" i="5"/>
  <c r="R599" i="5"/>
  <c r="Y599" i="5" s="1"/>
  <c r="O599" i="5"/>
  <c r="E599" i="5"/>
  <c r="AF598" i="5"/>
  <c r="X598" i="5"/>
  <c r="T598" i="5"/>
  <c r="U598" i="5" s="1"/>
  <c r="R598" i="5"/>
  <c r="Y598" i="5" s="1"/>
  <c r="P598" i="5"/>
  <c r="O598" i="5"/>
  <c r="E598" i="5"/>
  <c r="AF597" i="5"/>
  <c r="R597" i="5"/>
  <c r="P597" i="5"/>
  <c r="O597" i="5"/>
  <c r="T597" i="5" s="1"/>
  <c r="E597" i="5"/>
  <c r="AF596" i="5"/>
  <c r="W596" i="5"/>
  <c r="V596" i="5"/>
  <c r="T596" i="5"/>
  <c r="R596" i="5"/>
  <c r="X596" i="5" s="1"/>
  <c r="P596" i="5"/>
  <c r="O596" i="5"/>
  <c r="E596" i="5"/>
  <c r="AF595" i="5"/>
  <c r="Y595" i="5"/>
  <c r="W595" i="5"/>
  <c r="V595" i="5"/>
  <c r="R595" i="5"/>
  <c r="X595" i="5" s="1"/>
  <c r="O595" i="5"/>
  <c r="E595" i="5"/>
  <c r="AF594" i="5"/>
  <c r="X594" i="5"/>
  <c r="T594" i="5"/>
  <c r="R594" i="5"/>
  <c r="Y594" i="5" s="1"/>
  <c r="P594" i="5"/>
  <c r="O594" i="5"/>
  <c r="E594" i="5"/>
  <c r="AF593" i="5"/>
  <c r="R593" i="5"/>
  <c r="O593" i="5"/>
  <c r="E593" i="5"/>
  <c r="AF592" i="5"/>
  <c r="X592" i="5"/>
  <c r="V592" i="5"/>
  <c r="R592" i="5"/>
  <c r="Y592" i="5" s="1"/>
  <c r="O592" i="5"/>
  <c r="E592" i="5"/>
  <c r="AF591" i="5"/>
  <c r="Y591" i="5"/>
  <c r="W591" i="5"/>
  <c r="V591" i="5"/>
  <c r="R591" i="5"/>
  <c r="X591" i="5" s="1"/>
  <c r="O591" i="5"/>
  <c r="E591" i="5"/>
  <c r="AF590" i="5"/>
  <c r="X590" i="5"/>
  <c r="T590" i="5"/>
  <c r="R590" i="5"/>
  <c r="Y590" i="5" s="1"/>
  <c r="P590" i="5"/>
  <c r="O590" i="5"/>
  <c r="E590" i="5"/>
  <c r="AF589" i="5"/>
  <c r="X589" i="5"/>
  <c r="R589" i="5"/>
  <c r="Y589" i="5" s="1"/>
  <c r="O589" i="5"/>
  <c r="E589" i="5"/>
  <c r="AF588" i="5"/>
  <c r="X588" i="5"/>
  <c r="W588" i="5"/>
  <c r="U588" i="5"/>
  <c r="R588" i="5"/>
  <c r="P588" i="5"/>
  <c r="O588" i="5"/>
  <c r="T588" i="5" s="1"/>
  <c r="E588" i="5"/>
  <c r="AF587" i="5"/>
  <c r="W587" i="5"/>
  <c r="V587" i="5"/>
  <c r="R587" i="5"/>
  <c r="X587" i="5" s="1"/>
  <c r="O587" i="5"/>
  <c r="E587" i="5"/>
  <c r="AF586" i="5"/>
  <c r="T586" i="5"/>
  <c r="R586" i="5"/>
  <c r="Y586" i="5" s="1"/>
  <c r="O586" i="5"/>
  <c r="P586" i="5" s="1"/>
  <c r="E586" i="5"/>
  <c r="AF585" i="5"/>
  <c r="Y585" i="5"/>
  <c r="V585" i="5"/>
  <c r="R585" i="5"/>
  <c r="O585" i="5"/>
  <c r="E585" i="5"/>
  <c r="AF584" i="5"/>
  <c r="X584" i="5"/>
  <c r="V584" i="5"/>
  <c r="T584" i="5"/>
  <c r="R584" i="5"/>
  <c r="Y584" i="5" s="1"/>
  <c r="P584" i="5"/>
  <c r="O584" i="5"/>
  <c r="E584" i="5"/>
  <c r="AF583" i="5"/>
  <c r="Y583" i="5"/>
  <c r="T583" i="5"/>
  <c r="R583" i="5"/>
  <c r="O583" i="5"/>
  <c r="P583" i="5" s="1"/>
  <c r="E583" i="5"/>
  <c r="AF582" i="5"/>
  <c r="Y582" i="5"/>
  <c r="W582" i="5"/>
  <c r="T582" i="5"/>
  <c r="R582" i="5"/>
  <c r="P582" i="5"/>
  <c r="O582" i="5"/>
  <c r="E582" i="5"/>
  <c r="AF581" i="5"/>
  <c r="Y581" i="5"/>
  <c r="R581" i="5"/>
  <c r="O581" i="5"/>
  <c r="E581" i="5"/>
  <c r="AF580" i="5"/>
  <c r="W580" i="5"/>
  <c r="R580" i="5"/>
  <c r="X580" i="5" s="1"/>
  <c r="P580" i="5"/>
  <c r="O580" i="5"/>
  <c r="T580" i="5" s="1"/>
  <c r="E580" i="5"/>
  <c r="AF579" i="5"/>
  <c r="W579" i="5"/>
  <c r="V579" i="5"/>
  <c r="T579" i="5"/>
  <c r="R579" i="5"/>
  <c r="X579" i="5" s="1"/>
  <c r="P579" i="5"/>
  <c r="O579" i="5"/>
  <c r="E579" i="5"/>
  <c r="AF578" i="5"/>
  <c r="Y578" i="5"/>
  <c r="W578" i="5"/>
  <c r="V578" i="5"/>
  <c r="R578" i="5"/>
  <c r="X578" i="5" s="1"/>
  <c r="O578" i="5"/>
  <c r="E578" i="5"/>
  <c r="AF577" i="5"/>
  <c r="X577" i="5"/>
  <c r="T577" i="5"/>
  <c r="R577" i="5"/>
  <c r="Y577" i="5" s="1"/>
  <c r="P577" i="5"/>
  <c r="O577" i="5"/>
  <c r="E577" i="5"/>
  <c r="AF576" i="5"/>
  <c r="Y576" i="5"/>
  <c r="R576" i="5"/>
  <c r="O576" i="5"/>
  <c r="E576" i="5"/>
  <c r="AF575" i="5"/>
  <c r="W575" i="5"/>
  <c r="R575" i="5"/>
  <c r="X575" i="5" s="1"/>
  <c r="P575" i="5"/>
  <c r="O575" i="5"/>
  <c r="T575" i="5" s="1"/>
  <c r="E575" i="5"/>
  <c r="AF574" i="5"/>
  <c r="W574" i="5"/>
  <c r="V574" i="5"/>
  <c r="T574" i="5"/>
  <c r="R574" i="5"/>
  <c r="X574" i="5" s="1"/>
  <c r="P574" i="5"/>
  <c r="O574" i="5"/>
  <c r="E574" i="5"/>
  <c r="AF573" i="5"/>
  <c r="Y573" i="5"/>
  <c r="T573" i="5"/>
  <c r="R573" i="5"/>
  <c r="O573" i="5"/>
  <c r="P573" i="5" s="1"/>
  <c r="E573" i="5"/>
  <c r="AF572" i="5"/>
  <c r="V572" i="5"/>
  <c r="R572" i="5"/>
  <c r="Y572" i="5" s="1"/>
  <c r="O572" i="5"/>
  <c r="E572" i="5"/>
  <c r="AF571" i="5"/>
  <c r="X571" i="5"/>
  <c r="V571" i="5"/>
  <c r="R571" i="5"/>
  <c r="Y571" i="5" s="1"/>
  <c r="O571" i="5"/>
  <c r="P571" i="5" s="1"/>
  <c r="E571" i="5"/>
  <c r="AF570" i="5"/>
  <c r="Y570" i="5"/>
  <c r="W570" i="5"/>
  <c r="V570" i="5"/>
  <c r="R570" i="5"/>
  <c r="X570" i="5" s="1"/>
  <c r="O570" i="5"/>
  <c r="E570" i="5"/>
  <c r="AF569" i="5"/>
  <c r="T569" i="5"/>
  <c r="R569" i="5"/>
  <c r="O569" i="5"/>
  <c r="P569" i="5" s="1"/>
  <c r="E569" i="5"/>
  <c r="AF568" i="5"/>
  <c r="Y568" i="5"/>
  <c r="W568" i="5"/>
  <c r="T568" i="5"/>
  <c r="R568" i="5"/>
  <c r="P568" i="5"/>
  <c r="O568" i="5"/>
  <c r="E568" i="5"/>
  <c r="AF567" i="5"/>
  <c r="X567" i="5"/>
  <c r="R567" i="5"/>
  <c r="Y567" i="5" s="1"/>
  <c r="O567" i="5"/>
  <c r="E567" i="5"/>
  <c r="AF566" i="5"/>
  <c r="X566" i="5"/>
  <c r="W566" i="5"/>
  <c r="U566" i="5"/>
  <c r="R566" i="5"/>
  <c r="P566" i="5"/>
  <c r="O566" i="5"/>
  <c r="T566" i="5" s="1"/>
  <c r="E566" i="5"/>
  <c r="AF565" i="5"/>
  <c r="W565" i="5"/>
  <c r="V565" i="5"/>
  <c r="R565" i="5"/>
  <c r="X565" i="5" s="1"/>
  <c r="O565" i="5"/>
  <c r="E565" i="5"/>
  <c r="AF564" i="5"/>
  <c r="T564" i="5"/>
  <c r="R564" i="5"/>
  <c r="Y564" i="5" s="1"/>
  <c r="O564" i="5"/>
  <c r="P564" i="5" s="1"/>
  <c r="E564" i="5"/>
  <c r="AF563" i="5"/>
  <c r="Y563" i="5"/>
  <c r="W563" i="5"/>
  <c r="T563" i="5"/>
  <c r="R563" i="5"/>
  <c r="P563" i="5"/>
  <c r="O563" i="5"/>
  <c r="E563" i="5"/>
  <c r="AF562" i="5"/>
  <c r="Y562" i="5"/>
  <c r="X562" i="5"/>
  <c r="V562" i="5"/>
  <c r="R562" i="5"/>
  <c r="O562" i="5"/>
  <c r="E562" i="5"/>
  <c r="AF561" i="5"/>
  <c r="X561" i="5"/>
  <c r="U561" i="5" s="1"/>
  <c r="W561" i="5"/>
  <c r="R561" i="5"/>
  <c r="P561" i="5"/>
  <c r="O561" i="5"/>
  <c r="T561" i="5" s="1"/>
  <c r="E561" i="5"/>
  <c r="AF560" i="5"/>
  <c r="X560" i="5"/>
  <c r="V560" i="5"/>
  <c r="R560" i="5"/>
  <c r="Y560" i="5" s="1"/>
  <c r="O560" i="5"/>
  <c r="E560" i="5"/>
  <c r="AF559" i="5"/>
  <c r="X559" i="5"/>
  <c r="T559" i="5"/>
  <c r="R559" i="5"/>
  <c r="O559" i="5"/>
  <c r="P559" i="5" s="1"/>
  <c r="E559" i="5"/>
  <c r="AF558" i="5"/>
  <c r="Y558" i="5"/>
  <c r="W558" i="5"/>
  <c r="T558" i="5"/>
  <c r="R558" i="5"/>
  <c r="P558" i="5"/>
  <c r="O558" i="5"/>
  <c r="E558" i="5"/>
  <c r="AF557" i="5"/>
  <c r="Y557" i="5"/>
  <c r="R557" i="5"/>
  <c r="O557" i="5"/>
  <c r="E557" i="5"/>
  <c r="AF556" i="5"/>
  <c r="X556" i="5"/>
  <c r="V556" i="5"/>
  <c r="R556" i="5"/>
  <c r="Y556" i="5" s="1"/>
  <c r="O556" i="5"/>
  <c r="T556" i="5" s="1"/>
  <c r="E556" i="5"/>
  <c r="AF555" i="5"/>
  <c r="T555" i="5"/>
  <c r="R555" i="5"/>
  <c r="O555" i="5"/>
  <c r="P555" i="5" s="1"/>
  <c r="E555" i="5"/>
  <c r="AF554" i="5"/>
  <c r="Y554" i="5"/>
  <c r="W554" i="5"/>
  <c r="T554" i="5"/>
  <c r="R554" i="5"/>
  <c r="P554" i="5"/>
  <c r="O554" i="5"/>
  <c r="E554" i="5"/>
  <c r="AF553" i="5"/>
  <c r="X553" i="5"/>
  <c r="V553" i="5"/>
  <c r="R553" i="5"/>
  <c r="Y553" i="5" s="1"/>
  <c r="O553" i="5"/>
  <c r="E553" i="5"/>
  <c r="AF552" i="5"/>
  <c r="X552" i="5"/>
  <c r="U552" i="5"/>
  <c r="R552" i="5"/>
  <c r="P552" i="5"/>
  <c r="O552" i="5"/>
  <c r="T552" i="5" s="1"/>
  <c r="E552" i="5"/>
  <c r="AF551" i="5"/>
  <c r="W551" i="5"/>
  <c r="V551" i="5"/>
  <c r="R551" i="5"/>
  <c r="X551" i="5" s="1"/>
  <c r="O551" i="5"/>
  <c r="P551" i="5" s="1"/>
  <c r="E551" i="5"/>
  <c r="AF550" i="5"/>
  <c r="T550" i="5"/>
  <c r="R550" i="5"/>
  <c r="O550" i="5"/>
  <c r="P550" i="5" s="1"/>
  <c r="E550" i="5"/>
  <c r="AF549" i="5"/>
  <c r="X549" i="5"/>
  <c r="T549" i="5"/>
  <c r="R549" i="5"/>
  <c r="Y549" i="5" s="1"/>
  <c r="P549" i="5"/>
  <c r="O549" i="5"/>
  <c r="E549" i="5"/>
  <c r="AF548" i="5"/>
  <c r="Y548" i="5"/>
  <c r="X548" i="5"/>
  <c r="W548" i="5"/>
  <c r="V548" i="5"/>
  <c r="R548" i="5"/>
  <c r="P548" i="5"/>
  <c r="O548" i="5"/>
  <c r="T548" i="5" s="1"/>
  <c r="E548" i="5"/>
  <c r="AF547" i="5"/>
  <c r="R547" i="5"/>
  <c r="O547" i="5"/>
  <c r="T547" i="5" s="1"/>
  <c r="E547" i="5"/>
  <c r="AF546" i="5"/>
  <c r="X546" i="5"/>
  <c r="V546" i="5"/>
  <c r="T546" i="5"/>
  <c r="R546" i="5"/>
  <c r="Y546" i="5" s="1"/>
  <c r="O546" i="5"/>
  <c r="P546" i="5" s="1"/>
  <c r="E546" i="5"/>
  <c r="AF545" i="5"/>
  <c r="X545" i="5"/>
  <c r="T545" i="5"/>
  <c r="R545" i="5"/>
  <c r="V545" i="5" s="1"/>
  <c r="P545" i="5"/>
  <c r="O545" i="5"/>
  <c r="E545" i="5"/>
  <c r="AF544" i="5"/>
  <c r="X544" i="5"/>
  <c r="V544" i="5"/>
  <c r="R544" i="5"/>
  <c r="Y544" i="5" s="1"/>
  <c r="O544" i="5"/>
  <c r="T544" i="5" s="1"/>
  <c r="E544" i="5"/>
  <c r="AF543" i="5"/>
  <c r="X543" i="5"/>
  <c r="W543" i="5"/>
  <c r="V543" i="5"/>
  <c r="R543" i="5"/>
  <c r="Y543" i="5" s="1"/>
  <c r="P543" i="5"/>
  <c r="O543" i="5"/>
  <c r="T543" i="5" s="1"/>
  <c r="U543" i="5" s="1"/>
  <c r="E543" i="5"/>
  <c r="AF542" i="5"/>
  <c r="W542" i="5"/>
  <c r="R542" i="5"/>
  <c r="Y542" i="5" s="1"/>
  <c r="O542" i="5"/>
  <c r="T542" i="5" s="1"/>
  <c r="E542" i="5"/>
  <c r="AF541" i="5"/>
  <c r="Y541" i="5"/>
  <c r="W541" i="5"/>
  <c r="V541" i="5"/>
  <c r="R541" i="5"/>
  <c r="X541" i="5" s="1"/>
  <c r="P541" i="5"/>
  <c r="O541" i="5"/>
  <c r="T541" i="5" s="1"/>
  <c r="E541" i="5"/>
  <c r="AF540" i="5"/>
  <c r="V540" i="5"/>
  <c r="T540" i="5"/>
  <c r="R540" i="5"/>
  <c r="W540" i="5" s="1"/>
  <c r="O540" i="5"/>
  <c r="P540" i="5" s="1"/>
  <c r="E540" i="5"/>
  <c r="AF539" i="5"/>
  <c r="Y539" i="5"/>
  <c r="V539" i="5"/>
  <c r="T539" i="5"/>
  <c r="R539" i="5"/>
  <c r="X539" i="5" s="1"/>
  <c r="P539" i="5"/>
  <c r="O539" i="5"/>
  <c r="E539" i="5"/>
  <c r="AF538" i="5"/>
  <c r="Y538" i="5"/>
  <c r="R538" i="5"/>
  <c r="O538" i="5"/>
  <c r="T538" i="5" s="1"/>
  <c r="E538" i="5"/>
  <c r="AF537" i="5"/>
  <c r="X537" i="5"/>
  <c r="V537" i="5"/>
  <c r="U537" i="5"/>
  <c r="T537" i="5"/>
  <c r="R537" i="5"/>
  <c r="Y537" i="5" s="1"/>
  <c r="P537" i="5"/>
  <c r="O537" i="5"/>
  <c r="E537" i="5"/>
  <c r="AF536" i="5"/>
  <c r="T536" i="5"/>
  <c r="R536" i="5"/>
  <c r="Y536" i="5" s="1"/>
  <c r="O536" i="5"/>
  <c r="P536" i="5" s="1"/>
  <c r="E536" i="5"/>
  <c r="AF535" i="5"/>
  <c r="Y535" i="5"/>
  <c r="V535" i="5"/>
  <c r="R535" i="5"/>
  <c r="X535" i="5" s="1"/>
  <c r="P535" i="5"/>
  <c r="O535" i="5"/>
  <c r="T535" i="5" s="1"/>
  <c r="E535" i="5"/>
  <c r="AF534" i="5"/>
  <c r="Y534" i="5"/>
  <c r="V534" i="5"/>
  <c r="T534" i="5"/>
  <c r="R534" i="5"/>
  <c r="P534" i="5"/>
  <c r="O534" i="5"/>
  <c r="E534" i="5"/>
  <c r="AF533" i="5"/>
  <c r="Y533" i="5"/>
  <c r="V533" i="5"/>
  <c r="R533" i="5"/>
  <c r="X533" i="5" s="1"/>
  <c r="O533" i="5"/>
  <c r="E533" i="5"/>
  <c r="AF532" i="5"/>
  <c r="T532" i="5"/>
  <c r="R532" i="5"/>
  <c r="O532" i="5"/>
  <c r="P532" i="5" s="1"/>
  <c r="E532" i="5"/>
  <c r="AF531" i="5"/>
  <c r="X531" i="5"/>
  <c r="U531" i="5"/>
  <c r="R531" i="5"/>
  <c r="O531" i="5"/>
  <c r="T531" i="5" s="1"/>
  <c r="E531" i="5"/>
  <c r="AF530" i="5"/>
  <c r="V530" i="5"/>
  <c r="T530" i="5"/>
  <c r="U530" i="5" s="1"/>
  <c r="R530" i="5"/>
  <c r="X530" i="5" s="1"/>
  <c r="O530" i="5"/>
  <c r="P530" i="5" s="1"/>
  <c r="E530" i="5"/>
  <c r="AF529" i="5"/>
  <c r="Y529" i="5"/>
  <c r="X529" i="5"/>
  <c r="V529" i="5"/>
  <c r="R529" i="5"/>
  <c r="P529" i="5"/>
  <c r="O529" i="5"/>
  <c r="T529" i="5" s="1"/>
  <c r="E529" i="5"/>
  <c r="AF528" i="5"/>
  <c r="Y528" i="5"/>
  <c r="V528" i="5"/>
  <c r="T528" i="5"/>
  <c r="R528" i="5"/>
  <c r="P528" i="5"/>
  <c r="O528" i="5"/>
  <c r="E528" i="5"/>
  <c r="AF527" i="5"/>
  <c r="Y527" i="5"/>
  <c r="W527" i="5"/>
  <c r="V527" i="5"/>
  <c r="R527" i="5"/>
  <c r="X527" i="5" s="1"/>
  <c r="O527" i="5"/>
  <c r="E527" i="5"/>
  <c r="AF526" i="5"/>
  <c r="T526" i="5"/>
  <c r="R526" i="5"/>
  <c r="P526" i="5"/>
  <c r="O526" i="5"/>
  <c r="E526" i="5"/>
  <c r="AF525" i="5"/>
  <c r="X525" i="5"/>
  <c r="V525" i="5"/>
  <c r="T525" i="5"/>
  <c r="R525" i="5"/>
  <c r="W525" i="5" s="1"/>
  <c r="P525" i="5"/>
  <c r="O525" i="5"/>
  <c r="E525" i="5"/>
  <c r="AF524" i="5"/>
  <c r="R524" i="5"/>
  <c r="O524" i="5"/>
  <c r="T524" i="5" s="1"/>
  <c r="E524" i="5"/>
  <c r="AF523" i="5"/>
  <c r="X523" i="5"/>
  <c r="V523" i="5"/>
  <c r="U523" i="5"/>
  <c r="T523" i="5"/>
  <c r="R523" i="5"/>
  <c r="Y523" i="5" s="1"/>
  <c r="P523" i="5"/>
  <c r="O523" i="5"/>
  <c r="E523" i="5"/>
  <c r="AF522" i="5"/>
  <c r="Y522" i="5"/>
  <c r="X522" i="5"/>
  <c r="U522" i="5"/>
  <c r="T522" i="5"/>
  <c r="R522" i="5"/>
  <c r="V522" i="5" s="1"/>
  <c r="P522" i="5"/>
  <c r="O522" i="5"/>
  <c r="E522" i="5"/>
  <c r="AF521" i="5"/>
  <c r="Y521" i="5"/>
  <c r="V521" i="5"/>
  <c r="R521" i="5"/>
  <c r="X521" i="5" s="1"/>
  <c r="P521" i="5"/>
  <c r="O521" i="5"/>
  <c r="T521" i="5" s="1"/>
  <c r="E521" i="5"/>
  <c r="AF520" i="5"/>
  <c r="X520" i="5"/>
  <c r="V520" i="5"/>
  <c r="R520" i="5"/>
  <c r="Y520" i="5" s="1"/>
  <c r="O520" i="5"/>
  <c r="E520" i="5"/>
  <c r="AF519" i="5"/>
  <c r="T519" i="5"/>
  <c r="R519" i="5"/>
  <c r="P519" i="5"/>
  <c r="O519" i="5"/>
  <c r="E519" i="5"/>
  <c r="AF518" i="5"/>
  <c r="X518" i="5"/>
  <c r="U518" i="5"/>
  <c r="R518" i="5"/>
  <c r="Y518" i="5" s="1"/>
  <c r="O518" i="5"/>
  <c r="T518" i="5" s="1"/>
  <c r="E518" i="5"/>
  <c r="AF517" i="5"/>
  <c r="X517" i="5"/>
  <c r="W517" i="5"/>
  <c r="V517" i="5"/>
  <c r="T517" i="5"/>
  <c r="R517" i="5"/>
  <c r="Y517" i="5" s="1"/>
  <c r="P517" i="5"/>
  <c r="O517" i="5"/>
  <c r="E517" i="5"/>
  <c r="AF516" i="5"/>
  <c r="Y516" i="5"/>
  <c r="W516" i="5"/>
  <c r="V516" i="5"/>
  <c r="T516" i="5"/>
  <c r="R516" i="5"/>
  <c r="X516" i="5" s="1"/>
  <c r="O516" i="5"/>
  <c r="P516" i="5" s="1"/>
  <c r="E516" i="5"/>
  <c r="AF515" i="5"/>
  <c r="X515" i="5"/>
  <c r="V515" i="5"/>
  <c r="R515" i="5"/>
  <c r="W515" i="5" s="1"/>
  <c r="O515" i="5"/>
  <c r="E515" i="5"/>
  <c r="AF514" i="5"/>
  <c r="X514" i="5"/>
  <c r="U514" i="5"/>
  <c r="T514" i="5"/>
  <c r="R514" i="5"/>
  <c r="V514" i="5" s="1"/>
  <c r="P514" i="5"/>
  <c r="O514" i="5"/>
  <c r="E514" i="5"/>
  <c r="AF513" i="5"/>
  <c r="W513" i="5"/>
  <c r="R513" i="5"/>
  <c r="X513" i="5" s="1"/>
  <c r="O513" i="5"/>
  <c r="E513" i="5"/>
  <c r="AF512" i="5"/>
  <c r="R512" i="5"/>
  <c r="O512" i="5"/>
  <c r="P512" i="5" s="1"/>
  <c r="E512" i="5"/>
  <c r="AF511" i="5"/>
  <c r="Y511" i="5"/>
  <c r="W511" i="5"/>
  <c r="V511" i="5"/>
  <c r="U511" i="5"/>
  <c r="T511" i="5"/>
  <c r="R511" i="5"/>
  <c r="X511" i="5" s="1"/>
  <c r="P511" i="5"/>
  <c r="O511" i="5"/>
  <c r="E511" i="5"/>
  <c r="AF510" i="5"/>
  <c r="Y510" i="5"/>
  <c r="T510" i="5"/>
  <c r="R510" i="5"/>
  <c r="O510" i="5"/>
  <c r="P510" i="5" s="1"/>
  <c r="E510" i="5"/>
  <c r="AF509" i="5"/>
  <c r="Y509" i="5"/>
  <c r="V509" i="5"/>
  <c r="R509" i="5"/>
  <c r="X509" i="5" s="1"/>
  <c r="P509" i="5"/>
  <c r="O509" i="5"/>
  <c r="T509" i="5" s="1"/>
  <c r="E509" i="5"/>
  <c r="AF508" i="5"/>
  <c r="Y508" i="5"/>
  <c r="V508" i="5"/>
  <c r="T508" i="5"/>
  <c r="R508" i="5"/>
  <c r="P508" i="5"/>
  <c r="O508" i="5"/>
  <c r="E508" i="5"/>
  <c r="AF507" i="5"/>
  <c r="Y507" i="5"/>
  <c r="W507" i="5"/>
  <c r="V507" i="5"/>
  <c r="T507" i="5"/>
  <c r="U507" i="5" s="1"/>
  <c r="R507" i="5"/>
  <c r="X507" i="5" s="1"/>
  <c r="O507" i="5"/>
  <c r="P507" i="5" s="1"/>
  <c r="E507" i="5"/>
  <c r="AF506" i="5"/>
  <c r="X506" i="5"/>
  <c r="T506" i="5"/>
  <c r="R506" i="5"/>
  <c r="V506" i="5" s="1"/>
  <c r="P506" i="5"/>
  <c r="O506" i="5"/>
  <c r="E506" i="5"/>
  <c r="AF505" i="5"/>
  <c r="X505" i="5"/>
  <c r="W505" i="5"/>
  <c r="V505" i="5"/>
  <c r="R505" i="5"/>
  <c r="P505" i="5"/>
  <c r="O505" i="5"/>
  <c r="T505" i="5" s="1"/>
  <c r="E505" i="5"/>
  <c r="AF504" i="5"/>
  <c r="Y504" i="5"/>
  <c r="V504" i="5"/>
  <c r="T504" i="5"/>
  <c r="R504" i="5"/>
  <c r="P504" i="5"/>
  <c r="O504" i="5"/>
  <c r="E504" i="5"/>
  <c r="AF503" i="5"/>
  <c r="Y503" i="5"/>
  <c r="R503" i="5"/>
  <c r="X503" i="5" s="1"/>
  <c r="O503" i="5"/>
  <c r="P503" i="5" s="1"/>
  <c r="E503" i="5"/>
  <c r="AF502" i="5"/>
  <c r="X502" i="5"/>
  <c r="U502" i="5" s="1"/>
  <c r="W502" i="5"/>
  <c r="T502" i="5"/>
  <c r="R502" i="5"/>
  <c r="V502" i="5" s="1"/>
  <c r="P502" i="5"/>
  <c r="O502" i="5"/>
  <c r="E502" i="5"/>
  <c r="AF501" i="5"/>
  <c r="Y501" i="5"/>
  <c r="V501" i="5"/>
  <c r="R501" i="5"/>
  <c r="X501" i="5" s="1"/>
  <c r="P501" i="5"/>
  <c r="O501" i="5"/>
  <c r="T501" i="5" s="1"/>
  <c r="U501" i="5" s="1"/>
  <c r="Z501" i="5" s="1"/>
  <c r="AE501" i="5" s="1"/>
  <c r="E501" i="5"/>
  <c r="AF500" i="5"/>
  <c r="W500" i="5"/>
  <c r="R500" i="5"/>
  <c r="Y500" i="5" s="1"/>
  <c r="O500" i="5"/>
  <c r="E500" i="5"/>
  <c r="AF499" i="5"/>
  <c r="Y499" i="5"/>
  <c r="W499" i="5"/>
  <c r="V499" i="5"/>
  <c r="R499" i="5"/>
  <c r="X499" i="5" s="1"/>
  <c r="P499" i="5"/>
  <c r="O499" i="5"/>
  <c r="T499" i="5" s="1"/>
  <c r="E499" i="5"/>
  <c r="AF498" i="5"/>
  <c r="Y498" i="5"/>
  <c r="T498" i="5"/>
  <c r="R498" i="5"/>
  <c r="V498" i="5" s="1"/>
  <c r="P498" i="5"/>
  <c r="O498" i="5"/>
  <c r="E498" i="5"/>
  <c r="AF497" i="5"/>
  <c r="T497" i="5"/>
  <c r="R497" i="5"/>
  <c r="Y497" i="5" s="1"/>
  <c r="O497" i="5"/>
  <c r="P497" i="5" s="1"/>
  <c r="E497" i="5"/>
  <c r="AF496" i="5"/>
  <c r="X496" i="5"/>
  <c r="U496" i="5" s="1"/>
  <c r="V496" i="5"/>
  <c r="R496" i="5"/>
  <c r="Y496" i="5" s="1"/>
  <c r="P496" i="5"/>
  <c r="O496" i="5"/>
  <c r="T496" i="5" s="1"/>
  <c r="E496" i="5"/>
  <c r="AF495" i="5"/>
  <c r="Z495" i="5"/>
  <c r="AE495" i="5" s="1"/>
  <c r="X495" i="5"/>
  <c r="V495" i="5"/>
  <c r="T495" i="5"/>
  <c r="U495" i="5" s="1"/>
  <c r="R495" i="5"/>
  <c r="Y495" i="5" s="1"/>
  <c r="O495" i="5"/>
  <c r="P495" i="5" s="1"/>
  <c r="E495" i="5"/>
  <c r="AF494" i="5"/>
  <c r="X494" i="5"/>
  <c r="T494" i="5"/>
  <c r="R494" i="5"/>
  <c r="V494" i="5" s="1"/>
  <c r="P494" i="5"/>
  <c r="O494" i="5"/>
  <c r="E494" i="5"/>
  <c r="AF493" i="5"/>
  <c r="X493" i="5"/>
  <c r="R493" i="5"/>
  <c r="Y493" i="5" s="1"/>
  <c r="O493" i="5"/>
  <c r="E493" i="5"/>
  <c r="AF492" i="5"/>
  <c r="X492" i="5"/>
  <c r="V492" i="5"/>
  <c r="R492" i="5"/>
  <c r="Y492" i="5" s="1"/>
  <c r="P492" i="5"/>
  <c r="O492" i="5"/>
  <c r="T492" i="5" s="1"/>
  <c r="E492" i="5"/>
  <c r="AF491" i="5"/>
  <c r="Y491" i="5"/>
  <c r="T491" i="5"/>
  <c r="R491" i="5"/>
  <c r="V491" i="5" s="1"/>
  <c r="P491" i="5"/>
  <c r="O491" i="5"/>
  <c r="E491" i="5"/>
  <c r="AF490" i="5"/>
  <c r="T490" i="5"/>
  <c r="R490" i="5"/>
  <c r="O490" i="5"/>
  <c r="P490" i="5" s="1"/>
  <c r="E490" i="5"/>
  <c r="AF489" i="5"/>
  <c r="X489" i="5"/>
  <c r="U489" i="5"/>
  <c r="R489" i="5"/>
  <c r="O489" i="5"/>
  <c r="T489" i="5" s="1"/>
  <c r="E489" i="5"/>
  <c r="AF488" i="5"/>
  <c r="Y488" i="5"/>
  <c r="W488" i="5"/>
  <c r="V488" i="5"/>
  <c r="R488" i="5"/>
  <c r="X488" i="5" s="1"/>
  <c r="P488" i="5"/>
  <c r="O488" i="5"/>
  <c r="T488" i="5" s="1"/>
  <c r="E488" i="5"/>
  <c r="AF487" i="5"/>
  <c r="V487" i="5"/>
  <c r="T487" i="5"/>
  <c r="R487" i="5"/>
  <c r="W487" i="5" s="1"/>
  <c r="O487" i="5"/>
  <c r="P487" i="5" s="1"/>
  <c r="E487" i="5"/>
  <c r="AF486" i="5"/>
  <c r="W486" i="5"/>
  <c r="T486" i="5"/>
  <c r="R486" i="5"/>
  <c r="V486" i="5" s="1"/>
  <c r="P486" i="5"/>
  <c r="O486" i="5"/>
  <c r="E486" i="5"/>
  <c r="AF485" i="5"/>
  <c r="X485" i="5"/>
  <c r="V485" i="5"/>
  <c r="R485" i="5"/>
  <c r="W485" i="5" s="1"/>
  <c r="P485" i="5"/>
  <c r="O485" i="5"/>
  <c r="T485" i="5" s="1"/>
  <c r="U485" i="5" s="1"/>
  <c r="E485" i="5"/>
  <c r="AF484" i="5"/>
  <c r="W484" i="5"/>
  <c r="R484" i="5"/>
  <c r="V484" i="5" s="1"/>
  <c r="O484" i="5"/>
  <c r="E484" i="5"/>
  <c r="AF483" i="5"/>
  <c r="X483" i="5"/>
  <c r="V483" i="5"/>
  <c r="T483" i="5"/>
  <c r="R483" i="5"/>
  <c r="Y483" i="5" s="1"/>
  <c r="P483" i="5"/>
  <c r="O483" i="5"/>
  <c r="E483" i="5"/>
  <c r="AF482" i="5"/>
  <c r="Y482" i="5"/>
  <c r="R482" i="5"/>
  <c r="X482" i="5" s="1"/>
  <c r="O482" i="5"/>
  <c r="P482" i="5" s="1"/>
  <c r="E482" i="5"/>
  <c r="AF481" i="5"/>
  <c r="X481" i="5"/>
  <c r="U481" i="5" s="1"/>
  <c r="W481" i="5"/>
  <c r="T481" i="5"/>
  <c r="R481" i="5"/>
  <c r="V481" i="5" s="1"/>
  <c r="P481" i="5"/>
  <c r="O481" i="5"/>
  <c r="E481" i="5"/>
  <c r="AF480" i="5"/>
  <c r="W480" i="5"/>
  <c r="R480" i="5"/>
  <c r="X480" i="5" s="1"/>
  <c r="O480" i="5"/>
  <c r="E480" i="5"/>
  <c r="AF479" i="5"/>
  <c r="X479" i="5"/>
  <c r="W479" i="5"/>
  <c r="V479" i="5"/>
  <c r="S479" i="5"/>
  <c r="R479" i="5"/>
  <c r="Y479" i="5" s="1"/>
  <c r="P479" i="5"/>
  <c r="O479" i="5"/>
  <c r="T479" i="5" s="1"/>
  <c r="U479" i="5" s="1"/>
  <c r="AA479" i="5" s="1"/>
  <c r="AB479" i="5" s="1"/>
  <c r="AC479" i="5" s="1"/>
  <c r="E479" i="5"/>
  <c r="AF478" i="5"/>
  <c r="W478" i="5"/>
  <c r="R478" i="5"/>
  <c r="Y478" i="5" s="1"/>
  <c r="O478" i="5"/>
  <c r="E478" i="5"/>
  <c r="AF477" i="5"/>
  <c r="Y477" i="5"/>
  <c r="W477" i="5"/>
  <c r="V477" i="5"/>
  <c r="R477" i="5"/>
  <c r="X477" i="5" s="1"/>
  <c r="P477" i="5"/>
  <c r="O477" i="5"/>
  <c r="T477" i="5" s="1"/>
  <c r="E477" i="5"/>
  <c r="AF476" i="5"/>
  <c r="V476" i="5"/>
  <c r="T476" i="5"/>
  <c r="R476" i="5"/>
  <c r="W476" i="5" s="1"/>
  <c r="O476" i="5"/>
  <c r="P476" i="5" s="1"/>
  <c r="E476" i="5"/>
  <c r="AF475" i="5"/>
  <c r="Y475" i="5"/>
  <c r="V475" i="5"/>
  <c r="T475" i="5"/>
  <c r="R475" i="5"/>
  <c r="X475" i="5" s="1"/>
  <c r="P475" i="5"/>
  <c r="O475" i="5"/>
  <c r="E475" i="5"/>
  <c r="AF474" i="5"/>
  <c r="Y474" i="5"/>
  <c r="X474" i="5"/>
  <c r="V474" i="5"/>
  <c r="T474" i="5"/>
  <c r="R474" i="5"/>
  <c r="P474" i="5"/>
  <c r="O474" i="5"/>
  <c r="E474" i="5"/>
  <c r="AF473" i="5"/>
  <c r="Y473" i="5"/>
  <c r="R473" i="5"/>
  <c r="X473" i="5" s="1"/>
  <c r="O473" i="5"/>
  <c r="P473" i="5" s="1"/>
  <c r="E473" i="5"/>
  <c r="AF472" i="5"/>
  <c r="X472" i="5"/>
  <c r="T472" i="5"/>
  <c r="R472" i="5"/>
  <c r="O472" i="5"/>
  <c r="P472" i="5" s="1"/>
  <c r="E472" i="5"/>
  <c r="AF471" i="5"/>
  <c r="X471" i="5"/>
  <c r="W471" i="5"/>
  <c r="V471" i="5"/>
  <c r="S471" i="5"/>
  <c r="R471" i="5"/>
  <c r="Y471" i="5" s="1"/>
  <c r="AA471" i="5" s="1"/>
  <c r="AB471" i="5" s="1"/>
  <c r="AC471" i="5" s="1"/>
  <c r="P471" i="5"/>
  <c r="O471" i="5"/>
  <c r="T471" i="5" s="1"/>
  <c r="U471" i="5" s="1"/>
  <c r="E471" i="5"/>
  <c r="AF470" i="5"/>
  <c r="X470" i="5"/>
  <c r="V470" i="5"/>
  <c r="R470" i="5"/>
  <c r="Y470" i="5" s="1"/>
  <c r="O470" i="5"/>
  <c r="E470" i="5"/>
  <c r="AF469" i="5"/>
  <c r="T469" i="5"/>
  <c r="R469" i="5"/>
  <c r="P469" i="5"/>
  <c r="O469" i="5"/>
  <c r="E469" i="5"/>
  <c r="AF468" i="5"/>
  <c r="X468" i="5"/>
  <c r="V468" i="5"/>
  <c r="R468" i="5"/>
  <c r="W468" i="5" s="1"/>
  <c r="P468" i="5"/>
  <c r="O468" i="5"/>
  <c r="T468" i="5" s="1"/>
  <c r="E468" i="5"/>
  <c r="AF467" i="5"/>
  <c r="R467" i="5"/>
  <c r="O467" i="5"/>
  <c r="E467" i="5"/>
  <c r="AF466" i="5"/>
  <c r="X466" i="5"/>
  <c r="V466" i="5"/>
  <c r="T466" i="5"/>
  <c r="R466" i="5"/>
  <c r="Y466" i="5" s="1"/>
  <c r="P466" i="5"/>
  <c r="O466" i="5"/>
  <c r="E466" i="5"/>
  <c r="AF465" i="5"/>
  <c r="Y465" i="5"/>
  <c r="R465" i="5"/>
  <c r="X465" i="5" s="1"/>
  <c r="O465" i="5"/>
  <c r="E465" i="5"/>
  <c r="AF464" i="5"/>
  <c r="X464" i="5"/>
  <c r="U464" i="5" s="1"/>
  <c r="W464" i="5"/>
  <c r="T464" i="5"/>
  <c r="R464" i="5"/>
  <c r="V464" i="5" s="1"/>
  <c r="P464" i="5"/>
  <c r="O464" i="5"/>
  <c r="E464" i="5"/>
  <c r="AF463" i="5"/>
  <c r="W463" i="5"/>
  <c r="R463" i="5"/>
  <c r="X463" i="5" s="1"/>
  <c r="O463" i="5"/>
  <c r="E463" i="5"/>
  <c r="AF462" i="5"/>
  <c r="X462" i="5"/>
  <c r="W462" i="5"/>
  <c r="V462" i="5"/>
  <c r="S462" i="5"/>
  <c r="R462" i="5"/>
  <c r="Y462" i="5" s="1"/>
  <c r="P462" i="5"/>
  <c r="O462" i="5"/>
  <c r="T462" i="5" s="1"/>
  <c r="U462" i="5" s="1"/>
  <c r="AA462" i="5" s="1"/>
  <c r="AB462" i="5" s="1"/>
  <c r="AC462" i="5" s="1"/>
  <c r="E462" i="5"/>
  <c r="AF461" i="5"/>
  <c r="W461" i="5"/>
  <c r="R461" i="5"/>
  <c r="Y461" i="5" s="1"/>
  <c r="O461" i="5"/>
  <c r="E461" i="5"/>
  <c r="AF460" i="5"/>
  <c r="T460" i="5"/>
  <c r="R460" i="5"/>
  <c r="O460" i="5"/>
  <c r="P460" i="5" s="1"/>
  <c r="E460" i="5"/>
  <c r="AF459" i="5"/>
  <c r="T459" i="5"/>
  <c r="R459" i="5"/>
  <c r="P459" i="5"/>
  <c r="O459" i="5"/>
  <c r="E459" i="5"/>
  <c r="AF458" i="5"/>
  <c r="X458" i="5"/>
  <c r="R458" i="5"/>
  <c r="Y458" i="5" s="1"/>
  <c r="O458" i="5"/>
  <c r="E458" i="5"/>
  <c r="AF457" i="5"/>
  <c r="X457" i="5"/>
  <c r="W457" i="5"/>
  <c r="V457" i="5"/>
  <c r="T457" i="5"/>
  <c r="R457" i="5"/>
  <c r="Y457" i="5" s="1"/>
  <c r="P457" i="5"/>
  <c r="O457" i="5"/>
  <c r="E457" i="5"/>
  <c r="AF456" i="5"/>
  <c r="Y456" i="5"/>
  <c r="W456" i="5"/>
  <c r="V456" i="5"/>
  <c r="R456" i="5"/>
  <c r="X456" i="5" s="1"/>
  <c r="O456" i="5"/>
  <c r="E456" i="5"/>
  <c r="AF455" i="5"/>
  <c r="X455" i="5"/>
  <c r="V455" i="5"/>
  <c r="R455" i="5"/>
  <c r="W455" i="5" s="1"/>
  <c r="O455" i="5"/>
  <c r="E455" i="5"/>
  <c r="AF454" i="5"/>
  <c r="X454" i="5"/>
  <c r="U454" i="5"/>
  <c r="T454" i="5"/>
  <c r="R454" i="5"/>
  <c r="V454" i="5" s="1"/>
  <c r="P454" i="5"/>
  <c r="O454" i="5"/>
  <c r="E454" i="5"/>
  <c r="AF453" i="5"/>
  <c r="Y453" i="5"/>
  <c r="V453" i="5"/>
  <c r="R453" i="5"/>
  <c r="X453" i="5" s="1"/>
  <c r="U453" i="5" s="1"/>
  <c r="P453" i="5"/>
  <c r="O453" i="5"/>
  <c r="T453" i="5" s="1"/>
  <c r="E453" i="5"/>
  <c r="AF452" i="5"/>
  <c r="R452" i="5"/>
  <c r="O452" i="5"/>
  <c r="P452" i="5" s="1"/>
  <c r="E452" i="5"/>
  <c r="AF451" i="5"/>
  <c r="V451" i="5"/>
  <c r="T451" i="5"/>
  <c r="R451" i="5"/>
  <c r="X451" i="5" s="1"/>
  <c r="O451" i="5"/>
  <c r="P451" i="5" s="1"/>
  <c r="E451" i="5"/>
  <c r="AF450" i="5"/>
  <c r="T450" i="5"/>
  <c r="R450" i="5"/>
  <c r="P450" i="5"/>
  <c r="O450" i="5"/>
  <c r="E450" i="5"/>
  <c r="AF449" i="5"/>
  <c r="X449" i="5"/>
  <c r="V449" i="5"/>
  <c r="R449" i="5"/>
  <c r="W449" i="5" s="1"/>
  <c r="P449" i="5"/>
  <c r="O449" i="5"/>
  <c r="T449" i="5" s="1"/>
  <c r="E449" i="5"/>
  <c r="AF448" i="5"/>
  <c r="R448" i="5"/>
  <c r="O448" i="5"/>
  <c r="E448" i="5"/>
  <c r="AF447" i="5"/>
  <c r="X447" i="5"/>
  <c r="V447" i="5"/>
  <c r="R447" i="5"/>
  <c r="Y447" i="5" s="1"/>
  <c r="P447" i="5"/>
  <c r="O447" i="5"/>
  <c r="T447" i="5" s="1"/>
  <c r="E447" i="5"/>
  <c r="AF446" i="5"/>
  <c r="Y446" i="5"/>
  <c r="T446" i="5"/>
  <c r="R446" i="5"/>
  <c r="V446" i="5" s="1"/>
  <c r="P446" i="5"/>
  <c r="O446" i="5"/>
  <c r="E446" i="5"/>
  <c r="AF445" i="5"/>
  <c r="Y445" i="5"/>
  <c r="T445" i="5"/>
  <c r="R445" i="5"/>
  <c r="O445" i="5"/>
  <c r="P445" i="5" s="1"/>
  <c r="E445" i="5"/>
  <c r="AF444" i="5"/>
  <c r="X444" i="5"/>
  <c r="U444" i="5" s="1"/>
  <c r="V444" i="5"/>
  <c r="R444" i="5"/>
  <c r="Y444" i="5" s="1"/>
  <c r="P444" i="5"/>
  <c r="O444" i="5"/>
  <c r="T444" i="5" s="1"/>
  <c r="E444" i="5"/>
  <c r="AF443" i="5"/>
  <c r="R443" i="5"/>
  <c r="O443" i="5"/>
  <c r="P443" i="5" s="1"/>
  <c r="E443" i="5"/>
  <c r="AF442" i="5"/>
  <c r="Y442" i="5"/>
  <c r="W442" i="5"/>
  <c r="V442" i="5"/>
  <c r="U442" i="5"/>
  <c r="T442" i="5"/>
  <c r="R442" i="5"/>
  <c r="X442" i="5" s="1"/>
  <c r="P442" i="5"/>
  <c r="O442" i="5"/>
  <c r="E442" i="5"/>
  <c r="AF441" i="5"/>
  <c r="X441" i="5"/>
  <c r="U441" i="5"/>
  <c r="R441" i="5"/>
  <c r="Y441" i="5" s="1"/>
  <c r="P441" i="5"/>
  <c r="O441" i="5"/>
  <c r="T441" i="5" s="1"/>
  <c r="E441" i="5"/>
  <c r="AF440" i="5"/>
  <c r="X440" i="5"/>
  <c r="V440" i="5"/>
  <c r="R440" i="5"/>
  <c r="Y440" i="5" s="1"/>
  <c r="P440" i="5"/>
  <c r="O440" i="5"/>
  <c r="T440" i="5" s="1"/>
  <c r="E440" i="5"/>
  <c r="AF439" i="5"/>
  <c r="X439" i="5"/>
  <c r="U439" i="5" s="1"/>
  <c r="T439" i="5"/>
  <c r="R439" i="5"/>
  <c r="Y439" i="5" s="1"/>
  <c r="P439" i="5"/>
  <c r="O439" i="5"/>
  <c r="E439" i="5"/>
  <c r="AF438" i="5"/>
  <c r="V438" i="5"/>
  <c r="T438" i="5"/>
  <c r="R438" i="5"/>
  <c r="Y438" i="5" s="1"/>
  <c r="O438" i="5"/>
  <c r="P438" i="5" s="1"/>
  <c r="E438" i="5"/>
  <c r="AF437" i="5"/>
  <c r="Y437" i="5"/>
  <c r="W437" i="5"/>
  <c r="R437" i="5"/>
  <c r="X437" i="5" s="1"/>
  <c r="P437" i="5"/>
  <c r="O437" i="5"/>
  <c r="T437" i="5" s="1"/>
  <c r="E437" i="5"/>
  <c r="AF436" i="5"/>
  <c r="X436" i="5"/>
  <c r="V436" i="5"/>
  <c r="R436" i="5"/>
  <c r="Y436" i="5" s="1"/>
  <c r="P436" i="5"/>
  <c r="O436" i="5"/>
  <c r="T436" i="5" s="1"/>
  <c r="E436" i="5"/>
  <c r="AF435" i="5"/>
  <c r="X435" i="5"/>
  <c r="V435" i="5"/>
  <c r="R435" i="5"/>
  <c r="O435" i="5"/>
  <c r="E435" i="5"/>
  <c r="AF434" i="5"/>
  <c r="Y434" i="5"/>
  <c r="W434" i="5"/>
  <c r="U434" i="5"/>
  <c r="T434" i="5"/>
  <c r="R434" i="5"/>
  <c r="X434" i="5" s="1"/>
  <c r="P434" i="5"/>
  <c r="O434" i="5"/>
  <c r="E434" i="5"/>
  <c r="AF433" i="5"/>
  <c r="X433" i="5"/>
  <c r="V433" i="5"/>
  <c r="R433" i="5"/>
  <c r="O433" i="5"/>
  <c r="P433" i="5" s="1"/>
  <c r="E433" i="5"/>
  <c r="AF432" i="5"/>
  <c r="Y432" i="5"/>
  <c r="W432" i="5"/>
  <c r="R432" i="5"/>
  <c r="X432" i="5" s="1"/>
  <c r="P432" i="5"/>
  <c r="O432" i="5"/>
  <c r="T432" i="5" s="1"/>
  <c r="U432" i="5" s="1"/>
  <c r="E432" i="5"/>
  <c r="AF431" i="5"/>
  <c r="R431" i="5"/>
  <c r="O431" i="5"/>
  <c r="P431" i="5" s="1"/>
  <c r="E431" i="5"/>
  <c r="AF430" i="5"/>
  <c r="Y430" i="5"/>
  <c r="W430" i="5"/>
  <c r="V430" i="5"/>
  <c r="R430" i="5"/>
  <c r="X430" i="5" s="1"/>
  <c r="P430" i="5"/>
  <c r="O430" i="5"/>
  <c r="T430" i="5" s="1"/>
  <c r="U430" i="5" s="1"/>
  <c r="E430" i="5"/>
  <c r="AF429" i="5"/>
  <c r="X429" i="5"/>
  <c r="T429" i="5"/>
  <c r="R429" i="5"/>
  <c r="O429" i="5"/>
  <c r="P429" i="5" s="1"/>
  <c r="E429" i="5"/>
  <c r="AF428" i="5"/>
  <c r="T428" i="5"/>
  <c r="R428" i="5"/>
  <c r="X428" i="5" s="1"/>
  <c r="O428" i="5"/>
  <c r="P428" i="5" s="1"/>
  <c r="E428" i="5"/>
  <c r="AF427" i="5"/>
  <c r="Y427" i="5"/>
  <c r="T427" i="5"/>
  <c r="R427" i="5"/>
  <c r="X427" i="5" s="1"/>
  <c r="O427" i="5"/>
  <c r="P427" i="5" s="1"/>
  <c r="E427" i="5"/>
  <c r="AF426" i="5"/>
  <c r="T426" i="5"/>
  <c r="R426" i="5"/>
  <c r="X426" i="5" s="1"/>
  <c r="O426" i="5"/>
  <c r="P426" i="5" s="1"/>
  <c r="E426" i="5"/>
  <c r="AF425" i="5"/>
  <c r="Y425" i="5"/>
  <c r="W425" i="5"/>
  <c r="T425" i="5"/>
  <c r="R425" i="5"/>
  <c r="X425" i="5" s="1"/>
  <c r="U425" i="5" s="1"/>
  <c r="P425" i="5"/>
  <c r="O425" i="5"/>
  <c r="E425" i="5"/>
  <c r="AF424" i="5"/>
  <c r="X424" i="5"/>
  <c r="R424" i="5"/>
  <c r="Y424" i="5" s="1"/>
  <c r="P424" i="5"/>
  <c r="O424" i="5"/>
  <c r="T424" i="5" s="1"/>
  <c r="E424" i="5"/>
  <c r="AF423" i="5"/>
  <c r="X423" i="5"/>
  <c r="T423" i="5"/>
  <c r="R423" i="5"/>
  <c r="O423" i="5"/>
  <c r="P423" i="5" s="1"/>
  <c r="E423" i="5"/>
  <c r="AF422" i="5"/>
  <c r="Y422" i="5"/>
  <c r="W422" i="5"/>
  <c r="V422" i="5"/>
  <c r="U422" i="5"/>
  <c r="S422" i="5" s="1"/>
  <c r="R422" i="5"/>
  <c r="X422" i="5" s="1"/>
  <c r="P422" i="5"/>
  <c r="O422" i="5"/>
  <c r="T422" i="5" s="1"/>
  <c r="E422" i="5"/>
  <c r="AF421" i="5"/>
  <c r="V421" i="5"/>
  <c r="T421" i="5"/>
  <c r="R421" i="5"/>
  <c r="X421" i="5" s="1"/>
  <c r="O421" i="5"/>
  <c r="P421" i="5" s="1"/>
  <c r="E421" i="5"/>
  <c r="AF420" i="5"/>
  <c r="Y420" i="5"/>
  <c r="W420" i="5"/>
  <c r="T420" i="5"/>
  <c r="R420" i="5"/>
  <c r="X420" i="5" s="1"/>
  <c r="U420" i="5" s="1"/>
  <c r="P420" i="5"/>
  <c r="O420" i="5"/>
  <c r="E420" i="5"/>
  <c r="AF419" i="5"/>
  <c r="R419" i="5"/>
  <c r="O419" i="5"/>
  <c r="P419" i="5" s="1"/>
  <c r="E419" i="5"/>
  <c r="AF418" i="5"/>
  <c r="Y418" i="5"/>
  <c r="V418" i="5"/>
  <c r="R418" i="5"/>
  <c r="X418" i="5" s="1"/>
  <c r="O418" i="5"/>
  <c r="P418" i="5" s="1"/>
  <c r="E418" i="5"/>
  <c r="AF417" i="5"/>
  <c r="R417" i="5"/>
  <c r="O417" i="5"/>
  <c r="P417" i="5" s="1"/>
  <c r="E417" i="5"/>
  <c r="AF416" i="5"/>
  <c r="Y416" i="5"/>
  <c r="V416" i="5"/>
  <c r="R416" i="5"/>
  <c r="X416" i="5" s="1"/>
  <c r="O416" i="5"/>
  <c r="P416" i="5" s="1"/>
  <c r="E416" i="5"/>
  <c r="AF415" i="5"/>
  <c r="R415" i="5"/>
  <c r="O415" i="5"/>
  <c r="P415" i="5" s="1"/>
  <c r="E415" i="5"/>
  <c r="AF414" i="5"/>
  <c r="Y414" i="5"/>
  <c r="V414" i="5"/>
  <c r="R414" i="5"/>
  <c r="X414" i="5" s="1"/>
  <c r="O414" i="5"/>
  <c r="P414" i="5" s="1"/>
  <c r="E414" i="5"/>
  <c r="AF413" i="5"/>
  <c r="Y413" i="5"/>
  <c r="W413" i="5"/>
  <c r="T413" i="5"/>
  <c r="R413" i="5"/>
  <c r="X413" i="5" s="1"/>
  <c r="U413" i="5" s="1"/>
  <c r="P413" i="5"/>
  <c r="O413" i="5"/>
  <c r="E413" i="5"/>
  <c r="AF412" i="5"/>
  <c r="X412" i="5"/>
  <c r="R412" i="5"/>
  <c r="Y412" i="5" s="1"/>
  <c r="P412" i="5"/>
  <c r="O412" i="5"/>
  <c r="T412" i="5" s="1"/>
  <c r="E412" i="5"/>
  <c r="AF411" i="5"/>
  <c r="R411" i="5"/>
  <c r="O411" i="5"/>
  <c r="P411" i="5" s="1"/>
  <c r="E411" i="5"/>
  <c r="AF410" i="5"/>
  <c r="Y410" i="5"/>
  <c r="V410" i="5"/>
  <c r="R410" i="5"/>
  <c r="X410" i="5" s="1"/>
  <c r="O410" i="5"/>
  <c r="P410" i="5" s="1"/>
  <c r="E410" i="5"/>
  <c r="AF409" i="5"/>
  <c r="Y409" i="5"/>
  <c r="W409" i="5"/>
  <c r="T409" i="5"/>
  <c r="R409" i="5"/>
  <c r="X409" i="5" s="1"/>
  <c r="U409" i="5" s="1"/>
  <c r="P409" i="5"/>
  <c r="O409" i="5"/>
  <c r="E409" i="5"/>
  <c r="AF408" i="5"/>
  <c r="X408" i="5"/>
  <c r="R408" i="5"/>
  <c r="Y408" i="5" s="1"/>
  <c r="P408" i="5"/>
  <c r="O408" i="5"/>
  <c r="T408" i="5" s="1"/>
  <c r="E408" i="5"/>
  <c r="AF407" i="5"/>
  <c r="X407" i="5"/>
  <c r="V407" i="5"/>
  <c r="R407" i="5"/>
  <c r="Y407" i="5" s="1"/>
  <c r="P407" i="5"/>
  <c r="O407" i="5"/>
  <c r="T407" i="5" s="1"/>
  <c r="U407" i="5" s="1"/>
  <c r="S407" i="5" s="1"/>
  <c r="E407" i="5"/>
  <c r="AF406" i="5"/>
  <c r="R406" i="5"/>
  <c r="O406" i="5"/>
  <c r="P406" i="5" s="1"/>
  <c r="E406" i="5"/>
  <c r="AF405" i="5"/>
  <c r="Y405" i="5"/>
  <c r="W405" i="5"/>
  <c r="U405" i="5"/>
  <c r="T405" i="5"/>
  <c r="R405" i="5"/>
  <c r="X405" i="5" s="1"/>
  <c r="P405" i="5"/>
  <c r="O405" i="5"/>
  <c r="E405" i="5"/>
  <c r="AF404" i="5"/>
  <c r="X404" i="5"/>
  <c r="T404" i="5"/>
  <c r="R404" i="5"/>
  <c r="O404" i="5"/>
  <c r="P404" i="5" s="1"/>
  <c r="E404" i="5"/>
  <c r="AF403" i="5"/>
  <c r="Y403" i="5"/>
  <c r="W403" i="5"/>
  <c r="U403" i="5"/>
  <c r="R403" i="5"/>
  <c r="X403" i="5" s="1"/>
  <c r="P403" i="5"/>
  <c r="O403" i="5"/>
  <c r="T403" i="5" s="1"/>
  <c r="E403" i="5"/>
  <c r="AF402" i="5"/>
  <c r="T402" i="5"/>
  <c r="R402" i="5"/>
  <c r="X402" i="5" s="1"/>
  <c r="O402" i="5"/>
  <c r="P402" i="5" s="1"/>
  <c r="E402" i="5"/>
  <c r="AF401" i="5"/>
  <c r="AA401" i="5"/>
  <c r="AB401" i="5" s="1"/>
  <c r="AC401" i="5" s="1"/>
  <c r="Y401" i="5"/>
  <c r="W401" i="5"/>
  <c r="V401" i="5"/>
  <c r="R401" i="5"/>
  <c r="X401" i="5" s="1"/>
  <c r="U401" i="5" s="1"/>
  <c r="P401" i="5"/>
  <c r="O401" i="5"/>
  <c r="T401" i="5" s="1"/>
  <c r="S401" i="5" s="1"/>
  <c r="E401" i="5"/>
  <c r="AF400" i="5"/>
  <c r="X400" i="5"/>
  <c r="V400" i="5"/>
  <c r="R400" i="5"/>
  <c r="O400" i="5"/>
  <c r="E400" i="5"/>
  <c r="AF399" i="5"/>
  <c r="Y399" i="5"/>
  <c r="W399" i="5"/>
  <c r="U399" i="5"/>
  <c r="T399" i="5"/>
  <c r="R399" i="5"/>
  <c r="X399" i="5" s="1"/>
  <c r="P399" i="5"/>
  <c r="O399" i="5"/>
  <c r="E399" i="5"/>
  <c r="AF398" i="5"/>
  <c r="X398" i="5"/>
  <c r="U398" i="5" s="1"/>
  <c r="R398" i="5"/>
  <c r="Y398" i="5" s="1"/>
  <c r="P398" i="5"/>
  <c r="O398" i="5"/>
  <c r="T398" i="5" s="1"/>
  <c r="E398" i="5"/>
  <c r="AF397" i="5"/>
  <c r="X397" i="5"/>
  <c r="V397" i="5"/>
  <c r="U397" i="5"/>
  <c r="S397" i="5" s="1"/>
  <c r="R397" i="5"/>
  <c r="Y397" i="5" s="1"/>
  <c r="P397" i="5"/>
  <c r="O397" i="5"/>
  <c r="T397" i="5" s="1"/>
  <c r="E397" i="5"/>
  <c r="AF396" i="5"/>
  <c r="V396" i="5"/>
  <c r="T396" i="5"/>
  <c r="R396" i="5"/>
  <c r="X396" i="5" s="1"/>
  <c r="O396" i="5"/>
  <c r="P396" i="5" s="1"/>
  <c r="E396" i="5"/>
  <c r="AF395" i="5"/>
  <c r="Y395" i="5"/>
  <c r="W395" i="5"/>
  <c r="T395" i="5"/>
  <c r="R395" i="5"/>
  <c r="X395" i="5" s="1"/>
  <c r="U395" i="5" s="1"/>
  <c r="P395" i="5"/>
  <c r="O395" i="5"/>
  <c r="E395" i="5"/>
  <c r="AF394" i="5"/>
  <c r="X394" i="5"/>
  <c r="U394" i="5"/>
  <c r="R394" i="5"/>
  <c r="Y394" i="5" s="1"/>
  <c r="P394" i="5"/>
  <c r="O394" i="5"/>
  <c r="T394" i="5" s="1"/>
  <c r="E394" i="5"/>
  <c r="AF393" i="5"/>
  <c r="X393" i="5"/>
  <c r="V393" i="5"/>
  <c r="U393" i="5"/>
  <c r="R393" i="5"/>
  <c r="Y393" i="5" s="1"/>
  <c r="Z393" i="5" s="1"/>
  <c r="AE393" i="5" s="1"/>
  <c r="P393" i="5"/>
  <c r="O393" i="5"/>
  <c r="T393" i="5" s="1"/>
  <c r="S393" i="5" s="1"/>
  <c r="E393" i="5"/>
  <c r="AF392" i="5"/>
  <c r="T392" i="5"/>
  <c r="R392" i="5"/>
  <c r="X392" i="5" s="1"/>
  <c r="O392" i="5"/>
  <c r="P392" i="5" s="1"/>
  <c r="E392" i="5"/>
  <c r="AF391" i="5"/>
  <c r="R391" i="5"/>
  <c r="O391" i="5"/>
  <c r="P391" i="5" s="1"/>
  <c r="E391" i="5"/>
  <c r="AF390" i="5"/>
  <c r="R390" i="5"/>
  <c r="P390" i="5"/>
  <c r="O390" i="5"/>
  <c r="T390" i="5" s="1"/>
  <c r="E390" i="5"/>
  <c r="AF389" i="5"/>
  <c r="X389" i="5"/>
  <c r="V389" i="5"/>
  <c r="R389" i="5"/>
  <c r="Y389" i="5" s="1"/>
  <c r="P389" i="5"/>
  <c r="O389" i="5"/>
  <c r="T389" i="5" s="1"/>
  <c r="U389" i="5" s="1"/>
  <c r="Z389" i="5" s="1"/>
  <c r="AE389" i="5" s="1"/>
  <c r="E389" i="5"/>
  <c r="AF388" i="5"/>
  <c r="X388" i="5"/>
  <c r="T388" i="5"/>
  <c r="R388" i="5"/>
  <c r="Y388" i="5" s="1"/>
  <c r="P388" i="5"/>
  <c r="O388" i="5"/>
  <c r="E388" i="5"/>
  <c r="AF387" i="5"/>
  <c r="R387" i="5"/>
  <c r="Y387" i="5" s="1"/>
  <c r="P387" i="5"/>
  <c r="O387" i="5"/>
  <c r="T387" i="5" s="1"/>
  <c r="E387" i="5"/>
  <c r="AF386" i="5"/>
  <c r="W386" i="5"/>
  <c r="V386" i="5"/>
  <c r="T386" i="5"/>
  <c r="R386" i="5"/>
  <c r="X386" i="5" s="1"/>
  <c r="P386" i="5"/>
  <c r="O386" i="5"/>
  <c r="E386" i="5"/>
  <c r="AF385" i="5"/>
  <c r="V385" i="5"/>
  <c r="U385" i="5"/>
  <c r="T385" i="5"/>
  <c r="R385" i="5"/>
  <c r="X385" i="5" s="1"/>
  <c r="O385" i="5"/>
  <c r="P385" i="5" s="1"/>
  <c r="E385" i="5"/>
  <c r="AF384" i="5"/>
  <c r="Y384" i="5"/>
  <c r="W384" i="5"/>
  <c r="U384" i="5"/>
  <c r="T384" i="5"/>
  <c r="R384" i="5"/>
  <c r="X384" i="5" s="1"/>
  <c r="P384" i="5"/>
  <c r="O384" i="5"/>
  <c r="E384" i="5"/>
  <c r="AF383" i="5"/>
  <c r="X383" i="5"/>
  <c r="U383" i="5" s="1"/>
  <c r="R383" i="5"/>
  <c r="Y383" i="5" s="1"/>
  <c r="P383" i="5"/>
  <c r="O383" i="5"/>
  <c r="T383" i="5" s="1"/>
  <c r="E383" i="5"/>
  <c r="AF382" i="5"/>
  <c r="X382" i="5"/>
  <c r="V382" i="5"/>
  <c r="R382" i="5"/>
  <c r="Y382" i="5" s="1"/>
  <c r="O382" i="5"/>
  <c r="E382" i="5"/>
  <c r="AF381" i="5"/>
  <c r="X381" i="5"/>
  <c r="V381" i="5"/>
  <c r="R381" i="5"/>
  <c r="O381" i="5"/>
  <c r="E381" i="5"/>
  <c r="AF380" i="5"/>
  <c r="Y380" i="5"/>
  <c r="W380" i="5"/>
  <c r="U380" i="5"/>
  <c r="T380" i="5"/>
  <c r="R380" i="5"/>
  <c r="X380" i="5" s="1"/>
  <c r="P380" i="5"/>
  <c r="O380" i="5"/>
  <c r="E380" i="5"/>
  <c r="AF379" i="5"/>
  <c r="Y379" i="5"/>
  <c r="X379" i="5"/>
  <c r="R379" i="5"/>
  <c r="P379" i="5"/>
  <c r="O379" i="5"/>
  <c r="T379" i="5" s="1"/>
  <c r="U379" i="5" s="1"/>
  <c r="E379" i="5"/>
  <c r="AF378" i="5"/>
  <c r="R378" i="5"/>
  <c r="P378" i="5"/>
  <c r="O378" i="5"/>
  <c r="T378" i="5" s="1"/>
  <c r="E378" i="5"/>
  <c r="AF377" i="5"/>
  <c r="Y377" i="5"/>
  <c r="W377" i="5"/>
  <c r="V377" i="5"/>
  <c r="R377" i="5"/>
  <c r="X377" i="5" s="1"/>
  <c r="P377" i="5"/>
  <c r="O377" i="5"/>
  <c r="T377" i="5" s="1"/>
  <c r="U377" i="5" s="1"/>
  <c r="AA377" i="5" s="1"/>
  <c r="AB377" i="5" s="1"/>
  <c r="AC377" i="5" s="1"/>
  <c r="E377" i="5"/>
  <c r="AF376" i="5"/>
  <c r="X376" i="5"/>
  <c r="T376" i="5"/>
  <c r="R376" i="5"/>
  <c r="Y376" i="5" s="1"/>
  <c r="P376" i="5"/>
  <c r="O376" i="5"/>
  <c r="E376" i="5"/>
  <c r="AF375" i="5"/>
  <c r="R375" i="5"/>
  <c r="Y375" i="5" s="1"/>
  <c r="P375" i="5"/>
  <c r="O375" i="5"/>
  <c r="T375" i="5" s="1"/>
  <c r="E375" i="5"/>
  <c r="AF374" i="5"/>
  <c r="X374" i="5"/>
  <c r="V374" i="5"/>
  <c r="U374" i="5"/>
  <c r="S374" i="5" s="1"/>
  <c r="R374" i="5"/>
  <c r="Y374" i="5" s="1"/>
  <c r="P374" i="5"/>
  <c r="O374" i="5"/>
  <c r="T374" i="5" s="1"/>
  <c r="E374" i="5"/>
  <c r="AF373" i="5"/>
  <c r="X373" i="5"/>
  <c r="U373" i="5" s="1"/>
  <c r="T373" i="5"/>
  <c r="R373" i="5"/>
  <c r="Y373" i="5" s="1"/>
  <c r="P373" i="5"/>
  <c r="O373" i="5"/>
  <c r="E373" i="5"/>
  <c r="AF372" i="5"/>
  <c r="Y372" i="5"/>
  <c r="X372" i="5"/>
  <c r="R372" i="5"/>
  <c r="P372" i="5"/>
  <c r="O372" i="5"/>
  <c r="T372" i="5" s="1"/>
  <c r="E372" i="5"/>
  <c r="AF371" i="5"/>
  <c r="Z371" i="5"/>
  <c r="AE371" i="5" s="1"/>
  <c r="X371" i="5"/>
  <c r="V371" i="5"/>
  <c r="R371" i="5"/>
  <c r="Y371" i="5" s="1"/>
  <c r="P371" i="5"/>
  <c r="O371" i="5"/>
  <c r="T371" i="5" s="1"/>
  <c r="U371" i="5" s="1"/>
  <c r="E371" i="5"/>
  <c r="AF370" i="5"/>
  <c r="R370" i="5"/>
  <c r="O370" i="5"/>
  <c r="P370" i="5" s="1"/>
  <c r="E370" i="5"/>
  <c r="AF369" i="5"/>
  <c r="Y369" i="5"/>
  <c r="W369" i="5"/>
  <c r="T369" i="5"/>
  <c r="U369" i="5" s="1"/>
  <c r="R369" i="5"/>
  <c r="X369" i="5" s="1"/>
  <c r="P369" i="5"/>
  <c r="O369" i="5"/>
  <c r="E369" i="5"/>
  <c r="AF368" i="5"/>
  <c r="R368" i="5"/>
  <c r="Y368" i="5" s="1"/>
  <c r="O368" i="5"/>
  <c r="P368" i="5" s="1"/>
  <c r="E368" i="5"/>
  <c r="AF367" i="5"/>
  <c r="R367" i="5"/>
  <c r="V367" i="5" s="1"/>
  <c r="P367" i="5"/>
  <c r="O367" i="5"/>
  <c r="T367" i="5" s="1"/>
  <c r="E367" i="5"/>
  <c r="AF366" i="5"/>
  <c r="X366" i="5"/>
  <c r="V366" i="5"/>
  <c r="U366" i="5"/>
  <c r="S366" i="5" s="1"/>
  <c r="R366" i="5"/>
  <c r="Y366" i="5" s="1"/>
  <c r="O366" i="5"/>
  <c r="T366" i="5" s="1"/>
  <c r="E366" i="5"/>
  <c r="AF365" i="5"/>
  <c r="V365" i="5"/>
  <c r="T365" i="5"/>
  <c r="R365" i="5"/>
  <c r="X365" i="5" s="1"/>
  <c r="U365" i="5" s="1"/>
  <c r="O365" i="5"/>
  <c r="P365" i="5" s="1"/>
  <c r="E365" i="5"/>
  <c r="AF364" i="5"/>
  <c r="Y364" i="5"/>
  <c r="W364" i="5"/>
  <c r="U364" i="5"/>
  <c r="T364" i="5"/>
  <c r="R364" i="5"/>
  <c r="X364" i="5" s="1"/>
  <c r="P364" i="5"/>
  <c r="O364" i="5"/>
  <c r="E364" i="5"/>
  <c r="AF363" i="5"/>
  <c r="X363" i="5"/>
  <c r="V363" i="5"/>
  <c r="T363" i="5"/>
  <c r="R363" i="5"/>
  <c r="Y363" i="5" s="1"/>
  <c r="O363" i="5"/>
  <c r="P363" i="5" s="1"/>
  <c r="E363" i="5"/>
  <c r="AF362" i="5"/>
  <c r="X362" i="5"/>
  <c r="V362" i="5"/>
  <c r="T362" i="5"/>
  <c r="R362" i="5"/>
  <c r="Y362" i="5" s="1"/>
  <c r="P362" i="5"/>
  <c r="O362" i="5"/>
  <c r="E362" i="5"/>
  <c r="AF361" i="5"/>
  <c r="Y361" i="5"/>
  <c r="W361" i="5"/>
  <c r="V361" i="5"/>
  <c r="R361" i="5"/>
  <c r="X361" i="5" s="1"/>
  <c r="O361" i="5"/>
  <c r="E361" i="5"/>
  <c r="AF360" i="5"/>
  <c r="X360" i="5"/>
  <c r="U360" i="5" s="1"/>
  <c r="T360" i="5"/>
  <c r="R360" i="5"/>
  <c r="Y360" i="5" s="1"/>
  <c r="P360" i="5"/>
  <c r="O360" i="5"/>
  <c r="E360" i="5"/>
  <c r="AF359" i="5"/>
  <c r="R359" i="5"/>
  <c r="O359" i="5"/>
  <c r="P359" i="5" s="1"/>
  <c r="E359" i="5"/>
  <c r="AF358" i="5"/>
  <c r="Y358" i="5"/>
  <c r="X358" i="5"/>
  <c r="V358" i="5"/>
  <c r="R358" i="5"/>
  <c r="P358" i="5"/>
  <c r="O358" i="5"/>
  <c r="T358" i="5" s="1"/>
  <c r="E358" i="5"/>
  <c r="AF357" i="5"/>
  <c r="Y357" i="5"/>
  <c r="V357" i="5"/>
  <c r="R357" i="5"/>
  <c r="X357" i="5" s="1"/>
  <c r="O357" i="5"/>
  <c r="E357" i="5"/>
  <c r="AF356" i="5"/>
  <c r="Y356" i="5"/>
  <c r="V356" i="5"/>
  <c r="T356" i="5"/>
  <c r="U356" i="5" s="1"/>
  <c r="R356" i="5"/>
  <c r="X356" i="5" s="1"/>
  <c r="O356" i="5"/>
  <c r="P356" i="5" s="1"/>
  <c r="E356" i="5"/>
  <c r="AF355" i="5"/>
  <c r="X355" i="5"/>
  <c r="V355" i="5"/>
  <c r="T355" i="5"/>
  <c r="R355" i="5"/>
  <c r="Y355" i="5" s="1"/>
  <c r="P355" i="5"/>
  <c r="O355" i="5"/>
  <c r="E355" i="5"/>
  <c r="AF354" i="5"/>
  <c r="Y354" i="5"/>
  <c r="W354" i="5"/>
  <c r="V354" i="5"/>
  <c r="R354" i="5"/>
  <c r="X354" i="5" s="1"/>
  <c r="O354" i="5"/>
  <c r="E354" i="5"/>
  <c r="AF353" i="5"/>
  <c r="X353" i="5"/>
  <c r="U353" i="5" s="1"/>
  <c r="T353" i="5"/>
  <c r="R353" i="5"/>
  <c r="Y353" i="5" s="1"/>
  <c r="P353" i="5"/>
  <c r="O353" i="5"/>
  <c r="E353" i="5"/>
  <c r="AF352" i="5"/>
  <c r="Y352" i="5"/>
  <c r="X352" i="5"/>
  <c r="R352" i="5"/>
  <c r="P352" i="5"/>
  <c r="O352" i="5"/>
  <c r="T352" i="5" s="1"/>
  <c r="U352" i="5" s="1"/>
  <c r="E352" i="5"/>
  <c r="AF351" i="5"/>
  <c r="X351" i="5"/>
  <c r="V351" i="5"/>
  <c r="R351" i="5"/>
  <c r="Y351" i="5" s="1"/>
  <c r="P351" i="5"/>
  <c r="O351" i="5"/>
  <c r="T351" i="5" s="1"/>
  <c r="U351" i="5" s="1"/>
  <c r="Z351" i="5" s="1"/>
  <c r="AE351" i="5" s="1"/>
  <c r="E351" i="5"/>
  <c r="AF350" i="5"/>
  <c r="X350" i="5"/>
  <c r="U350" i="5"/>
  <c r="T350" i="5"/>
  <c r="R350" i="5"/>
  <c r="Y350" i="5" s="1"/>
  <c r="P350" i="5"/>
  <c r="O350" i="5"/>
  <c r="E350" i="5"/>
  <c r="AF349" i="5"/>
  <c r="Y349" i="5"/>
  <c r="V349" i="5"/>
  <c r="R349" i="5"/>
  <c r="X349" i="5" s="1"/>
  <c r="U349" i="5" s="1"/>
  <c r="P349" i="5"/>
  <c r="O349" i="5"/>
  <c r="T349" i="5" s="1"/>
  <c r="E349" i="5"/>
  <c r="AF348" i="5"/>
  <c r="X348" i="5"/>
  <c r="V348" i="5"/>
  <c r="R348" i="5"/>
  <c r="Y348" i="5" s="1"/>
  <c r="P348" i="5"/>
  <c r="O348" i="5"/>
  <c r="T348" i="5" s="1"/>
  <c r="E348" i="5"/>
  <c r="AF347" i="5"/>
  <c r="X347" i="5"/>
  <c r="U347" i="5"/>
  <c r="T347" i="5"/>
  <c r="R347" i="5"/>
  <c r="W347" i="5" s="1"/>
  <c r="O347" i="5"/>
  <c r="P347" i="5" s="1"/>
  <c r="E347" i="5"/>
  <c r="AF346" i="5"/>
  <c r="X346" i="5"/>
  <c r="V346" i="5"/>
  <c r="R346" i="5"/>
  <c r="O346" i="5"/>
  <c r="E346" i="5"/>
  <c r="AF345" i="5"/>
  <c r="R345" i="5"/>
  <c r="Y345" i="5" s="1"/>
  <c r="P345" i="5"/>
  <c r="O345" i="5"/>
  <c r="T345" i="5" s="1"/>
  <c r="E345" i="5"/>
  <c r="AF344" i="5"/>
  <c r="W344" i="5"/>
  <c r="V344" i="5"/>
  <c r="R344" i="5"/>
  <c r="Y344" i="5" s="1"/>
  <c r="O344" i="5"/>
  <c r="E344" i="5"/>
  <c r="AF343" i="5"/>
  <c r="R343" i="5"/>
  <c r="O343" i="5"/>
  <c r="P343" i="5" s="1"/>
  <c r="E343" i="5"/>
  <c r="AF342" i="5"/>
  <c r="R342" i="5"/>
  <c r="Y342" i="5" s="1"/>
  <c r="P342" i="5"/>
  <c r="O342" i="5"/>
  <c r="T342" i="5" s="1"/>
  <c r="E342" i="5"/>
  <c r="AF341" i="5"/>
  <c r="W341" i="5"/>
  <c r="V341" i="5"/>
  <c r="R341" i="5"/>
  <c r="O341" i="5"/>
  <c r="E341" i="5"/>
  <c r="AF340" i="5"/>
  <c r="T340" i="5"/>
  <c r="R340" i="5"/>
  <c r="Y340" i="5" s="1"/>
  <c r="P340" i="5"/>
  <c r="O340" i="5"/>
  <c r="E340" i="5"/>
  <c r="AF339" i="5"/>
  <c r="Y339" i="5"/>
  <c r="W339" i="5"/>
  <c r="V339" i="5"/>
  <c r="R339" i="5"/>
  <c r="X339" i="5" s="1"/>
  <c r="O339" i="5"/>
  <c r="E339" i="5"/>
  <c r="AF338" i="5"/>
  <c r="R338" i="5"/>
  <c r="W338" i="5" s="1"/>
  <c r="O338" i="5"/>
  <c r="P338" i="5" s="1"/>
  <c r="E338" i="5"/>
  <c r="AF337" i="5"/>
  <c r="X337" i="5"/>
  <c r="U337" i="5"/>
  <c r="T337" i="5"/>
  <c r="R337" i="5"/>
  <c r="V337" i="5" s="1"/>
  <c r="P337" i="5"/>
  <c r="O337" i="5"/>
  <c r="E337" i="5"/>
  <c r="AF336" i="5"/>
  <c r="R336" i="5"/>
  <c r="P336" i="5"/>
  <c r="O336" i="5"/>
  <c r="T336" i="5" s="1"/>
  <c r="E336" i="5"/>
  <c r="AF335" i="5"/>
  <c r="X335" i="5"/>
  <c r="V335" i="5"/>
  <c r="U335" i="5"/>
  <c r="R335" i="5"/>
  <c r="Y335" i="5" s="1"/>
  <c r="P335" i="5"/>
  <c r="O335" i="5"/>
  <c r="T335" i="5" s="1"/>
  <c r="E335" i="5"/>
  <c r="AF334" i="5"/>
  <c r="X334" i="5"/>
  <c r="V334" i="5"/>
  <c r="R334" i="5"/>
  <c r="Y334" i="5" s="1"/>
  <c r="P334" i="5"/>
  <c r="O334" i="5"/>
  <c r="T334" i="5" s="1"/>
  <c r="E334" i="5"/>
  <c r="AF333" i="5"/>
  <c r="T333" i="5"/>
  <c r="R333" i="5"/>
  <c r="V333" i="5" s="1"/>
  <c r="P333" i="5"/>
  <c r="O333" i="5"/>
  <c r="E333" i="5"/>
  <c r="AF332" i="5"/>
  <c r="X332" i="5"/>
  <c r="W332" i="5"/>
  <c r="V332" i="5"/>
  <c r="R332" i="5"/>
  <c r="P332" i="5"/>
  <c r="O332" i="5"/>
  <c r="T332" i="5" s="1"/>
  <c r="E332" i="5"/>
  <c r="AF331" i="5"/>
  <c r="R331" i="5"/>
  <c r="Y331" i="5" s="1"/>
  <c r="O331" i="5"/>
  <c r="T331" i="5" s="1"/>
  <c r="E331" i="5"/>
  <c r="AF330" i="5"/>
  <c r="X330" i="5"/>
  <c r="W330" i="5"/>
  <c r="V330" i="5"/>
  <c r="R330" i="5"/>
  <c r="Y330" i="5" s="1"/>
  <c r="P330" i="5"/>
  <c r="O330" i="5"/>
  <c r="T330" i="5" s="1"/>
  <c r="E330" i="5"/>
  <c r="AF329" i="5"/>
  <c r="Y329" i="5"/>
  <c r="W329" i="5"/>
  <c r="V329" i="5"/>
  <c r="T329" i="5"/>
  <c r="R329" i="5"/>
  <c r="X329" i="5" s="1"/>
  <c r="O329" i="5"/>
  <c r="P329" i="5" s="1"/>
  <c r="E329" i="5"/>
  <c r="AF328" i="5"/>
  <c r="X328" i="5"/>
  <c r="V328" i="5"/>
  <c r="R328" i="5"/>
  <c r="W328" i="5" s="1"/>
  <c r="O328" i="5"/>
  <c r="E328" i="5"/>
  <c r="AF327" i="5"/>
  <c r="T327" i="5"/>
  <c r="R327" i="5"/>
  <c r="V327" i="5" s="1"/>
  <c r="P327" i="5"/>
  <c r="O327" i="5"/>
  <c r="E327" i="5"/>
  <c r="AF326" i="5"/>
  <c r="Y326" i="5"/>
  <c r="V326" i="5"/>
  <c r="R326" i="5"/>
  <c r="X326" i="5" s="1"/>
  <c r="U326" i="5" s="1"/>
  <c r="P326" i="5"/>
  <c r="O326" i="5"/>
  <c r="T326" i="5" s="1"/>
  <c r="E326" i="5"/>
  <c r="AF325" i="5"/>
  <c r="R325" i="5"/>
  <c r="P325" i="5"/>
  <c r="O325" i="5"/>
  <c r="T325" i="5" s="1"/>
  <c r="E325" i="5"/>
  <c r="AF324" i="5"/>
  <c r="T324" i="5"/>
  <c r="R324" i="5"/>
  <c r="X324" i="5" s="1"/>
  <c r="O324" i="5"/>
  <c r="P324" i="5" s="1"/>
  <c r="E324" i="5"/>
  <c r="AF323" i="5"/>
  <c r="Y323" i="5"/>
  <c r="V323" i="5"/>
  <c r="T323" i="5"/>
  <c r="R323" i="5"/>
  <c r="X323" i="5" s="1"/>
  <c r="P323" i="5"/>
  <c r="O323" i="5"/>
  <c r="E323" i="5"/>
  <c r="AF322" i="5"/>
  <c r="Y322" i="5"/>
  <c r="X322" i="5"/>
  <c r="V322" i="5"/>
  <c r="R322" i="5"/>
  <c r="P322" i="5"/>
  <c r="O322" i="5"/>
  <c r="T322" i="5" s="1"/>
  <c r="E322" i="5"/>
  <c r="AF321" i="5"/>
  <c r="R321" i="5"/>
  <c r="X321" i="5" s="1"/>
  <c r="O321" i="5"/>
  <c r="P321" i="5" s="1"/>
  <c r="E321" i="5"/>
  <c r="AF320" i="5"/>
  <c r="T320" i="5"/>
  <c r="R320" i="5"/>
  <c r="Y320" i="5" s="1"/>
  <c r="O320" i="5"/>
  <c r="P320" i="5" s="1"/>
  <c r="E320" i="5"/>
  <c r="AF319" i="5"/>
  <c r="X319" i="5"/>
  <c r="V319" i="5"/>
  <c r="R319" i="5"/>
  <c r="O319" i="5"/>
  <c r="E319" i="5"/>
  <c r="AF318" i="5"/>
  <c r="Y318" i="5"/>
  <c r="W318" i="5"/>
  <c r="V318" i="5"/>
  <c r="R318" i="5"/>
  <c r="X318" i="5" s="1"/>
  <c r="P318" i="5"/>
  <c r="O318" i="5"/>
  <c r="T318" i="5" s="1"/>
  <c r="E318" i="5"/>
  <c r="AF317" i="5"/>
  <c r="V317" i="5"/>
  <c r="T317" i="5"/>
  <c r="R317" i="5"/>
  <c r="W317" i="5" s="1"/>
  <c r="O317" i="5"/>
  <c r="P317" i="5" s="1"/>
  <c r="E317" i="5"/>
  <c r="AF316" i="5"/>
  <c r="Y316" i="5"/>
  <c r="T316" i="5"/>
  <c r="R316" i="5"/>
  <c r="P316" i="5"/>
  <c r="O316" i="5"/>
  <c r="E316" i="5"/>
  <c r="AF315" i="5"/>
  <c r="X315" i="5"/>
  <c r="V315" i="5"/>
  <c r="T315" i="5"/>
  <c r="U315" i="5" s="1"/>
  <c r="R315" i="5"/>
  <c r="W315" i="5" s="1"/>
  <c r="P315" i="5"/>
  <c r="O315" i="5"/>
  <c r="E315" i="5"/>
  <c r="AF314" i="5"/>
  <c r="Y314" i="5"/>
  <c r="X314" i="5"/>
  <c r="V314" i="5"/>
  <c r="R314" i="5"/>
  <c r="P314" i="5"/>
  <c r="O314" i="5"/>
  <c r="T314" i="5" s="1"/>
  <c r="E314" i="5"/>
  <c r="AF313" i="5"/>
  <c r="R313" i="5"/>
  <c r="X313" i="5" s="1"/>
  <c r="O313" i="5"/>
  <c r="P313" i="5" s="1"/>
  <c r="E313" i="5"/>
  <c r="AF312" i="5"/>
  <c r="T312" i="5"/>
  <c r="R312" i="5"/>
  <c r="Y312" i="5" s="1"/>
  <c r="O312" i="5"/>
  <c r="P312" i="5" s="1"/>
  <c r="E312" i="5"/>
  <c r="AF311" i="5"/>
  <c r="X311" i="5"/>
  <c r="V311" i="5"/>
  <c r="R311" i="5"/>
  <c r="O311" i="5"/>
  <c r="E311" i="5"/>
  <c r="AF310" i="5"/>
  <c r="Y310" i="5"/>
  <c r="W310" i="5"/>
  <c r="V310" i="5"/>
  <c r="R310" i="5"/>
  <c r="X310" i="5" s="1"/>
  <c r="P310" i="5"/>
  <c r="O310" i="5"/>
  <c r="T310" i="5" s="1"/>
  <c r="E310" i="5"/>
  <c r="AF309" i="5"/>
  <c r="V309" i="5"/>
  <c r="T309" i="5"/>
  <c r="R309" i="5"/>
  <c r="W309" i="5" s="1"/>
  <c r="O309" i="5"/>
  <c r="P309" i="5" s="1"/>
  <c r="E309" i="5"/>
  <c r="AF308" i="5"/>
  <c r="T308" i="5"/>
  <c r="R308" i="5"/>
  <c r="P308" i="5"/>
  <c r="O308" i="5"/>
  <c r="E308" i="5"/>
  <c r="AF307" i="5"/>
  <c r="X307" i="5"/>
  <c r="V307" i="5"/>
  <c r="T307" i="5"/>
  <c r="U307" i="5" s="1"/>
  <c r="R307" i="5"/>
  <c r="W307" i="5" s="1"/>
  <c r="P307" i="5"/>
  <c r="O307" i="5"/>
  <c r="E307" i="5"/>
  <c r="AF306" i="5"/>
  <c r="R306" i="5"/>
  <c r="P306" i="5"/>
  <c r="O306" i="5"/>
  <c r="T306" i="5" s="1"/>
  <c r="E306" i="5"/>
  <c r="AF305" i="5"/>
  <c r="X305" i="5"/>
  <c r="V305" i="5"/>
  <c r="U305" i="5"/>
  <c r="T305" i="5"/>
  <c r="R305" i="5"/>
  <c r="Y305" i="5" s="1"/>
  <c r="P305" i="5"/>
  <c r="O305" i="5"/>
  <c r="E305" i="5"/>
  <c r="AF304" i="5"/>
  <c r="Y304" i="5"/>
  <c r="W304" i="5"/>
  <c r="V304" i="5"/>
  <c r="R304" i="5"/>
  <c r="X304" i="5" s="1"/>
  <c r="P304" i="5"/>
  <c r="O304" i="5"/>
  <c r="T304" i="5" s="1"/>
  <c r="E304" i="5"/>
  <c r="AF303" i="5"/>
  <c r="T303" i="5"/>
  <c r="R303" i="5"/>
  <c r="V303" i="5" s="1"/>
  <c r="P303" i="5"/>
  <c r="O303" i="5"/>
  <c r="E303" i="5"/>
  <c r="AF302" i="5"/>
  <c r="X302" i="5"/>
  <c r="V302" i="5"/>
  <c r="R302" i="5"/>
  <c r="Y302" i="5" s="1"/>
  <c r="O302" i="5"/>
  <c r="E302" i="5"/>
  <c r="AF301" i="5"/>
  <c r="T301" i="5"/>
  <c r="R301" i="5"/>
  <c r="Y301" i="5" s="1"/>
  <c r="P301" i="5"/>
  <c r="O301" i="5"/>
  <c r="E301" i="5"/>
  <c r="AF300" i="5"/>
  <c r="Y300" i="5"/>
  <c r="W300" i="5"/>
  <c r="V300" i="5"/>
  <c r="R300" i="5"/>
  <c r="X300" i="5" s="1"/>
  <c r="O300" i="5"/>
  <c r="E300" i="5"/>
  <c r="AF299" i="5"/>
  <c r="T299" i="5"/>
  <c r="R299" i="5"/>
  <c r="P299" i="5"/>
  <c r="O299" i="5"/>
  <c r="E299" i="5"/>
  <c r="AF298" i="5"/>
  <c r="X298" i="5"/>
  <c r="V298" i="5"/>
  <c r="T298" i="5"/>
  <c r="U298" i="5" s="1"/>
  <c r="R298" i="5"/>
  <c r="W298" i="5" s="1"/>
  <c r="P298" i="5"/>
  <c r="O298" i="5"/>
  <c r="E298" i="5"/>
  <c r="AF297" i="5"/>
  <c r="R297" i="5"/>
  <c r="P297" i="5"/>
  <c r="O297" i="5"/>
  <c r="T297" i="5" s="1"/>
  <c r="E297" i="5"/>
  <c r="AF296" i="5"/>
  <c r="V296" i="5"/>
  <c r="T296" i="5"/>
  <c r="R296" i="5"/>
  <c r="Y296" i="5" s="1"/>
  <c r="P296" i="5"/>
  <c r="O296" i="5"/>
  <c r="E296" i="5"/>
  <c r="AF295" i="5"/>
  <c r="Y295" i="5"/>
  <c r="W295" i="5"/>
  <c r="V295" i="5"/>
  <c r="R295" i="5"/>
  <c r="X295" i="5" s="1"/>
  <c r="P295" i="5"/>
  <c r="O295" i="5"/>
  <c r="T295" i="5" s="1"/>
  <c r="E295" i="5"/>
  <c r="AF294" i="5"/>
  <c r="T294" i="5"/>
  <c r="R294" i="5"/>
  <c r="W294" i="5" s="1"/>
  <c r="O294" i="5"/>
  <c r="P294" i="5" s="1"/>
  <c r="E294" i="5"/>
  <c r="AF293" i="5"/>
  <c r="X293" i="5"/>
  <c r="V293" i="5"/>
  <c r="R293" i="5"/>
  <c r="Y293" i="5" s="1"/>
  <c r="O293" i="5"/>
  <c r="E293" i="5"/>
  <c r="AF292" i="5"/>
  <c r="R292" i="5"/>
  <c r="P292" i="5"/>
  <c r="O292" i="5"/>
  <c r="T292" i="5" s="1"/>
  <c r="E292" i="5"/>
  <c r="AF291" i="5"/>
  <c r="T291" i="5"/>
  <c r="R291" i="5"/>
  <c r="X291" i="5" s="1"/>
  <c r="O291" i="5"/>
  <c r="P291" i="5" s="1"/>
  <c r="E291" i="5"/>
  <c r="AF290" i="5"/>
  <c r="V290" i="5"/>
  <c r="T290" i="5"/>
  <c r="R290" i="5"/>
  <c r="Y290" i="5" s="1"/>
  <c r="P290" i="5"/>
  <c r="O290" i="5"/>
  <c r="E290" i="5"/>
  <c r="AF289" i="5"/>
  <c r="Y289" i="5"/>
  <c r="X289" i="5"/>
  <c r="V289" i="5"/>
  <c r="R289" i="5"/>
  <c r="P289" i="5"/>
  <c r="O289" i="5"/>
  <c r="T289" i="5" s="1"/>
  <c r="E289" i="5"/>
  <c r="AF288" i="5"/>
  <c r="R288" i="5"/>
  <c r="X288" i="5" s="1"/>
  <c r="O288" i="5"/>
  <c r="P288" i="5" s="1"/>
  <c r="E288" i="5"/>
  <c r="AF287" i="5"/>
  <c r="T287" i="5"/>
  <c r="R287" i="5"/>
  <c r="V287" i="5" s="1"/>
  <c r="P287" i="5"/>
  <c r="O287" i="5"/>
  <c r="E287" i="5"/>
  <c r="AF286" i="5"/>
  <c r="Y286" i="5"/>
  <c r="R286" i="5"/>
  <c r="P286" i="5"/>
  <c r="O286" i="5"/>
  <c r="T286" i="5" s="1"/>
  <c r="E286" i="5"/>
  <c r="AF285" i="5"/>
  <c r="T285" i="5"/>
  <c r="R285" i="5"/>
  <c r="P285" i="5"/>
  <c r="O285" i="5"/>
  <c r="E285" i="5"/>
  <c r="AF284" i="5"/>
  <c r="Y284" i="5"/>
  <c r="W284" i="5"/>
  <c r="V284" i="5"/>
  <c r="R284" i="5"/>
  <c r="X284" i="5" s="1"/>
  <c r="P284" i="5"/>
  <c r="O284" i="5"/>
  <c r="T284" i="5" s="1"/>
  <c r="E284" i="5"/>
  <c r="AF283" i="5"/>
  <c r="T283" i="5"/>
  <c r="R283" i="5"/>
  <c r="W283" i="5" s="1"/>
  <c r="O283" i="5"/>
  <c r="P283" i="5" s="1"/>
  <c r="E283" i="5"/>
  <c r="AF282" i="5"/>
  <c r="W282" i="5"/>
  <c r="T282" i="5"/>
  <c r="R282" i="5"/>
  <c r="V282" i="5" s="1"/>
  <c r="P282" i="5"/>
  <c r="O282" i="5"/>
  <c r="E282" i="5"/>
  <c r="AF281" i="5"/>
  <c r="R281" i="5"/>
  <c r="P281" i="5"/>
  <c r="O281" i="5"/>
  <c r="T281" i="5" s="1"/>
  <c r="E281" i="5"/>
  <c r="AF280" i="5"/>
  <c r="X280" i="5"/>
  <c r="V280" i="5"/>
  <c r="U280" i="5"/>
  <c r="T280" i="5"/>
  <c r="R280" i="5"/>
  <c r="Y280" i="5" s="1"/>
  <c r="P280" i="5"/>
  <c r="O280" i="5"/>
  <c r="E280" i="5"/>
  <c r="AF279" i="5"/>
  <c r="Y279" i="5"/>
  <c r="X279" i="5"/>
  <c r="U279" i="5" s="1"/>
  <c r="T279" i="5"/>
  <c r="AA279" i="5" s="1"/>
  <c r="AB279" i="5" s="1"/>
  <c r="AC279" i="5" s="1"/>
  <c r="R279" i="5"/>
  <c r="V279" i="5" s="1"/>
  <c r="P279" i="5"/>
  <c r="O279" i="5"/>
  <c r="E279" i="5"/>
  <c r="AF278" i="5"/>
  <c r="R278" i="5"/>
  <c r="Y278" i="5" s="1"/>
  <c r="P278" i="5"/>
  <c r="O278" i="5"/>
  <c r="T278" i="5" s="1"/>
  <c r="E278" i="5"/>
  <c r="AF277" i="5"/>
  <c r="X277" i="5"/>
  <c r="V277" i="5"/>
  <c r="R277" i="5"/>
  <c r="Y277" i="5" s="1"/>
  <c r="O277" i="5"/>
  <c r="E277" i="5"/>
  <c r="AF276" i="5"/>
  <c r="T276" i="5"/>
  <c r="R276" i="5"/>
  <c r="P276" i="5"/>
  <c r="O276" i="5"/>
  <c r="E276" i="5"/>
  <c r="AF275" i="5"/>
  <c r="R275" i="5"/>
  <c r="Y275" i="5" s="1"/>
  <c r="P275" i="5"/>
  <c r="O275" i="5"/>
  <c r="T275" i="5" s="1"/>
  <c r="E275" i="5"/>
  <c r="AF274" i="5"/>
  <c r="X274" i="5"/>
  <c r="V274" i="5"/>
  <c r="R274" i="5"/>
  <c r="Y274" i="5" s="1"/>
  <c r="P274" i="5"/>
  <c r="O274" i="5"/>
  <c r="T274" i="5" s="1"/>
  <c r="E274" i="5"/>
  <c r="AF273" i="5"/>
  <c r="T273" i="5"/>
  <c r="R273" i="5"/>
  <c r="W273" i="5" s="1"/>
  <c r="O273" i="5"/>
  <c r="P273" i="5" s="1"/>
  <c r="E273" i="5"/>
  <c r="AF272" i="5"/>
  <c r="W272" i="5"/>
  <c r="T272" i="5"/>
  <c r="R272" i="5"/>
  <c r="V272" i="5" s="1"/>
  <c r="P272" i="5"/>
  <c r="O272" i="5"/>
  <c r="E272" i="5"/>
  <c r="AF271" i="5"/>
  <c r="R271" i="5"/>
  <c r="X271" i="5" s="1"/>
  <c r="P271" i="5"/>
  <c r="O271" i="5"/>
  <c r="T271" i="5" s="1"/>
  <c r="E271" i="5"/>
  <c r="AF270" i="5"/>
  <c r="V270" i="5"/>
  <c r="T270" i="5"/>
  <c r="R270" i="5"/>
  <c r="P270" i="5"/>
  <c r="O270" i="5"/>
  <c r="E270" i="5"/>
  <c r="AF269" i="5"/>
  <c r="Y269" i="5"/>
  <c r="W269" i="5"/>
  <c r="V269" i="5"/>
  <c r="R269" i="5"/>
  <c r="X269" i="5" s="1"/>
  <c r="P269" i="5"/>
  <c r="O269" i="5"/>
  <c r="T269" i="5" s="1"/>
  <c r="E269" i="5"/>
  <c r="AF268" i="5"/>
  <c r="T268" i="5"/>
  <c r="R268" i="5"/>
  <c r="W268" i="5" s="1"/>
  <c r="O268" i="5"/>
  <c r="P268" i="5" s="1"/>
  <c r="E268" i="5"/>
  <c r="AF267" i="5"/>
  <c r="X267" i="5"/>
  <c r="U267" i="5" s="1"/>
  <c r="W267" i="5"/>
  <c r="T267" i="5"/>
  <c r="R267" i="5"/>
  <c r="V267" i="5" s="1"/>
  <c r="P267" i="5"/>
  <c r="O267" i="5"/>
  <c r="E267" i="5"/>
  <c r="AF266" i="5"/>
  <c r="T266" i="5"/>
  <c r="R266" i="5"/>
  <c r="X266" i="5" s="1"/>
  <c r="P266" i="5"/>
  <c r="O266" i="5"/>
  <c r="E266" i="5"/>
  <c r="AF265" i="5"/>
  <c r="X265" i="5"/>
  <c r="W265" i="5"/>
  <c r="V265" i="5"/>
  <c r="R265" i="5"/>
  <c r="Y265" i="5" s="1"/>
  <c r="P265" i="5"/>
  <c r="O265" i="5"/>
  <c r="T265" i="5" s="1"/>
  <c r="U265" i="5" s="1"/>
  <c r="E265" i="5"/>
  <c r="AF264" i="5"/>
  <c r="X264" i="5"/>
  <c r="V264" i="5"/>
  <c r="T264" i="5"/>
  <c r="R264" i="5"/>
  <c r="Y264" i="5" s="1"/>
  <c r="P264" i="5"/>
  <c r="O264" i="5"/>
  <c r="E264" i="5"/>
  <c r="AF263" i="5"/>
  <c r="X263" i="5"/>
  <c r="V263" i="5"/>
  <c r="R263" i="5"/>
  <c r="W263" i="5" s="1"/>
  <c r="O263" i="5"/>
  <c r="E263" i="5"/>
  <c r="AF262" i="5"/>
  <c r="R262" i="5"/>
  <c r="P262" i="5"/>
  <c r="O262" i="5"/>
  <c r="T262" i="5" s="1"/>
  <c r="E262" i="5"/>
  <c r="AF261" i="5"/>
  <c r="T261" i="5"/>
  <c r="R261" i="5"/>
  <c r="P261" i="5"/>
  <c r="O261" i="5"/>
  <c r="E261" i="5"/>
  <c r="AF260" i="5"/>
  <c r="Y260" i="5"/>
  <c r="W260" i="5"/>
  <c r="V260" i="5"/>
  <c r="R260" i="5"/>
  <c r="X260" i="5" s="1"/>
  <c r="P260" i="5"/>
  <c r="O260" i="5"/>
  <c r="T260" i="5" s="1"/>
  <c r="E260" i="5"/>
  <c r="AF259" i="5"/>
  <c r="T259" i="5"/>
  <c r="R259" i="5"/>
  <c r="V259" i="5" s="1"/>
  <c r="P259" i="5"/>
  <c r="O259" i="5"/>
  <c r="E259" i="5"/>
  <c r="AF258" i="5"/>
  <c r="V258" i="5"/>
  <c r="R258" i="5"/>
  <c r="Y258" i="5" s="1"/>
  <c r="P258" i="5"/>
  <c r="O258" i="5"/>
  <c r="T258" i="5" s="1"/>
  <c r="E258" i="5"/>
  <c r="AF257" i="5"/>
  <c r="R257" i="5"/>
  <c r="P257" i="5"/>
  <c r="O257" i="5"/>
  <c r="T257" i="5" s="1"/>
  <c r="E257" i="5"/>
  <c r="AF256" i="5"/>
  <c r="Y256" i="5"/>
  <c r="W256" i="5"/>
  <c r="V256" i="5"/>
  <c r="U256" i="5"/>
  <c r="T256" i="5"/>
  <c r="AA256" i="5" s="1"/>
  <c r="AB256" i="5" s="1"/>
  <c r="AC256" i="5" s="1"/>
  <c r="R256" i="5"/>
  <c r="X256" i="5" s="1"/>
  <c r="P256" i="5"/>
  <c r="O256" i="5"/>
  <c r="E256" i="5"/>
  <c r="AF255" i="5"/>
  <c r="Y255" i="5"/>
  <c r="R255" i="5"/>
  <c r="O255" i="5"/>
  <c r="P255" i="5" s="1"/>
  <c r="E255" i="5"/>
  <c r="AF254" i="5"/>
  <c r="R254" i="5"/>
  <c r="Y254" i="5" s="1"/>
  <c r="P254" i="5"/>
  <c r="O254" i="5"/>
  <c r="T254" i="5" s="1"/>
  <c r="E254" i="5"/>
  <c r="AF253" i="5"/>
  <c r="W253" i="5"/>
  <c r="V253" i="5"/>
  <c r="R253" i="5"/>
  <c r="Y253" i="5" s="1"/>
  <c r="O253" i="5"/>
  <c r="E253" i="5"/>
  <c r="AF252" i="5"/>
  <c r="X252" i="5"/>
  <c r="V252" i="5"/>
  <c r="R252" i="5"/>
  <c r="Y252" i="5" s="1"/>
  <c r="P252" i="5"/>
  <c r="O252" i="5"/>
  <c r="T252" i="5" s="1"/>
  <c r="E252" i="5"/>
  <c r="AF251" i="5"/>
  <c r="T251" i="5"/>
  <c r="R251" i="5"/>
  <c r="V251" i="5" s="1"/>
  <c r="P251" i="5"/>
  <c r="O251" i="5"/>
  <c r="E251" i="5"/>
  <c r="AF250" i="5"/>
  <c r="Y250" i="5"/>
  <c r="X250" i="5"/>
  <c r="V250" i="5"/>
  <c r="R250" i="5"/>
  <c r="P250" i="5"/>
  <c r="O250" i="5"/>
  <c r="T250" i="5" s="1"/>
  <c r="U250" i="5" s="1"/>
  <c r="E250" i="5"/>
  <c r="AF249" i="5"/>
  <c r="T249" i="5"/>
  <c r="R249" i="5"/>
  <c r="Y249" i="5" s="1"/>
  <c r="P249" i="5"/>
  <c r="O249" i="5"/>
  <c r="E249" i="5"/>
  <c r="AF248" i="5"/>
  <c r="Y248" i="5"/>
  <c r="R248" i="5"/>
  <c r="X248" i="5" s="1"/>
  <c r="P248" i="5"/>
  <c r="O248" i="5"/>
  <c r="T248" i="5" s="1"/>
  <c r="E248" i="5"/>
  <c r="AF247" i="5"/>
  <c r="X247" i="5"/>
  <c r="R247" i="5"/>
  <c r="P247" i="5"/>
  <c r="O247" i="5"/>
  <c r="T247" i="5" s="1"/>
  <c r="E247" i="5"/>
  <c r="AF246" i="5"/>
  <c r="Y246" i="5"/>
  <c r="W246" i="5"/>
  <c r="V246" i="5"/>
  <c r="R246" i="5"/>
  <c r="X246" i="5" s="1"/>
  <c r="P246" i="5"/>
  <c r="O246" i="5"/>
  <c r="T246" i="5" s="1"/>
  <c r="E246" i="5"/>
  <c r="AF245" i="5"/>
  <c r="T245" i="5"/>
  <c r="R245" i="5"/>
  <c r="Y245" i="5" s="1"/>
  <c r="P245" i="5"/>
  <c r="O245" i="5"/>
  <c r="E245" i="5"/>
  <c r="AF244" i="5"/>
  <c r="Y244" i="5"/>
  <c r="T244" i="5"/>
  <c r="R244" i="5"/>
  <c r="X244" i="5" s="1"/>
  <c r="P244" i="5"/>
  <c r="O244" i="5"/>
  <c r="E244" i="5"/>
  <c r="AF243" i="5"/>
  <c r="Y243" i="5"/>
  <c r="R243" i="5"/>
  <c r="X243" i="5" s="1"/>
  <c r="P243" i="5"/>
  <c r="O243" i="5"/>
  <c r="T243" i="5" s="1"/>
  <c r="E243" i="5"/>
  <c r="AF242" i="5"/>
  <c r="X242" i="5"/>
  <c r="V242" i="5"/>
  <c r="R242" i="5"/>
  <c r="Y242" i="5" s="1"/>
  <c r="P242" i="5"/>
  <c r="O242" i="5"/>
  <c r="T242" i="5" s="1"/>
  <c r="E242" i="5"/>
  <c r="AF241" i="5"/>
  <c r="T241" i="5"/>
  <c r="R241" i="5"/>
  <c r="Y241" i="5" s="1"/>
  <c r="P241" i="5"/>
  <c r="O241" i="5"/>
  <c r="E241" i="5"/>
  <c r="AF240" i="5"/>
  <c r="Y240" i="5"/>
  <c r="T240" i="5"/>
  <c r="R240" i="5"/>
  <c r="X240" i="5" s="1"/>
  <c r="P240" i="5"/>
  <c r="O240" i="5"/>
  <c r="E240" i="5"/>
  <c r="AF239" i="5"/>
  <c r="Y239" i="5"/>
  <c r="R239" i="5"/>
  <c r="X239" i="5" s="1"/>
  <c r="P239" i="5"/>
  <c r="O239" i="5"/>
  <c r="T239" i="5" s="1"/>
  <c r="E239" i="5"/>
  <c r="AF238" i="5"/>
  <c r="X238" i="5"/>
  <c r="V238" i="5"/>
  <c r="R238" i="5"/>
  <c r="Y238" i="5" s="1"/>
  <c r="P238" i="5"/>
  <c r="O238" i="5"/>
  <c r="T238" i="5" s="1"/>
  <c r="E238" i="5"/>
  <c r="AF237" i="5"/>
  <c r="T237" i="5"/>
  <c r="R237" i="5"/>
  <c r="Y237" i="5" s="1"/>
  <c r="P237" i="5"/>
  <c r="O237" i="5"/>
  <c r="E237" i="5"/>
  <c r="AF236" i="5"/>
  <c r="R236" i="5"/>
  <c r="Y236" i="5" s="1"/>
  <c r="P236" i="5"/>
  <c r="O236" i="5"/>
  <c r="T236" i="5" s="1"/>
  <c r="E236" i="5"/>
  <c r="AF235" i="5"/>
  <c r="X235" i="5"/>
  <c r="V235" i="5"/>
  <c r="R235" i="5"/>
  <c r="Y235" i="5" s="1"/>
  <c r="P235" i="5"/>
  <c r="O235" i="5"/>
  <c r="T235" i="5" s="1"/>
  <c r="E235" i="5"/>
  <c r="AF234" i="5"/>
  <c r="Y234" i="5"/>
  <c r="V234" i="5"/>
  <c r="R234" i="5"/>
  <c r="X234" i="5" s="1"/>
  <c r="O234" i="5"/>
  <c r="E234" i="5"/>
  <c r="AF233" i="5"/>
  <c r="Y233" i="5"/>
  <c r="T233" i="5"/>
  <c r="R233" i="5"/>
  <c r="X233" i="5" s="1"/>
  <c r="U233" i="5" s="1"/>
  <c r="P233" i="5"/>
  <c r="O233" i="5"/>
  <c r="E233" i="5"/>
  <c r="AF232" i="5"/>
  <c r="Y232" i="5"/>
  <c r="T232" i="5"/>
  <c r="R232" i="5"/>
  <c r="X232" i="5" s="1"/>
  <c r="O232" i="5"/>
  <c r="P232" i="5" s="1"/>
  <c r="E232" i="5"/>
  <c r="AF231" i="5"/>
  <c r="Y231" i="5"/>
  <c r="R231" i="5"/>
  <c r="P231" i="5"/>
  <c r="O231" i="5"/>
  <c r="T231" i="5" s="1"/>
  <c r="E231" i="5"/>
  <c r="AF230" i="5"/>
  <c r="Y230" i="5"/>
  <c r="W230" i="5"/>
  <c r="V230" i="5"/>
  <c r="R230" i="5"/>
  <c r="X230" i="5" s="1"/>
  <c r="P230" i="5"/>
  <c r="O230" i="5"/>
  <c r="T230" i="5" s="1"/>
  <c r="E230" i="5"/>
  <c r="AF229" i="5"/>
  <c r="X229" i="5"/>
  <c r="U229" i="5"/>
  <c r="T229" i="5"/>
  <c r="R229" i="5"/>
  <c r="Y229" i="5" s="1"/>
  <c r="P229" i="5"/>
  <c r="O229" i="5"/>
  <c r="E229" i="5"/>
  <c r="AF228" i="5"/>
  <c r="Y228" i="5"/>
  <c r="T228" i="5"/>
  <c r="R228" i="5"/>
  <c r="X228" i="5" s="1"/>
  <c r="O228" i="5"/>
  <c r="P228" i="5" s="1"/>
  <c r="E228" i="5"/>
  <c r="AF227" i="5"/>
  <c r="R227" i="5"/>
  <c r="P227" i="5"/>
  <c r="O227" i="5"/>
  <c r="T227" i="5" s="1"/>
  <c r="E227" i="5"/>
  <c r="AF226" i="5"/>
  <c r="V226" i="5"/>
  <c r="R226" i="5"/>
  <c r="Y226" i="5" s="1"/>
  <c r="O226" i="5"/>
  <c r="E226" i="5"/>
  <c r="AF225" i="5"/>
  <c r="Y225" i="5"/>
  <c r="T225" i="5"/>
  <c r="R225" i="5"/>
  <c r="X225" i="5" s="1"/>
  <c r="O225" i="5"/>
  <c r="P225" i="5" s="1"/>
  <c r="E225" i="5"/>
  <c r="AF224" i="5"/>
  <c r="X224" i="5"/>
  <c r="V224" i="5"/>
  <c r="R224" i="5"/>
  <c r="Y224" i="5" s="1"/>
  <c r="P224" i="5"/>
  <c r="O224" i="5"/>
  <c r="T224" i="5" s="1"/>
  <c r="E224" i="5"/>
  <c r="AF223" i="5"/>
  <c r="Y223" i="5"/>
  <c r="W223" i="5"/>
  <c r="U223" i="5"/>
  <c r="T223" i="5"/>
  <c r="R223" i="5"/>
  <c r="X223" i="5" s="1"/>
  <c r="P223" i="5"/>
  <c r="O223" i="5"/>
  <c r="E223" i="5"/>
  <c r="AF222" i="5"/>
  <c r="Y222" i="5"/>
  <c r="R222" i="5"/>
  <c r="X222" i="5" s="1"/>
  <c r="P222" i="5"/>
  <c r="O222" i="5"/>
  <c r="T222" i="5" s="1"/>
  <c r="E222" i="5"/>
  <c r="AF221" i="5"/>
  <c r="Y221" i="5"/>
  <c r="W221" i="5"/>
  <c r="V221" i="5"/>
  <c r="R221" i="5"/>
  <c r="X221" i="5" s="1"/>
  <c r="P221" i="5"/>
  <c r="O221" i="5"/>
  <c r="T221" i="5" s="1"/>
  <c r="E221" i="5"/>
  <c r="AF220" i="5"/>
  <c r="T220" i="5"/>
  <c r="R220" i="5"/>
  <c r="Y220" i="5" s="1"/>
  <c r="O220" i="5"/>
  <c r="P220" i="5" s="1"/>
  <c r="E220" i="5"/>
  <c r="AF219" i="5"/>
  <c r="X219" i="5"/>
  <c r="V219" i="5"/>
  <c r="R219" i="5"/>
  <c r="Y219" i="5" s="1"/>
  <c r="P219" i="5"/>
  <c r="O219" i="5"/>
  <c r="T219" i="5" s="1"/>
  <c r="E219" i="5"/>
  <c r="AF218" i="5"/>
  <c r="Y218" i="5"/>
  <c r="W218" i="5"/>
  <c r="U218" i="5"/>
  <c r="T218" i="5"/>
  <c r="R218" i="5"/>
  <c r="X218" i="5" s="1"/>
  <c r="P218" i="5"/>
  <c r="O218" i="5"/>
  <c r="E218" i="5"/>
  <c r="AF217" i="5"/>
  <c r="Y217" i="5"/>
  <c r="R217" i="5"/>
  <c r="X217" i="5" s="1"/>
  <c r="P217" i="5"/>
  <c r="O217" i="5"/>
  <c r="T217" i="5" s="1"/>
  <c r="E217" i="5"/>
  <c r="AF216" i="5"/>
  <c r="Y216" i="5"/>
  <c r="W216" i="5"/>
  <c r="V216" i="5"/>
  <c r="R216" i="5"/>
  <c r="X216" i="5" s="1"/>
  <c r="P216" i="5"/>
  <c r="O216" i="5"/>
  <c r="T216" i="5" s="1"/>
  <c r="E216" i="5"/>
  <c r="AF215" i="5"/>
  <c r="Y215" i="5"/>
  <c r="W215" i="5"/>
  <c r="T215" i="5"/>
  <c r="R215" i="5"/>
  <c r="X215" i="5" s="1"/>
  <c r="U215" i="5" s="1"/>
  <c r="P215" i="5"/>
  <c r="O215" i="5"/>
  <c r="E215" i="5"/>
  <c r="AF214" i="5"/>
  <c r="Y214" i="5"/>
  <c r="R214" i="5"/>
  <c r="X214" i="5" s="1"/>
  <c r="P214" i="5"/>
  <c r="O214" i="5"/>
  <c r="T214" i="5" s="1"/>
  <c r="E214" i="5"/>
  <c r="AF213" i="5"/>
  <c r="Y213" i="5"/>
  <c r="W213" i="5"/>
  <c r="V213" i="5"/>
  <c r="R213" i="5"/>
  <c r="X213" i="5" s="1"/>
  <c r="P213" i="5"/>
  <c r="O213" i="5"/>
  <c r="T213" i="5" s="1"/>
  <c r="E213" i="5"/>
  <c r="AF212" i="5"/>
  <c r="T212" i="5"/>
  <c r="R212" i="5"/>
  <c r="Y212" i="5" s="1"/>
  <c r="O212" i="5"/>
  <c r="P212" i="5" s="1"/>
  <c r="E212" i="5"/>
  <c r="AF211" i="5"/>
  <c r="X211" i="5"/>
  <c r="V211" i="5"/>
  <c r="R211" i="5"/>
  <c r="Y211" i="5" s="1"/>
  <c r="P211" i="5"/>
  <c r="O211" i="5"/>
  <c r="T211" i="5" s="1"/>
  <c r="E211" i="5"/>
  <c r="AF210" i="5"/>
  <c r="Y210" i="5"/>
  <c r="W210" i="5"/>
  <c r="U210" i="5"/>
  <c r="T210" i="5"/>
  <c r="R210" i="5"/>
  <c r="X210" i="5" s="1"/>
  <c r="P210" i="5"/>
  <c r="O210" i="5"/>
  <c r="E210" i="5"/>
  <c r="AF209" i="5"/>
  <c r="Y209" i="5"/>
  <c r="R209" i="5"/>
  <c r="X209" i="5" s="1"/>
  <c r="P209" i="5"/>
  <c r="O209" i="5"/>
  <c r="T209" i="5" s="1"/>
  <c r="E209" i="5"/>
  <c r="AF208" i="5"/>
  <c r="Y208" i="5"/>
  <c r="W208" i="5"/>
  <c r="V208" i="5"/>
  <c r="R208" i="5"/>
  <c r="X208" i="5" s="1"/>
  <c r="P208" i="5"/>
  <c r="O208" i="5"/>
  <c r="T208" i="5" s="1"/>
  <c r="E208" i="5"/>
  <c r="AF207" i="5"/>
  <c r="Y207" i="5"/>
  <c r="W207" i="5"/>
  <c r="T207" i="5"/>
  <c r="R207" i="5"/>
  <c r="X207" i="5" s="1"/>
  <c r="U207" i="5" s="1"/>
  <c r="P207" i="5"/>
  <c r="O207" i="5"/>
  <c r="E207" i="5"/>
  <c r="AF206" i="5"/>
  <c r="Y206" i="5"/>
  <c r="R206" i="5"/>
  <c r="X206" i="5" s="1"/>
  <c r="P206" i="5"/>
  <c r="O206" i="5"/>
  <c r="T206" i="5" s="1"/>
  <c r="E206" i="5"/>
  <c r="AF205" i="5"/>
  <c r="V205" i="5"/>
  <c r="R205" i="5"/>
  <c r="Y205" i="5" s="1"/>
  <c r="O205" i="5"/>
  <c r="E205" i="5"/>
  <c r="AF204" i="5"/>
  <c r="Y204" i="5"/>
  <c r="T204" i="5"/>
  <c r="R204" i="5"/>
  <c r="X204" i="5" s="1"/>
  <c r="O204" i="5"/>
  <c r="P204" i="5" s="1"/>
  <c r="E204" i="5"/>
  <c r="AF203" i="5"/>
  <c r="X203" i="5"/>
  <c r="V203" i="5"/>
  <c r="R203" i="5"/>
  <c r="Y203" i="5" s="1"/>
  <c r="P203" i="5"/>
  <c r="O203" i="5"/>
  <c r="T203" i="5" s="1"/>
  <c r="E203" i="5"/>
  <c r="AF202" i="5"/>
  <c r="T202" i="5"/>
  <c r="R202" i="5"/>
  <c r="Y202" i="5" s="1"/>
  <c r="O202" i="5"/>
  <c r="P202" i="5" s="1"/>
  <c r="E202" i="5"/>
  <c r="AF201" i="5"/>
  <c r="R201" i="5"/>
  <c r="P201" i="5"/>
  <c r="O201" i="5"/>
  <c r="T201" i="5" s="1"/>
  <c r="E201" i="5"/>
  <c r="AF200" i="5"/>
  <c r="V200" i="5"/>
  <c r="R200" i="5"/>
  <c r="Y200" i="5" s="1"/>
  <c r="O200" i="5"/>
  <c r="E200" i="5"/>
  <c r="AF199" i="5"/>
  <c r="Y199" i="5"/>
  <c r="T199" i="5"/>
  <c r="R199" i="5"/>
  <c r="X199" i="5" s="1"/>
  <c r="O199" i="5"/>
  <c r="P199" i="5" s="1"/>
  <c r="E199" i="5"/>
  <c r="AF198" i="5"/>
  <c r="X198" i="5"/>
  <c r="V198" i="5"/>
  <c r="R198" i="5"/>
  <c r="Y198" i="5" s="1"/>
  <c r="P198" i="5"/>
  <c r="O198" i="5"/>
  <c r="T198" i="5" s="1"/>
  <c r="E198" i="5"/>
  <c r="AF197" i="5"/>
  <c r="Y197" i="5"/>
  <c r="W197" i="5"/>
  <c r="T197" i="5"/>
  <c r="R197" i="5"/>
  <c r="X197" i="5" s="1"/>
  <c r="U197" i="5" s="1"/>
  <c r="P197" i="5"/>
  <c r="O197" i="5"/>
  <c r="E197" i="5"/>
  <c r="AF196" i="5"/>
  <c r="Y196" i="5"/>
  <c r="R196" i="5"/>
  <c r="X196" i="5" s="1"/>
  <c r="P196" i="5"/>
  <c r="O196" i="5"/>
  <c r="T196" i="5" s="1"/>
  <c r="E196" i="5"/>
  <c r="AF195" i="5"/>
  <c r="Y195" i="5"/>
  <c r="W195" i="5"/>
  <c r="V195" i="5"/>
  <c r="R195" i="5"/>
  <c r="X195" i="5" s="1"/>
  <c r="P195" i="5"/>
  <c r="O195" i="5"/>
  <c r="T195" i="5" s="1"/>
  <c r="E195" i="5"/>
  <c r="AF194" i="5"/>
  <c r="T194" i="5"/>
  <c r="R194" i="5"/>
  <c r="Y194" i="5" s="1"/>
  <c r="O194" i="5"/>
  <c r="P194" i="5" s="1"/>
  <c r="E194" i="5"/>
  <c r="AF193" i="5"/>
  <c r="R193" i="5"/>
  <c r="P193" i="5"/>
  <c r="O193" i="5"/>
  <c r="T193" i="5" s="1"/>
  <c r="E193" i="5"/>
  <c r="AF192" i="5"/>
  <c r="V192" i="5"/>
  <c r="R192" i="5"/>
  <c r="Y192" i="5" s="1"/>
  <c r="O192" i="5"/>
  <c r="E192" i="5"/>
  <c r="AF191" i="5"/>
  <c r="R191" i="5"/>
  <c r="Y191" i="5" s="1"/>
  <c r="P191" i="5"/>
  <c r="O191" i="5"/>
  <c r="T191" i="5" s="1"/>
  <c r="E191" i="5"/>
  <c r="AF190" i="5"/>
  <c r="V190" i="5"/>
  <c r="R190" i="5"/>
  <c r="Y190" i="5" s="1"/>
  <c r="O190" i="5"/>
  <c r="E190" i="5"/>
  <c r="AF189" i="5"/>
  <c r="R189" i="5"/>
  <c r="Y189" i="5" s="1"/>
  <c r="P189" i="5"/>
  <c r="O189" i="5"/>
  <c r="T189" i="5" s="1"/>
  <c r="E189" i="5"/>
  <c r="AF188" i="5"/>
  <c r="Y188" i="5"/>
  <c r="W188" i="5"/>
  <c r="V188" i="5"/>
  <c r="R188" i="5"/>
  <c r="X188" i="5" s="1"/>
  <c r="P188" i="5"/>
  <c r="O188" i="5"/>
  <c r="T188" i="5" s="1"/>
  <c r="E188" i="5"/>
  <c r="AF187" i="5"/>
  <c r="Y187" i="5"/>
  <c r="W187" i="5"/>
  <c r="U187" i="5"/>
  <c r="T187" i="5"/>
  <c r="R187" i="5"/>
  <c r="X187" i="5" s="1"/>
  <c r="P187" i="5"/>
  <c r="O187" i="5"/>
  <c r="E187" i="5"/>
  <c r="AF186" i="5"/>
  <c r="Y186" i="5"/>
  <c r="R186" i="5"/>
  <c r="X186" i="5" s="1"/>
  <c r="P186" i="5"/>
  <c r="O186" i="5"/>
  <c r="T186" i="5" s="1"/>
  <c r="E186" i="5"/>
  <c r="AF185" i="5"/>
  <c r="V185" i="5"/>
  <c r="R185" i="5"/>
  <c r="Y185" i="5" s="1"/>
  <c r="O185" i="5"/>
  <c r="E185" i="5"/>
  <c r="AF184" i="5"/>
  <c r="R184" i="5"/>
  <c r="Y184" i="5" s="1"/>
  <c r="P184" i="5"/>
  <c r="O184" i="5"/>
  <c r="T184" i="5" s="1"/>
  <c r="E184" i="5"/>
  <c r="AF183" i="5"/>
  <c r="Y183" i="5"/>
  <c r="W183" i="5"/>
  <c r="V183" i="5"/>
  <c r="R183" i="5"/>
  <c r="X183" i="5" s="1"/>
  <c r="P183" i="5"/>
  <c r="O183" i="5"/>
  <c r="T183" i="5" s="1"/>
  <c r="E183" i="5"/>
  <c r="AF182" i="5"/>
  <c r="Y182" i="5"/>
  <c r="W182" i="5"/>
  <c r="T182" i="5"/>
  <c r="R182" i="5"/>
  <c r="X182" i="5" s="1"/>
  <c r="U182" i="5" s="1"/>
  <c r="P182" i="5"/>
  <c r="O182" i="5"/>
  <c r="E182" i="5"/>
  <c r="AF181" i="5"/>
  <c r="Y181" i="5"/>
  <c r="R181" i="5"/>
  <c r="X181" i="5" s="1"/>
  <c r="P181" i="5"/>
  <c r="O181" i="5"/>
  <c r="T181" i="5" s="1"/>
  <c r="E181" i="5"/>
  <c r="AF180" i="5"/>
  <c r="V180" i="5"/>
  <c r="R180" i="5"/>
  <c r="Y180" i="5" s="1"/>
  <c r="O180" i="5"/>
  <c r="E180" i="5"/>
  <c r="AF179" i="5"/>
  <c r="R179" i="5"/>
  <c r="Y179" i="5" s="1"/>
  <c r="P179" i="5"/>
  <c r="O179" i="5"/>
  <c r="T179" i="5" s="1"/>
  <c r="E179" i="5"/>
  <c r="AF178" i="5"/>
  <c r="V178" i="5"/>
  <c r="R178" i="5"/>
  <c r="Y178" i="5" s="1"/>
  <c r="O178" i="5"/>
  <c r="E178" i="5"/>
  <c r="AF177" i="5"/>
  <c r="Y177" i="5"/>
  <c r="T177" i="5"/>
  <c r="R177" i="5"/>
  <c r="X177" i="5" s="1"/>
  <c r="O177" i="5"/>
  <c r="P177" i="5" s="1"/>
  <c r="E177" i="5"/>
  <c r="AF176" i="5"/>
  <c r="X176" i="5"/>
  <c r="R176" i="5"/>
  <c r="W176" i="5" s="1"/>
  <c r="P176" i="5"/>
  <c r="O176" i="5"/>
  <c r="T176" i="5" s="1"/>
  <c r="E176" i="5"/>
  <c r="AF175" i="5"/>
  <c r="X175" i="5"/>
  <c r="U175" i="5"/>
  <c r="T175" i="5"/>
  <c r="R175" i="5"/>
  <c r="Y175" i="5" s="1"/>
  <c r="P175" i="5"/>
  <c r="O175" i="5"/>
  <c r="E175" i="5"/>
  <c r="AF174" i="5"/>
  <c r="Y174" i="5"/>
  <c r="X174" i="5"/>
  <c r="R174" i="5"/>
  <c r="P174" i="5"/>
  <c r="O174" i="5"/>
  <c r="T174" i="5" s="1"/>
  <c r="E174" i="5"/>
  <c r="AF173" i="5"/>
  <c r="X173" i="5"/>
  <c r="T173" i="5"/>
  <c r="R173" i="5"/>
  <c r="Y173" i="5" s="1"/>
  <c r="P173" i="5"/>
  <c r="O173" i="5"/>
  <c r="E173" i="5"/>
  <c r="AF172" i="5"/>
  <c r="Y172" i="5"/>
  <c r="X172" i="5"/>
  <c r="R172" i="5"/>
  <c r="P172" i="5"/>
  <c r="O172" i="5"/>
  <c r="T172" i="5" s="1"/>
  <c r="E172" i="5"/>
  <c r="AF171" i="5"/>
  <c r="Y171" i="5"/>
  <c r="W171" i="5"/>
  <c r="V171" i="5"/>
  <c r="R171" i="5"/>
  <c r="X171" i="5" s="1"/>
  <c r="P171" i="5"/>
  <c r="O171" i="5"/>
  <c r="T171" i="5" s="1"/>
  <c r="E171" i="5"/>
  <c r="AF170" i="5"/>
  <c r="Y170" i="5"/>
  <c r="W170" i="5"/>
  <c r="T170" i="5"/>
  <c r="R170" i="5"/>
  <c r="X170" i="5" s="1"/>
  <c r="P170" i="5"/>
  <c r="O170" i="5"/>
  <c r="E170" i="5"/>
  <c r="AF169" i="5"/>
  <c r="Y169" i="5"/>
  <c r="X169" i="5"/>
  <c r="R169" i="5"/>
  <c r="P169" i="5"/>
  <c r="O169" i="5"/>
  <c r="T169" i="5" s="1"/>
  <c r="E169" i="5"/>
  <c r="AF168" i="5"/>
  <c r="V168" i="5"/>
  <c r="R168" i="5"/>
  <c r="Y168" i="5" s="1"/>
  <c r="O168" i="5"/>
  <c r="E168" i="5"/>
  <c r="AF167" i="5"/>
  <c r="R167" i="5"/>
  <c r="Y167" i="5" s="1"/>
  <c r="P167" i="5"/>
  <c r="O167" i="5"/>
  <c r="T167" i="5" s="1"/>
  <c r="E167" i="5"/>
  <c r="AF166" i="5"/>
  <c r="V166" i="5"/>
  <c r="R166" i="5"/>
  <c r="Y166" i="5" s="1"/>
  <c r="O166" i="5"/>
  <c r="E166" i="5"/>
  <c r="AF165" i="5"/>
  <c r="Y165" i="5"/>
  <c r="T165" i="5"/>
  <c r="U165" i="5" s="1"/>
  <c r="R165" i="5"/>
  <c r="X165" i="5" s="1"/>
  <c r="O165" i="5"/>
  <c r="P165" i="5" s="1"/>
  <c r="E165" i="5"/>
  <c r="AF164" i="5"/>
  <c r="R164" i="5"/>
  <c r="X164" i="5" s="1"/>
  <c r="P164" i="5"/>
  <c r="O164" i="5"/>
  <c r="T164" i="5" s="1"/>
  <c r="E164" i="5"/>
  <c r="AF163" i="5"/>
  <c r="X163" i="5"/>
  <c r="T163" i="5"/>
  <c r="R163" i="5"/>
  <c r="Y163" i="5" s="1"/>
  <c r="P163" i="5"/>
  <c r="O163" i="5"/>
  <c r="E163" i="5"/>
  <c r="AF162" i="5"/>
  <c r="Y162" i="5"/>
  <c r="R162" i="5"/>
  <c r="X162" i="5" s="1"/>
  <c r="P162" i="5"/>
  <c r="O162" i="5"/>
  <c r="T162" i="5" s="1"/>
  <c r="E162" i="5"/>
  <c r="AF161" i="5"/>
  <c r="X161" i="5"/>
  <c r="U161" i="5"/>
  <c r="T161" i="5"/>
  <c r="R161" i="5"/>
  <c r="Y161" i="5" s="1"/>
  <c r="P161" i="5"/>
  <c r="O161" i="5"/>
  <c r="E161" i="5"/>
  <c r="AF160" i="5"/>
  <c r="Y160" i="5"/>
  <c r="X160" i="5"/>
  <c r="R160" i="5"/>
  <c r="P160" i="5"/>
  <c r="O160" i="5"/>
  <c r="T160" i="5" s="1"/>
  <c r="E160" i="5"/>
  <c r="AF159" i="5"/>
  <c r="Y159" i="5"/>
  <c r="W159" i="5"/>
  <c r="V159" i="5"/>
  <c r="R159" i="5"/>
  <c r="X159" i="5" s="1"/>
  <c r="O159" i="5"/>
  <c r="T159" i="5" s="1"/>
  <c r="E159" i="5"/>
  <c r="AF158" i="5"/>
  <c r="Y158" i="5"/>
  <c r="W158" i="5"/>
  <c r="T158" i="5"/>
  <c r="R158" i="5"/>
  <c r="X158" i="5" s="1"/>
  <c r="P158" i="5"/>
  <c r="O158" i="5"/>
  <c r="E158" i="5"/>
  <c r="AF157" i="5"/>
  <c r="Y157" i="5"/>
  <c r="X157" i="5"/>
  <c r="R157" i="5"/>
  <c r="P157" i="5"/>
  <c r="O157" i="5"/>
  <c r="T157" i="5" s="1"/>
  <c r="E157" i="5"/>
  <c r="AF156" i="5"/>
  <c r="V156" i="5"/>
  <c r="R156" i="5"/>
  <c r="Y156" i="5" s="1"/>
  <c r="O156" i="5"/>
  <c r="E156" i="5"/>
  <c r="AF155" i="5"/>
  <c r="R155" i="5"/>
  <c r="P155" i="5"/>
  <c r="O155" i="5"/>
  <c r="T155" i="5" s="1"/>
  <c r="E155" i="5"/>
  <c r="AF154" i="5"/>
  <c r="V154" i="5"/>
  <c r="R154" i="5"/>
  <c r="Y154" i="5" s="1"/>
  <c r="O154" i="5"/>
  <c r="E154" i="5"/>
  <c r="AF153" i="5"/>
  <c r="R153" i="5"/>
  <c r="Y153" i="5" s="1"/>
  <c r="P153" i="5"/>
  <c r="O153" i="5"/>
  <c r="T153" i="5" s="1"/>
  <c r="E153" i="5"/>
  <c r="AF152" i="5"/>
  <c r="V152" i="5"/>
  <c r="R152" i="5"/>
  <c r="Y152" i="5" s="1"/>
  <c r="O152" i="5"/>
  <c r="E152" i="5"/>
  <c r="AF151" i="5"/>
  <c r="Y151" i="5"/>
  <c r="T151" i="5"/>
  <c r="U151" i="5" s="1"/>
  <c r="R151" i="5"/>
  <c r="X151" i="5" s="1"/>
  <c r="O151" i="5"/>
  <c r="P151" i="5" s="1"/>
  <c r="E151" i="5"/>
  <c r="AF150" i="5"/>
  <c r="R150" i="5"/>
  <c r="X150" i="5" s="1"/>
  <c r="P150" i="5"/>
  <c r="O150" i="5"/>
  <c r="T150" i="5" s="1"/>
  <c r="E150" i="5"/>
  <c r="AF149" i="5"/>
  <c r="V149" i="5"/>
  <c r="R149" i="5"/>
  <c r="Y149" i="5" s="1"/>
  <c r="O149" i="5"/>
  <c r="E149" i="5"/>
  <c r="AF148" i="5"/>
  <c r="Y148" i="5"/>
  <c r="T148" i="5"/>
  <c r="U148" i="5" s="1"/>
  <c r="R148" i="5"/>
  <c r="X148" i="5" s="1"/>
  <c r="O148" i="5"/>
  <c r="P148" i="5" s="1"/>
  <c r="E148" i="5"/>
  <c r="AF147" i="5"/>
  <c r="R147" i="5"/>
  <c r="X147" i="5" s="1"/>
  <c r="P147" i="5"/>
  <c r="O147" i="5"/>
  <c r="T147" i="5" s="1"/>
  <c r="E147" i="5"/>
  <c r="AF146" i="5"/>
  <c r="V146" i="5"/>
  <c r="R146" i="5"/>
  <c r="Y146" i="5" s="1"/>
  <c r="O146" i="5"/>
  <c r="E146" i="5"/>
  <c r="AF145" i="5"/>
  <c r="Y145" i="5"/>
  <c r="R145" i="5"/>
  <c r="P145" i="5"/>
  <c r="O145" i="5"/>
  <c r="T145" i="5" s="1"/>
  <c r="E145" i="5"/>
  <c r="AF144" i="5"/>
  <c r="V144" i="5"/>
  <c r="R144" i="5"/>
  <c r="Y144" i="5" s="1"/>
  <c r="O144" i="5"/>
  <c r="E144" i="5"/>
  <c r="AF143" i="5"/>
  <c r="R143" i="5"/>
  <c r="P143" i="5"/>
  <c r="O143" i="5"/>
  <c r="T143" i="5" s="1"/>
  <c r="E143" i="5"/>
  <c r="AF142" i="5"/>
  <c r="V142" i="5"/>
  <c r="R142" i="5"/>
  <c r="Y142" i="5" s="1"/>
  <c r="O142" i="5"/>
  <c r="E142" i="5"/>
  <c r="AF141" i="5"/>
  <c r="Y141" i="5"/>
  <c r="T141" i="5"/>
  <c r="R141" i="5"/>
  <c r="X141" i="5" s="1"/>
  <c r="O141" i="5"/>
  <c r="P141" i="5" s="1"/>
  <c r="E141" i="5"/>
  <c r="AF140" i="5"/>
  <c r="X140" i="5"/>
  <c r="V140" i="5"/>
  <c r="R140" i="5"/>
  <c r="Y140" i="5" s="1"/>
  <c r="P140" i="5"/>
  <c r="O140" i="5"/>
  <c r="T140" i="5" s="1"/>
  <c r="E140" i="5"/>
  <c r="AF139" i="5"/>
  <c r="T139" i="5"/>
  <c r="R139" i="5"/>
  <c r="Y139" i="5" s="1"/>
  <c r="O139" i="5"/>
  <c r="P139" i="5" s="1"/>
  <c r="E139" i="5"/>
  <c r="AF138" i="5"/>
  <c r="R138" i="5"/>
  <c r="X138" i="5" s="1"/>
  <c r="P138" i="5"/>
  <c r="O138" i="5"/>
  <c r="T138" i="5" s="1"/>
  <c r="E138" i="5"/>
  <c r="AF137" i="5"/>
  <c r="X137" i="5"/>
  <c r="T137" i="5"/>
  <c r="R137" i="5"/>
  <c r="Y137" i="5" s="1"/>
  <c r="P137" i="5"/>
  <c r="O137" i="5"/>
  <c r="E137" i="5"/>
  <c r="AF136" i="5"/>
  <c r="Y136" i="5"/>
  <c r="R136" i="5"/>
  <c r="X136" i="5" s="1"/>
  <c r="P136" i="5"/>
  <c r="O136" i="5"/>
  <c r="T136" i="5" s="1"/>
  <c r="E136" i="5"/>
  <c r="AF135" i="5"/>
  <c r="Y135" i="5"/>
  <c r="W135" i="5"/>
  <c r="V135" i="5"/>
  <c r="R135" i="5"/>
  <c r="X135" i="5" s="1"/>
  <c r="O135" i="5"/>
  <c r="T135" i="5" s="1"/>
  <c r="E135" i="5"/>
  <c r="AF134" i="5"/>
  <c r="Y134" i="5"/>
  <c r="W134" i="5"/>
  <c r="T134" i="5"/>
  <c r="R134" i="5"/>
  <c r="X134" i="5" s="1"/>
  <c r="U134" i="5" s="1"/>
  <c r="P134" i="5"/>
  <c r="O134" i="5"/>
  <c r="E134" i="5"/>
  <c r="AF133" i="5"/>
  <c r="Y133" i="5"/>
  <c r="X133" i="5"/>
  <c r="R133" i="5"/>
  <c r="P133" i="5"/>
  <c r="O133" i="5"/>
  <c r="T133" i="5" s="1"/>
  <c r="E133" i="5"/>
  <c r="AF132" i="5"/>
  <c r="X132" i="5"/>
  <c r="T132" i="5"/>
  <c r="R132" i="5"/>
  <c r="Y132" i="5" s="1"/>
  <c r="P132" i="5"/>
  <c r="O132" i="5"/>
  <c r="E132" i="5"/>
  <c r="AF131" i="5"/>
  <c r="Y131" i="5"/>
  <c r="X131" i="5"/>
  <c r="R131" i="5"/>
  <c r="P131" i="5"/>
  <c r="O131" i="5"/>
  <c r="T131" i="5" s="1"/>
  <c r="E131" i="5"/>
  <c r="AF130" i="5"/>
  <c r="Y130" i="5"/>
  <c r="W130" i="5"/>
  <c r="V130" i="5"/>
  <c r="R130" i="5"/>
  <c r="X130" i="5" s="1"/>
  <c r="P130" i="5"/>
  <c r="O130" i="5"/>
  <c r="T130" i="5" s="1"/>
  <c r="E130" i="5"/>
  <c r="AF129" i="5"/>
  <c r="T129" i="5"/>
  <c r="R129" i="5"/>
  <c r="Y129" i="5" s="1"/>
  <c r="O129" i="5"/>
  <c r="P129" i="5" s="1"/>
  <c r="E129" i="5"/>
  <c r="AF128" i="5"/>
  <c r="R128" i="5"/>
  <c r="X128" i="5" s="1"/>
  <c r="P128" i="5"/>
  <c r="O128" i="5"/>
  <c r="T128" i="5" s="1"/>
  <c r="E128" i="5"/>
  <c r="AF127" i="5"/>
  <c r="V127" i="5"/>
  <c r="R127" i="5"/>
  <c r="Y127" i="5" s="1"/>
  <c r="O127" i="5"/>
  <c r="E127" i="5"/>
  <c r="AF126" i="5"/>
  <c r="Y126" i="5"/>
  <c r="T126" i="5"/>
  <c r="U126" i="5" s="1"/>
  <c r="R126" i="5"/>
  <c r="X126" i="5" s="1"/>
  <c r="O126" i="5"/>
  <c r="P126" i="5" s="1"/>
  <c r="E126" i="5"/>
  <c r="AF125" i="5"/>
  <c r="X125" i="5"/>
  <c r="V125" i="5"/>
  <c r="R125" i="5"/>
  <c r="Y125" i="5" s="1"/>
  <c r="P125" i="5"/>
  <c r="O125" i="5"/>
  <c r="T125" i="5" s="1"/>
  <c r="E125" i="5"/>
  <c r="AF124" i="5"/>
  <c r="T124" i="5"/>
  <c r="R124" i="5"/>
  <c r="Y124" i="5" s="1"/>
  <c r="O124" i="5"/>
  <c r="P124" i="5" s="1"/>
  <c r="E124" i="5"/>
  <c r="AF123" i="5"/>
  <c r="X123" i="5"/>
  <c r="W123" i="5"/>
  <c r="R123" i="5"/>
  <c r="P123" i="5"/>
  <c r="O123" i="5"/>
  <c r="T123" i="5" s="1"/>
  <c r="E123" i="5"/>
  <c r="AF122" i="5"/>
  <c r="V122" i="5"/>
  <c r="R122" i="5"/>
  <c r="Y122" i="5" s="1"/>
  <c r="O122" i="5"/>
  <c r="E122" i="5"/>
  <c r="AF121" i="5"/>
  <c r="Y121" i="5"/>
  <c r="R121" i="5"/>
  <c r="P121" i="5"/>
  <c r="O121" i="5"/>
  <c r="T121" i="5" s="1"/>
  <c r="E121" i="5"/>
  <c r="AF120" i="5"/>
  <c r="Y120" i="5"/>
  <c r="W120" i="5"/>
  <c r="V120" i="5"/>
  <c r="R120" i="5"/>
  <c r="X120" i="5" s="1"/>
  <c r="P120" i="5"/>
  <c r="O120" i="5"/>
  <c r="T120" i="5" s="1"/>
  <c r="E120" i="5"/>
  <c r="AF119" i="5"/>
  <c r="Y119" i="5"/>
  <c r="W119" i="5"/>
  <c r="U119" i="5"/>
  <c r="T119" i="5"/>
  <c r="R119" i="5"/>
  <c r="X119" i="5" s="1"/>
  <c r="P119" i="5"/>
  <c r="O119" i="5"/>
  <c r="E119" i="5"/>
  <c r="AF118" i="5"/>
  <c r="R118" i="5"/>
  <c r="Y118" i="5" s="1"/>
  <c r="P118" i="5"/>
  <c r="O118" i="5"/>
  <c r="T118" i="5" s="1"/>
  <c r="E118" i="5"/>
  <c r="AF117" i="5"/>
  <c r="V117" i="5"/>
  <c r="R117" i="5"/>
  <c r="Y117" i="5" s="1"/>
  <c r="O117" i="5"/>
  <c r="E117" i="5"/>
  <c r="AF116" i="5"/>
  <c r="Y116" i="5"/>
  <c r="T116" i="5"/>
  <c r="U116" i="5" s="1"/>
  <c r="R116" i="5"/>
  <c r="X116" i="5" s="1"/>
  <c r="O116" i="5"/>
  <c r="P116" i="5" s="1"/>
  <c r="E116" i="5"/>
  <c r="AF115" i="5"/>
  <c r="R115" i="5"/>
  <c r="X115" i="5" s="1"/>
  <c r="P115" i="5"/>
  <c r="O115" i="5"/>
  <c r="T115" i="5" s="1"/>
  <c r="E115" i="5"/>
  <c r="AF114" i="5"/>
  <c r="X114" i="5"/>
  <c r="T114" i="5"/>
  <c r="R114" i="5"/>
  <c r="Y114" i="5" s="1"/>
  <c r="P114" i="5"/>
  <c r="O114" i="5"/>
  <c r="E114" i="5"/>
  <c r="AF113" i="5"/>
  <c r="Y113" i="5"/>
  <c r="R113" i="5"/>
  <c r="X113" i="5" s="1"/>
  <c r="P113" i="5"/>
  <c r="O113" i="5"/>
  <c r="T113" i="5" s="1"/>
  <c r="E113" i="5"/>
  <c r="AF112" i="5"/>
  <c r="X112" i="5"/>
  <c r="U112" i="5"/>
  <c r="T112" i="5"/>
  <c r="R112" i="5"/>
  <c r="Y112" i="5" s="1"/>
  <c r="P112" i="5"/>
  <c r="O112" i="5"/>
  <c r="E112" i="5"/>
  <c r="AF111" i="5"/>
  <c r="Y111" i="5"/>
  <c r="X111" i="5"/>
  <c r="R111" i="5"/>
  <c r="P111" i="5"/>
  <c r="O111" i="5"/>
  <c r="T111" i="5" s="1"/>
  <c r="E111" i="5"/>
  <c r="AF110" i="5"/>
  <c r="V110" i="5"/>
  <c r="R110" i="5"/>
  <c r="Y110" i="5" s="1"/>
  <c r="O110" i="5"/>
  <c r="E110" i="5"/>
  <c r="AF109" i="5"/>
  <c r="Y109" i="5"/>
  <c r="R109" i="5"/>
  <c r="P109" i="5"/>
  <c r="O109" i="5"/>
  <c r="T109" i="5" s="1"/>
  <c r="E109" i="5"/>
  <c r="AF108" i="5"/>
  <c r="V108" i="5"/>
  <c r="R108" i="5"/>
  <c r="O108" i="5"/>
  <c r="E108" i="5"/>
  <c r="AF107" i="5"/>
  <c r="R107" i="5"/>
  <c r="Y107" i="5" s="1"/>
  <c r="P107" i="5"/>
  <c r="O107" i="5"/>
  <c r="T107" i="5" s="1"/>
  <c r="E107" i="5"/>
  <c r="AF106" i="5"/>
  <c r="Y106" i="5"/>
  <c r="W106" i="5"/>
  <c r="V106" i="5"/>
  <c r="R106" i="5"/>
  <c r="X106" i="5" s="1"/>
  <c r="O106" i="5"/>
  <c r="T106" i="5" s="1"/>
  <c r="E106" i="5"/>
  <c r="AF105" i="5"/>
  <c r="T105" i="5"/>
  <c r="R105" i="5"/>
  <c r="Y105" i="5" s="1"/>
  <c r="O105" i="5"/>
  <c r="P105" i="5" s="1"/>
  <c r="E105" i="5"/>
  <c r="AF104" i="5"/>
  <c r="X104" i="5"/>
  <c r="V104" i="5"/>
  <c r="R104" i="5"/>
  <c r="Y104" i="5" s="1"/>
  <c r="P104" i="5"/>
  <c r="O104" i="5"/>
  <c r="T104" i="5" s="1"/>
  <c r="E104" i="5"/>
  <c r="AF103" i="5"/>
  <c r="Y103" i="5"/>
  <c r="W103" i="5"/>
  <c r="T103" i="5"/>
  <c r="R103" i="5"/>
  <c r="X103" i="5" s="1"/>
  <c r="P103" i="5"/>
  <c r="O103" i="5"/>
  <c r="E103" i="5"/>
  <c r="AF102" i="5"/>
  <c r="R102" i="5"/>
  <c r="P102" i="5"/>
  <c r="O102" i="5"/>
  <c r="T102" i="5" s="1"/>
  <c r="E102" i="5"/>
  <c r="AF101" i="5"/>
  <c r="V101" i="5"/>
  <c r="R101" i="5"/>
  <c r="O101" i="5"/>
  <c r="E101" i="5"/>
  <c r="AF100" i="5"/>
  <c r="R100" i="5"/>
  <c r="P100" i="5"/>
  <c r="O100" i="5"/>
  <c r="T100" i="5" s="1"/>
  <c r="E100" i="5"/>
  <c r="AF99" i="5"/>
  <c r="V99" i="5"/>
  <c r="R99" i="5"/>
  <c r="O99" i="5"/>
  <c r="E99" i="5"/>
  <c r="AF98" i="5"/>
  <c r="Y98" i="5"/>
  <c r="R98" i="5"/>
  <c r="P98" i="5"/>
  <c r="O98" i="5"/>
  <c r="T98" i="5" s="1"/>
  <c r="E98" i="5"/>
  <c r="AF97" i="5"/>
  <c r="V97" i="5"/>
  <c r="R97" i="5"/>
  <c r="O97" i="5"/>
  <c r="E97" i="5"/>
  <c r="AF96" i="5"/>
  <c r="R96" i="5"/>
  <c r="P96" i="5"/>
  <c r="O96" i="5"/>
  <c r="T96" i="5" s="1"/>
  <c r="E96" i="5"/>
  <c r="AF95" i="5"/>
  <c r="Y95" i="5"/>
  <c r="W95" i="5"/>
  <c r="V95" i="5"/>
  <c r="R95" i="5"/>
  <c r="X95" i="5" s="1"/>
  <c r="O95" i="5"/>
  <c r="T95" i="5" s="1"/>
  <c r="E95" i="5"/>
  <c r="AF94" i="5"/>
  <c r="Y94" i="5"/>
  <c r="W94" i="5"/>
  <c r="T94" i="5"/>
  <c r="U94" i="5" s="1"/>
  <c r="R94" i="5"/>
  <c r="X94" i="5" s="1"/>
  <c r="P94" i="5"/>
  <c r="O94" i="5"/>
  <c r="E94" i="5"/>
  <c r="AF93" i="5"/>
  <c r="X93" i="5"/>
  <c r="R93" i="5"/>
  <c r="P93" i="5"/>
  <c r="O93" i="5"/>
  <c r="T93" i="5" s="1"/>
  <c r="E93" i="5"/>
  <c r="AF92" i="5"/>
  <c r="V92" i="5"/>
  <c r="R92" i="5"/>
  <c r="O92" i="5"/>
  <c r="E92" i="5"/>
  <c r="AF91" i="5"/>
  <c r="Y91" i="5"/>
  <c r="V91" i="5"/>
  <c r="T91" i="5"/>
  <c r="U91" i="5" s="1"/>
  <c r="R91" i="5"/>
  <c r="X91" i="5" s="1"/>
  <c r="O91" i="5"/>
  <c r="P91" i="5" s="1"/>
  <c r="E91" i="5"/>
  <c r="AF90" i="5"/>
  <c r="X90" i="5"/>
  <c r="V90" i="5"/>
  <c r="R90" i="5"/>
  <c r="Y90" i="5" s="1"/>
  <c r="O90" i="5"/>
  <c r="T90" i="5" s="1"/>
  <c r="E90" i="5"/>
  <c r="AF89" i="5"/>
  <c r="Y89" i="5"/>
  <c r="W89" i="5"/>
  <c r="T89" i="5"/>
  <c r="R89" i="5"/>
  <c r="X89" i="5" s="1"/>
  <c r="P89" i="5"/>
  <c r="O89" i="5"/>
  <c r="E89" i="5"/>
  <c r="AF88" i="5"/>
  <c r="Y88" i="5"/>
  <c r="X88" i="5"/>
  <c r="R88" i="5"/>
  <c r="P88" i="5"/>
  <c r="O88" i="5"/>
  <c r="T88" i="5" s="1"/>
  <c r="E88" i="5"/>
  <c r="AF87" i="5"/>
  <c r="Y87" i="5"/>
  <c r="W87" i="5"/>
  <c r="V87" i="5"/>
  <c r="R87" i="5"/>
  <c r="X87" i="5" s="1"/>
  <c r="P87" i="5"/>
  <c r="O87" i="5"/>
  <c r="T87" i="5" s="1"/>
  <c r="E87" i="5"/>
  <c r="AF86" i="5"/>
  <c r="V86" i="5"/>
  <c r="T86" i="5"/>
  <c r="R86" i="5"/>
  <c r="Y86" i="5" s="1"/>
  <c r="O86" i="5"/>
  <c r="P86" i="5" s="1"/>
  <c r="E86" i="5"/>
  <c r="AF85" i="5"/>
  <c r="X85" i="5"/>
  <c r="V85" i="5"/>
  <c r="R85" i="5"/>
  <c r="Y85" i="5" s="1"/>
  <c r="O85" i="5"/>
  <c r="T85" i="5" s="1"/>
  <c r="E85" i="5"/>
  <c r="AF84" i="5"/>
  <c r="V84" i="5"/>
  <c r="T84" i="5"/>
  <c r="R84" i="5"/>
  <c r="Y84" i="5" s="1"/>
  <c r="O84" i="5"/>
  <c r="P84" i="5" s="1"/>
  <c r="E84" i="5"/>
  <c r="AF83" i="5"/>
  <c r="T83" i="5"/>
  <c r="R83" i="5"/>
  <c r="X83" i="5" s="1"/>
  <c r="P83" i="5"/>
  <c r="O83" i="5"/>
  <c r="E83" i="5"/>
  <c r="AF82" i="5"/>
  <c r="V82" i="5"/>
  <c r="R82" i="5"/>
  <c r="Y82" i="5" s="1"/>
  <c r="O82" i="5"/>
  <c r="E82" i="5"/>
  <c r="AF81" i="5"/>
  <c r="Y81" i="5"/>
  <c r="V81" i="5"/>
  <c r="T81" i="5"/>
  <c r="R81" i="5"/>
  <c r="X81" i="5" s="1"/>
  <c r="O81" i="5"/>
  <c r="P81" i="5" s="1"/>
  <c r="E81" i="5"/>
  <c r="AF80" i="5"/>
  <c r="T80" i="5"/>
  <c r="R80" i="5"/>
  <c r="P80" i="5"/>
  <c r="O80" i="5"/>
  <c r="E80" i="5"/>
  <c r="AF79" i="5"/>
  <c r="V79" i="5"/>
  <c r="R79" i="5"/>
  <c r="Y79" i="5" s="1"/>
  <c r="O79" i="5"/>
  <c r="E79" i="5"/>
  <c r="AF78" i="5"/>
  <c r="Y78" i="5"/>
  <c r="V78" i="5"/>
  <c r="T78" i="5"/>
  <c r="R78" i="5"/>
  <c r="X78" i="5" s="1"/>
  <c r="O78" i="5"/>
  <c r="P78" i="5" s="1"/>
  <c r="E78" i="5"/>
  <c r="AF77" i="5"/>
  <c r="X77" i="5"/>
  <c r="V77" i="5"/>
  <c r="R77" i="5"/>
  <c r="Y77" i="5" s="1"/>
  <c r="O77" i="5"/>
  <c r="T77" i="5" s="1"/>
  <c r="E77" i="5"/>
  <c r="AF76" i="5"/>
  <c r="V76" i="5"/>
  <c r="T76" i="5"/>
  <c r="R76" i="5"/>
  <c r="Y76" i="5" s="1"/>
  <c r="O76" i="5"/>
  <c r="P76" i="5" s="1"/>
  <c r="E76" i="5"/>
  <c r="AF75" i="5"/>
  <c r="X75" i="5"/>
  <c r="V75" i="5"/>
  <c r="R75" i="5"/>
  <c r="Y75" i="5" s="1"/>
  <c r="O75" i="5"/>
  <c r="T75" i="5" s="1"/>
  <c r="E75" i="5"/>
  <c r="AF74" i="5"/>
  <c r="V74" i="5"/>
  <c r="T74" i="5"/>
  <c r="R74" i="5"/>
  <c r="Y74" i="5" s="1"/>
  <c r="O74" i="5"/>
  <c r="P74" i="5" s="1"/>
  <c r="E74" i="5"/>
  <c r="AF73" i="5"/>
  <c r="AB73" i="5"/>
  <c r="Y73" i="5"/>
  <c r="X73" i="5"/>
  <c r="T73" i="5"/>
  <c r="U73" i="5" s="1"/>
  <c r="R73" i="5"/>
  <c r="P73" i="5"/>
  <c r="O73" i="5"/>
  <c r="E73" i="5"/>
  <c r="AF72" i="5"/>
  <c r="V72" i="5"/>
  <c r="R72" i="5"/>
  <c r="Y72" i="5" s="1"/>
  <c r="O72" i="5"/>
  <c r="E72" i="5"/>
  <c r="AF71" i="5"/>
  <c r="Y71" i="5"/>
  <c r="V71" i="5"/>
  <c r="T71" i="5"/>
  <c r="U71" i="5" s="1"/>
  <c r="R71" i="5"/>
  <c r="X71" i="5" s="1"/>
  <c r="O71" i="5"/>
  <c r="P71" i="5" s="1"/>
  <c r="E71" i="5"/>
  <c r="AF70" i="5"/>
  <c r="X70" i="5"/>
  <c r="T70" i="5"/>
  <c r="R70" i="5"/>
  <c r="W70" i="5" s="1"/>
  <c r="P70" i="5"/>
  <c r="O70" i="5"/>
  <c r="E70" i="5"/>
  <c r="AF69" i="5"/>
  <c r="V69" i="5"/>
  <c r="R69" i="5"/>
  <c r="Y69" i="5" s="1"/>
  <c r="O69" i="5"/>
  <c r="E69" i="5"/>
  <c r="AF68" i="5"/>
  <c r="Y68" i="5"/>
  <c r="R68" i="5"/>
  <c r="P68" i="5"/>
  <c r="O68" i="5"/>
  <c r="T68" i="5" s="1"/>
  <c r="E68" i="5"/>
  <c r="AF67" i="5"/>
  <c r="Y67" i="5"/>
  <c r="W67" i="5"/>
  <c r="V67" i="5"/>
  <c r="R67" i="5"/>
  <c r="X67" i="5" s="1"/>
  <c r="P67" i="5"/>
  <c r="O67" i="5"/>
  <c r="T67" i="5" s="1"/>
  <c r="E67" i="5"/>
  <c r="AF66" i="5"/>
  <c r="Y66" i="5"/>
  <c r="W66" i="5"/>
  <c r="T66" i="5"/>
  <c r="R66" i="5"/>
  <c r="X66" i="5" s="1"/>
  <c r="P66" i="5"/>
  <c r="O66" i="5"/>
  <c r="E66" i="5"/>
  <c r="AF65" i="5"/>
  <c r="R65" i="5"/>
  <c r="P65" i="5"/>
  <c r="O65" i="5"/>
  <c r="T65" i="5" s="1"/>
  <c r="E65" i="5"/>
  <c r="AF64" i="5"/>
  <c r="Y64" i="5"/>
  <c r="W64" i="5"/>
  <c r="V64" i="5"/>
  <c r="R64" i="5"/>
  <c r="X64" i="5" s="1"/>
  <c r="P64" i="5"/>
  <c r="O64" i="5"/>
  <c r="T64" i="5" s="1"/>
  <c r="E64" i="5"/>
  <c r="AF63" i="5"/>
  <c r="V63" i="5"/>
  <c r="R63" i="5"/>
  <c r="Y63" i="5" s="1"/>
  <c r="O63" i="5"/>
  <c r="P63" i="5" s="1"/>
  <c r="E63" i="5"/>
  <c r="AF62" i="5"/>
  <c r="X62" i="5"/>
  <c r="W62" i="5"/>
  <c r="T62" i="5"/>
  <c r="R62" i="5"/>
  <c r="P62" i="5"/>
  <c r="O62" i="5"/>
  <c r="E62" i="5"/>
  <c r="AF61" i="5"/>
  <c r="X61" i="5"/>
  <c r="T61" i="5"/>
  <c r="R61" i="5"/>
  <c r="Y61" i="5" s="1"/>
  <c r="P61" i="5"/>
  <c r="O61" i="5"/>
  <c r="E61" i="5"/>
  <c r="AF60" i="5"/>
  <c r="X60" i="5"/>
  <c r="R60" i="5"/>
  <c r="Y60" i="5" s="1"/>
  <c r="P60" i="5"/>
  <c r="O60" i="5"/>
  <c r="T60" i="5" s="1"/>
  <c r="U60" i="5" s="1"/>
  <c r="E60" i="5"/>
  <c r="AF59" i="5"/>
  <c r="Y59" i="5"/>
  <c r="V59" i="5"/>
  <c r="R59" i="5"/>
  <c r="O59" i="5"/>
  <c r="E59" i="5"/>
  <c r="AF58" i="5"/>
  <c r="R58" i="5"/>
  <c r="Y58" i="5" s="1"/>
  <c r="P58" i="5"/>
  <c r="O58" i="5"/>
  <c r="T58" i="5" s="1"/>
  <c r="E58" i="5"/>
  <c r="AF57" i="5"/>
  <c r="Y57" i="5"/>
  <c r="V57" i="5"/>
  <c r="R57" i="5"/>
  <c r="O57" i="5"/>
  <c r="E57" i="5"/>
  <c r="AF56" i="5"/>
  <c r="R56" i="5"/>
  <c r="P56" i="5"/>
  <c r="O56" i="5"/>
  <c r="T56" i="5" s="1"/>
  <c r="E56" i="5"/>
  <c r="AF55" i="5"/>
  <c r="R55" i="5"/>
  <c r="X55" i="5" s="1"/>
  <c r="O55" i="5"/>
  <c r="P55" i="5" s="1"/>
  <c r="E55" i="5"/>
  <c r="AF54" i="5"/>
  <c r="X54" i="5"/>
  <c r="R54" i="5"/>
  <c r="Y54" i="5" s="1"/>
  <c r="O54" i="5"/>
  <c r="P54" i="5" s="1"/>
  <c r="E54" i="5"/>
  <c r="AF53" i="5"/>
  <c r="W53" i="5"/>
  <c r="R53" i="5"/>
  <c r="X53" i="5" s="1"/>
  <c r="P53" i="5"/>
  <c r="O53" i="5"/>
  <c r="T53" i="5" s="1"/>
  <c r="E53" i="5"/>
  <c r="AF52" i="5"/>
  <c r="X52" i="5"/>
  <c r="U52" i="5"/>
  <c r="T52" i="5"/>
  <c r="R52" i="5"/>
  <c r="Y52" i="5" s="1"/>
  <c r="P52" i="5"/>
  <c r="O52" i="5"/>
  <c r="E52" i="5"/>
  <c r="AF51" i="5"/>
  <c r="Y51" i="5"/>
  <c r="W51" i="5"/>
  <c r="R51" i="5"/>
  <c r="V51" i="5" s="1"/>
  <c r="P51" i="5"/>
  <c r="O51" i="5"/>
  <c r="T51" i="5" s="1"/>
  <c r="E51" i="5"/>
  <c r="AF50" i="5"/>
  <c r="Y50" i="5"/>
  <c r="W50" i="5"/>
  <c r="V50" i="5"/>
  <c r="R50" i="5"/>
  <c r="X50" i="5" s="1"/>
  <c r="O50" i="5"/>
  <c r="T50" i="5" s="1"/>
  <c r="E50" i="5"/>
  <c r="AF49" i="5"/>
  <c r="Y49" i="5"/>
  <c r="W49" i="5"/>
  <c r="T49" i="5"/>
  <c r="U49" i="5" s="1"/>
  <c r="R49" i="5"/>
  <c r="X49" i="5" s="1"/>
  <c r="P49" i="5"/>
  <c r="O49" i="5"/>
  <c r="E49" i="5"/>
  <c r="AF48" i="5"/>
  <c r="Y48" i="5"/>
  <c r="R48" i="5"/>
  <c r="V48" i="5" s="1"/>
  <c r="P48" i="5"/>
  <c r="O48" i="5"/>
  <c r="T48" i="5" s="1"/>
  <c r="E48" i="5"/>
  <c r="AF47" i="5"/>
  <c r="Y47" i="5"/>
  <c r="W47" i="5"/>
  <c r="V47" i="5"/>
  <c r="R47" i="5"/>
  <c r="X47" i="5" s="1"/>
  <c r="U47" i="5" s="1"/>
  <c r="O47" i="5"/>
  <c r="T47" i="5" s="1"/>
  <c r="E47" i="5"/>
  <c r="AF46" i="5"/>
  <c r="Y46" i="5"/>
  <c r="X46" i="5"/>
  <c r="V46" i="5"/>
  <c r="R46" i="5"/>
  <c r="O46" i="5"/>
  <c r="P46" i="5" s="1"/>
  <c r="E46" i="5"/>
  <c r="AF45" i="5"/>
  <c r="V45" i="5"/>
  <c r="R45" i="5"/>
  <c r="Y45" i="5" s="1"/>
  <c r="P45" i="5"/>
  <c r="O45" i="5"/>
  <c r="T45" i="5" s="1"/>
  <c r="E45" i="5"/>
  <c r="AF44" i="5"/>
  <c r="X44" i="5"/>
  <c r="R44" i="5"/>
  <c r="W44" i="5" s="1"/>
  <c r="O44" i="5"/>
  <c r="P44" i="5" s="1"/>
  <c r="E44" i="5"/>
  <c r="AF43" i="5"/>
  <c r="T43" i="5"/>
  <c r="R43" i="5"/>
  <c r="X43" i="5" s="1"/>
  <c r="O43" i="5"/>
  <c r="P43" i="5" s="1"/>
  <c r="E43" i="5"/>
  <c r="AF42" i="5"/>
  <c r="X42" i="5"/>
  <c r="W42" i="5"/>
  <c r="V42" i="5"/>
  <c r="R42" i="5"/>
  <c r="Y42" i="5" s="1"/>
  <c r="P42" i="5"/>
  <c r="O42" i="5"/>
  <c r="T42" i="5" s="1"/>
  <c r="E42" i="5"/>
  <c r="AF41" i="5"/>
  <c r="V41" i="5"/>
  <c r="R41" i="5"/>
  <c r="W41" i="5" s="1"/>
  <c r="O41" i="5"/>
  <c r="P41" i="5" s="1"/>
  <c r="E41" i="5"/>
  <c r="AF40" i="5"/>
  <c r="X40" i="5"/>
  <c r="R40" i="5"/>
  <c r="Y40" i="5" s="1"/>
  <c r="O40" i="5"/>
  <c r="T40" i="5" s="1"/>
  <c r="U40" i="5" s="1"/>
  <c r="E40" i="5"/>
  <c r="AF39" i="5"/>
  <c r="T39" i="5"/>
  <c r="U39" i="5" s="1"/>
  <c r="R39" i="5"/>
  <c r="X39" i="5" s="1"/>
  <c r="O39" i="5"/>
  <c r="P39" i="5" s="1"/>
  <c r="E39" i="5"/>
  <c r="AF38" i="5"/>
  <c r="R38" i="5"/>
  <c r="Y38" i="5" s="1"/>
  <c r="O38" i="5"/>
  <c r="T38" i="5" s="1"/>
  <c r="E38" i="5"/>
  <c r="AF37" i="5"/>
  <c r="Y37" i="5"/>
  <c r="V37" i="5"/>
  <c r="T37" i="5"/>
  <c r="R37" i="5"/>
  <c r="X37" i="5" s="1"/>
  <c r="O37" i="5"/>
  <c r="P37" i="5" s="1"/>
  <c r="E37" i="5"/>
  <c r="AF36" i="5"/>
  <c r="Y36" i="5"/>
  <c r="X36" i="5"/>
  <c r="V36" i="5"/>
  <c r="U36" i="5"/>
  <c r="R36" i="5"/>
  <c r="O36" i="5"/>
  <c r="T36" i="5" s="1"/>
  <c r="Z36" i="5" s="1"/>
  <c r="AE36" i="5" s="1"/>
  <c r="E36" i="5"/>
  <c r="AF35" i="5"/>
  <c r="V35" i="5"/>
  <c r="R35" i="5"/>
  <c r="X35" i="5" s="1"/>
  <c r="O35" i="5"/>
  <c r="P35" i="5" s="1"/>
  <c r="E35" i="5"/>
  <c r="AF34" i="5"/>
  <c r="W34" i="5"/>
  <c r="R34" i="5"/>
  <c r="O34" i="5"/>
  <c r="T34" i="5" s="1"/>
  <c r="E34" i="5"/>
  <c r="AF33" i="5"/>
  <c r="Y33" i="5"/>
  <c r="W33" i="5"/>
  <c r="V33" i="5"/>
  <c r="R33" i="5"/>
  <c r="X33" i="5" s="1"/>
  <c r="O33" i="5"/>
  <c r="P33" i="5" s="1"/>
  <c r="E33" i="5"/>
  <c r="AF32" i="5"/>
  <c r="X32" i="5"/>
  <c r="U32" i="5"/>
  <c r="T32" i="5"/>
  <c r="R32" i="5"/>
  <c r="V32" i="5" s="1"/>
  <c r="P32" i="5"/>
  <c r="O32" i="5"/>
  <c r="E32" i="5"/>
  <c r="AF31" i="5"/>
  <c r="X31" i="5"/>
  <c r="U31" i="5" s="1"/>
  <c r="R31" i="5"/>
  <c r="V31" i="5" s="1"/>
  <c r="O31" i="5"/>
  <c r="P31" i="5" s="1"/>
  <c r="E31" i="5"/>
  <c r="AF30" i="5"/>
  <c r="X30" i="5"/>
  <c r="T30" i="5"/>
  <c r="U30" i="5" s="1"/>
  <c r="R30" i="5"/>
  <c r="V30" i="5" s="1"/>
  <c r="P30" i="5"/>
  <c r="O30" i="5"/>
  <c r="E30" i="5"/>
  <c r="AF29" i="5"/>
  <c r="U29" i="5"/>
  <c r="T29" i="5"/>
  <c r="R29" i="5"/>
  <c r="W29" i="5" s="1"/>
  <c r="O29" i="5"/>
  <c r="P29" i="5" s="1"/>
  <c r="E29" i="5"/>
  <c r="AF28" i="5"/>
  <c r="AA28" i="5"/>
  <c r="AC28" i="5" s="1"/>
  <c r="X28" i="5"/>
  <c r="W28" i="5"/>
  <c r="U28" i="5"/>
  <c r="T28" i="5"/>
  <c r="Z28" i="5" s="1"/>
  <c r="AE28" i="5" s="1"/>
  <c r="S28" i="5"/>
  <c r="R28" i="5"/>
  <c r="V28" i="5" s="1"/>
  <c r="P28" i="5"/>
  <c r="O28" i="5"/>
  <c r="E28" i="5"/>
  <c r="AF27" i="5"/>
  <c r="X27" i="5"/>
  <c r="W27" i="5"/>
  <c r="V27" i="5"/>
  <c r="R27" i="5"/>
  <c r="O27" i="5"/>
  <c r="P27" i="5" s="1"/>
  <c r="E27" i="5"/>
  <c r="AF26" i="5"/>
  <c r="X26" i="5"/>
  <c r="U26" i="5"/>
  <c r="T26" i="5"/>
  <c r="R26" i="5"/>
  <c r="V26" i="5" s="1"/>
  <c r="P26" i="5"/>
  <c r="O26" i="5"/>
  <c r="E26" i="5"/>
  <c r="AF25" i="5"/>
  <c r="W25" i="5"/>
  <c r="R25" i="5"/>
  <c r="O25" i="5"/>
  <c r="T25" i="5" s="1"/>
  <c r="E25" i="5"/>
  <c r="AF24" i="5"/>
  <c r="X24" i="5"/>
  <c r="T24" i="5"/>
  <c r="U24" i="5" s="1"/>
  <c r="R24" i="5"/>
  <c r="V24" i="5" s="1"/>
  <c r="P24" i="5"/>
  <c r="O24" i="5"/>
  <c r="E24" i="5"/>
  <c r="AF23" i="5"/>
  <c r="U23" i="5"/>
  <c r="T23" i="5"/>
  <c r="R23" i="5"/>
  <c r="W23" i="5" s="1"/>
  <c r="O23" i="5"/>
  <c r="P23" i="5" s="1"/>
  <c r="E23" i="5"/>
  <c r="AF22" i="5"/>
  <c r="AA22" i="5"/>
  <c r="AC22" i="5" s="1"/>
  <c r="X22" i="5"/>
  <c r="W22" i="5"/>
  <c r="U22" i="5"/>
  <c r="T22" i="5"/>
  <c r="Z22" i="5" s="1"/>
  <c r="AE22" i="5" s="1"/>
  <c r="S22" i="5"/>
  <c r="R22" i="5"/>
  <c r="V22" i="5" s="1"/>
  <c r="P22" i="5"/>
  <c r="O22" i="5"/>
  <c r="E22" i="5"/>
  <c r="AF21" i="5"/>
  <c r="X21" i="5"/>
  <c r="W21" i="5"/>
  <c r="V21" i="5"/>
  <c r="R21" i="5"/>
  <c r="O21" i="5"/>
  <c r="P21" i="5" s="1"/>
  <c r="E21" i="5"/>
  <c r="AF20" i="5"/>
  <c r="X20" i="5"/>
  <c r="U20" i="5"/>
  <c r="T20" i="5"/>
  <c r="R20" i="5"/>
  <c r="V20" i="5" s="1"/>
  <c r="P20" i="5"/>
  <c r="O20" i="5"/>
  <c r="E20" i="5"/>
  <c r="AF19" i="5"/>
  <c r="W19" i="5"/>
  <c r="R19" i="5"/>
  <c r="O19" i="5"/>
  <c r="T19" i="5" s="1"/>
  <c r="E19" i="5"/>
  <c r="AF18" i="5"/>
  <c r="X18" i="5"/>
  <c r="T18" i="5"/>
  <c r="U18" i="5" s="1"/>
  <c r="R18" i="5"/>
  <c r="V18" i="5" s="1"/>
  <c r="P18" i="5"/>
  <c r="O18" i="5"/>
  <c r="E18" i="5"/>
  <c r="AF17" i="5"/>
  <c r="U17" i="5"/>
  <c r="T17" i="5"/>
  <c r="R17" i="5"/>
  <c r="W17" i="5" s="1"/>
  <c r="O17" i="5"/>
  <c r="P17" i="5" s="1"/>
  <c r="E17" i="5"/>
  <c r="AF16" i="5"/>
  <c r="AA16" i="5"/>
  <c r="AC16" i="5" s="1"/>
  <c r="X16" i="5"/>
  <c r="W16" i="5"/>
  <c r="U16" i="5"/>
  <c r="T16" i="5"/>
  <c r="Z16" i="5" s="1"/>
  <c r="AE16" i="5" s="1"/>
  <c r="S16" i="5"/>
  <c r="R16" i="5"/>
  <c r="V16" i="5" s="1"/>
  <c r="P16" i="5"/>
  <c r="O16" i="5"/>
  <c r="E16" i="5"/>
  <c r="AF15" i="5"/>
  <c r="X15" i="5"/>
  <c r="W15" i="5"/>
  <c r="V15" i="5"/>
  <c r="R15" i="5"/>
  <c r="O15" i="5"/>
  <c r="P15" i="5" s="1"/>
  <c r="E15" i="5"/>
  <c r="AF14" i="5"/>
  <c r="X14" i="5"/>
  <c r="U14" i="5"/>
  <c r="T14" i="5"/>
  <c r="R14" i="5"/>
  <c r="V14" i="5" s="1"/>
  <c r="P14" i="5"/>
  <c r="O14" i="5"/>
  <c r="E14" i="5"/>
  <c r="AF13" i="5"/>
  <c r="W13" i="5"/>
  <c r="R13" i="5"/>
  <c r="O13" i="5"/>
  <c r="T13" i="5" s="1"/>
  <c r="E13" i="5"/>
  <c r="AF12" i="5"/>
  <c r="X12" i="5"/>
  <c r="T12" i="5"/>
  <c r="U12" i="5" s="1"/>
  <c r="R12" i="5"/>
  <c r="V12" i="5" s="1"/>
  <c r="P12" i="5"/>
  <c r="O12" i="5"/>
  <c r="E12" i="5"/>
  <c r="AF11" i="5"/>
  <c r="U11" i="5"/>
  <c r="T11" i="5"/>
  <c r="R11" i="5"/>
  <c r="W11" i="5" s="1"/>
  <c r="O11" i="5"/>
  <c r="P11" i="5" s="1"/>
  <c r="E11" i="5"/>
  <c r="AF10" i="5"/>
  <c r="AA10" i="5"/>
  <c r="AC10" i="5" s="1"/>
  <c r="X10" i="5"/>
  <c r="W10" i="5"/>
  <c r="U10" i="5"/>
  <c r="T10" i="5"/>
  <c r="Z10" i="5" s="1"/>
  <c r="AE10" i="5" s="1"/>
  <c r="S10" i="5"/>
  <c r="R10" i="5"/>
  <c r="V10" i="5" s="1"/>
  <c r="P10" i="5"/>
  <c r="O10" i="5"/>
  <c r="E10" i="5"/>
  <c r="AF9" i="5"/>
  <c r="X9" i="5"/>
  <c r="W9" i="5"/>
  <c r="V9" i="5"/>
  <c r="R9" i="5"/>
  <c r="O9" i="5"/>
  <c r="P9" i="5" s="1"/>
  <c r="E9" i="5"/>
  <c r="AF8" i="5"/>
  <c r="X8" i="5"/>
  <c r="U8" i="5"/>
  <c r="T8" i="5"/>
  <c r="R8" i="5"/>
  <c r="V8" i="5" s="1"/>
  <c r="P8" i="5"/>
  <c r="O8" i="5"/>
  <c r="E8" i="5"/>
  <c r="AF7" i="5"/>
  <c r="W7" i="5"/>
  <c r="R7" i="5"/>
  <c r="O7" i="5"/>
  <c r="T7" i="5" s="1"/>
  <c r="E7" i="5"/>
  <c r="AF6" i="5"/>
  <c r="X6" i="5"/>
  <c r="T6" i="5"/>
  <c r="U6" i="5" s="1"/>
  <c r="R6" i="5"/>
  <c r="V6" i="5" s="1"/>
  <c r="P6" i="5"/>
  <c r="O6" i="5"/>
  <c r="E6" i="5"/>
  <c r="AF5" i="5"/>
  <c r="U5" i="5"/>
  <c r="T5" i="5"/>
  <c r="R5" i="5"/>
  <c r="W5" i="5" s="1"/>
  <c r="O5" i="5"/>
  <c r="P5" i="5" s="1"/>
  <c r="E5" i="5"/>
  <c r="AF4" i="5"/>
  <c r="AA4" i="5"/>
  <c r="AC4" i="5" s="1"/>
  <c r="X4" i="5"/>
  <c r="W4" i="5"/>
  <c r="U4" i="5"/>
  <c r="T4" i="5"/>
  <c r="Z4" i="5" s="1"/>
  <c r="AE4" i="5" s="1"/>
  <c r="S4" i="5"/>
  <c r="R4" i="5"/>
  <c r="V4" i="5" s="1"/>
  <c r="P4" i="5"/>
  <c r="O4" i="5"/>
  <c r="E4" i="5"/>
  <c r="AF3" i="5"/>
  <c r="X3" i="5"/>
  <c r="W3" i="5"/>
  <c r="V3" i="5"/>
  <c r="R3" i="5"/>
  <c r="O3" i="5"/>
  <c r="P3" i="5" s="1"/>
  <c r="E3" i="5"/>
  <c r="AF2" i="5"/>
  <c r="X2" i="5"/>
  <c r="U2" i="5"/>
  <c r="T2" i="5"/>
  <c r="R2" i="5"/>
  <c r="V2" i="5" s="1"/>
  <c r="P2" i="5"/>
  <c r="O2" i="5"/>
  <c r="E2" i="5"/>
  <c r="B107" i="3"/>
  <c r="M106" i="3"/>
  <c r="K106" i="3"/>
  <c r="F106" i="3"/>
  <c r="N103" i="3"/>
  <c r="B103" i="3"/>
  <c r="A103" i="3"/>
  <c r="F107" i="3" s="1"/>
  <c r="N102" i="3"/>
  <c r="N101" i="3"/>
  <c r="N100" i="3"/>
  <c r="B100" i="3"/>
  <c r="N99" i="3"/>
  <c r="H99" i="3"/>
  <c r="G99" i="3"/>
  <c r="B99" i="3"/>
  <c r="L1042" i="2" s="1"/>
  <c r="H98" i="3"/>
  <c r="G98" i="3"/>
  <c r="E98" i="3"/>
  <c r="E101" i="3" s="1"/>
  <c r="D1025" i="2" s="1"/>
  <c r="B98" i="3"/>
  <c r="D106" i="3" s="1"/>
  <c r="E97" i="3"/>
  <c r="D97" i="3"/>
  <c r="L95" i="3"/>
  <c r="H95" i="3"/>
  <c r="B95" i="3"/>
  <c r="H94" i="3"/>
  <c r="G94" i="3"/>
  <c r="F94" i="3"/>
  <c r="H93" i="3"/>
  <c r="G93" i="3"/>
  <c r="F93" i="3"/>
  <c r="H92" i="3"/>
  <c r="G92" i="3"/>
  <c r="F92" i="3"/>
  <c r="H91" i="3"/>
  <c r="G91" i="3"/>
  <c r="F91" i="3"/>
  <c r="H90" i="3"/>
  <c r="G90" i="3"/>
  <c r="F90" i="3"/>
  <c r="H89" i="3"/>
  <c r="G89" i="3"/>
  <c r="F89" i="3"/>
  <c r="H88" i="3"/>
  <c r="G88" i="3"/>
  <c r="F88" i="3"/>
  <c r="H87" i="3"/>
  <c r="G87" i="3"/>
  <c r="F87" i="3"/>
  <c r="H86" i="3"/>
  <c r="G86" i="3"/>
  <c r="F86" i="3"/>
  <c r="H85" i="3"/>
  <c r="G85" i="3"/>
  <c r="F85" i="3"/>
  <c r="H84" i="3"/>
  <c r="G84" i="3"/>
  <c r="F84" i="3"/>
  <c r="H83" i="3"/>
  <c r="G83" i="3"/>
  <c r="F83" i="3"/>
  <c r="H82" i="3"/>
  <c r="G82" i="3"/>
  <c r="F82" i="3"/>
  <c r="H81" i="3"/>
  <c r="G81" i="3"/>
  <c r="F81" i="3"/>
  <c r="H80" i="3"/>
  <c r="G80" i="3"/>
  <c r="F80" i="3"/>
  <c r="H79" i="3"/>
  <c r="G79" i="3"/>
  <c r="F79" i="3"/>
  <c r="H78" i="3"/>
  <c r="G78" i="3"/>
  <c r="F78" i="3"/>
  <c r="H77" i="3"/>
  <c r="G77" i="3"/>
  <c r="F77" i="3"/>
  <c r="H76" i="3"/>
  <c r="G76" i="3"/>
  <c r="F76" i="3"/>
  <c r="H75" i="3"/>
  <c r="G75" i="3"/>
  <c r="F75" i="3"/>
  <c r="H74" i="3"/>
  <c r="G74" i="3"/>
  <c r="F74" i="3"/>
  <c r="H73" i="3"/>
  <c r="G73" i="3"/>
  <c r="F73" i="3"/>
  <c r="H72" i="3"/>
  <c r="G72" i="3"/>
  <c r="F72" i="3"/>
  <c r="H71" i="3"/>
  <c r="G71" i="3"/>
  <c r="F71" i="3"/>
  <c r="H70" i="3"/>
  <c r="G70" i="3"/>
  <c r="F70" i="3"/>
  <c r="H69" i="3"/>
  <c r="G69" i="3"/>
  <c r="F69" i="3"/>
  <c r="H68" i="3"/>
  <c r="G68" i="3"/>
  <c r="F68" i="3"/>
  <c r="H67" i="3"/>
  <c r="G67" i="3"/>
  <c r="F67" i="3"/>
  <c r="H66" i="3"/>
  <c r="G66" i="3"/>
  <c r="F66" i="3"/>
  <c r="H65" i="3"/>
  <c r="G65" i="3"/>
  <c r="F65" i="3"/>
  <c r="H64" i="3"/>
  <c r="G64" i="3"/>
  <c r="F64" i="3"/>
  <c r="H63" i="3"/>
  <c r="G63" i="3"/>
  <c r="F63" i="3"/>
  <c r="H62" i="3"/>
  <c r="G62" i="3"/>
  <c r="F62" i="3"/>
  <c r="H61" i="3"/>
  <c r="G61" i="3"/>
  <c r="F61" i="3"/>
  <c r="H60" i="3"/>
  <c r="G60" i="3"/>
  <c r="F60" i="3"/>
  <c r="H59" i="3"/>
  <c r="G59" i="3"/>
  <c r="F59" i="3"/>
  <c r="H58" i="3"/>
  <c r="G58" i="3"/>
  <c r="F58" i="3"/>
  <c r="H57" i="3"/>
  <c r="G57" i="3"/>
  <c r="F57" i="3"/>
  <c r="H56" i="3"/>
  <c r="G56" i="3"/>
  <c r="F56" i="3"/>
  <c r="H55" i="3"/>
  <c r="G55" i="3"/>
  <c r="F55" i="3"/>
  <c r="H54" i="3"/>
  <c r="G54" i="3"/>
  <c r="F54" i="3"/>
  <c r="H53" i="3"/>
  <c r="G53" i="3"/>
  <c r="F53" i="3"/>
  <c r="H52" i="3"/>
  <c r="G52" i="3"/>
  <c r="F52" i="3"/>
  <c r="H51" i="3"/>
  <c r="G51" i="3"/>
  <c r="F51" i="3"/>
  <c r="H50" i="3"/>
  <c r="G50" i="3"/>
  <c r="F50" i="3"/>
  <c r="H49" i="3"/>
  <c r="G49" i="3"/>
  <c r="F49" i="3"/>
  <c r="H48" i="3"/>
  <c r="G48" i="3"/>
  <c r="F48" i="3"/>
  <c r="H47" i="3"/>
  <c r="G47" i="3"/>
  <c r="F47" i="3"/>
  <c r="H46" i="3"/>
  <c r="G46" i="3"/>
  <c r="F46" i="3"/>
  <c r="H45" i="3"/>
  <c r="G45" i="3"/>
  <c r="F45" i="3"/>
  <c r="H44" i="3"/>
  <c r="G44" i="3"/>
  <c r="F44" i="3"/>
  <c r="H43" i="3"/>
  <c r="G43" i="3"/>
  <c r="F43" i="3"/>
  <c r="H42" i="3"/>
  <c r="G42" i="3"/>
  <c r="F42" i="3"/>
  <c r="H41" i="3"/>
  <c r="G41" i="3"/>
  <c r="F41" i="3"/>
  <c r="H40" i="3"/>
  <c r="G40" i="3"/>
  <c r="F40" i="3"/>
  <c r="H39" i="3"/>
  <c r="G39" i="3"/>
  <c r="F39" i="3"/>
  <c r="H38" i="3"/>
  <c r="G38" i="3"/>
  <c r="F38" i="3"/>
  <c r="H37" i="3"/>
  <c r="G37" i="3"/>
  <c r="F37" i="3"/>
  <c r="H36" i="3"/>
  <c r="G36" i="3"/>
  <c r="F36" i="3"/>
  <c r="H35" i="3"/>
  <c r="G35" i="3"/>
  <c r="F35" i="3"/>
  <c r="H34" i="3"/>
  <c r="G34" i="3"/>
  <c r="F34" i="3"/>
  <c r="H33" i="3"/>
  <c r="G33" i="3"/>
  <c r="F33" i="3"/>
  <c r="H32" i="3"/>
  <c r="G32" i="3"/>
  <c r="F32" i="3"/>
  <c r="H31" i="3"/>
  <c r="G31" i="3"/>
  <c r="F31" i="3"/>
  <c r="H30" i="3"/>
  <c r="G30" i="3"/>
  <c r="F30" i="3"/>
  <c r="H29" i="3"/>
  <c r="G29" i="3"/>
  <c r="F29" i="3"/>
  <c r="H28" i="3"/>
  <c r="G28" i="3"/>
  <c r="F28" i="3"/>
  <c r="H27" i="3"/>
  <c r="G27" i="3"/>
  <c r="F27" i="3"/>
  <c r="H26" i="3"/>
  <c r="G26" i="3"/>
  <c r="F26" i="3"/>
  <c r="H25" i="3"/>
  <c r="G25" i="3"/>
  <c r="F25" i="3"/>
  <c r="H24" i="3"/>
  <c r="G24" i="3"/>
  <c r="F24" i="3"/>
  <c r="H23" i="3"/>
  <c r="G23" i="3"/>
  <c r="F23" i="3"/>
  <c r="H22" i="3"/>
  <c r="G22" i="3"/>
  <c r="F22" i="3"/>
  <c r="H21" i="3"/>
  <c r="G21" i="3"/>
  <c r="F21" i="3"/>
  <c r="H20" i="3"/>
  <c r="B97" i="3" s="1"/>
  <c r="G20" i="3"/>
  <c r="F20" i="3"/>
  <c r="F95" i="3" s="1"/>
  <c r="F17" i="3"/>
  <c r="C15" i="3"/>
  <c r="B15" i="3"/>
  <c r="D98" i="3" s="1"/>
  <c r="D100" i="3" s="1"/>
  <c r="N1036" i="2"/>
  <c r="N1035" i="2"/>
  <c r="N1034" i="2"/>
  <c r="N1033" i="2"/>
  <c r="N1032" i="2"/>
  <c r="N1031" i="2"/>
  <c r="N1030" i="2"/>
  <c r="N1029" i="2"/>
  <c r="N1028" i="2"/>
  <c r="B1028" i="2"/>
  <c r="K1027" i="2"/>
  <c r="N1027" i="2" s="1"/>
  <c r="B1027" i="2"/>
  <c r="N1026" i="2"/>
  <c r="N1025" i="2"/>
  <c r="N1024" i="2"/>
  <c r="N1023" i="2"/>
  <c r="D1023" i="2"/>
  <c r="B1023" i="2"/>
  <c r="N1022" i="2"/>
  <c r="M1021" i="2"/>
  <c r="K1021" i="2"/>
  <c r="N1021" i="2" s="1"/>
  <c r="N1020" i="2"/>
  <c r="N1019" i="2"/>
  <c r="N1018" i="2"/>
  <c r="F1018" i="2"/>
  <c r="B1018" i="2"/>
  <c r="N1017" i="2"/>
  <c r="F1017" i="2"/>
  <c r="B1017" i="2"/>
  <c r="N1016" i="2"/>
  <c r="N1015" i="2"/>
  <c r="B1015" i="2"/>
  <c r="K1037" i="2" s="1"/>
  <c r="N1014" i="2"/>
  <c r="N1013" i="2"/>
  <c r="N1012" i="2"/>
  <c r="N1011" i="2"/>
  <c r="G1011" i="2"/>
  <c r="N1010" i="2"/>
  <c r="H1010" i="2"/>
  <c r="G1010" i="2"/>
  <c r="B1010" i="2"/>
  <c r="L1040" i="2" s="1"/>
  <c r="N1009" i="2"/>
  <c r="B1009" i="2"/>
  <c r="L1006" i="2"/>
  <c r="D1022" i="2" s="1"/>
  <c r="B1032" i="2" s="1"/>
  <c r="H1006" i="2"/>
  <c r="H1005" i="2"/>
  <c r="G1005" i="2"/>
  <c r="F1005" i="2" s="1"/>
  <c r="H1004" i="2"/>
  <c r="G1004" i="2"/>
  <c r="H1003" i="2"/>
  <c r="G1003" i="2"/>
  <c r="F1003" i="2" s="1"/>
  <c r="H1002" i="2"/>
  <c r="G1002" i="2"/>
  <c r="H1001" i="2"/>
  <c r="G1001" i="2"/>
  <c r="F1001" i="2" s="1"/>
  <c r="H1000" i="2"/>
  <c r="G1000" i="2"/>
  <c r="H999" i="2"/>
  <c r="G999" i="2"/>
  <c r="F999" i="2" s="1"/>
  <c r="H998" i="2"/>
  <c r="E998" i="2"/>
  <c r="G998" i="2" s="1"/>
  <c r="F998" i="2" s="1"/>
  <c r="B998" i="2"/>
  <c r="B1011" i="2" s="1"/>
  <c r="H997" i="2"/>
  <c r="G997" i="2"/>
  <c r="F997" i="2" s="1"/>
  <c r="H996" i="2"/>
  <c r="G996" i="2"/>
  <c r="F996" i="2" s="1"/>
  <c r="H995" i="2"/>
  <c r="G995" i="2"/>
  <c r="F995" i="2" s="1"/>
  <c r="H994" i="2"/>
  <c r="G994" i="2"/>
  <c r="F994" i="2" s="1"/>
  <c r="H993" i="2"/>
  <c r="G993" i="2"/>
  <c r="F993" i="2" s="1"/>
  <c r="H992" i="2"/>
  <c r="G992" i="2"/>
  <c r="F992" i="2" s="1"/>
  <c r="H991" i="2"/>
  <c r="G991" i="2"/>
  <c r="F991" i="2" s="1"/>
  <c r="H990" i="2"/>
  <c r="G990" i="2"/>
  <c r="F990" i="2" s="1"/>
  <c r="H989" i="2"/>
  <c r="G989" i="2"/>
  <c r="F989" i="2" s="1"/>
  <c r="H988" i="2"/>
  <c r="G988" i="2"/>
  <c r="F988" i="2" s="1"/>
  <c r="H987" i="2"/>
  <c r="G987" i="2"/>
  <c r="F987" i="2" s="1"/>
  <c r="H986" i="2"/>
  <c r="G986" i="2"/>
  <c r="F986" i="2" s="1"/>
  <c r="H985" i="2"/>
  <c r="G985" i="2"/>
  <c r="F985" i="2" s="1"/>
  <c r="H984" i="2"/>
  <c r="G984" i="2"/>
  <c r="F984" i="2" s="1"/>
  <c r="H983" i="2"/>
  <c r="G983" i="2"/>
  <c r="F983" i="2" s="1"/>
  <c r="H982" i="2"/>
  <c r="G982" i="2"/>
  <c r="F982" i="2" s="1"/>
  <c r="H981" i="2"/>
  <c r="G981" i="2"/>
  <c r="F981" i="2" s="1"/>
  <c r="H980" i="2"/>
  <c r="G980" i="2"/>
  <c r="F980" i="2" s="1"/>
  <c r="H979" i="2"/>
  <c r="G979" i="2"/>
  <c r="F979" i="2" s="1"/>
  <c r="H978" i="2"/>
  <c r="G978" i="2"/>
  <c r="F978" i="2" s="1"/>
  <c r="H977" i="2"/>
  <c r="G977" i="2"/>
  <c r="F977" i="2" s="1"/>
  <c r="H976" i="2"/>
  <c r="G976" i="2"/>
  <c r="F976" i="2" s="1"/>
  <c r="H975" i="2"/>
  <c r="G975" i="2"/>
  <c r="F975" i="2" s="1"/>
  <c r="H974" i="2"/>
  <c r="G974" i="2"/>
  <c r="F974" i="2" s="1"/>
  <c r="H973" i="2"/>
  <c r="G973" i="2"/>
  <c r="F973" i="2" s="1"/>
  <c r="H972" i="2"/>
  <c r="G972" i="2"/>
  <c r="F972" i="2" s="1"/>
  <c r="H971" i="2"/>
  <c r="G971" i="2"/>
  <c r="F971" i="2" s="1"/>
  <c r="H970" i="2"/>
  <c r="G970" i="2"/>
  <c r="F970" i="2" s="1"/>
  <c r="H969" i="2"/>
  <c r="G969" i="2"/>
  <c r="F969" i="2" s="1"/>
  <c r="H968" i="2"/>
  <c r="G968" i="2"/>
  <c r="F968" i="2" s="1"/>
  <c r="H967" i="2"/>
  <c r="G967" i="2"/>
  <c r="F967" i="2" s="1"/>
  <c r="H966" i="2"/>
  <c r="G966" i="2"/>
  <c r="F966" i="2" s="1"/>
  <c r="H965" i="2"/>
  <c r="G965" i="2"/>
  <c r="F965" i="2" s="1"/>
  <c r="H964" i="2"/>
  <c r="G964" i="2"/>
  <c r="F964" i="2" s="1"/>
  <c r="H963" i="2"/>
  <c r="G963" i="2"/>
  <c r="F963" i="2" s="1"/>
  <c r="H962" i="2"/>
  <c r="G962" i="2"/>
  <c r="F962" i="2" s="1"/>
  <c r="B962" i="2"/>
  <c r="H961" i="2"/>
  <c r="G961" i="2"/>
  <c r="F961" i="2"/>
  <c r="H960" i="2"/>
  <c r="G960" i="2"/>
  <c r="F960" i="2" s="1"/>
  <c r="H959" i="2"/>
  <c r="G959" i="2"/>
  <c r="F959" i="2"/>
  <c r="H958" i="2"/>
  <c r="G958" i="2"/>
  <c r="F958" i="2" s="1"/>
  <c r="H957" i="2"/>
  <c r="G957" i="2"/>
  <c r="F957" i="2"/>
  <c r="H956" i="2"/>
  <c r="G956" i="2"/>
  <c r="F956" i="2" s="1"/>
  <c r="H955" i="2"/>
  <c r="G955" i="2"/>
  <c r="H954" i="2"/>
  <c r="G954" i="2"/>
  <c r="F954" i="2" s="1"/>
  <c r="H953" i="2"/>
  <c r="G953" i="2"/>
  <c r="F953" i="2"/>
  <c r="H952" i="2"/>
  <c r="G952" i="2"/>
  <c r="F952" i="2" s="1"/>
  <c r="H951" i="2"/>
  <c r="G951" i="2"/>
  <c r="F951" i="2"/>
  <c r="H950" i="2"/>
  <c r="G950" i="2"/>
  <c r="F950" i="2" s="1"/>
  <c r="H949" i="2"/>
  <c r="G949" i="2"/>
  <c r="H948" i="2"/>
  <c r="E948" i="2"/>
  <c r="G948" i="2" s="1"/>
  <c r="F948" i="2" s="1"/>
  <c r="H947" i="2"/>
  <c r="G947" i="2"/>
  <c r="H946" i="2"/>
  <c r="G946" i="2"/>
  <c r="H945" i="2"/>
  <c r="G945" i="2"/>
  <c r="F945" i="2"/>
  <c r="H944" i="2"/>
  <c r="G944" i="2"/>
  <c r="H943" i="2"/>
  <c r="G943" i="2"/>
  <c r="F943" i="2"/>
  <c r="H942" i="2"/>
  <c r="G942" i="2"/>
  <c r="F942" i="2"/>
  <c r="H941" i="2"/>
  <c r="G941" i="2"/>
  <c r="H940" i="2"/>
  <c r="G940" i="2"/>
  <c r="F940" i="2"/>
  <c r="H939" i="2"/>
  <c r="G939" i="2"/>
  <c r="E939" i="2"/>
  <c r="H938" i="2"/>
  <c r="G938" i="2"/>
  <c r="F938" i="2" s="1"/>
  <c r="H937" i="2"/>
  <c r="G937" i="2"/>
  <c r="F937" i="2" s="1"/>
  <c r="H936" i="2"/>
  <c r="G936" i="2"/>
  <c r="F936" i="2" s="1"/>
  <c r="H935" i="2"/>
  <c r="G935" i="2"/>
  <c r="F935" i="2" s="1"/>
  <c r="H934" i="2"/>
  <c r="G934" i="2"/>
  <c r="F934" i="2" s="1"/>
  <c r="H933" i="2"/>
  <c r="G933" i="2"/>
  <c r="F933" i="2" s="1"/>
  <c r="H932" i="2"/>
  <c r="G932" i="2"/>
  <c r="F932" i="2" s="1"/>
  <c r="H931" i="2"/>
  <c r="G931" i="2"/>
  <c r="F931" i="2" s="1"/>
  <c r="H930" i="2"/>
  <c r="G930" i="2"/>
  <c r="F930" i="2" s="1"/>
  <c r="H929" i="2"/>
  <c r="G929" i="2"/>
  <c r="F929" i="2" s="1"/>
  <c r="H928" i="2"/>
  <c r="G928" i="2"/>
  <c r="F928" i="2" s="1"/>
  <c r="H927" i="2"/>
  <c r="G927" i="2"/>
  <c r="F927" i="2" s="1"/>
  <c r="H926" i="2"/>
  <c r="G926" i="2"/>
  <c r="F926" i="2" s="1"/>
  <c r="H925" i="2"/>
  <c r="G925" i="2"/>
  <c r="F925" i="2" s="1"/>
  <c r="H924" i="2"/>
  <c r="G924" i="2"/>
  <c r="F924" i="2" s="1"/>
  <c r="H923" i="2"/>
  <c r="G923" i="2"/>
  <c r="F923" i="2" s="1"/>
  <c r="H922" i="2"/>
  <c r="G922" i="2"/>
  <c r="F922" i="2" s="1"/>
  <c r="H921" i="2"/>
  <c r="G921" i="2"/>
  <c r="F921" i="2" s="1"/>
  <c r="H920" i="2"/>
  <c r="G920" i="2"/>
  <c r="F920" i="2" s="1"/>
  <c r="H919" i="2"/>
  <c r="G919" i="2"/>
  <c r="F919" i="2" s="1"/>
  <c r="H918" i="2"/>
  <c r="G918" i="2"/>
  <c r="F918" i="2" s="1"/>
  <c r="H917" i="2"/>
  <c r="G917" i="2"/>
  <c r="F917" i="2" s="1"/>
  <c r="H916" i="2"/>
  <c r="G916" i="2"/>
  <c r="F916" i="2" s="1"/>
  <c r="H915" i="2"/>
  <c r="G915" i="2"/>
  <c r="F915" i="2" s="1"/>
  <c r="H914" i="2"/>
  <c r="G914" i="2"/>
  <c r="F914" i="2" s="1"/>
  <c r="H913" i="2"/>
  <c r="G913" i="2"/>
  <c r="F913" i="2" s="1"/>
  <c r="H912" i="2"/>
  <c r="G912" i="2"/>
  <c r="F912" i="2" s="1"/>
  <c r="H911" i="2"/>
  <c r="G911" i="2"/>
  <c r="F911" i="2" s="1"/>
  <c r="H910" i="2"/>
  <c r="G910" i="2"/>
  <c r="F910" i="2" s="1"/>
  <c r="H909" i="2"/>
  <c r="G909" i="2"/>
  <c r="F909" i="2" s="1"/>
  <c r="H908" i="2"/>
  <c r="G908" i="2"/>
  <c r="F908" i="2" s="1"/>
  <c r="H907" i="2"/>
  <c r="G907" i="2"/>
  <c r="F907" i="2" s="1"/>
  <c r="H906" i="2"/>
  <c r="G906" i="2"/>
  <c r="F906" i="2" s="1"/>
  <c r="H905" i="2"/>
  <c r="G905" i="2"/>
  <c r="F905" i="2" s="1"/>
  <c r="H904" i="2"/>
  <c r="G904" i="2"/>
  <c r="F904" i="2" s="1"/>
  <c r="E904" i="2"/>
  <c r="D904" i="2"/>
  <c r="H903" i="2"/>
  <c r="G903" i="2"/>
  <c r="H902" i="2"/>
  <c r="G902" i="2"/>
  <c r="H901" i="2"/>
  <c r="G901" i="2"/>
  <c r="H900" i="2"/>
  <c r="G900" i="2"/>
  <c r="H899" i="2"/>
  <c r="G899" i="2"/>
  <c r="H898" i="2"/>
  <c r="G898" i="2"/>
  <c r="H897" i="2"/>
  <c r="G897" i="2"/>
  <c r="F897" i="2"/>
  <c r="H896" i="2"/>
  <c r="G896" i="2"/>
  <c r="H895" i="2"/>
  <c r="G895" i="2"/>
  <c r="F895" i="2"/>
  <c r="H894" i="2"/>
  <c r="G894" i="2"/>
  <c r="H893" i="2"/>
  <c r="G893" i="2"/>
  <c r="H892" i="2"/>
  <c r="G892" i="2"/>
  <c r="H891" i="2"/>
  <c r="G891" i="2"/>
  <c r="H890" i="2"/>
  <c r="G890" i="2"/>
  <c r="H889" i="2"/>
  <c r="G889" i="2"/>
  <c r="F889" i="2"/>
  <c r="H888" i="2"/>
  <c r="G888" i="2"/>
  <c r="H887" i="2"/>
  <c r="G887" i="2"/>
  <c r="F887" i="2"/>
  <c r="H886" i="2"/>
  <c r="G886" i="2"/>
  <c r="H885" i="2"/>
  <c r="G885" i="2"/>
  <c r="F885" i="2"/>
  <c r="H884" i="2"/>
  <c r="G884" i="2"/>
  <c r="F884" i="2"/>
  <c r="H883" i="2"/>
  <c r="G883" i="2"/>
  <c r="H882" i="2"/>
  <c r="G882" i="2"/>
  <c r="F882" i="2"/>
  <c r="H881" i="2"/>
  <c r="G881" i="2"/>
  <c r="F881" i="2"/>
  <c r="H880" i="2"/>
  <c r="G880" i="2"/>
  <c r="F880" i="2"/>
  <c r="H879" i="2"/>
  <c r="G879" i="2"/>
  <c r="H878" i="2"/>
  <c r="G878" i="2"/>
  <c r="F878" i="2"/>
  <c r="H877" i="2"/>
  <c r="G877" i="2"/>
  <c r="H876" i="2"/>
  <c r="G876" i="2"/>
  <c r="F876" i="2"/>
  <c r="H875" i="2"/>
  <c r="G875" i="2"/>
  <c r="F875" i="2"/>
  <c r="H874" i="2"/>
  <c r="G874" i="2"/>
  <c r="F874" i="2"/>
  <c r="H873" i="2"/>
  <c r="G873" i="2"/>
  <c r="H872" i="2"/>
  <c r="G872" i="2"/>
  <c r="H871" i="2"/>
  <c r="G871" i="2"/>
  <c r="F871" i="2"/>
  <c r="H870" i="2"/>
  <c r="G870" i="2"/>
  <c r="H869" i="2"/>
  <c r="G869" i="2"/>
  <c r="F869" i="2"/>
  <c r="H868" i="2"/>
  <c r="G868" i="2"/>
  <c r="H867" i="2"/>
  <c r="G867" i="2"/>
  <c r="H866" i="2"/>
  <c r="G866" i="2"/>
  <c r="H865" i="2"/>
  <c r="G865" i="2"/>
  <c r="F865" i="2"/>
  <c r="H864" i="2"/>
  <c r="G864" i="2"/>
  <c r="H863" i="2"/>
  <c r="G863" i="2"/>
  <c r="F863" i="2"/>
  <c r="H862" i="2"/>
  <c r="G862" i="2"/>
  <c r="H861" i="2"/>
  <c r="G861" i="2"/>
  <c r="F861" i="2"/>
  <c r="H860" i="2"/>
  <c r="G860" i="2"/>
  <c r="H859" i="2"/>
  <c r="G859" i="2"/>
  <c r="F859" i="2"/>
  <c r="H858" i="2"/>
  <c r="G858" i="2"/>
  <c r="H857" i="2"/>
  <c r="G857" i="2"/>
  <c r="F857" i="2"/>
  <c r="H856" i="2"/>
  <c r="G856" i="2"/>
  <c r="F856" i="2"/>
  <c r="H855" i="2"/>
  <c r="G855" i="2"/>
  <c r="F855" i="2"/>
  <c r="H854" i="2"/>
  <c r="G854" i="2"/>
  <c r="F854" i="2"/>
  <c r="H853" i="2"/>
  <c r="G853" i="2"/>
  <c r="H852" i="2"/>
  <c r="G852" i="2"/>
  <c r="F852" i="2"/>
  <c r="H851" i="2"/>
  <c r="G851" i="2"/>
  <c r="F851" i="2"/>
  <c r="H850" i="2"/>
  <c r="G850" i="2"/>
  <c r="F850" i="2"/>
  <c r="H849" i="2"/>
  <c r="G849" i="2"/>
  <c r="F849" i="2"/>
  <c r="H848" i="2"/>
  <c r="G848" i="2"/>
  <c r="H847" i="2"/>
  <c r="G847" i="2"/>
  <c r="H846" i="2"/>
  <c r="G846" i="2"/>
  <c r="F846" i="2"/>
  <c r="H845" i="2"/>
  <c r="G845" i="2"/>
  <c r="F845" i="2"/>
  <c r="H844" i="2"/>
  <c r="G844" i="2"/>
  <c r="F844" i="2"/>
  <c r="H843" i="2"/>
  <c r="G843" i="2"/>
  <c r="H842" i="2"/>
  <c r="G842" i="2"/>
  <c r="H841" i="2"/>
  <c r="G841" i="2"/>
  <c r="F841" i="2"/>
  <c r="H840" i="2"/>
  <c r="G840" i="2"/>
  <c r="F840" i="2"/>
  <c r="H839" i="2"/>
  <c r="G839" i="2"/>
  <c r="H838" i="2"/>
  <c r="G838" i="2"/>
  <c r="H837" i="2"/>
  <c r="G837" i="2"/>
  <c r="F837" i="2"/>
  <c r="H836" i="2"/>
  <c r="G836" i="2"/>
  <c r="F836" i="2"/>
  <c r="H835" i="2"/>
  <c r="G835" i="2"/>
  <c r="F835" i="2"/>
  <c r="H834" i="2"/>
  <c r="G834" i="2"/>
  <c r="H833" i="2"/>
  <c r="G833" i="2"/>
  <c r="H832" i="2"/>
  <c r="G832" i="2"/>
  <c r="H831" i="2"/>
  <c r="G831" i="2"/>
  <c r="H830" i="2"/>
  <c r="G830" i="2"/>
  <c r="H829" i="2"/>
  <c r="G829" i="2"/>
  <c r="F829" i="2"/>
  <c r="H828" i="2"/>
  <c r="G828" i="2"/>
  <c r="F828" i="2"/>
  <c r="H827" i="2"/>
  <c r="G827" i="2"/>
  <c r="H826" i="2"/>
  <c r="G826" i="2"/>
  <c r="F826" i="2"/>
  <c r="H825" i="2"/>
  <c r="G825" i="2"/>
  <c r="F825" i="2"/>
  <c r="H824" i="2"/>
  <c r="G824" i="2"/>
  <c r="F824" i="2"/>
  <c r="H823" i="2"/>
  <c r="G823" i="2"/>
  <c r="F823" i="2"/>
  <c r="H822" i="2"/>
  <c r="G822" i="2"/>
  <c r="H821" i="2"/>
  <c r="G821" i="2"/>
  <c r="H820" i="2"/>
  <c r="G820" i="2"/>
  <c r="H819" i="2"/>
  <c r="G819" i="2"/>
  <c r="F819" i="2"/>
  <c r="H818" i="2"/>
  <c r="G818" i="2"/>
  <c r="F818" i="2"/>
  <c r="H817" i="2"/>
  <c r="G817" i="2"/>
  <c r="H816" i="2"/>
  <c r="G816" i="2"/>
  <c r="F816" i="2"/>
  <c r="H815" i="2"/>
  <c r="G815" i="2"/>
  <c r="F815" i="2"/>
  <c r="H814" i="2"/>
  <c r="G814" i="2"/>
  <c r="F814" i="2"/>
  <c r="H813" i="2"/>
  <c r="G813" i="2"/>
  <c r="H812" i="2"/>
  <c r="G812" i="2"/>
  <c r="H811" i="2"/>
  <c r="G811" i="2"/>
  <c r="F811" i="2"/>
  <c r="H810" i="2"/>
  <c r="G810" i="2"/>
  <c r="H809" i="2"/>
  <c r="G809" i="2"/>
  <c r="F809" i="2"/>
  <c r="H808" i="2"/>
  <c r="G808" i="2"/>
  <c r="F808" i="2"/>
  <c r="H807" i="2"/>
  <c r="G807" i="2"/>
  <c r="H806" i="2"/>
  <c r="G806" i="2"/>
  <c r="F806" i="2"/>
  <c r="H805" i="2"/>
  <c r="G805" i="2"/>
  <c r="F805" i="2"/>
  <c r="H804" i="2"/>
  <c r="G804" i="2"/>
  <c r="H803" i="2"/>
  <c r="G803" i="2"/>
  <c r="F803" i="2"/>
  <c r="H802" i="2"/>
  <c r="G802" i="2"/>
  <c r="H801" i="2"/>
  <c r="G801" i="2"/>
  <c r="F801" i="2"/>
  <c r="H800" i="2"/>
  <c r="G800" i="2"/>
  <c r="H799" i="2"/>
  <c r="G799" i="2"/>
  <c r="H798" i="2"/>
  <c r="G798" i="2"/>
  <c r="H797" i="2"/>
  <c r="G797" i="2"/>
  <c r="F797" i="2"/>
  <c r="H796" i="2"/>
  <c r="G796" i="2"/>
  <c r="H795" i="2"/>
  <c r="G795" i="2"/>
  <c r="H794" i="2"/>
  <c r="G794" i="2"/>
  <c r="H793" i="2"/>
  <c r="G793" i="2"/>
  <c r="F793" i="2"/>
  <c r="H792" i="2"/>
  <c r="G792" i="2"/>
  <c r="H791" i="2"/>
  <c r="G791" i="2"/>
  <c r="F791" i="2"/>
  <c r="H790" i="2"/>
  <c r="G790" i="2"/>
  <c r="H789" i="2"/>
  <c r="G789" i="2"/>
  <c r="F789" i="2"/>
  <c r="H788" i="2"/>
  <c r="G788" i="2"/>
  <c r="F788" i="2"/>
  <c r="H787" i="2"/>
  <c r="G787" i="2"/>
  <c r="H786" i="2"/>
  <c r="G786" i="2"/>
  <c r="H785" i="2"/>
  <c r="G785" i="2"/>
  <c r="H784" i="2"/>
  <c r="G784" i="2"/>
  <c r="H783" i="2"/>
  <c r="G783" i="2"/>
  <c r="H782" i="2"/>
  <c r="G782" i="2"/>
  <c r="H781" i="2"/>
  <c r="G781" i="2"/>
  <c r="H780" i="2"/>
  <c r="G780" i="2"/>
  <c r="F780" i="2"/>
  <c r="H779" i="2"/>
  <c r="G779" i="2"/>
  <c r="H778" i="2"/>
  <c r="G778" i="2"/>
  <c r="H777" i="2"/>
  <c r="G777" i="2"/>
  <c r="F777" i="2"/>
  <c r="H776" i="2"/>
  <c r="G776" i="2"/>
  <c r="F776" i="2"/>
  <c r="H775" i="2"/>
  <c r="G775" i="2"/>
  <c r="H774" i="2"/>
  <c r="G774" i="2"/>
  <c r="H773" i="2"/>
  <c r="G773" i="2"/>
  <c r="H772" i="2"/>
  <c r="G772" i="2"/>
  <c r="H771" i="2"/>
  <c r="G771" i="2"/>
  <c r="H770" i="2"/>
  <c r="G770" i="2"/>
  <c r="F770" i="2"/>
  <c r="H769" i="2"/>
  <c r="G769" i="2"/>
  <c r="H768" i="2"/>
  <c r="G768" i="2"/>
  <c r="H767" i="2"/>
  <c r="G767" i="2"/>
  <c r="F767" i="2"/>
  <c r="H766" i="2"/>
  <c r="G766" i="2"/>
  <c r="H765" i="2"/>
  <c r="G765" i="2"/>
  <c r="H764" i="2"/>
  <c r="G764" i="2"/>
  <c r="H763" i="2"/>
  <c r="G763" i="2"/>
  <c r="H762" i="2"/>
  <c r="G762" i="2"/>
  <c r="H761" i="2"/>
  <c r="G761" i="2"/>
  <c r="H760" i="2"/>
  <c r="G760" i="2"/>
  <c r="H759" i="2"/>
  <c r="G759" i="2"/>
  <c r="F759" i="2"/>
  <c r="H758" i="2"/>
  <c r="G758" i="2"/>
  <c r="F758" i="2"/>
  <c r="H757" i="2"/>
  <c r="G757" i="2"/>
  <c r="H756" i="2"/>
  <c r="G756" i="2"/>
  <c r="F756" i="2"/>
  <c r="H755" i="2"/>
  <c r="G755" i="2"/>
  <c r="H754" i="2"/>
  <c r="G754" i="2"/>
  <c r="F754" i="2"/>
  <c r="H753" i="2"/>
  <c r="G753" i="2"/>
  <c r="H752" i="2"/>
  <c r="G752" i="2"/>
  <c r="F752" i="2"/>
  <c r="H751" i="2"/>
  <c r="G751" i="2"/>
  <c r="H750" i="2"/>
  <c r="G750" i="2"/>
  <c r="F750" i="2"/>
  <c r="H749" i="2"/>
  <c r="G749" i="2"/>
  <c r="F749" i="2"/>
  <c r="H748" i="2"/>
  <c r="G748" i="2"/>
  <c r="H747" i="2"/>
  <c r="G747" i="2"/>
  <c r="H746" i="2"/>
  <c r="G746" i="2"/>
  <c r="H745" i="2"/>
  <c r="G745" i="2"/>
  <c r="H744" i="2"/>
  <c r="G744" i="2"/>
  <c r="H743" i="2"/>
  <c r="G743" i="2"/>
  <c r="H742" i="2"/>
  <c r="G742" i="2"/>
  <c r="H741" i="2"/>
  <c r="G741" i="2"/>
  <c r="F741" i="2"/>
  <c r="H740" i="2"/>
  <c r="G740" i="2"/>
  <c r="F740" i="2"/>
  <c r="H739" i="2"/>
  <c r="G739" i="2"/>
  <c r="F739" i="2"/>
  <c r="H738" i="2"/>
  <c r="G738" i="2"/>
  <c r="F738" i="2"/>
  <c r="H737" i="2"/>
  <c r="G737" i="2"/>
  <c r="H736" i="2"/>
  <c r="G736" i="2"/>
  <c r="F736" i="2"/>
  <c r="H735" i="2"/>
  <c r="G735" i="2"/>
  <c r="H734" i="2"/>
  <c r="G734" i="2"/>
  <c r="H733" i="2"/>
  <c r="G733" i="2"/>
  <c r="H732" i="2"/>
  <c r="G732" i="2"/>
  <c r="F732" i="2"/>
  <c r="H731" i="2"/>
  <c r="G731" i="2"/>
  <c r="H730" i="2"/>
  <c r="G730" i="2"/>
  <c r="F730" i="2"/>
  <c r="H729" i="2"/>
  <c r="G729" i="2"/>
  <c r="H728" i="2"/>
  <c r="G728" i="2"/>
  <c r="F728" i="2"/>
  <c r="H727" i="2"/>
  <c r="G727" i="2"/>
  <c r="F727" i="2"/>
  <c r="H726" i="2"/>
  <c r="G726" i="2"/>
  <c r="H725" i="2"/>
  <c r="G725" i="2"/>
  <c r="H724" i="2"/>
  <c r="G724" i="2"/>
  <c r="F724" i="2"/>
  <c r="H723" i="2"/>
  <c r="G723" i="2"/>
  <c r="F723" i="2"/>
  <c r="H722" i="2"/>
  <c r="G722" i="2"/>
  <c r="H721" i="2"/>
  <c r="G721" i="2"/>
  <c r="F721" i="2"/>
  <c r="H720" i="2"/>
  <c r="G720" i="2"/>
  <c r="H719" i="2"/>
  <c r="G719" i="2"/>
  <c r="H718" i="2"/>
  <c r="G718" i="2"/>
  <c r="F718" i="2"/>
  <c r="H717" i="2"/>
  <c r="G717" i="2"/>
  <c r="H716" i="2"/>
  <c r="G716" i="2"/>
  <c r="F716" i="2"/>
  <c r="H715" i="2"/>
  <c r="G715" i="2"/>
  <c r="H714" i="2"/>
  <c r="G714" i="2"/>
  <c r="H713" i="2"/>
  <c r="G713" i="2"/>
  <c r="H712" i="2"/>
  <c r="G712" i="2"/>
  <c r="F712" i="2"/>
  <c r="H711" i="2"/>
  <c r="G711" i="2"/>
  <c r="H710" i="2"/>
  <c r="G710" i="2"/>
  <c r="F710" i="2"/>
  <c r="H709" i="2"/>
  <c r="G709" i="2"/>
  <c r="H708" i="2"/>
  <c r="G708" i="2"/>
  <c r="F708" i="2"/>
  <c r="H707" i="2"/>
  <c r="G707" i="2"/>
  <c r="H706" i="2"/>
  <c r="G706" i="2"/>
  <c r="F706" i="2"/>
  <c r="H705" i="2"/>
  <c r="G705" i="2"/>
  <c r="F705" i="2"/>
  <c r="H704" i="2"/>
  <c r="G704" i="2"/>
  <c r="H703" i="2"/>
  <c r="G703" i="2"/>
  <c r="F703" i="2"/>
  <c r="H702" i="2"/>
  <c r="G702" i="2"/>
  <c r="F702" i="2"/>
  <c r="H701" i="2"/>
  <c r="G701" i="2"/>
  <c r="H700" i="2"/>
  <c r="G700" i="2"/>
  <c r="H699" i="2"/>
  <c r="G699" i="2"/>
  <c r="F699" i="2"/>
  <c r="H698" i="2"/>
  <c r="G698" i="2"/>
  <c r="F698" i="2"/>
  <c r="H697" i="2"/>
  <c r="G697" i="2"/>
  <c r="H696" i="2"/>
  <c r="G696" i="2"/>
  <c r="H695" i="2"/>
  <c r="G695" i="2"/>
  <c r="F695" i="2"/>
  <c r="H694" i="2"/>
  <c r="G694" i="2"/>
  <c r="H693" i="2"/>
  <c r="G693" i="2"/>
  <c r="F693" i="2"/>
  <c r="H692" i="2"/>
  <c r="G692" i="2"/>
  <c r="F692" i="2"/>
  <c r="H691" i="2"/>
  <c r="G691" i="2"/>
  <c r="H690" i="2"/>
  <c r="G690" i="2"/>
  <c r="F690" i="2"/>
  <c r="H689" i="2"/>
  <c r="G689" i="2"/>
  <c r="F689" i="2"/>
  <c r="H688" i="2"/>
  <c r="G688" i="2"/>
  <c r="H687" i="2"/>
  <c r="G687" i="2"/>
  <c r="F687" i="2"/>
  <c r="H686" i="2"/>
  <c r="G686" i="2"/>
  <c r="F686" i="2"/>
  <c r="H685" i="2"/>
  <c r="G685" i="2"/>
  <c r="F685" i="2"/>
  <c r="H684" i="2"/>
  <c r="G684" i="2"/>
  <c r="F684" i="2"/>
  <c r="H683" i="2"/>
  <c r="G683" i="2"/>
  <c r="F683" i="2"/>
  <c r="H682" i="2"/>
  <c r="G682" i="2"/>
  <c r="F682" i="2"/>
  <c r="H681" i="2"/>
  <c r="G681" i="2"/>
  <c r="F681" i="2"/>
  <c r="H680" i="2"/>
  <c r="G680" i="2"/>
  <c r="H679" i="2"/>
  <c r="G679" i="2"/>
  <c r="F679" i="2"/>
  <c r="H678" i="2"/>
  <c r="G678" i="2"/>
  <c r="F678" i="2"/>
  <c r="H677" i="2"/>
  <c r="G677" i="2"/>
  <c r="F677" i="2"/>
  <c r="H676" i="2"/>
  <c r="G676" i="2"/>
  <c r="H675" i="2"/>
  <c r="G675" i="2"/>
  <c r="F675" i="2"/>
  <c r="H674" i="2"/>
  <c r="G674" i="2"/>
  <c r="F674" i="2"/>
  <c r="H673" i="2"/>
  <c r="G673" i="2"/>
  <c r="F673" i="2"/>
  <c r="H672" i="2"/>
  <c r="G672" i="2"/>
  <c r="H671" i="2"/>
  <c r="G671" i="2"/>
  <c r="H670" i="2"/>
  <c r="G670" i="2"/>
  <c r="F670" i="2"/>
  <c r="H669" i="2"/>
  <c r="G669" i="2"/>
  <c r="H668" i="2"/>
  <c r="G668" i="2"/>
  <c r="H667" i="2"/>
  <c r="G667" i="2"/>
  <c r="F667" i="2"/>
  <c r="H666" i="2"/>
  <c r="G666" i="2"/>
  <c r="F666" i="2"/>
  <c r="H665" i="2"/>
  <c r="G665" i="2"/>
  <c r="H664" i="2"/>
  <c r="G664" i="2"/>
  <c r="F664" i="2"/>
  <c r="H663" i="2"/>
  <c r="G663" i="2"/>
  <c r="F663" i="2"/>
  <c r="H662" i="2"/>
  <c r="G662" i="2"/>
  <c r="H661" i="2"/>
  <c r="G661" i="2"/>
  <c r="H660" i="2"/>
  <c r="G660" i="2"/>
  <c r="H659" i="2"/>
  <c r="G659" i="2"/>
  <c r="H658" i="2"/>
  <c r="G658" i="2"/>
  <c r="H657" i="2"/>
  <c r="G657" i="2"/>
  <c r="H656" i="2"/>
  <c r="G656" i="2"/>
  <c r="F656" i="2"/>
  <c r="H655" i="2"/>
  <c r="G655" i="2"/>
  <c r="H654" i="2"/>
  <c r="G654" i="2"/>
  <c r="H653" i="2"/>
  <c r="G653" i="2"/>
  <c r="H652" i="2"/>
  <c r="G652" i="2"/>
  <c r="H651" i="2"/>
  <c r="G651" i="2"/>
  <c r="H650" i="2"/>
  <c r="G650" i="2"/>
  <c r="F650" i="2"/>
  <c r="H649" i="2"/>
  <c r="G649" i="2"/>
  <c r="F649" i="2"/>
  <c r="H648" i="2"/>
  <c r="G648" i="2"/>
  <c r="H647" i="2"/>
  <c r="G647" i="2"/>
  <c r="F647" i="2"/>
  <c r="H646" i="2"/>
  <c r="G646" i="2"/>
  <c r="F646" i="2"/>
  <c r="H645" i="2"/>
  <c r="G645" i="2"/>
  <c r="H644" i="2"/>
  <c r="G644" i="2"/>
  <c r="F644" i="2"/>
  <c r="H643" i="2"/>
  <c r="G643" i="2"/>
  <c r="H642" i="2"/>
  <c r="G642" i="2"/>
  <c r="F642" i="2"/>
  <c r="H641" i="2"/>
  <c r="G641" i="2"/>
  <c r="H640" i="2"/>
  <c r="G640" i="2"/>
  <c r="F640" i="2"/>
  <c r="H639" i="2"/>
  <c r="G639" i="2"/>
  <c r="F639" i="2"/>
  <c r="H638" i="2"/>
  <c r="G638" i="2"/>
  <c r="F638" i="2"/>
  <c r="H637" i="2"/>
  <c r="G637" i="2"/>
  <c r="F637" i="2"/>
  <c r="H636" i="2"/>
  <c r="G636" i="2"/>
  <c r="H635" i="2"/>
  <c r="G635" i="2"/>
  <c r="H634" i="2"/>
  <c r="G634" i="2"/>
  <c r="H633" i="2"/>
  <c r="G633" i="2"/>
  <c r="H632" i="2"/>
  <c r="G632" i="2"/>
  <c r="H631" i="2"/>
  <c r="G631" i="2"/>
  <c r="F631" i="2"/>
  <c r="H630" i="2"/>
  <c r="G630" i="2"/>
  <c r="H629" i="2"/>
  <c r="G629" i="2"/>
  <c r="H628" i="2"/>
  <c r="G628" i="2"/>
  <c r="H627" i="2"/>
  <c r="G627" i="2"/>
  <c r="H626" i="2"/>
  <c r="G626" i="2"/>
  <c r="H625" i="2"/>
  <c r="G625" i="2"/>
  <c r="F625" i="2"/>
  <c r="H624" i="2"/>
  <c r="G624" i="2"/>
  <c r="H623" i="2"/>
  <c r="G623" i="2"/>
  <c r="F623" i="2"/>
  <c r="H622" i="2"/>
  <c r="G622" i="2"/>
  <c r="F622" i="2"/>
  <c r="H621" i="2"/>
  <c r="G621" i="2"/>
  <c r="F621" i="2"/>
  <c r="H620" i="2"/>
  <c r="G620" i="2"/>
  <c r="H619" i="2"/>
  <c r="G619" i="2"/>
  <c r="F619" i="2"/>
  <c r="H618" i="2"/>
  <c r="G618" i="2"/>
  <c r="F618" i="2"/>
  <c r="H617" i="2"/>
  <c r="G617" i="2"/>
  <c r="H616" i="2"/>
  <c r="G616" i="2"/>
  <c r="F616" i="2"/>
  <c r="H615" i="2"/>
  <c r="G615" i="2"/>
  <c r="H614" i="2"/>
  <c r="G614" i="2"/>
  <c r="H613" i="2"/>
  <c r="G613" i="2"/>
  <c r="H612" i="2"/>
  <c r="G612" i="2"/>
  <c r="H611" i="2"/>
  <c r="G611" i="2"/>
  <c r="F611" i="2"/>
  <c r="H610" i="2"/>
  <c r="G610" i="2"/>
  <c r="F610" i="2"/>
  <c r="H609" i="2"/>
  <c r="G609" i="2"/>
  <c r="H608" i="2"/>
  <c r="G608" i="2"/>
  <c r="F608" i="2"/>
  <c r="H607" i="2"/>
  <c r="G607" i="2"/>
  <c r="H606" i="2"/>
  <c r="G606" i="2"/>
  <c r="F606" i="2"/>
  <c r="H605" i="2"/>
  <c r="G605" i="2"/>
  <c r="H604" i="2"/>
  <c r="G604" i="2"/>
  <c r="F604" i="2"/>
  <c r="H603" i="2"/>
  <c r="G603" i="2"/>
  <c r="F603" i="2"/>
  <c r="H602" i="2"/>
  <c r="G602" i="2"/>
  <c r="F602" i="2"/>
  <c r="H601" i="2"/>
  <c r="G601" i="2"/>
  <c r="F601" i="2"/>
  <c r="H600" i="2"/>
  <c r="G600" i="2"/>
  <c r="H599" i="2"/>
  <c r="G599" i="2"/>
  <c r="H598" i="2"/>
  <c r="G598" i="2"/>
  <c r="H597" i="2"/>
  <c r="G597" i="2"/>
  <c r="F597" i="2"/>
  <c r="H596" i="2"/>
  <c r="G596" i="2"/>
  <c r="F596" i="2"/>
  <c r="H595" i="2"/>
  <c r="G595" i="2"/>
  <c r="H594" i="2"/>
  <c r="G594" i="2"/>
  <c r="H593" i="2"/>
  <c r="G593" i="2"/>
  <c r="H592" i="2"/>
  <c r="G592" i="2"/>
  <c r="F592" i="2"/>
  <c r="H591" i="2"/>
  <c r="G591" i="2"/>
  <c r="H590" i="2"/>
  <c r="G590" i="2"/>
  <c r="H589" i="2"/>
  <c r="G589" i="2"/>
  <c r="F589" i="2"/>
  <c r="H588" i="2"/>
  <c r="G588" i="2"/>
  <c r="F588" i="2"/>
  <c r="H587" i="2"/>
  <c r="G587" i="2"/>
  <c r="H586" i="2"/>
  <c r="G586" i="2"/>
  <c r="F586" i="2"/>
  <c r="B586" i="2"/>
  <c r="H1011" i="2" s="1"/>
  <c r="H585" i="2"/>
  <c r="G585" i="2"/>
  <c r="F585" i="2" s="1"/>
  <c r="H584" i="2"/>
  <c r="G584" i="2"/>
  <c r="F584" i="2" s="1"/>
  <c r="H583" i="2"/>
  <c r="G583" i="2"/>
  <c r="F583" i="2" s="1"/>
  <c r="H582" i="2"/>
  <c r="G582" i="2"/>
  <c r="F582" i="2" s="1"/>
  <c r="H581" i="2"/>
  <c r="G581" i="2"/>
  <c r="F581" i="2" s="1"/>
  <c r="H580" i="2"/>
  <c r="G580" i="2"/>
  <c r="F580" i="2" s="1"/>
  <c r="H579" i="2"/>
  <c r="G579" i="2"/>
  <c r="F579" i="2" s="1"/>
  <c r="H578" i="2"/>
  <c r="G578" i="2"/>
  <c r="F578" i="2" s="1"/>
  <c r="H577" i="2"/>
  <c r="G577" i="2"/>
  <c r="F577" i="2" s="1"/>
  <c r="H576" i="2"/>
  <c r="G576" i="2"/>
  <c r="F576" i="2" s="1"/>
  <c r="H575" i="2"/>
  <c r="G575" i="2"/>
  <c r="F575" i="2" s="1"/>
  <c r="H574" i="2"/>
  <c r="G574" i="2"/>
  <c r="F574" i="2" s="1"/>
  <c r="H573" i="2"/>
  <c r="G573" i="2"/>
  <c r="F573" i="2" s="1"/>
  <c r="H572" i="2"/>
  <c r="G572" i="2"/>
  <c r="F572" i="2" s="1"/>
  <c r="H571" i="2"/>
  <c r="G571" i="2"/>
  <c r="F571" i="2" s="1"/>
  <c r="H570" i="2"/>
  <c r="G570" i="2"/>
  <c r="F570" i="2" s="1"/>
  <c r="H569" i="2"/>
  <c r="G569" i="2"/>
  <c r="F569" i="2" s="1"/>
  <c r="H568" i="2"/>
  <c r="G568" i="2"/>
  <c r="F568" i="2" s="1"/>
  <c r="H567" i="2"/>
  <c r="G567" i="2"/>
  <c r="F567" i="2" s="1"/>
  <c r="H566" i="2"/>
  <c r="G566" i="2"/>
  <c r="F566" i="2" s="1"/>
  <c r="H565" i="2"/>
  <c r="G565" i="2"/>
  <c r="F565" i="2" s="1"/>
  <c r="H564" i="2"/>
  <c r="G564" i="2"/>
  <c r="F564" i="2" s="1"/>
  <c r="H563" i="2"/>
  <c r="G563" i="2"/>
  <c r="F563" i="2" s="1"/>
  <c r="H562" i="2"/>
  <c r="G562" i="2"/>
  <c r="F562" i="2" s="1"/>
  <c r="H561" i="2"/>
  <c r="G561" i="2"/>
  <c r="F561" i="2" s="1"/>
  <c r="H560" i="2"/>
  <c r="G560" i="2"/>
  <c r="F560" i="2" s="1"/>
  <c r="H559" i="2"/>
  <c r="G559" i="2"/>
  <c r="F559" i="2" s="1"/>
  <c r="H558" i="2"/>
  <c r="G558" i="2"/>
  <c r="F558" i="2" s="1"/>
  <c r="H557" i="2"/>
  <c r="G557" i="2"/>
  <c r="F557" i="2" s="1"/>
  <c r="H556" i="2"/>
  <c r="G556" i="2"/>
  <c r="F556" i="2" s="1"/>
  <c r="H555" i="2"/>
  <c r="G555" i="2"/>
  <c r="F555" i="2" s="1"/>
  <c r="H554" i="2"/>
  <c r="G554" i="2"/>
  <c r="F554" i="2" s="1"/>
  <c r="H553" i="2"/>
  <c r="G553" i="2"/>
  <c r="F553" i="2" s="1"/>
  <c r="H552" i="2"/>
  <c r="G552" i="2"/>
  <c r="F552" i="2" s="1"/>
  <c r="H551" i="2"/>
  <c r="G551" i="2"/>
  <c r="F551" i="2" s="1"/>
  <c r="H550" i="2"/>
  <c r="G550" i="2"/>
  <c r="F550" i="2" s="1"/>
  <c r="H549" i="2"/>
  <c r="G549" i="2"/>
  <c r="F549" i="2" s="1"/>
  <c r="H548" i="2"/>
  <c r="G548" i="2"/>
  <c r="F548" i="2" s="1"/>
  <c r="H547" i="2"/>
  <c r="G547" i="2"/>
  <c r="F547" i="2" s="1"/>
  <c r="H546" i="2"/>
  <c r="G546" i="2"/>
  <c r="F546" i="2" s="1"/>
  <c r="H545" i="2"/>
  <c r="G545" i="2"/>
  <c r="F545" i="2" s="1"/>
  <c r="H544" i="2"/>
  <c r="G544" i="2"/>
  <c r="F544" i="2" s="1"/>
  <c r="H543" i="2"/>
  <c r="G543" i="2"/>
  <c r="F543" i="2" s="1"/>
  <c r="H542" i="2"/>
  <c r="G542" i="2"/>
  <c r="F542" i="2" s="1"/>
  <c r="H541" i="2"/>
  <c r="G541" i="2"/>
  <c r="F541" i="2" s="1"/>
  <c r="H540" i="2"/>
  <c r="G540" i="2"/>
  <c r="F540" i="2" s="1"/>
  <c r="H539" i="2"/>
  <c r="G539" i="2"/>
  <c r="F539" i="2" s="1"/>
  <c r="H538" i="2"/>
  <c r="G538" i="2"/>
  <c r="F538" i="2" s="1"/>
  <c r="H537" i="2"/>
  <c r="G537" i="2"/>
  <c r="F537" i="2" s="1"/>
  <c r="H536" i="2"/>
  <c r="G536" i="2"/>
  <c r="F536" i="2" s="1"/>
  <c r="H535" i="2"/>
  <c r="G535" i="2"/>
  <c r="F535" i="2" s="1"/>
  <c r="H534" i="2"/>
  <c r="G534" i="2"/>
  <c r="F534" i="2" s="1"/>
  <c r="H533" i="2"/>
  <c r="G533" i="2"/>
  <c r="F533" i="2" s="1"/>
  <c r="H532" i="2"/>
  <c r="G532" i="2"/>
  <c r="F532" i="2" s="1"/>
  <c r="H531" i="2"/>
  <c r="G531" i="2"/>
  <c r="F531" i="2" s="1"/>
  <c r="H530" i="2"/>
  <c r="G530" i="2"/>
  <c r="F530" i="2" s="1"/>
  <c r="H529" i="2"/>
  <c r="G529" i="2"/>
  <c r="F529" i="2" s="1"/>
  <c r="H528" i="2"/>
  <c r="G528" i="2"/>
  <c r="F528" i="2" s="1"/>
  <c r="H527" i="2"/>
  <c r="G527" i="2"/>
  <c r="F527" i="2" s="1"/>
  <c r="H526" i="2"/>
  <c r="G526" i="2"/>
  <c r="F526" i="2" s="1"/>
  <c r="H525" i="2"/>
  <c r="G525" i="2"/>
  <c r="F525" i="2" s="1"/>
  <c r="H524" i="2"/>
  <c r="G524" i="2"/>
  <c r="F524" i="2" s="1"/>
  <c r="H523" i="2"/>
  <c r="G523" i="2"/>
  <c r="F523" i="2" s="1"/>
  <c r="H522" i="2"/>
  <c r="G522" i="2"/>
  <c r="F522" i="2" s="1"/>
  <c r="H521" i="2"/>
  <c r="G521" i="2"/>
  <c r="F521" i="2" s="1"/>
  <c r="H520" i="2"/>
  <c r="G520" i="2"/>
  <c r="F520" i="2" s="1"/>
  <c r="H519" i="2"/>
  <c r="G519" i="2"/>
  <c r="F519" i="2" s="1"/>
  <c r="H518" i="2"/>
  <c r="G518" i="2"/>
  <c r="F518" i="2" s="1"/>
  <c r="H517" i="2"/>
  <c r="G517" i="2"/>
  <c r="F517" i="2" s="1"/>
  <c r="H516" i="2"/>
  <c r="G516" i="2"/>
  <c r="F516" i="2" s="1"/>
  <c r="H515" i="2"/>
  <c r="G515" i="2"/>
  <c r="F515" i="2" s="1"/>
  <c r="H514" i="2"/>
  <c r="G514" i="2"/>
  <c r="F514" i="2" s="1"/>
  <c r="H513" i="2"/>
  <c r="G513" i="2"/>
  <c r="F513" i="2" s="1"/>
  <c r="H512" i="2"/>
  <c r="G512" i="2"/>
  <c r="F512" i="2" s="1"/>
  <c r="H511" i="2"/>
  <c r="G511" i="2"/>
  <c r="F511" i="2" s="1"/>
  <c r="H510" i="2"/>
  <c r="G510" i="2"/>
  <c r="F510" i="2" s="1"/>
  <c r="H509" i="2"/>
  <c r="G509" i="2"/>
  <c r="F509" i="2" s="1"/>
  <c r="H508" i="2"/>
  <c r="G508" i="2"/>
  <c r="F508" i="2" s="1"/>
  <c r="H507" i="2"/>
  <c r="G507" i="2"/>
  <c r="F507" i="2" s="1"/>
  <c r="H506" i="2"/>
  <c r="G506" i="2"/>
  <c r="F506" i="2" s="1"/>
  <c r="H505" i="2"/>
  <c r="G505" i="2"/>
  <c r="F505" i="2" s="1"/>
  <c r="H504" i="2"/>
  <c r="G504" i="2"/>
  <c r="F504" i="2" s="1"/>
  <c r="H503" i="2"/>
  <c r="G503" i="2"/>
  <c r="F503" i="2" s="1"/>
  <c r="H502" i="2"/>
  <c r="G502" i="2"/>
  <c r="F502" i="2" s="1"/>
  <c r="H501" i="2"/>
  <c r="G501" i="2"/>
  <c r="F501" i="2" s="1"/>
  <c r="H500" i="2"/>
  <c r="G500" i="2"/>
  <c r="F500" i="2" s="1"/>
  <c r="H499" i="2"/>
  <c r="G499" i="2"/>
  <c r="F499" i="2" s="1"/>
  <c r="H498" i="2"/>
  <c r="G498" i="2"/>
  <c r="F498" i="2" s="1"/>
  <c r="H497" i="2"/>
  <c r="G497" i="2"/>
  <c r="F497" i="2" s="1"/>
  <c r="H496" i="2"/>
  <c r="G496" i="2"/>
  <c r="F496" i="2" s="1"/>
  <c r="H495" i="2"/>
  <c r="G495" i="2"/>
  <c r="F495" i="2" s="1"/>
  <c r="H494" i="2"/>
  <c r="G494" i="2"/>
  <c r="F494" i="2" s="1"/>
  <c r="H493" i="2"/>
  <c r="G493" i="2"/>
  <c r="F493" i="2" s="1"/>
  <c r="H492" i="2"/>
  <c r="G492" i="2"/>
  <c r="F492" i="2" s="1"/>
  <c r="H491" i="2"/>
  <c r="G491" i="2"/>
  <c r="F491" i="2" s="1"/>
  <c r="H490" i="2"/>
  <c r="G490" i="2"/>
  <c r="F490" i="2" s="1"/>
  <c r="H489" i="2"/>
  <c r="G489" i="2"/>
  <c r="F489" i="2" s="1"/>
  <c r="H488" i="2"/>
  <c r="G488" i="2"/>
  <c r="F488" i="2" s="1"/>
  <c r="H487" i="2"/>
  <c r="G487" i="2"/>
  <c r="F487" i="2" s="1"/>
  <c r="H486" i="2"/>
  <c r="G486" i="2"/>
  <c r="F486" i="2" s="1"/>
  <c r="H485" i="2"/>
  <c r="G485" i="2"/>
  <c r="F485" i="2" s="1"/>
  <c r="H484" i="2"/>
  <c r="G484" i="2"/>
  <c r="F484" i="2" s="1"/>
  <c r="H483" i="2"/>
  <c r="G483" i="2"/>
  <c r="F483" i="2" s="1"/>
  <c r="H482" i="2"/>
  <c r="G482" i="2"/>
  <c r="F482" i="2" s="1"/>
  <c r="H481" i="2"/>
  <c r="G481" i="2"/>
  <c r="F481" i="2" s="1"/>
  <c r="H480" i="2"/>
  <c r="G480" i="2"/>
  <c r="F480" i="2" s="1"/>
  <c r="H479" i="2"/>
  <c r="G479" i="2"/>
  <c r="F479" i="2" s="1"/>
  <c r="H478" i="2"/>
  <c r="G478" i="2"/>
  <c r="F478" i="2" s="1"/>
  <c r="H477" i="2"/>
  <c r="G477" i="2"/>
  <c r="F477" i="2" s="1"/>
  <c r="H476" i="2"/>
  <c r="G476" i="2"/>
  <c r="F476" i="2" s="1"/>
  <c r="H475" i="2"/>
  <c r="G475" i="2"/>
  <c r="F475" i="2" s="1"/>
  <c r="H474" i="2"/>
  <c r="G474" i="2"/>
  <c r="F474" i="2" s="1"/>
  <c r="H473" i="2"/>
  <c r="G473" i="2"/>
  <c r="F473" i="2" s="1"/>
  <c r="H472" i="2"/>
  <c r="G472" i="2"/>
  <c r="F472" i="2" s="1"/>
  <c r="H471" i="2"/>
  <c r="G471" i="2"/>
  <c r="F471" i="2" s="1"/>
  <c r="H470" i="2"/>
  <c r="G470" i="2"/>
  <c r="F470" i="2" s="1"/>
  <c r="H469" i="2"/>
  <c r="G469" i="2"/>
  <c r="F469" i="2" s="1"/>
  <c r="H468" i="2"/>
  <c r="G468" i="2"/>
  <c r="F468" i="2" s="1"/>
  <c r="H467" i="2"/>
  <c r="G467" i="2"/>
  <c r="F467" i="2" s="1"/>
  <c r="H466" i="2"/>
  <c r="G466" i="2"/>
  <c r="F466" i="2" s="1"/>
  <c r="H465" i="2"/>
  <c r="G465" i="2"/>
  <c r="F465" i="2" s="1"/>
  <c r="H464" i="2"/>
  <c r="G464" i="2"/>
  <c r="F464" i="2" s="1"/>
  <c r="H463" i="2"/>
  <c r="G463" i="2"/>
  <c r="F463" i="2" s="1"/>
  <c r="H462" i="2"/>
  <c r="G462" i="2"/>
  <c r="F462" i="2" s="1"/>
  <c r="H461" i="2"/>
  <c r="G461" i="2"/>
  <c r="F461" i="2" s="1"/>
  <c r="H460" i="2"/>
  <c r="G460" i="2"/>
  <c r="F460" i="2" s="1"/>
  <c r="H459" i="2"/>
  <c r="G459" i="2"/>
  <c r="F459" i="2" s="1"/>
  <c r="H458" i="2"/>
  <c r="G458" i="2"/>
  <c r="F458" i="2" s="1"/>
  <c r="H457" i="2"/>
  <c r="G457" i="2"/>
  <c r="F457" i="2" s="1"/>
  <c r="H456" i="2"/>
  <c r="G456" i="2"/>
  <c r="F456" i="2" s="1"/>
  <c r="H455" i="2"/>
  <c r="G455" i="2"/>
  <c r="F455" i="2" s="1"/>
  <c r="H454" i="2"/>
  <c r="G454" i="2"/>
  <c r="F454" i="2" s="1"/>
  <c r="H453" i="2"/>
  <c r="G453" i="2"/>
  <c r="F453" i="2" s="1"/>
  <c r="H452" i="2"/>
  <c r="G452" i="2"/>
  <c r="F452" i="2" s="1"/>
  <c r="H451" i="2"/>
  <c r="G451" i="2"/>
  <c r="F451" i="2" s="1"/>
  <c r="H450" i="2"/>
  <c r="G450" i="2"/>
  <c r="F450" i="2" s="1"/>
  <c r="H449" i="2"/>
  <c r="G449" i="2"/>
  <c r="F449" i="2" s="1"/>
  <c r="H448" i="2"/>
  <c r="G448" i="2"/>
  <c r="F448" i="2" s="1"/>
  <c r="H447" i="2"/>
  <c r="G447" i="2"/>
  <c r="F447" i="2" s="1"/>
  <c r="H446" i="2"/>
  <c r="G446" i="2"/>
  <c r="F446" i="2" s="1"/>
  <c r="H445" i="2"/>
  <c r="G445" i="2"/>
  <c r="F445" i="2" s="1"/>
  <c r="H444" i="2"/>
  <c r="G444" i="2"/>
  <c r="F444" i="2" s="1"/>
  <c r="H443" i="2"/>
  <c r="G443" i="2"/>
  <c r="F443" i="2" s="1"/>
  <c r="H442" i="2"/>
  <c r="G442" i="2"/>
  <c r="F442" i="2" s="1"/>
  <c r="H441" i="2"/>
  <c r="G441" i="2"/>
  <c r="F441" i="2" s="1"/>
  <c r="H440" i="2"/>
  <c r="G440" i="2"/>
  <c r="F440" i="2" s="1"/>
  <c r="H439" i="2"/>
  <c r="G439" i="2"/>
  <c r="F439" i="2" s="1"/>
  <c r="H438" i="2"/>
  <c r="G438" i="2"/>
  <c r="F438" i="2" s="1"/>
  <c r="H437" i="2"/>
  <c r="G437" i="2"/>
  <c r="F437" i="2" s="1"/>
  <c r="H436" i="2"/>
  <c r="G436" i="2"/>
  <c r="F436" i="2" s="1"/>
  <c r="H435" i="2"/>
  <c r="G435" i="2"/>
  <c r="F435" i="2" s="1"/>
  <c r="H434" i="2"/>
  <c r="G434" i="2"/>
  <c r="F434" i="2" s="1"/>
  <c r="H433" i="2"/>
  <c r="G433" i="2"/>
  <c r="F433" i="2" s="1"/>
  <c r="H432" i="2"/>
  <c r="G432" i="2"/>
  <c r="F432" i="2" s="1"/>
  <c r="H431" i="2"/>
  <c r="G431" i="2"/>
  <c r="F431" i="2" s="1"/>
  <c r="H430" i="2"/>
  <c r="G430" i="2"/>
  <c r="F430" i="2" s="1"/>
  <c r="H429" i="2"/>
  <c r="G429" i="2"/>
  <c r="F429" i="2" s="1"/>
  <c r="H428" i="2"/>
  <c r="G428" i="2"/>
  <c r="F428" i="2" s="1"/>
  <c r="H427" i="2"/>
  <c r="G427" i="2"/>
  <c r="F427" i="2" s="1"/>
  <c r="H426" i="2"/>
  <c r="G426" i="2"/>
  <c r="F426" i="2" s="1"/>
  <c r="H425" i="2"/>
  <c r="G425" i="2"/>
  <c r="F425" i="2" s="1"/>
  <c r="H424" i="2"/>
  <c r="G424" i="2"/>
  <c r="F424" i="2" s="1"/>
  <c r="H423" i="2"/>
  <c r="G423" i="2"/>
  <c r="F423" i="2" s="1"/>
  <c r="H422" i="2"/>
  <c r="G422" i="2"/>
  <c r="F422" i="2" s="1"/>
  <c r="H421" i="2"/>
  <c r="G421" i="2"/>
  <c r="F421" i="2" s="1"/>
  <c r="H420" i="2"/>
  <c r="G420" i="2"/>
  <c r="F420" i="2" s="1"/>
  <c r="H419" i="2"/>
  <c r="G419" i="2"/>
  <c r="F419" i="2" s="1"/>
  <c r="H418" i="2"/>
  <c r="G418" i="2"/>
  <c r="F418" i="2" s="1"/>
  <c r="H417" i="2"/>
  <c r="G417" i="2"/>
  <c r="F417" i="2" s="1"/>
  <c r="H416" i="2"/>
  <c r="G416" i="2"/>
  <c r="F416" i="2" s="1"/>
  <c r="H415" i="2"/>
  <c r="G415" i="2"/>
  <c r="F415" i="2" s="1"/>
  <c r="H414" i="2"/>
  <c r="G414" i="2"/>
  <c r="F414" i="2" s="1"/>
  <c r="H413" i="2"/>
  <c r="G413" i="2"/>
  <c r="F413" i="2" s="1"/>
  <c r="H412" i="2"/>
  <c r="G412" i="2"/>
  <c r="F412" i="2" s="1"/>
  <c r="H411" i="2"/>
  <c r="G411" i="2"/>
  <c r="F411" i="2" s="1"/>
  <c r="H410" i="2"/>
  <c r="G410" i="2"/>
  <c r="F410" i="2" s="1"/>
  <c r="H409" i="2"/>
  <c r="G409" i="2"/>
  <c r="F409" i="2" s="1"/>
  <c r="H408" i="2"/>
  <c r="G408" i="2"/>
  <c r="F408" i="2" s="1"/>
  <c r="H407" i="2"/>
  <c r="G407" i="2"/>
  <c r="F407" i="2" s="1"/>
  <c r="H406" i="2"/>
  <c r="G406" i="2"/>
  <c r="F406" i="2" s="1"/>
  <c r="H405" i="2"/>
  <c r="G405" i="2"/>
  <c r="F405" i="2" s="1"/>
  <c r="H404" i="2"/>
  <c r="G404" i="2"/>
  <c r="F404" i="2" s="1"/>
  <c r="H403" i="2"/>
  <c r="G403" i="2"/>
  <c r="F403" i="2" s="1"/>
  <c r="H402" i="2"/>
  <c r="G402" i="2"/>
  <c r="F402" i="2" s="1"/>
  <c r="H401" i="2"/>
  <c r="G401" i="2"/>
  <c r="F401" i="2" s="1"/>
  <c r="H400" i="2"/>
  <c r="G400" i="2"/>
  <c r="F400" i="2" s="1"/>
  <c r="H399" i="2"/>
  <c r="G399" i="2"/>
  <c r="F399" i="2" s="1"/>
  <c r="H398" i="2"/>
  <c r="G398" i="2"/>
  <c r="F398" i="2" s="1"/>
  <c r="H397" i="2"/>
  <c r="G397" i="2"/>
  <c r="F397" i="2" s="1"/>
  <c r="H396" i="2"/>
  <c r="G396" i="2"/>
  <c r="F396" i="2" s="1"/>
  <c r="H395" i="2"/>
  <c r="G395" i="2"/>
  <c r="F395" i="2" s="1"/>
  <c r="H394" i="2"/>
  <c r="G394" i="2"/>
  <c r="F394" i="2" s="1"/>
  <c r="H393" i="2"/>
  <c r="G393" i="2"/>
  <c r="F393" i="2" s="1"/>
  <c r="H392" i="2"/>
  <c r="G392" i="2"/>
  <c r="F392" i="2" s="1"/>
  <c r="H391" i="2"/>
  <c r="G391" i="2"/>
  <c r="F391" i="2" s="1"/>
  <c r="H390" i="2"/>
  <c r="G390" i="2"/>
  <c r="F390" i="2" s="1"/>
  <c r="H389" i="2"/>
  <c r="G389" i="2"/>
  <c r="F389" i="2" s="1"/>
  <c r="H388" i="2"/>
  <c r="G388" i="2"/>
  <c r="F388" i="2" s="1"/>
  <c r="H387" i="2"/>
  <c r="G387" i="2"/>
  <c r="F387" i="2" s="1"/>
  <c r="H386" i="2"/>
  <c r="G386" i="2"/>
  <c r="F386" i="2" s="1"/>
  <c r="H385" i="2"/>
  <c r="G385" i="2"/>
  <c r="F385" i="2" s="1"/>
  <c r="H384" i="2"/>
  <c r="G384" i="2"/>
  <c r="F384" i="2" s="1"/>
  <c r="H383" i="2"/>
  <c r="G383" i="2"/>
  <c r="F383" i="2" s="1"/>
  <c r="H382" i="2"/>
  <c r="G382" i="2"/>
  <c r="F382" i="2" s="1"/>
  <c r="H381" i="2"/>
  <c r="G381" i="2"/>
  <c r="F381" i="2" s="1"/>
  <c r="H380" i="2"/>
  <c r="G380" i="2"/>
  <c r="F380" i="2" s="1"/>
  <c r="H379" i="2"/>
  <c r="G379" i="2"/>
  <c r="F379" i="2" s="1"/>
  <c r="H378" i="2"/>
  <c r="G378" i="2"/>
  <c r="F378" i="2" s="1"/>
  <c r="H377" i="2"/>
  <c r="G377" i="2"/>
  <c r="F377" i="2" s="1"/>
  <c r="H376" i="2"/>
  <c r="G376" i="2"/>
  <c r="F376" i="2" s="1"/>
  <c r="H375" i="2"/>
  <c r="G375" i="2"/>
  <c r="F375" i="2" s="1"/>
  <c r="H374" i="2"/>
  <c r="G374" i="2"/>
  <c r="F374" i="2" s="1"/>
  <c r="H373" i="2"/>
  <c r="G373" i="2"/>
  <c r="F373" i="2" s="1"/>
  <c r="H372" i="2"/>
  <c r="G372" i="2"/>
  <c r="F372" i="2" s="1"/>
  <c r="H371" i="2"/>
  <c r="G371" i="2"/>
  <c r="F371" i="2" s="1"/>
  <c r="H370" i="2"/>
  <c r="G370" i="2"/>
  <c r="F370" i="2" s="1"/>
  <c r="H369" i="2"/>
  <c r="G369" i="2"/>
  <c r="F369" i="2" s="1"/>
  <c r="H368" i="2"/>
  <c r="G368" i="2"/>
  <c r="F368" i="2" s="1"/>
  <c r="H367" i="2"/>
  <c r="G367" i="2"/>
  <c r="F367" i="2" s="1"/>
  <c r="H366" i="2"/>
  <c r="G366" i="2"/>
  <c r="F366" i="2" s="1"/>
  <c r="H365" i="2"/>
  <c r="G365" i="2"/>
  <c r="F365" i="2" s="1"/>
  <c r="H364" i="2"/>
  <c r="G364" i="2"/>
  <c r="F364" i="2" s="1"/>
  <c r="H363" i="2"/>
  <c r="G363" i="2"/>
  <c r="F363" i="2" s="1"/>
  <c r="H362" i="2"/>
  <c r="G362" i="2"/>
  <c r="F362" i="2" s="1"/>
  <c r="H361" i="2"/>
  <c r="G361" i="2"/>
  <c r="F361" i="2" s="1"/>
  <c r="H360" i="2"/>
  <c r="G360" i="2"/>
  <c r="F360" i="2" s="1"/>
  <c r="H359" i="2"/>
  <c r="G359" i="2"/>
  <c r="F359" i="2" s="1"/>
  <c r="H358" i="2"/>
  <c r="G358" i="2"/>
  <c r="F358" i="2" s="1"/>
  <c r="H357" i="2"/>
  <c r="G357" i="2"/>
  <c r="F357" i="2" s="1"/>
  <c r="H356" i="2"/>
  <c r="G356" i="2"/>
  <c r="F356" i="2" s="1"/>
  <c r="H355" i="2"/>
  <c r="G355" i="2"/>
  <c r="F355" i="2" s="1"/>
  <c r="H354" i="2"/>
  <c r="G354" i="2"/>
  <c r="F354" i="2" s="1"/>
  <c r="H353" i="2"/>
  <c r="G353" i="2"/>
  <c r="F353" i="2" s="1"/>
  <c r="H352" i="2"/>
  <c r="G352" i="2"/>
  <c r="F352" i="2" s="1"/>
  <c r="H351" i="2"/>
  <c r="G351" i="2"/>
  <c r="F351" i="2" s="1"/>
  <c r="H350" i="2"/>
  <c r="G350" i="2"/>
  <c r="F350" i="2" s="1"/>
  <c r="H349" i="2"/>
  <c r="G349" i="2"/>
  <c r="F349" i="2" s="1"/>
  <c r="H348" i="2"/>
  <c r="G348" i="2"/>
  <c r="F348" i="2" s="1"/>
  <c r="H347" i="2"/>
  <c r="G347" i="2"/>
  <c r="F347" i="2" s="1"/>
  <c r="H346" i="2"/>
  <c r="G346" i="2"/>
  <c r="F346" i="2" s="1"/>
  <c r="H345" i="2"/>
  <c r="G345" i="2"/>
  <c r="F345" i="2" s="1"/>
  <c r="H344" i="2"/>
  <c r="G344" i="2"/>
  <c r="F344" i="2" s="1"/>
  <c r="H343" i="2"/>
  <c r="G343" i="2"/>
  <c r="F343" i="2" s="1"/>
  <c r="H342" i="2"/>
  <c r="G342" i="2"/>
  <c r="F342" i="2" s="1"/>
  <c r="H341" i="2"/>
  <c r="G341" i="2"/>
  <c r="F341" i="2" s="1"/>
  <c r="H340" i="2"/>
  <c r="G340" i="2"/>
  <c r="F340" i="2" s="1"/>
  <c r="H339" i="2"/>
  <c r="G339" i="2"/>
  <c r="F339" i="2" s="1"/>
  <c r="H338" i="2"/>
  <c r="G338" i="2"/>
  <c r="F338" i="2" s="1"/>
  <c r="H337" i="2"/>
  <c r="G337" i="2"/>
  <c r="F337" i="2" s="1"/>
  <c r="H336" i="2"/>
  <c r="G336" i="2"/>
  <c r="F336" i="2" s="1"/>
  <c r="H335" i="2"/>
  <c r="G335" i="2"/>
  <c r="F335" i="2" s="1"/>
  <c r="H334" i="2"/>
  <c r="G334" i="2"/>
  <c r="F334" i="2" s="1"/>
  <c r="H333" i="2"/>
  <c r="G333" i="2"/>
  <c r="F333" i="2" s="1"/>
  <c r="H332" i="2"/>
  <c r="G332" i="2"/>
  <c r="F332" i="2" s="1"/>
  <c r="H331" i="2"/>
  <c r="G331" i="2"/>
  <c r="F331" i="2" s="1"/>
  <c r="H330" i="2"/>
  <c r="G330" i="2"/>
  <c r="F330" i="2" s="1"/>
  <c r="H329" i="2"/>
  <c r="G329" i="2"/>
  <c r="F329" i="2" s="1"/>
  <c r="H328" i="2"/>
  <c r="G328" i="2"/>
  <c r="F328" i="2" s="1"/>
  <c r="H327" i="2"/>
  <c r="G327" i="2"/>
  <c r="F327" i="2" s="1"/>
  <c r="H326" i="2"/>
  <c r="G326" i="2"/>
  <c r="F326" i="2" s="1"/>
  <c r="H325" i="2"/>
  <c r="G325" i="2"/>
  <c r="F325" i="2" s="1"/>
  <c r="H324" i="2"/>
  <c r="G324" i="2"/>
  <c r="F324" i="2" s="1"/>
  <c r="H323" i="2"/>
  <c r="G323" i="2"/>
  <c r="F323" i="2" s="1"/>
  <c r="H322" i="2"/>
  <c r="G322" i="2"/>
  <c r="F322" i="2" s="1"/>
  <c r="H321" i="2"/>
  <c r="G321" i="2"/>
  <c r="F321" i="2" s="1"/>
  <c r="H320" i="2"/>
  <c r="G320" i="2"/>
  <c r="F320" i="2" s="1"/>
  <c r="H319" i="2"/>
  <c r="G319" i="2"/>
  <c r="F319" i="2" s="1"/>
  <c r="H318" i="2"/>
  <c r="G318" i="2"/>
  <c r="F318" i="2" s="1"/>
  <c r="H317" i="2"/>
  <c r="G317" i="2"/>
  <c r="F317" i="2" s="1"/>
  <c r="H316" i="2"/>
  <c r="G316" i="2"/>
  <c r="F316" i="2" s="1"/>
  <c r="H315" i="2"/>
  <c r="G315" i="2"/>
  <c r="F315" i="2" s="1"/>
  <c r="H314" i="2"/>
  <c r="G314" i="2"/>
  <c r="F314" i="2" s="1"/>
  <c r="H313" i="2"/>
  <c r="G313" i="2"/>
  <c r="F313" i="2" s="1"/>
  <c r="H312" i="2"/>
  <c r="G312" i="2"/>
  <c r="F312" i="2" s="1"/>
  <c r="H311" i="2"/>
  <c r="G311" i="2"/>
  <c r="F311" i="2" s="1"/>
  <c r="H310" i="2"/>
  <c r="G310" i="2"/>
  <c r="F310" i="2" s="1"/>
  <c r="H309" i="2"/>
  <c r="G309" i="2"/>
  <c r="F309" i="2" s="1"/>
  <c r="H308" i="2"/>
  <c r="G308" i="2"/>
  <c r="F308" i="2" s="1"/>
  <c r="H307" i="2"/>
  <c r="G307" i="2"/>
  <c r="F307" i="2" s="1"/>
  <c r="H306" i="2"/>
  <c r="G306" i="2"/>
  <c r="F306" i="2" s="1"/>
  <c r="H305" i="2"/>
  <c r="G305" i="2"/>
  <c r="F305" i="2" s="1"/>
  <c r="H304" i="2"/>
  <c r="G304" i="2"/>
  <c r="F304" i="2" s="1"/>
  <c r="H303" i="2"/>
  <c r="G303" i="2"/>
  <c r="F303" i="2" s="1"/>
  <c r="H302" i="2"/>
  <c r="G302" i="2"/>
  <c r="F302" i="2" s="1"/>
  <c r="H301" i="2"/>
  <c r="G301" i="2"/>
  <c r="F301" i="2" s="1"/>
  <c r="H300" i="2"/>
  <c r="G300" i="2"/>
  <c r="F300" i="2" s="1"/>
  <c r="H299" i="2"/>
  <c r="G299" i="2"/>
  <c r="F299" i="2" s="1"/>
  <c r="H298" i="2"/>
  <c r="G298" i="2"/>
  <c r="F298" i="2" s="1"/>
  <c r="H297" i="2"/>
  <c r="G297" i="2"/>
  <c r="F297" i="2" s="1"/>
  <c r="H296" i="2"/>
  <c r="G296" i="2"/>
  <c r="F296" i="2" s="1"/>
  <c r="H295" i="2"/>
  <c r="G295" i="2"/>
  <c r="F295" i="2" s="1"/>
  <c r="H294" i="2"/>
  <c r="G294" i="2"/>
  <c r="F294" i="2" s="1"/>
  <c r="H293" i="2"/>
  <c r="G293" i="2"/>
  <c r="F293" i="2" s="1"/>
  <c r="H292" i="2"/>
  <c r="G292" i="2"/>
  <c r="F292" i="2" s="1"/>
  <c r="H291" i="2"/>
  <c r="G291" i="2"/>
  <c r="F291" i="2" s="1"/>
  <c r="H290" i="2"/>
  <c r="G290" i="2"/>
  <c r="F290" i="2" s="1"/>
  <c r="H289" i="2"/>
  <c r="G289" i="2"/>
  <c r="F289" i="2" s="1"/>
  <c r="H288" i="2"/>
  <c r="G288" i="2"/>
  <c r="F288" i="2" s="1"/>
  <c r="H287" i="2"/>
  <c r="G287" i="2"/>
  <c r="F287" i="2" s="1"/>
  <c r="H286" i="2"/>
  <c r="G286" i="2"/>
  <c r="F286" i="2" s="1"/>
  <c r="H285" i="2"/>
  <c r="G285" i="2"/>
  <c r="F285" i="2" s="1"/>
  <c r="H284" i="2"/>
  <c r="G284" i="2"/>
  <c r="F284" i="2" s="1"/>
  <c r="H283" i="2"/>
  <c r="G283" i="2"/>
  <c r="F283" i="2" s="1"/>
  <c r="H282" i="2"/>
  <c r="G282" i="2"/>
  <c r="F282" i="2" s="1"/>
  <c r="H281" i="2"/>
  <c r="G281" i="2"/>
  <c r="F281" i="2" s="1"/>
  <c r="H280" i="2"/>
  <c r="G280" i="2"/>
  <c r="F280" i="2" s="1"/>
  <c r="H279" i="2"/>
  <c r="G279" i="2"/>
  <c r="F279" i="2" s="1"/>
  <c r="H278" i="2"/>
  <c r="G278" i="2"/>
  <c r="F278" i="2" s="1"/>
  <c r="H277" i="2"/>
  <c r="G277" i="2"/>
  <c r="F277" i="2" s="1"/>
  <c r="H276" i="2"/>
  <c r="G276" i="2"/>
  <c r="F276" i="2" s="1"/>
  <c r="H275" i="2"/>
  <c r="G275" i="2"/>
  <c r="F275" i="2" s="1"/>
  <c r="H274" i="2"/>
  <c r="G274" i="2"/>
  <c r="F274" i="2" s="1"/>
  <c r="H273" i="2"/>
  <c r="G273" i="2"/>
  <c r="F273" i="2" s="1"/>
  <c r="H272" i="2"/>
  <c r="G272" i="2"/>
  <c r="F272" i="2" s="1"/>
  <c r="H271" i="2"/>
  <c r="G271" i="2"/>
  <c r="F271" i="2" s="1"/>
  <c r="H270" i="2"/>
  <c r="G270" i="2"/>
  <c r="F270" i="2" s="1"/>
  <c r="H269" i="2"/>
  <c r="G269" i="2"/>
  <c r="F269" i="2" s="1"/>
  <c r="H268" i="2"/>
  <c r="G268" i="2"/>
  <c r="F268" i="2" s="1"/>
  <c r="H267" i="2"/>
  <c r="G267" i="2"/>
  <c r="F267" i="2" s="1"/>
  <c r="H266" i="2"/>
  <c r="G266" i="2"/>
  <c r="F266" i="2" s="1"/>
  <c r="H265" i="2"/>
  <c r="G265" i="2"/>
  <c r="F265" i="2" s="1"/>
  <c r="H264" i="2"/>
  <c r="G264" i="2"/>
  <c r="F264" i="2" s="1"/>
  <c r="H263" i="2"/>
  <c r="G263" i="2"/>
  <c r="F263" i="2" s="1"/>
  <c r="H262" i="2"/>
  <c r="G262" i="2"/>
  <c r="F262" i="2" s="1"/>
  <c r="H261" i="2"/>
  <c r="G261" i="2"/>
  <c r="F261" i="2" s="1"/>
  <c r="H260" i="2"/>
  <c r="G260" i="2"/>
  <c r="F260" i="2" s="1"/>
  <c r="H259" i="2"/>
  <c r="G259" i="2"/>
  <c r="F259" i="2" s="1"/>
  <c r="H258" i="2"/>
  <c r="G258" i="2"/>
  <c r="F258" i="2" s="1"/>
  <c r="H257" i="2"/>
  <c r="G257" i="2"/>
  <c r="F257" i="2" s="1"/>
  <c r="H256" i="2"/>
  <c r="G256" i="2"/>
  <c r="F256" i="2" s="1"/>
  <c r="H255" i="2"/>
  <c r="G255" i="2"/>
  <c r="F255" i="2" s="1"/>
  <c r="H254" i="2"/>
  <c r="G254" i="2"/>
  <c r="F254" i="2" s="1"/>
  <c r="H253" i="2"/>
  <c r="G253" i="2"/>
  <c r="F253" i="2" s="1"/>
  <c r="H252" i="2"/>
  <c r="G252" i="2"/>
  <c r="F252" i="2" s="1"/>
  <c r="H251" i="2"/>
  <c r="G251" i="2"/>
  <c r="F251" i="2" s="1"/>
  <c r="H250" i="2"/>
  <c r="G250" i="2"/>
  <c r="F250" i="2" s="1"/>
  <c r="H249" i="2"/>
  <c r="G249" i="2"/>
  <c r="F249" i="2" s="1"/>
  <c r="H248" i="2"/>
  <c r="G248" i="2"/>
  <c r="F248" i="2" s="1"/>
  <c r="H247" i="2"/>
  <c r="G247" i="2"/>
  <c r="F247" i="2" s="1"/>
  <c r="H246" i="2"/>
  <c r="G246" i="2"/>
  <c r="F246" i="2" s="1"/>
  <c r="H245" i="2"/>
  <c r="G245" i="2"/>
  <c r="F245" i="2" s="1"/>
  <c r="H244" i="2"/>
  <c r="G244" i="2"/>
  <c r="F244" i="2" s="1"/>
  <c r="H243" i="2"/>
  <c r="G243" i="2"/>
  <c r="F243" i="2" s="1"/>
  <c r="H242" i="2"/>
  <c r="G242" i="2"/>
  <c r="F242" i="2" s="1"/>
  <c r="H241" i="2"/>
  <c r="G241" i="2"/>
  <c r="F241" i="2" s="1"/>
  <c r="H240" i="2"/>
  <c r="G240" i="2"/>
  <c r="F240" i="2" s="1"/>
  <c r="H239" i="2"/>
  <c r="G239" i="2"/>
  <c r="F239" i="2" s="1"/>
  <c r="H238" i="2"/>
  <c r="G238" i="2"/>
  <c r="F238" i="2" s="1"/>
  <c r="H237" i="2"/>
  <c r="G237" i="2"/>
  <c r="F237" i="2" s="1"/>
  <c r="H236" i="2"/>
  <c r="B1016" i="2" s="1"/>
  <c r="M1037" i="2" s="1"/>
  <c r="G236" i="2"/>
  <c r="F236" i="2" s="1"/>
  <c r="E236" i="2"/>
  <c r="F234" i="2"/>
  <c r="F944" i="2" s="1"/>
  <c r="C232" i="2"/>
  <c r="D1008" i="2" s="1"/>
  <c r="B1022" i="2" s="1"/>
  <c r="B232" i="2"/>
  <c r="B1025" i="2" s="1"/>
  <c r="B7" i="2"/>
  <c r="D32" i="1"/>
  <c r="D33" i="1" s="1"/>
  <c r="M28" i="1"/>
  <c r="K28" i="1"/>
  <c r="B28" i="1"/>
  <c r="A28" i="1"/>
  <c r="N25" i="1"/>
  <c r="B25" i="1"/>
  <c r="N24" i="1"/>
  <c r="H24" i="1"/>
  <c r="G24" i="1"/>
  <c r="B24" i="1"/>
  <c r="L1041" i="2" s="1"/>
  <c r="H23" i="1"/>
  <c r="G23" i="1"/>
  <c r="B23" i="1"/>
  <c r="D31" i="1" s="1"/>
  <c r="E22" i="1"/>
  <c r="L20" i="1"/>
  <c r="H20" i="1"/>
  <c r="B20" i="1"/>
  <c r="H19" i="1"/>
  <c r="G19" i="1"/>
  <c r="F19" i="1"/>
  <c r="H18" i="1"/>
  <c r="G18" i="1"/>
  <c r="F18" i="1" s="1"/>
  <c r="H17" i="1"/>
  <c r="G17" i="1"/>
  <c r="F17" i="1"/>
  <c r="H16" i="1"/>
  <c r="G16" i="1"/>
  <c r="F16" i="1" s="1"/>
  <c r="H15" i="1"/>
  <c r="G15" i="1"/>
  <c r="F15" i="1"/>
  <c r="H14" i="1"/>
  <c r="B22" i="1" s="1"/>
  <c r="G14" i="1"/>
  <c r="F14" i="1" s="1"/>
  <c r="F20" i="1" s="1"/>
  <c r="F11" i="1"/>
  <c r="C9" i="1"/>
  <c r="D22" i="1" s="1"/>
  <c r="B1024" i="2" s="1"/>
  <c r="B9" i="1"/>
  <c r="D23" i="1" s="1"/>
  <c r="D25" i="1" s="1"/>
  <c r="A294" i="8" l="1"/>
  <c r="F291" i="8"/>
  <c r="F294" i="8" s="1"/>
  <c r="B29" i="1"/>
  <c r="B33" i="1" s="1"/>
  <c r="L26" i="1" s="1"/>
  <c r="K1040" i="2"/>
  <c r="K1043" i="2" s="1"/>
  <c r="B101" i="3"/>
  <c r="N106" i="3" s="1"/>
  <c r="D104" i="3"/>
  <c r="U13" i="5"/>
  <c r="AA13" i="5" s="1"/>
  <c r="AC13" i="5" s="1"/>
  <c r="S47" i="5"/>
  <c r="AA47" i="5"/>
  <c r="AC47" i="5" s="1"/>
  <c r="U53" i="5"/>
  <c r="Z53" i="5" s="1"/>
  <c r="AE53" i="5" s="1"/>
  <c r="L1043" i="2"/>
  <c r="S8" i="5"/>
  <c r="B26" i="1"/>
  <c r="D29" i="1"/>
  <c r="Z19" i="5"/>
  <c r="AE19" i="5" s="1"/>
  <c r="U19" i="5"/>
  <c r="AA19" i="5" s="1"/>
  <c r="AC19" i="5" s="1"/>
  <c r="S31" i="5"/>
  <c r="K1039" i="2"/>
  <c r="M1039" i="2"/>
  <c r="U7" i="5"/>
  <c r="AA18" i="5"/>
  <c r="AC18" i="5" s="1"/>
  <c r="S18" i="5"/>
  <c r="U25" i="5"/>
  <c r="S42" i="5"/>
  <c r="Z42" i="5"/>
  <c r="AE42" i="5" s="1"/>
  <c r="U42" i="5"/>
  <c r="U45" i="5"/>
  <c r="S45" i="5" s="1"/>
  <c r="S2" i="5"/>
  <c r="F587" i="2"/>
  <c r="F607" i="2"/>
  <c r="F609" i="2"/>
  <c r="F615" i="2"/>
  <c r="F635" i="2"/>
  <c r="F643" i="2"/>
  <c r="F657" i="2"/>
  <c r="F697" i="2"/>
  <c r="F701" i="2"/>
  <c r="F707" i="2"/>
  <c r="F713" i="2"/>
  <c r="F731" i="2"/>
  <c r="F735" i="2"/>
  <c r="F745" i="2"/>
  <c r="F753" i="2"/>
  <c r="F757" i="2"/>
  <c r="F761" i="2"/>
  <c r="F771" i="2"/>
  <c r="F775" i="2"/>
  <c r="F779" i="2"/>
  <c r="F783" i="2"/>
  <c r="F787" i="2"/>
  <c r="F795" i="2"/>
  <c r="F799" i="2"/>
  <c r="F807" i="2"/>
  <c r="F817" i="2"/>
  <c r="F821" i="2"/>
  <c r="F827" i="2"/>
  <c r="F833" i="2"/>
  <c r="F839" i="2"/>
  <c r="F853" i="2"/>
  <c r="F879" i="2"/>
  <c r="F899" i="2"/>
  <c r="F946" i="2"/>
  <c r="B30" i="1"/>
  <c r="B32" i="1"/>
  <c r="B1008" i="2"/>
  <c r="E1017" i="2"/>
  <c r="G1017" i="2" s="1"/>
  <c r="E1018" i="2"/>
  <c r="G1018" i="2" s="1"/>
  <c r="B104" i="3"/>
  <c r="E106" i="3"/>
  <c r="G106" i="3" s="1"/>
  <c r="T3" i="5"/>
  <c r="X5" i="5"/>
  <c r="W6" i="5"/>
  <c r="AA6" i="5" s="1"/>
  <c r="AC6" i="5" s="1"/>
  <c r="V7" i="5"/>
  <c r="AA7" i="5" s="1"/>
  <c r="AC7" i="5" s="1"/>
  <c r="T9" i="5"/>
  <c r="X11" i="5"/>
  <c r="W12" i="5"/>
  <c r="AA12" i="5" s="1"/>
  <c r="AC12" i="5" s="1"/>
  <c r="V13" i="5"/>
  <c r="T15" i="5"/>
  <c r="X17" i="5"/>
  <c r="W18" i="5"/>
  <c r="V19" i="5"/>
  <c r="S19" i="5" s="1"/>
  <c r="T21" i="5"/>
  <c r="X23" i="5"/>
  <c r="W24" i="5"/>
  <c r="AA24" i="5" s="1"/>
  <c r="AC24" i="5" s="1"/>
  <c r="V25" i="5"/>
  <c r="Z25" i="5" s="1"/>
  <c r="AE25" i="5" s="1"/>
  <c r="T27" i="5"/>
  <c r="X29" i="5"/>
  <c r="W30" i="5"/>
  <c r="AA30" i="5" s="1"/>
  <c r="AC30" i="5" s="1"/>
  <c r="W31" i="5"/>
  <c r="Z31" i="5" s="1"/>
  <c r="AE31" i="5" s="1"/>
  <c r="V34" i="5"/>
  <c r="S36" i="5"/>
  <c r="P38" i="5"/>
  <c r="Y39" i="5"/>
  <c r="V40" i="5"/>
  <c r="AA42" i="5"/>
  <c r="AC42" i="5" s="1"/>
  <c r="V44" i="5"/>
  <c r="P47" i="5"/>
  <c r="X48" i="5"/>
  <c r="U48" i="5" s="1"/>
  <c r="AA48" i="5" s="1"/>
  <c r="AC48" i="5" s="1"/>
  <c r="V53" i="5"/>
  <c r="V54" i="5"/>
  <c r="Y55" i="5"/>
  <c r="X59" i="5"/>
  <c r="V62" i="5"/>
  <c r="AA62" i="5" s="1"/>
  <c r="AC62" i="5" s="1"/>
  <c r="Y62" i="5"/>
  <c r="AA64" i="5"/>
  <c r="AC64" i="5" s="1"/>
  <c r="U64" i="5"/>
  <c r="S64" i="5" s="1"/>
  <c r="Z64" i="5"/>
  <c r="AE64" i="5" s="1"/>
  <c r="AA67" i="5"/>
  <c r="AC67" i="5" s="1"/>
  <c r="U67" i="5"/>
  <c r="Z67" i="5" s="1"/>
  <c r="AE67" i="5" s="1"/>
  <c r="X68" i="5"/>
  <c r="V68" i="5"/>
  <c r="AA68" i="5"/>
  <c r="AC68" i="5" s="1"/>
  <c r="T69" i="5"/>
  <c r="P69" i="5"/>
  <c r="V73" i="5"/>
  <c r="AA73" i="5" s="1"/>
  <c r="AC73" i="5" s="1"/>
  <c r="P75" i="5"/>
  <c r="AA87" i="5"/>
  <c r="AC87" i="5" s="1"/>
  <c r="U87" i="5"/>
  <c r="Z87" i="5"/>
  <c r="AE87" i="5" s="1"/>
  <c r="S87" i="5"/>
  <c r="W88" i="5"/>
  <c r="V88" i="5"/>
  <c r="P90" i="5"/>
  <c r="U93" i="5"/>
  <c r="AA93" i="5" s="1"/>
  <c r="AC93" i="5" s="1"/>
  <c r="U104" i="5"/>
  <c r="AA104" i="5" s="1"/>
  <c r="AC104" i="5" s="1"/>
  <c r="Z104" i="5"/>
  <c r="AE104" i="5" s="1"/>
  <c r="S104" i="5"/>
  <c r="V111" i="5"/>
  <c r="T117" i="5"/>
  <c r="P117" i="5"/>
  <c r="V123" i="5"/>
  <c r="Y123" i="5"/>
  <c r="S126" i="5"/>
  <c r="T127" i="5"/>
  <c r="P127" i="5"/>
  <c r="AA130" i="5"/>
  <c r="AC130" i="5" s="1"/>
  <c r="U130" i="5"/>
  <c r="Z130" i="5"/>
  <c r="AE130" i="5" s="1"/>
  <c r="S130" i="5"/>
  <c r="W131" i="5"/>
  <c r="V131" i="5"/>
  <c r="V133" i="5"/>
  <c r="U140" i="5"/>
  <c r="AA140" i="5" s="1"/>
  <c r="AC140" i="5" s="1"/>
  <c r="X145" i="5"/>
  <c r="V145" i="5"/>
  <c r="T146" i="5"/>
  <c r="P146" i="5"/>
  <c r="T149" i="5"/>
  <c r="P149" i="5"/>
  <c r="T152" i="5"/>
  <c r="P152" i="5"/>
  <c r="W157" i="5"/>
  <c r="V157" i="5"/>
  <c r="P159" i="5"/>
  <c r="T166" i="5"/>
  <c r="P166" i="5"/>
  <c r="U169" i="5"/>
  <c r="Z169" i="5" s="1"/>
  <c r="AE169" i="5" s="1"/>
  <c r="AA171" i="5"/>
  <c r="AC171" i="5" s="1"/>
  <c r="U171" i="5"/>
  <c r="Z171" i="5"/>
  <c r="AE171" i="5" s="1"/>
  <c r="S171" i="5"/>
  <c r="W172" i="5"/>
  <c r="V172" i="5"/>
  <c r="V174" i="5"/>
  <c r="AA174" i="5"/>
  <c r="AC174" i="5" s="1"/>
  <c r="S177" i="5"/>
  <c r="U177" i="5"/>
  <c r="T180" i="5"/>
  <c r="P180" i="5"/>
  <c r="U181" i="5"/>
  <c r="T190" i="5"/>
  <c r="P190" i="5"/>
  <c r="U199" i="5"/>
  <c r="U208" i="5"/>
  <c r="AA208" i="5" s="1"/>
  <c r="AC208" i="5" s="1"/>
  <c r="U214" i="5"/>
  <c r="Z214" i="5" s="1"/>
  <c r="AE214" i="5" s="1"/>
  <c r="T226" i="5"/>
  <c r="P226" i="5"/>
  <c r="U235" i="5"/>
  <c r="Z235" i="5" s="1"/>
  <c r="AE235" i="5" s="1"/>
  <c r="AA235" i="5"/>
  <c r="AB235" i="5" s="1"/>
  <c r="AC235" i="5" s="1"/>
  <c r="U242" i="5"/>
  <c r="AA242" i="5"/>
  <c r="AB242" i="5" s="1"/>
  <c r="AC242" i="5" s="1"/>
  <c r="Z242" i="5"/>
  <c r="AE242" i="5" s="1"/>
  <c r="S242" i="5"/>
  <c r="U244" i="5"/>
  <c r="W247" i="5"/>
  <c r="V247" i="5"/>
  <c r="AA247" i="5"/>
  <c r="AB247" i="5" s="1"/>
  <c r="AC247" i="5" s="1"/>
  <c r="Y247" i="5"/>
  <c r="U252" i="5"/>
  <c r="S252" i="5" s="1"/>
  <c r="W255" i="5"/>
  <c r="X255" i="5"/>
  <c r="V255" i="5"/>
  <c r="U260" i="5"/>
  <c r="AA260" i="5" s="1"/>
  <c r="AB260" i="5" s="1"/>
  <c r="AC260" i="5" s="1"/>
  <c r="Z260" i="5"/>
  <c r="AE260" i="5" s="1"/>
  <c r="S260" i="5"/>
  <c r="Y262" i="5"/>
  <c r="X262" i="5"/>
  <c r="V262" i="5"/>
  <c r="U266" i="5"/>
  <c r="S266" i="5" s="1"/>
  <c r="V276" i="5"/>
  <c r="Y276" i="5"/>
  <c r="X276" i="5"/>
  <c r="U276" i="5" s="1"/>
  <c r="AA276" i="5"/>
  <c r="AB276" i="5" s="1"/>
  <c r="AC276" i="5" s="1"/>
  <c r="AA280" i="5"/>
  <c r="AB280" i="5" s="1"/>
  <c r="AC280" i="5" s="1"/>
  <c r="V316" i="5"/>
  <c r="X316" i="5"/>
  <c r="U316" i="5" s="1"/>
  <c r="W316" i="5"/>
  <c r="U318" i="5"/>
  <c r="AA318" i="5" s="1"/>
  <c r="AB318" i="5" s="1"/>
  <c r="AC318" i="5" s="1"/>
  <c r="U332" i="5"/>
  <c r="W359" i="5"/>
  <c r="Y359" i="5"/>
  <c r="X359" i="5"/>
  <c r="V359" i="5"/>
  <c r="T361" i="5"/>
  <c r="P361" i="5"/>
  <c r="T382" i="5"/>
  <c r="P382" i="5"/>
  <c r="X391" i="5"/>
  <c r="Y391" i="5"/>
  <c r="V391" i="5"/>
  <c r="U392" i="5"/>
  <c r="S392" i="5" s="1"/>
  <c r="P400" i="5"/>
  <c r="T400" i="5"/>
  <c r="U402" i="5"/>
  <c r="S402" i="5" s="1"/>
  <c r="U437" i="5"/>
  <c r="V448" i="5"/>
  <c r="X448" i="5"/>
  <c r="Y448" i="5"/>
  <c r="W448" i="5"/>
  <c r="V467" i="5"/>
  <c r="X467" i="5"/>
  <c r="Y467" i="5"/>
  <c r="W467" i="5"/>
  <c r="P480" i="5"/>
  <c r="T480" i="5"/>
  <c r="V555" i="5"/>
  <c r="AA555" i="5" s="1"/>
  <c r="AB555" i="5" s="1"/>
  <c r="AC555" i="5" s="1"/>
  <c r="X555" i="5"/>
  <c r="U555" i="5" s="1"/>
  <c r="Y555" i="5"/>
  <c r="F593" i="2"/>
  <c r="F617" i="2"/>
  <c r="F627" i="2"/>
  <c r="F633" i="2"/>
  <c r="F653" i="2"/>
  <c r="F661" i="2"/>
  <c r="F669" i="2"/>
  <c r="F709" i="2"/>
  <c r="F717" i="2"/>
  <c r="F725" i="2"/>
  <c r="F831" i="2"/>
  <c r="B31" i="1"/>
  <c r="F590" i="2"/>
  <c r="F1006" i="2" s="1"/>
  <c r="D1024" i="2" s="1"/>
  <c r="B1034" i="2" s="1"/>
  <c r="F594" i="2"/>
  <c r="F598" i="2"/>
  <c r="F600" i="2"/>
  <c r="F612" i="2"/>
  <c r="F614" i="2"/>
  <c r="F620" i="2"/>
  <c r="F624" i="2"/>
  <c r="F626" i="2"/>
  <c r="F628" i="2"/>
  <c r="F630" i="2"/>
  <c r="F632" i="2"/>
  <c r="F634" i="2"/>
  <c r="F636" i="2"/>
  <c r="F648" i="2"/>
  <c r="F652" i="2"/>
  <c r="F654" i="2"/>
  <c r="F658" i="2"/>
  <c r="F660" i="2"/>
  <c r="F662" i="2"/>
  <c r="F668" i="2"/>
  <c r="F672" i="2"/>
  <c r="F676" i="2"/>
  <c r="F680" i="2"/>
  <c r="F688" i="2"/>
  <c r="F694" i="2"/>
  <c r="F696" i="2"/>
  <c r="F700" i="2"/>
  <c r="F704" i="2"/>
  <c r="F714" i="2"/>
  <c r="F720" i="2"/>
  <c r="F722" i="2"/>
  <c r="F726" i="2"/>
  <c r="F734" i="2"/>
  <c r="F742" i="2"/>
  <c r="F744" i="2"/>
  <c r="F746" i="2"/>
  <c r="F748" i="2"/>
  <c r="F760" i="2"/>
  <c r="F762" i="2"/>
  <c r="F764" i="2"/>
  <c r="F766" i="2"/>
  <c r="F768" i="2"/>
  <c r="F772" i="2"/>
  <c r="F774" i="2"/>
  <c r="F778" i="2"/>
  <c r="F782" i="2"/>
  <c r="F784" i="2"/>
  <c r="F786" i="2"/>
  <c r="F790" i="2"/>
  <c r="F792" i="2"/>
  <c r="F794" i="2"/>
  <c r="F796" i="2"/>
  <c r="F798" i="2"/>
  <c r="F800" i="2"/>
  <c r="F802" i="2"/>
  <c r="F804" i="2"/>
  <c r="F810" i="2"/>
  <c r="F812" i="2"/>
  <c r="F820" i="2"/>
  <c r="F822" i="2"/>
  <c r="F830" i="2"/>
  <c r="F832" i="2"/>
  <c r="F834" i="2"/>
  <c r="F838" i="2"/>
  <c r="F842" i="2"/>
  <c r="F848" i="2"/>
  <c r="F858" i="2"/>
  <c r="F860" i="2"/>
  <c r="F862" i="2"/>
  <c r="F864" i="2"/>
  <c r="F866" i="2"/>
  <c r="F868" i="2"/>
  <c r="F870" i="2"/>
  <c r="F872" i="2"/>
  <c r="F886" i="2"/>
  <c r="F888" i="2"/>
  <c r="F890" i="2"/>
  <c r="F892" i="2"/>
  <c r="F894" i="2"/>
  <c r="F896" i="2"/>
  <c r="F898" i="2"/>
  <c r="F900" i="2"/>
  <c r="F902" i="2"/>
  <c r="F939" i="2"/>
  <c r="F941" i="2"/>
  <c r="F947" i="2"/>
  <c r="B1026" i="2"/>
  <c r="AA23" i="5"/>
  <c r="AC23" i="5" s="1"/>
  <c r="Y43" i="5"/>
  <c r="U62" i="5"/>
  <c r="W65" i="5"/>
  <c r="V65" i="5"/>
  <c r="V80" i="5"/>
  <c r="Y80" i="5"/>
  <c r="U85" i="5"/>
  <c r="Z85" i="5" s="1"/>
  <c r="AE85" i="5" s="1"/>
  <c r="AA85" i="5"/>
  <c r="AC85" i="5" s="1"/>
  <c r="AA95" i="5"/>
  <c r="AC95" i="5" s="1"/>
  <c r="U95" i="5"/>
  <c r="Z95" i="5"/>
  <c r="AE95" i="5" s="1"/>
  <c r="S95" i="5"/>
  <c r="X96" i="5"/>
  <c r="V96" i="5"/>
  <c r="T97" i="5"/>
  <c r="P97" i="5"/>
  <c r="U100" i="5"/>
  <c r="Z100" i="5" s="1"/>
  <c r="AE100" i="5" s="1"/>
  <c r="W102" i="5"/>
  <c r="V102" i="5"/>
  <c r="U129" i="5"/>
  <c r="S129" i="5" s="1"/>
  <c r="S163" i="5"/>
  <c r="T192" i="5"/>
  <c r="P192" i="5"/>
  <c r="AA195" i="5"/>
  <c r="AC195" i="5" s="1"/>
  <c r="U195" i="5"/>
  <c r="Z195" i="5" s="1"/>
  <c r="AE195" i="5" s="1"/>
  <c r="W201" i="5"/>
  <c r="V201" i="5"/>
  <c r="Y201" i="5"/>
  <c r="T205" i="5"/>
  <c r="P205" i="5"/>
  <c r="U206" i="5"/>
  <c r="Z206" i="5" s="1"/>
  <c r="AE206" i="5" s="1"/>
  <c r="U219" i="5"/>
  <c r="AA219" i="5"/>
  <c r="AC219" i="5" s="1"/>
  <c r="Z219" i="5"/>
  <c r="AE219" i="5" s="1"/>
  <c r="S219" i="5"/>
  <c r="U225" i="5"/>
  <c r="S225" i="5" s="1"/>
  <c r="U239" i="5"/>
  <c r="Z239" i="5" s="1"/>
  <c r="AE239" i="5" s="1"/>
  <c r="U246" i="5"/>
  <c r="S246" i="5" s="1"/>
  <c r="Z246" i="5"/>
  <c r="AE246" i="5" s="1"/>
  <c r="U264" i="5"/>
  <c r="Z264" i="5" s="1"/>
  <c r="AE264" i="5" s="1"/>
  <c r="U269" i="5"/>
  <c r="Z269" i="5" s="1"/>
  <c r="AE269" i="5" s="1"/>
  <c r="AA269" i="5"/>
  <c r="AB269" i="5" s="1"/>
  <c r="AC269" i="5" s="1"/>
  <c r="S269" i="5"/>
  <c r="S276" i="5"/>
  <c r="T293" i="5"/>
  <c r="P293" i="5"/>
  <c r="T302" i="5"/>
  <c r="P302" i="5"/>
  <c r="V308" i="5"/>
  <c r="X308" i="5"/>
  <c r="W308" i="5"/>
  <c r="U310" i="5"/>
  <c r="AA310" i="5" s="1"/>
  <c r="AB310" i="5" s="1"/>
  <c r="AC310" i="5" s="1"/>
  <c r="P328" i="5"/>
  <c r="T328" i="5"/>
  <c r="AA347" i="5"/>
  <c r="AB347" i="5" s="1"/>
  <c r="AC347" i="5" s="1"/>
  <c r="U348" i="5"/>
  <c r="Z348" i="5" s="1"/>
  <c r="AE348" i="5" s="1"/>
  <c r="P357" i="5"/>
  <c r="T357" i="5"/>
  <c r="V390" i="5"/>
  <c r="Y390" i="5"/>
  <c r="X390" i="5"/>
  <c r="U390" i="5" s="1"/>
  <c r="W390" i="5"/>
  <c r="Y419" i="5"/>
  <c r="W419" i="5"/>
  <c r="X419" i="5"/>
  <c r="V419" i="5"/>
  <c r="U426" i="5"/>
  <c r="Z426" i="5" s="1"/>
  <c r="AE426" i="5" s="1"/>
  <c r="U428" i="5"/>
  <c r="Z428" i="5" s="1"/>
  <c r="AE428" i="5" s="1"/>
  <c r="V450" i="5"/>
  <c r="X450" i="5"/>
  <c r="Y450" i="5"/>
  <c r="W450" i="5"/>
  <c r="T461" i="5"/>
  <c r="P461" i="5"/>
  <c r="V469" i="5"/>
  <c r="Y469" i="5"/>
  <c r="X469" i="5"/>
  <c r="U469" i="5" s="1"/>
  <c r="X490" i="5"/>
  <c r="W490" i="5"/>
  <c r="V490" i="5"/>
  <c r="Y490" i="5"/>
  <c r="E32" i="1"/>
  <c r="F949" i="2"/>
  <c r="F955" i="2"/>
  <c r="F1000" i="2"/>
  <c r="F1002" i="2"/>
  <c r="F1004" i="2"/>
  <c r="B1006" i="2"/>
  <c r="W2" i="5"/>
  <c r="S5" i="5"/>
  <c r="Z6" i="5"/>
  <c r="AE6" i="5" s="1"/>
  <c r="P7" i="5"/>
  <c r="X7" i="5"/>
  <c r="W8" i="5"/>
  <c r="Z12" i="5"/>
  <c r="AE12" i="5" s="1"/>
  <c r="P13" i="5"/>
  <c r="X13" i="5"/>
  <c r="W14" i="5"/>
  <c r="S14" i="5" s="1"/>
  <c r="Z18" i="5"/>
  <c r="AE18" i="5" s="1"/>
  <c r="P19" i="5"/>
  <c r="X19" i="5"/>
  <c r="W20" i="5"/>
  <c r="S20" i="5" s="1"/>
  <c r="S23" i="5"/>
  <c r="Z24" i="5"/>
  <c r="AE24" i="5" s="1"/>
  <c r="P25" i="5"/>
  <c r="X25" i="5"/>
  <c r="W26" i="5"/>
  <c r="S26" i="5" s="1"/>
  <c r="Z30" i="5"/>
  <c r="AE30" i="5" s="1"/>
  <c r="Y31" i="5"/>
  <c r="W32" i="5"/>
  <c r="T33" i="5"/>
  <c r="P34" i="5"/>
  <c r="X34" i="5"/>
  <c r="U34" i="5" s="1"/>
  <c r="Y35" i="5"/>
  <c r="U37" i="5"/>
  <c r="Z37" i="5" s="1"/>
  <c r="AE37" i="5" s="1"/>
  <c r="P40" i="5"/>
  <c r="X41" i="5"/>
  <c r="Y44" i="5"/>
  <c r="W45" i="5"/>
  <c r="T46" i="5"/>
  <c r="Z49" i="5"/>
  <c r="AE49" i="5" s="1"/>
  <c r="P50" i="5"/>
  <c r="X51" i="5"/>
  <c r="U51" i="5" s="1"/>
  <c r="X56" i="5"/>
  <c r="U56" i="5" s="1"/>
  <c r="Z56" i="5" s="1"/>
  <c r="AE56" i="5" s="1"/>
  <c r="V56" i="5"/>
  <c r="AA56" i="5"/>
  <c r="AC56" i="5" s="1"/>
  <c r="T72" i="5"/>
  <c r="P72" i="5"/>
  <c r="P85" i="5"/>
  <c r="W93" i="5"/>
  <c r="Z93" i="5" s="1"/>
  <c r="AE93" i="5" s="1"/>
  <c r="V93" i="5"/>
  <c r="P95" i="5"/>
  <c r="X109" i="5"/>
  <c r="U109" i="5" s="1"/>
  <c r="V109" i="5"/>
  <c r="T110" i="5"/>
  <c r="P110" i="5"/>
  <c r="U114" i="5"/>
  <c r="Z114" i="5" s="1"/>
  <c r="AE114" i="5" s="1"/>
  <c r="U115" i="5"/>
  <c r="S115" i="5" s="1"/>
  <c r="U118" i="5"/>
  <c r="Z118" i="5" s="1"/>
  <c r="AE118" i="5" s="1"/>
  <c r="U120" i="5"/>
  <c r="AA120" i="5" s="1"/>
  <c r="AC120" i="5" s="1"/>
  <c r="S120" i="5"/>
  <c r="X121" i="5"/>
  <c r="U121" i="5" s="1"/>
  <c r="V121" i="5"/>
  <c r="T122" i="5"/>
  <c r="P122" i="5"/>
  <c r="U125" i="5"/>
  <c r="AA125" i="5" s="1"/>
  <c r="AC125" i="5" s="1"/>
  <c r="U128" i="5"/>
  <c r="Z128" i="5" s="1"/>
  <c r="AE128" i="5" s="1"/>
  <c r="U136" i="5"/>
  <c r="U137" i="5"/>
  <c r="S137" i="5" s="1"/>
  <c r="U138" i="5"/>
  <c r="Z138" i="5" s="1"/>
  <c r="AE138" i="5" s="1"/>
  <c r="X143" i="5"/>
  <c r="U143" i="5" s="1"/>
  <c r="V143" i="5"/>
  <c r="T144" i="5"/>
  <c r="P144" i="5"/>
  <c r="U147" i="5"/>
  <c r="S147" i="5" s="1"/>
  <c r="U150" i="5"/>
  <c r="Z150" i="5" s="1"/>
  <c r="AE150" i="5" s="1"/>
  <c r="X155" i="5"/>
  <c r="U155" i="5" s="1"/>
  <c r="V155" i="5"/>
  <c r="T156" i="5"/>
  <c r="P156" i="5"/>
  <c r="U163" i="5"/>
  <c r="Z163" i="5" s="1"/>
  <c r="AE163" i="5" s="1"/>
  <c r="U164" i="5"/>
  <c r="Z164" i="5" s="1"/>
  <c r="AE164" i="5" s="1"/>
  <c r="V169" i="5"/>
  <c r="Z175" i="5"/>
  <c r="AE175" i="5" s="1"/>
  <c r="S175" i="5"/>
  <c r="U188" i="5"/>
  <c r="AA188" i="5" s="1"/>
  <c r="AC188" i="5" s="1"/>
  <c r="S188" i="5"/>
  <c r="X201" i="5"/>
  <c r="U204" i="5"/>
  <c r="U211" i="5"/>
  <c r="AA211" i="5" s="1"/>
  <c r="AC211" i="5" s="1"/>
  <c r="U217" i="5"/>
  <c r="Z217" i="5" s="1"/>
  <c r="AE217" i="5" s="1"/>
  <c r="AA221" i="5"/>
  <c r="AC221" i="5" s="1"/>
  <c r="U221" i="5"/>
  <c r="Z221" i="5" s="1"/>
  <c r="AE221" i="5" s="1"/>
  <c r="W227" i="5"/>
  <c r="V227" i="5"/>
  <c r="Y227" i="5"/>
  <c r="U228" i="5"/>
  <c r="U243" i="5"/>
  <c r="AA245" i="5"/>
  <c r="AB245" i="5" s="1"/>
  <c r="AC245" i="5" s="1"/>
  <c r="U274" i="5"/>
  <c r="S274" i="5" s="1"/>
  <c r="AA274" i="5"/>
  <c r="AB274" i="5" s="1"/>
  <c r="AC274" i="5" s="1"/>
  <c r="Z274" i="5"/>
  <c r="AE274" i="5" s="1"/>
  <c r="U295" i="5"/>
  <c r="AA295" i="5" s="1"/>
  <c r="AB295" i="5" s="1"/>
  <c r="AC295" i="5" s="1"/>
  <c r="X297" i="5"/>
  <c r="U297" i="5" s="1"/>
  <c r="W297" i="5"/>
  <c r="V297" i="5"/>
  <c r="U304" i="5"/>
  <c r="AA304" i="5" s="1"/>
  <c r="AB304" i="5" s="1"/>
  <c r="AC304" i="5" s="1"/>
  <c r="Z304" i="5"/>
  <c r="AE304" i="5" s="1"/>
  <c r="S304" i="5"/>
  <c r="U308" i="5"/>
  <c r="AA335" i="5"/>
  <c r="AB335" i="5" s="1"/>
  <c r="AC335" i="5" s="1"/>
  <c r="U336" i="5"/>
  <c r="Z336" i="5" s="1"/>
  <c r="AE336" i="5" s="1"/>
  <c r="T341" i="5"/>
  <c r="P341" i="5"/>
  <c r="U358" i="5"/>
  <c r="Z358" i="5" s="1"/>
  <c r="AE358" i="5" s="1"/>
  <c r="Y370" i="5"/>
  <c r="W370" i="5"/>
  <c r="X370" i="5"/>
  <c r="V370" i="5"/>
  <c r="U372" i="5"/>
  <c r="Z372" i="5" s="1"/>
  <c r="AE372" i="5" s="1"/>
  <c r="Y378" i="5"/>
  <c r="X378" i="5"/>
  <c r="U378" i="5" s="1"/>
  <c r="W378" i="5"/>
  <c r="V378" i="5"/>
  <c r="W431" i="5"/>
  <c r="Y431" i="5"/>
  <c r="X431" i="5"/>
  <c r="V431" i="5"/>
  <c r="T513" i="5"/>
  <c r="P513" i="5"/>
  <c r="T520" i="5"/>
  <c r="P520" i="5"/>
  <c r="F31" i="1"/>
  <c r="G31" i="1" s="1"/>
  <c r="E31" i="1"/>
  <c r="F32" i="1"/>
  <c r="G32" i="1" s="1"/>
  <c r="B105" i="3"/>
  <c r="E107" i="3"/>
  <c r="G107" i="3" s="1"/>
  <c r="Y34" i="5"/>
  <c r="AA40" i="5"/>
  <c r="AC40" i="5" s="1"/>
  <c r="Z40" i="5"/>
  <c r="AE40" i="5" s="1"/>
  <c r="Y41" i="5"/>
  <c r="U43" i="5"/>
  <c r="Z43" i="5" s="1"/>
  <c r="AE43" i="5" s="1"/>
  <c r="X45" i="5"/>
  <c r="AA49" i="5"/>
  <c r="AC49" i="5" s="1"/>
  <c r="Z52" i="5"/>
  <c r="AE52" i="5" s="1"/>
  <c r="W54" i="5"/>
  <c r="T55" i="5"/>
  <c r="X58" i="5"/>
  <c r="U58" i="5" s="1"/>
  <c r="V58" i="5"/>
  <c r="X65" i="5"/>
  <c r="U78" i="5"/>
  <c r="S78" i="5" s="1"/>
  <c r="T79" i="5"/>
  <c r="P79" i="5"/>
  <c r="W80" i="5"/>
  <c r="V83" i="5"/>
  <c r="Y83" i="5"/>
  <c r="S83" i="5" s="1"/>
  <c r="Y96" i="5"/>
  <c r="X100" i="5"/>
  <c r="V100" i="5"/>
  <c r="AA100" i="5" s="1"/>
  <c r="AC100" i="5" s="1"/>
  <c r="T101" i="5"/>
  <c r="P101" i="5"/>
  <c r="X102" i="5"/>
  <c r="U113" i="5"/>
  <c r="Z113" i="5"/>
  <c r="AE113" i="5" s="1"/>
  <c r="U160" i="5"/>
  <c r="S160" i="5" s="1"/>
  <c r="U162" i="5"/>
  <c r="Z162" i="5" s="1"/>
  <c r="AE162" i="5" s="1"/>
  <c r="Z173" i="5"/>
  <c r="AE173" i="5" s="1"/>
  <c r="S173" i="5"/>
  <c r="U176" i="5"/>
  <c r="Z176" i="5" s="1"/>
  <c r="AE176" i="5" s="1"/>
  <c r="T185" i="5"/>
  <c r="P185" i="5"/>
  <c r="U186" i="5"/>
  <c r="S186" i="5" s="1"/>
  <c r="W193" i="5"/>
  <c r="V193" i="5"/>
  <c r="Y193" i="5"/>
  <c r="U198" i="5"/>
  <c r="AA198" i="5" s="1"/>
  <c r="AC198" i="5" s="1"/>
  <c r="Z198" i="5"/>
  <c r="AE198" i="5" s="1"/>
  <c r="S198" i="5"/>
  <c r="U209" i="5"/>
  <c r="S209" i="5" s="1"/>
  <c r="AA213" i="5"/>
  <c r="AC213" i="5" s="1"/>
  <c r="U213" i="5"/>
  <c r="Z213" i="5"/>
  <c r="AE213" i="5" s="1"/>
  <c r="S213" i="5"/>
  <c r="Z223" i="5"/>
  <c r="AE223" i="5" s="1"/>
  <c r="X227" i="5"/>
  <c r="U227" i="5" s="1"/>
  <c r="X231" i="5"/>
  <c r="U231" i="5" s="1"/>
  <c r="V231" i="5"/>
  <c r="U232" i="5"/>
  <c r="T253" i="5"/>
  <c r="P253" i="5"/>
  <c r="U257" i="5"/>
  <c r="Z257" i="5" s="1"/>
  <c r="AE257" i="5" s="1"/>
  <c r="Y281" i="5"/>
  <c r="X281" i="5"/>
  <c r="U281" i="5" s="1"/>
  <c r="V281" i="5"/>
  <c r="U284" i="5"/>
  <c r="AA284" i="5" s="1"/>
  <c r="AB284" i="5" s="1"/>
  <c r="AC284" i="5" s="1"/>
  <c r="X286" i="5"/>
  <c r="U286" i="5" s="1"/>
  <c r="W286" i="5"/>
  <c r="V286" i="5"/>
  <c r="U289" i="5"/>
  <c r="Z289" i="5" s="1"/>
  <c r="AE289" i="5" s="1"/>
  <c r="AA291" i="5"/>
  <c r="AB291" i="5" s="1"/>
  <c r="AC291" i="5" s="1"/>
  <c r="U291" i="5"/>
  <c r="Z291" i="5" s="1"/>
  <c r="AE291" i="5" s="1"/>
  <c r="Y292" i="5"/>
  <c r="X292" i="5"/>
  <c r="U292" i="5" s="1"/>
  <c r="V292" i="5"/>
  <c r="Y297" i="5"/>
  <c r="U301" i="5"/>
  <c r="S301" i="5" s="1"/>
  <c r="Y308" i="5"/>
  <c r="AA308" i="5" s="1"/>
  <c r="AB308" i="5" s="1"/>
  <c r="AC308" i="5" s="1"/>
  <c r="S329" i="5"/>
  <c r="U329" i="5"/>
  <c r="AA329" i="5" s="1"/>
  <c r="AB329" i="5" s="1"/>
  <c r="AC329" i="5" s="1"/>
  <c r="U334" i="5"/>
  <c r="Z334" i="5" s="1"/>
  <c r="AE334" i="5" s="1"/>
  <c r="U342" i="5"/>
  <c r="AA342" i="5" s="1"/>
  <c r="AB342" i="5" s="1"/>
  <c r="AC342" i="5" s="1"/>
  <c r="T344" i="5"/>
  <c r="P344" i="5"/>
  <c r="T354" i="5"/>
  <c r="P354" i="5"/>
  <c r="Z360" i="5"/>
  <c r="AE360" i="5" s="1"/>
  <c r="Z376" i="5"/>
  <c r="AE376" i="5" s="1"/>
  <c r="U376" i="5"/>
  <c r="S376" i="5" s="1"/>
  <c r="AA388" i="5"/>
  <c r="AB388" i="5" s="1"/>
  <c r="AC388" i="5" s="1"/>
  <c r="Z388" i="5"/>
  <c r="AE388" i="5" s="1"/>
  <c r="U388" i="5"/>
  <c r="S388" i="5" s="1"/>
  <c r="W411" i="5"/>
  <c r="Y411" i="5"/>
  <c r="X411" i="5"/>
  <c r="V411" i="5"/>
  <c r="X417" i="5"/>
  <c r="Y417" i="5"/>
  <c r="V417" i="5"/>
  <c r="U449" i="5"/>
  <c r="S449" i="5" s="1"/>
  <c r="P456" i="5"/>
  <c r="T456" i="5"/>
  <c r="X460" i="5"/>
  <c r="AA460" i="5"/>
  <c r="AB460" i="5" s="1"/>
  <c r="AC460" i="5" s="1"/>
  <c r="Y460" i="5"/>
  <c r="V460" i="5"/>
  <c r="P463" i="5"/>
  <c r="T463" i="5"/>
  <c r="U468" i="5"/>
  <c r="S468" i="5"/>
  <c r="Z475" i="5"/>
  <c r="AE475" i="5" s="1"/>
  <c r="B1019" i="2"/>
  <c r="B106" i="3"/>
  <c r="Z2" i="5"/>
  <c r="AE2" i="5" s="1"/>
  <c r="V5" i="5"/>
  <c r="AA5" i="5" s="1"/>
  <c r="AC5" i="5" s="1"/>
  <c r="Z8" i="5"/>
  <c r="AE8" i="5" s="1"/>
  <c r="V11" i="5"/>
  <c r="S11" i="5" s="1"/>
  <c r="Z14" i="5"/>
  <c r="AE14" i="5" s="1"/>
  <c r="V17" i="5"/>
  <c r="AA17" i="5" s="1"/>
  <c r="AC17" i="5" s="1"/>
  <c r="Z20" i="5"/>
  <c r="AE20" i="5" s="1"/>
  <c r="V23" i="5"/>
  <c r="Z23" i="5" s="1"/>
  <c r="AE23" i="5" s="1"/>
  <c r="Z26" i="5"/>
  <c r="AE26" i="5" s="1"/>
  <c r="V29" i="5"/>
  <c r="S29" i="5" s="1"/>
  <c r="Y32" i="5"/>
  <c r="Z32" i="5" s="1"/>
  <c r="AE32" i="5" s="1"/>
  <c r="P36" i="5"/>
  <c r="V38" i="5"/>
  <c r="S40" i="5"/>
  <c r="V43" i="5"/>
  <c r="S43" i="5" s="1"/>
  <c r="T44" i="5"/>
  <c r="AA53" i="5"/>
  <c r="AC53" i="5" s="1"/>
  <c r="Y53" i="5"/>
  <c r="S53" i="5" s="1"/>
  <c r="T57" i="5"/>
  <c r="P57" i="5"/>
  <c r="W60" i="5"/>
  <c r="V60" i="5"/>
  <c r="Z60" i="5" s="1"/>
  <c r="AE60" i="5" s="1"/>
  <c r="U61" i="5"/>
  <c r="AA61" i="5" s="1"/>
  <c r="AC61" i="5" s="1"/>
  <c r="Y65" i="5"/>
  <c r="U68" i="5"/>
  <c r="V70" i="5"/>
  <c r="AA70" i="5" s="1"/>
  <c r="AC70" i="5" s="1"/>
  <c r="Y70" i="5"/>
  <c r="U77" i="5"/>
  <c r="AA77" i="5" s="1"/>
  <c r="AC77" i="5" s="1"/>
  <c r="Z77" i="5"/>
  <c r="AE77" i="5" s="1"/>
  <c r="S77" i="5"/>
  <c r="X80" i="5"/>
  <c r="U80" i="5" s="1"/>
  <c r="U83" i="5"/>
  <c r="AA83" i="5" s="1"/>
  <c r="AC83" i="5" s="1"/>
  <c r="U88" i="5"/>
  <c r="Z88" i="5"/>
  <c r="AE88" i="5" s="1"/>
  <c r="U89" i="5"/>
  <c r="Z89" i="5" s="1"/>
  <c r="AE89" i="5" s="1"/>
  <c r="T92" i="5"/>
  <c r="P92" i="5"/>
  <c r="Y102" i="5"/>
  <c r="AA106" i="5"/>
  <c r="AC106" i="5" s="1"/>
  <c r="U106" i="5"/>
  <c r="S106" i="5" s="1"/>
  <c r="Z106" i="5"/>
  <c r="AE106" i="5" s="1"/>
  <c r="X107" i="5"/>
  <c r="U107" i="5" s="1"/>
  <c r="V107" i="5"/>
  <c r="T108" i="5"/>
  <c r="P108" i="5"/>
  <c r="U111" i="5"/>
  <c r="AA111" i="5" s="1"/>
  <c r="AC111" i="5" s="1"/>
  <c r="Z111" i="5"/>
  <c r="AE111" i="5" s="1"/>
  <c r="S111" i="5"/>
  <c r="V115" i="5"/>
  <c r="Z115" i="5" s="1"/>
  <c r="AE115" i="5" s="1"/>
  <c r="Y115" i="5"/>
  <c r="V118" i="5"/>
  <c r="Z119" i="5"/>
  <c r="AE119" i="5" s="1"/>
  <c r="U123" i="5"/>
  <c r="AA123" i="5" s="1"/>
  <c r="AC123" i="5" s="1"/>
  <c r="Z123" i="5"/>
  <c r="AE123" i="5" s="1"/>
  <c r="V128" i="5"/>
  <c r="AA128" i="5" s="1"/>
  <c r="AC128" i="5" s="1"/>
  <c r="Y128" i="5"/>
  <c r="U131" i="5"/>
  <c r="S131" i="5" s="1"/>
  <c r="U132" i="5"/>
  <c r="Z132" i="5" s="1"/>
  <c r="AE132" i="5" s="1"/>
  <c r="U133" i="5"/>
  <c r="AA133" i="5" s="1"/>
  <c r="AC133" i="5" s="1"/>
  <c r="AA135" i="5"/>
  <c r="AC135" i="5" s="1"/>
  <c r="U135" i="5"/>
  <c r="Z135" i="5"/>
  <c r="AE135" i="5" s="1"/>
  <c r="S135" i="5"/>
  <c r="W136" i="5"/>
  <c r="AA136" i="5" s="1"/>
  <c r="AC136" i="5" s="1"/>
  <c r="V136" i="5"/>
  <c r="Z136" i="5" s="1"/>
  <c r="AE136" i="5" s="1"/>
  <c r="V138" i="5"/>
  <c r="Y138" i="5"/>
  <c r="T142" i="5"/>
  <c r="P142" i="5"/>
  <c r="Y143" i="5"/>
  <c r="U145" i="5"/>
  <c r="AA145" i="5" s="1"/>
  <c r="AC145" i="5" s="1"/>
  <c r="V147" i="5"/>
  <c r="AA147" i="5" s="1"/>
  <c r="AC147" i="5" s="1"/>
  <c r="Y147" i="5"/>
  <c r="V150" i="5"/>
  <c r="Y150" i="5"/>
  <c r="X153" i="5"/>
  <c r="U153" i="5" s="1"/>
  <c r="V153" i="5"/>
  <c r="T154" i="5"/>
  <c r="P154" i="5"/>
  <c r="Y155" i="5"/>
  <c r="U157" i="5"/>
  <c r="S157" i="5" s="1"/>
  <c r="U158" i="5"/>
  <c r="AA158" i="5" s="1"/>
  <c r="AC158" i="5" s="1"/>
  <c r="V164" i="5"/>
  <c r="Y164" i="5"/>
  <c r="X167" i="5"/>
  <c r="U167" i="5" s="1"/>
  <c r="V167" i="5"/>
  <c r="T168" i="5"/>
  <c r="P168" i="5"/>
  <c r="S170" i="5"/>
  <c r="U172" i="5"/>
  <c r="S172" i="5" s="1"/>
  <c r="U173" i="5"/>
  <c r="AA173" i="5" s="1"/>
  <c r="AC173" i="5" s="1"/>
  <c r="U174" i="5"/>
  <c r="Z174" i="5"/>
  <c r="AE174" i="5" s="1"/>
  <c r="S174" i="5"/>
  <c r="Z182" i="5"/>
  <c r="AE182" i="5" s="1"/>
  <c r="X193" i="5"/>
  <c r="U193" i="5" s="1"/>
  <c r="U196" i="5"/>
  <c r="Z196" i="5" s="1"/>
  <c r="AE196" i="5" s="1"/>
  <c r="S206" i="5"/>
  <c r="U224" i="5"/>
  <c r="AA224" i="5"/>
  <c r="AC224" i="5" s="1"/>
  <c r="Z224" i="5"/>
  <c r="AE224" i="5" s="1"/>
  <c r="S224" i="5"/>
  <c r="AA230" i="5"/>
  <c r="AB230" i="5" s="1"/>
  <c r="AC230" i="5" s="1"/>
  <c r="U230" i="5"/>
  <c r="Z230" i="5"/>
  <c r="AE230" i="5" s="1"/>
  <c r="S230" i="5"/>
  <c r="U247" i="5"/>
  <c r="S247" i="5" s="1"/>
  <c r="Z247" i="5"/>
  <c r="AE247" i="5" s="1"/>
  <c r="U254" i="5"/>
  <c r="S254" i="5" s="1"/>
  <c r="U262" i="5"/>
  <c r="Z262" i="5" s="1"/>
  <c r="AE262" i="5" s="1"/>
  <c r="S262" i="5"/>
  <c r="P263" i="5"/>
  <c r="T263" i="5"/>
  <c r="T300" i="5"/>
  <c r="P300" i="5"/>
  <c r="U303" i="5"/>
  <c r="AA303" i="5" s="1"/>
  <c r="AB303" i="5" s="1"/>
  <c r="AC303" i="5" s="1"/>
  <c r="X306" i="5"/>
  <c r="U306" i="5" s="1"/>
  <c r="W306" i="5"/>
  <c r="V306" i="5"/>
  <c r="T319" i="5"/>
  <c r="P319" i="5"/>
  <c r="Z322" i="5"/>
  <c r="AE322" i="5" s="1"/>
  <c r="U322" i="5"/>
  <c r="S322" i="5" s="1"/>
  <c r="U330" i="5"/>
  <c r="AA330" i="5" s="1"/>
  <c r="AB330" i="5" s="1"/>
  <c r="AC330" i="5" s="1"/>
  <c r="X336" i="5"/>
  <c r="W336" i="5"/>
  <c r="V336" i="5"/>
  <c r="AA362" i="5"/>
  <c r="AB362" i="5" s="1"/>
  <c r="AC362" i="5" s="1"/>
  <c r="AA405" i="5"/>
  <c r="AB405" i="5" s="1"/>
  <c r="AC405" i="5" s="1"/>
  <c r="Y406" i="5"/>
  <c r="W406" i="5"/>
  <c r="X406" i="5"/>
  <c r="V406" i="5"/>
  <c r="S413" i="5"/>
  <c r="Y443" i="5"/>
  <c r="X443" i="5"/>
  <c r="W443" i="5"/>
  <c r="V443" i="5"/>
  <c r="Z447" i="5"/>
  <c r="AE447" i="5" s="1"/>
  <c r="U447" i="5"/>
  <c r="S447" i="5"/>
  <c r="AA447" i="5"/>
  <c r="AB447" i="5" s="1"/>
  <c r="AC447" i="5" s="1"/>
  <c r="P465" i="5"/>
  <c r="T465" i="5"/>
  <c r="T478" i="5"/>
  <c r="P478" i="5"/>
  <c r="Z511" i="5"/>
  <c r="AE511" i="5" s="1"/>
  <c r="S511" i="5"/>
  <c r="X524" i="5"/>
  <c r="U524" i="5" s="1"/>
  <c r="W524" i="5"/>
  <c r="V524" i="5"/>
  <c r="AA524" i="5"/>
  <c r="AB524" i="5" s="1"/>
  <c r="AC524" i="5" s="1"/>
  <c r="Y524" i="5"/>
  <c r="Z524" i="5" s="1"/>
  <c r="AE524" i="5" s="1"/>
  <c r="F591" i="2"/>
  <c r="F595" i="2"/>
  <c r="F599" i="2"/>
  <c r="F605" i="2"/>
  <c r="F613" i="2"/>
  <c r="F629" i="2"/>
  <c r="F641" i="2"/>
  <c r="F645" i="2"/>
  <c r="F651" i="2"/>
  <c r="F655" i="2"/>
  <c r="F659" i="2"/>
  <c r="F665" i="2"/>
  <c r="F671" i="2"/>
  <c r="F691" i="2"/>
  <c r="F711" i="2"/>
  <c r="F715" i="2"/>
  <c r="F719" i="2"/>
  <c r="F729" i="2"/>
  <c r="F733" i="2"/>
  <c r="F737" i="2"/>
  <c r="F743" i="2"/>
  <c r="F747" i="2"/>
  <c r="F751" i="2"/>
  <c r="F755" i="2"/>
  <c r="F763" i="2"/>
  <c r="F765" i="2"/>
  <c r="F769" i="2"/>
  <c r="F773" i="2"/>
  <c r="F781" i="2"/>
  <c r="F785" i="2"/>
  <c r="F813" i="2"/>
  <c r="F843" i="2"/>
  <c r="F847" i="2"/>
  <c r="F867" i="2"/>
  <c r="F873" i="2"/>
  <c r="F877" i="2"/>
  <c r="F883" i="2"/>
  <c r="F891" i="2"/>
  <c r="F893" i="2"/>
  <c r="F901" i="2"/>
  <c r="F903" i="2"/>
  <c r="AA2" i="5"/>
  <c r="AC2" i="5" s="1"/>
  <c r="AA8" i="5"/>
  <c r="AC8" i="5" s="1"/>
  <c r="AA14" i="5"/>
  <c r="AC14" i="5" s="1"/>
  <c r="AA20" i="5"/>
  <c r="AC20" i="5" s="1"/>
  <c r="AA26" i="5"/>
  <c r="AC26" i="5" s="1"/>
  <c r="S32" i="5"/>
  <c r="T35" i="5"/>
  <c r="AA36" i="5"/>
  <c r="AC36" i="5" s="1"/>
  <c r="X38" i="5"/>
  <c r="U38" i="5" s="1"/>
  <c r="V39" i="5"/>
  <c r="Z39" i="5" s="1"/>
  <c r="AE39" i="5" s="1"/>
  <c r="T41" i="5"/>
  <c r="W43" i="5"/>
  <c r="AA45" i="5"/>
  <c r="AC45" i="5" s="1"/>
  <c r="Z47" i="5"/>
  <c r="AE47" i="5" s="1"/>
  <c r="W48" i="5"/>
  <c r="U50" i="5"/>
  <c r="Z50" i="5" s="1"/>
  <c r="AE50" i="5" s="1"/>
  <c r="T54" i="5"/>
  <c r="V55" i="5"/>
  <c r="Y56" i="5"/>
  <c r="X57" i="5"/>
  <c r="T59" i="5"/>
  <c r="P59" i="5"/>
  <c r="T63" i="5"/>
  <c r="U65" i="5"/>
  <c r="S65" i="5" s="1"/>
  <c r="U66" i="5"/>
  <c r="Z66" i="5" s="1"/>
  <c r="AE66" i="5" s="1"/>
  <c r="U70" i="5"/>
  <c r="U75" i="5"/>
  <c r="AA75" i="5" s="1"/>
  <c r="AC75" i="5" s="1"/>
  <c r="P77" i="5"/>
  <c r="U81" i="5"/>
  <c r="T82" i="5"/>
  <c r="P82" i="5"/>
  <c r="W83" i="5"/>
  <c r="Z83" i="5" s="1"/>
  <c r="AE83" i="5" s="1"/>
  <c r="U90" i="5"/>
  <c r="Z90" i="5" s="1"/>
  <c r="AE90" i="5" s="1"/>
  <c r="AA90" i="5"/>
  <c r="AC90" i="5" s="1"/>
  <c r="S90" i="5"/>
  <c r="Y93" i="5"/>
  <c r="S94" i="5"/>
  <c r="U96" i="5"/>
  <c r="X98" i="5"/>
  <c r="U98" i="5" s="1"/>
  <c r="V98" i="5"/>
  <c r="T99" i="5"/>
  <c r="P99" i="5"/>
  <c r="Y100" i="5"/>
  <c r="U102" i="5"/>
  <c r="Z102" i="5"/>
  <c r="AE102" i="5" s="1"/>
  <c r="U103" i="5"/>
  <c r="AA103" i="5" s="1"/>
  <c r="AC103" i="5" s="1"/>
  <c r="U105" i="5"/>
  <c r="Z105" i="5" s="1"/>
  <c r="AE105" i="5" s="1"/>
  <c r="P106" i="5"/>
  <c r="V113" i="5"/>
  <c r="S113" i="5" s="1"/>
  <c r="W115" i="5"/>
  <c r="AA115" i="5" s="1"/>
  <c r="AC115" i="5" s="1"/>
  <c r="X118" i="5"/>
  <c r="W128" i="5"/>
  <c r="S128" i="5" s="1"/>
  <c r="P135" i="5"/>
  <c r="S136" i="5"/>
  <c r="W138" i="5"/>
  <c r="U141" i="5"/>
  <c r="AA141" i="5" s="1"/>
  <c r="AC141" i="5" s="1"/>
  <c r="W147" i="5"/>
  <c r="W150" i="5"/>
  <c r="AA159" i="5"/>
  <c r="AC159" i="5" s="1"/>
  <c r="U159" i="5"/>
  <c r="S159" i="5" s="1"/>
  <c r="Z159" i="5"/>
  <c r="AE159" i="5" s="1"/>
  <c r="W160" i="5"/>
  <c r="V160" i="5"/>
  <c r="V162" i="5"/>
  <c r="W164" i="5"/>
  <c r="AA164" i="5" s="1"/>
  <c r="AC164" i="5" s="1"/>
  <c r="U170" i="5"/>
  <c r="AA170" i="5" s="1"/>
  <c r="AC170" i="5" s="1"/>
  <c r="AA175" i="5"/>
  <c r="AC175" i="5" s="1"/>
  <c r="V176" i="5"/>
  <c r="Y176" i="5"/>
  <c r="T178" i="5"/>
  <c r="P178" i="5"/>
  <c r="AA183" i="5"/>
  <c r="AC183" i="5" s="1"/>
  <c r="U183" i="5"/>
  <c r="Z183" i="5"/>
  <c r="AE183" i="5" s="1"/>
  <c r="S183" i="5"/>
  <c r="T200" i="5"/>
  <c r="P200" i="5"/>
  <c r="U201" i="5"/>
  <c r="AA201" i="5" s="1"/>
  <c r="AC201" i="5" s="1"/>
  <c r="U203" i="5"/>
  <c r="Z203" i="5" s="1"/>
  <c r="AE203" i="5" s="1"/>
  <c r="AA203" i="5"/>
  <c r="AC203" i="5" s="1"/>
  <c r="S203" i="5"/>
  <c r="Z207" i="5"/>
  <c r="AE207" i="5" s="1"/>
  <c r="U216" i="5"/>
  <c r="Z216" i="5" s="1"/>
  <c r="AE216" i="5" s="1"/>
  <c r="U222" i="5"/>
  <c r="Z222" i="5"/>
  <c r="AE222" i="5" s="1"/>
  <c r="T234" i="5"/>
  <c r="P234" i="5"/>
  <c r="U238" i="5"/>
  <c r="AA238" i="5" s="1"/>
  <c r="AB238" i="5" s="1"/>
  <c r="AC238" i="5" s="1"/>
  <c r="U240" i="5"/>
  <c r="U248" i="5"/>
  <c r="Z248" i="5" s="1"/>
  <c r="AE248" i="5" s="1"/>
  <c r="Y257" i="5"/>
  <c r="X257" i="5"/>
  <c r="W257" i="5"/>
  <c r="V257" i="5"/>
  <c r="S257" i="5" s="1"/>
  <c r="AA270" i="5"/>
  <c r="AB270" i="5" s="1"/>
  <c r="AC270" i="5" s="1"/>
  <c r="U271" i="5"/>
  <c r="T277" i="5"/>
  <c r="P277" i="5"/>
  <c r="V299" i="5"/>
  <c r="Y299" i="5"/>
  <c r="X299" i="5"/>
  <c r="U299" i="5" s="1"/>
  <c r="Y306" i="5"/>
  <c r="T311" i="5"/>
  <c r="P311" i="5"/>
  <c r="Z314" i="5"/>
  <c r="AE314" i="5" s="1"/>
  <c r="S314" i="5"/>
  <c r="U314" i="5"/>
  <c r="AA314" i="5" s="1"/>
  <c r="AB314" i="5" s="1"/>
  <c r="AC314" i="5" s="1"/>
  <c r="Z324" i="5"/>
  <c r="AE324" i="5" s="1"/>
  <c r="U324" i="5"/>
  <c r="AA324" i="5" s="1"/>
  <c r="AB324" i="5" s="1"/>
  <c r="AC324" i="5" s="1"/>
  <c r="Y325" i="5"/>
  <c r="X325" i="5"/>
  <c r="U325" i="5" s="1"/>
  <c r="W325" i="5"/>
  <c r="V325" i="5"/>
  <c r="S326" i="5"/>
  <c r="Z326" i="5"/>
  <c r="AE326" i="5" s="1"/>
  <c r="U333" i="5"/>
  <c r="AA333" i="5" s="1"/>
  <c r="AB333" i="5" s="1"/>
  <c r="AC333" i="5" s="1"/>
  <c r="Y336" i="5"/>
  <c r="T339" i="5"/>
  <c r="P339" i="5"/>
  <c r="X343" i="5"/>
  <c r="Y343" i="5"/>
  <c r="V343" i="5"/>
  <c r="T346" i="5"/>
  <c r="P346" i="5"/>
  <c r="S349" i="5"/>
  <c r="Z349" i="5"/>
  <c r="AE349" i="5" s="1"/>
  <c r="S377" i="5"/>
  <c r="P381" i="5"/>
  <c r="T381" i="5"/>
  <c r="S389" i="5"/>
  <c r="Z408" i="5"/>
  <c r="AE408" i="5" s="1"/>
  <c r="Z413" i="5"/>
  <c r="AE413" i="5" s="1"/>
  <c r="X415" i="5"/>
  <c r="Y415" i="5"/>
  <c r="V415" i="5"/>
  <c r="T435" i="5"/>
  <c r="P435" i="5"/>
  <c r="P470" i="5"/>
  <c r="T470" i="5"/>
  <c r="Z516" i="5"/>
  <c r="AE516" i="5" s="1"/>
  <c r="S516" i="5"/>
  <c r="U516" i="5"/>
  <c r="AA516" i="5" s="1"/>
  <c r="AB516" i="5" s="1"/>
  <c r="AC516" i="5" s="1"/>
  <c r="T565" i="5"/>
  <c r="P565" i="5"/>
  <c r="U574" i="5"/>
  <c r="S574" i="5" s="1"/>
  <c r="U579" i="5"/>
  <c r="S579" i="5" s="1"/>
  <c r="W593" i="5"/>
  <c r="Y593" i="5"/>
  <c r="X593" i="5"/>
  <c r="V593" i="5"/>
  <c r="AA649" i="5"/>
  <c r="AB649" i="5" s="1"/>
  <c r="AC649" i="5" s="1"/>
  <c r="U654" i="5"/>
  <c r="U749" i="5"/>
  <c r="S749" i="5" s="1"/>
  <c r="U822" i="5"/>
  <c r="Z822" i="5" s="1"/>
  <c r="AE822" i="5" s="1"/>
  <c r="AA824" i="5"/>
  <c r="AB824" i="5" s="1"/>
  <c r="AC824" i="5" s="1"/>
  <c r="S824" i="5"/>
  <c r="U824" i="5"/>
  <c r="Z824" i="5" s="1"/>
  <c r="AE824" i="5" s="1"/>
  <c r="AA836" i="5"/>
  <c r="AB836" i="5" s="1"/>
  <c r="AC836" i="5" s="1"/>
  <c r="S836" i="5"/>
  <c r="AA841" i="5"/>
  <c r="AB841" i="5" s="1"/>
  <c r="AC841" i="5" s="1"/>
  <c r="Z841" i="5"/>
  <c r="AE841" i="5" s="1"/>
  <c r="U841" i="5"/>
  <c r="S841" i="5" s="1"/>
  <c r="U847" i="5"/>
  <c r="Z847" i="5"/>
  <c r="AE847" i="5" s="1"/>
  <c r="U882" i="5"/>
  <c r="Z882" i="5" s="1"/>
  <c r="Z883" i="5"/>
  <c r="AE883" i="5" s="1"/>
  <c r="U883" i="5"/>
  <c r="V49" i="5"/>
  <c r="S49" i="5" s="1"/>
  <c r="V52" i="5"/>
  <c r="S52" i="5" s="1"/>
  <c r="V61" i="5"/>
  <c r="V66" i="5"/>
  <c r="W69" i="5"/>
  <c r="W72" i="5"/>
  <c r="S73" i="5"/>
  <c r="Z73" i="5"/>
  <c r="AE73" i="5" s="1"/>
  <c r="W79" i="5"/>
  <c r="W82" i="5"/>
  <c r="V89" i="5"/>
  <c r="X92" i="5"/>
  <c r="V94" i="5"/>
  <c r="AA94" i="5" s="1"/>
  <c r="AC94" i="5" s="1"/>
  <c r="X97" i="5"/>
  <c r="X99" i="5"/>
  <c r="X101" i="5"/>
  <c r="V103" i="5"/>
  <c r="X108" i="5"/>
  <c r="W110" i="5"/>
  <c r="V112" i="5"/>
  <c r="Z112" i="5" s="1"/>
  <c r="AE112" i="5" s="1"/>
  <c r="V114" i="5"/>
  <c r="S114" i="5" s="1"/>
  <c r="W117" i="5"/>
  <c r="V119" i="5"/>
  <c r="S119" i="5" s="1"/>
  <c r="W122" i="5"/>
  <c r="AA126" i="5"/>
  <c r="AC126" i="5" s="1"/>
  <c r="W127" i="5"/>
  <c r="V132" i="5"/>
  <c r="V134" i="5"/>
  <c r="Z134" i="5" s="1"/>
  <c r="AE134" i="5" s="1"/>
  <c r="V137" i="5"/>
  <c r="Z137" i="5" s="1"/>
  <c r="AE137" i="5" s="1"/>
  <c r="X142" i="5"/>
  <c r="X144" i="5"/>
  <c r="W146" i="5"/>
  <c r="W149" i="5"/>
  <c r="X152" i="5"/>
  <c r="X154" i="5"/>
  <c r="X156" i="5"/>
  <c r="V158" i="5"/>
  <c r="V161" i="5"/>
  <c r="Z161" i="5" s="1"/>
  <c r="AE161" i="5" s="1"/>
  <c r="V163" i="5"/>
  <c r="AA163" i="5" s="1"/>
  <c r="AC163" i="5" s="1"/>
  <c r="AA165" i="5"/>
  <c r="AC165" i="5" s="1"/>
  <c r="X166" i="5"/>
  <c r="W168" i="5"/>
  <c r="V170" i="5"/>
  <c r="V173" i="5"/>
  <c r="V175" i="5"/>
  <c r="AA177" i="5"/>
  <c r="AC177" i="5" s="1"/>
  <c r="X178" i="5"/>
  <c r="X180" i="5"/>
  <c r="V182" i="5"/>
  <c r="AA182" i="5" s="1"/>
  <c r="AC182" i="5" s="1"/>
  <c r="X185" i="5"/>
  <c r="V187" i="5"/>
  <c r="AA187" i="5" s="1"/>
  <c r="AC187" i="5" s="1"/>
  <c r="X190" i="5"/>
  <c r="W192" i="5"/>
  <c r="V197" i="5"/>
  <c r="AA197" i="5" s="1"/>
  <c r="AC197" i="5" s="1"/>
  <c r="W200" i="5"/>
  <c r="X205" i="5"/>
  <c r="V207" i="5"/>
  <c r="AA207" i="5" s="1"/>
  <c r="AC207" i="5" s="1"/>
  <c r="V210" i="5"/>
  <c r="S210" i="5" s="1"/>
  <c r="V215" i="5"/>
  <c r="Z215" i="5" s="1"/>
  <c r="AE215" i="5" s="1"/>
  <c r="V218" i="5"/>
  <c r="Z218" i="5" s="1"/>
  <c r="AE218" i="5" s="1"/>
  <c r="V223" i="5"/>
  <c r="AA223" i="5" s="1"/>
  <c r="AC223" i="5" s="1"/>
  <c r="W226" i="5"/>
  <c r="AA228" i="5"/>
  <c r="AB228" i="5" s="1"/>
  <c r="AC228" i="5" s="1"/>
  <c r="V229" i="5"/>
  <c r="AA229" i="5" s="1"/>
  <c r="AB229" i="5" s="1"/>
  <c r="V233" i="5"/>
  <c r="AA233" i="5" s="1"/>
  <c r="AB233" i="5" s="1"/>
  <c r="AC233" i="5" s="1"/>
  <c r="W234" i="5"/>
  <c r="V237" i="5"/>
  <c r="S237" i="5" s="1"/>
  <c r="AA240" i="5"/>
  <c r="AB240" i="5" s="1"/>
  <c r="AC240" i="5" s="1"/>
  <c r="V241" i="5"/>
  <c r="S241" i="5" s="1"/>
  <c r="V245" i="5"/>
  <c r="V249" i="5"/>
  <c r="AA250" i="5"/>
  <c r="AB250" i="5" s="1"/>
  <c r="AC250" i="5" s="1"/>
  <c r="Z250" i="5"/>
  <c r="AE250" i="5" s="1"/>
  <c r="X251" i="5"/>
  <c r="U251" i="5" s="1"/>
  <c r="AA251" i="5" s="1"/>
  <c r="AB251" i="5" s="1"/>
  <c r="AC251" i="5" s="1"/>
  <c r="X253" i="5"/>
  <c r="X258" i="5"/>
  <c r="U258" i="5" s="1"/>
  <c r="V261" i="5"/>
  <c r="Y263" i="5"/>
  <c r="V266" i="5"/>
  <c r="Z266" i="5" s="1"/>
  <c r="AE266" i="5" s="1"/>
  <c r="Y267" i="5"/>
  <c r="AA267" i="5" s="1"/>
  <c r="AB267" i="5" s="1"/>
  <c r="AC267" i="5" s="1"/>
  <c r="V268" i="5"/>
  <c r="X270" i="5"/>
  <c r="U270" i="5" s="1"/>
  <c r="X272" i="5"/>
  <c r="U272" i="5" s="1"/>
  <c r="AA272" i="5" s="1"/>
  <c r="AB272" i="5" s="1"/>
  <c r="AC272" i="5" s="1"/>
  <c r="V275" i="5"/>
  <c r="Z279" i="5"/>
  <c r="AE279" i="5" s="1"/>
  <c r="X282" i="5"/>
  <c r="U282" i="5" s="1"/>
  <c r="AA282" i="5" s="1"/>
  <c r="AB282" i="5" s="1"/>
  <c r="AC282" i="5" s="1"/>
  <c r="V285" i="5"/>
  <c r="W287" i="5"/>
  <c r="T288" i="5"/>
  <c r="X290" i="5"/>
  <c r="V294" i="5"/>
  <c r="S294" i="5" s="1"/>
  <c r="W296" i="5"/>
  <c r="W305" i="5"/>
  <c r="AA305" i="5" s="1"/>
  <c r="AB305" i="5" s="1"/>
  <c r="AC305" i="5" s="1"/>
  <c r="X309" i="5"/>
  <c r="U309" i="5" s="1"/>
  <c r="AA309" i="5" s="1"/>
  <c r="AB309" i="5" s="1"/>
  <c r="AC309" i="5" s="1"/>
  <c r="Y311" i="5"/>
  <c r="V312" i="5"/>
  <c r="T313" i="5"/>
  <c r="X317" i="5"/>
  <c r="U317" i="5" s="1"/>
  <c r="AA317" i="5" s="1"/>
  <c r="AB317" i="5" s="1"/>
  <c r="AC317" i="5" s="1"/>
  <c r="Y319" i="5"/>
  <c r="V320" i="5"/>
  <c r="T321" i="5"/>
  <c r="Y328" i="5"/>
  <c r="V331" i="5"/>
  <c r="Y332" i="5"/>
  <c r="Z332" i="5" s="1"/>
  <c r="AE332" i="5" s="1"/>
  <c r="Z335" i="5"/>
  <c r="AE335" i="5" s="1"/>
  <c r="W335" i="5"/>
  <c r="S335" i="5" s="1"/>
  <c r="W337" i="5"/>
  <c r="T338" i="5"/>
  <c r="X341" i="5"/>
  <c r="X344" i="5"/>
  <c r="Y346" i="5"/>
  <c r="V347" i="5"/>
  <c r="S351" i="5"/>
  <c r="V352" i="5"/>
  <c r="Z352" i="5" s="1"/>
  <c r="AE352" i="5" s="1"/>
  <c r="AA352" i="5"/>
  <c r="AB352" i="5" s="1"/>
  <c r="AC352" i="5" s="1"/>
  <c r="Z356" i="5"/>
  <c r="AE356" i="5" s="1"/>
  <c r="T368" i="5"/>
  <c r="T370" i="5"/>
  <c r="Z373" i="5"/>
  <c r="AE373" i="5" s="1"/>
  <c r="AA374" i="5"/>
  <c r="AB374" i="5" s="1"/>
  <c r="AC374" i="5" s="1"/>
  <c r="X375" i="5"/>
  <c r="U375" i="5" s="1"/>
  <c r="Z375" i="5" s="1"/>
  <c r="AE375" i="5" s="1"/>
  <c r="V379" i="5"/>
  <c r="Z379" i="5" s="1"/>
  <c r="AE379" i="5" s="1"/>
  <c r="AA379" i="5"/>
  <c r="AB379" i="5" s="1"/>
  <c r="AC379" i="5" s="1"/>
  <c r="Y381" i="5"/>
  <c r="W381" i="5"/>
  <c r="Y385" i="5"/>
  <c r="AA385" i="5" s="1"/>
  <c r="AB385" i="5" s="1"/>
  <c r="AC385" i="5" s="1"/>
  <c r="X387" i="5"/>
  <c r="U387" i="5" s="1"/>
  <c r="Z395" i="5"/>
  <c r="AE395" i="5" s="1"/>
  <c r="AA397" i="5"/>
  <c r="AB397" i="5" s="1"/>
  <c r="AC397" i="5" s="1"/>
  <c r="Y400" i="5"/>
  <c r="W400" i="5"/>
  <c r="V402" i="5"/>
  <c r="Z402" i="5" s="1"/>
  <c r="AE402" i="5" s="1"/>
  <c r="T406" i="5"/>
  <c r="U408" i="5"/>
  <c r="S408" i="5" s="1"/>
  <c r="T411" i="5"/>
  <c r="U412" i="5"/>
  <c r="Z412" i="5" s="1"/>
  <c r="AE412" i="5" s="1"/>
  <c r="T415" i="5"/>
  <c r="T417" i="5"/>
  <c r="T419" i="5"/>
  <c r="Z422" i="5"/>
  <c r="AE422" i="5" s="1"/>
  <c r="V426" i="5"/>
  <c r="V428" i="5"/>
  <c r="AA428" i="5" s="1"/>
  <c r="AB428" i="5" s="1"/>
  <c r="AC428" i="5" s="1"/>
  <c r="AA430" i="5"/>
  <c r="AB430" i="5" s="1"/>
  <c r="AC430" i="5" s="1"/>
  <c r="T431" i="5"/>
  <c r="Y435" i="5"/>
  <c r="W435" i="5"/>
  <c r="U450" i="5"/>
  <c r="AA450" i="5" s="1"/>
  <c r="AB450" i="5" s="1"/>
  <c r="AC450" i="5" s="1"/>
  <c r="U457" i="5"/>
  <c r="AA457" i="5" s="1"/>
  <c r="AB457" i="5" s="1"/>
  <c r="AC457" i="5" s="1"/>
  <c r="Y459" i="5"/>
  <c r="U460" i="5"/>
  <c r="Z460" i="5" s="1"/>
  <c r="AE460" i="5" s="1"/>
  <c r="Z490" i="5"/>
  <c r="AE490" i="5" s="1"/>
  <c r="S494" i="5"/>
  <c r="Z494" i="5"/>
  <c r="AE494" i="5" s="1"/>
  <c r="U494" i="5"/>
  <c r="U499" i="5"/>
  <c r="AA499" i="5"/>
  <c r="AB499" i="5" s="1"/>
  <c r="AC499" i="5" s="1"/>
  <c r="Z502" i="5"/>
  <c r="AE502" i="5" s="1"/>
  <c r="U506" i="5"/>
  <c r="AA506" i="5" s="1"/>
  <c r="AB506" i="5" s="1"/>
  <c r="AC506" i="5" s="1"/>
  <c r="V519" i="5"/>
  <c r="Y519" i="5"/>
  <c r="X519" i="5"/>
  <c r="U521" i="5"/>
  <c r="Z522" i="5"/>
  <c r="AE522" i="5" s="1"/>
  <c r="U529" i="5"/>
  <c r="AA529" i="5" s="1"/>
  <c r="AB529" i="5" s="1"/>
  <c r="AC529" i="5" s="1"/>
  <c r="S529" i="5"/>
  <c r="Z529" i="5"/>
  <c r="AE529" i="5" s="1"/>
  <c r="U535" i="5"/>
  <c r="S535" i="5" s="1"/>
  <c r="Z537" i="5"/>
  <c r="AE537" i="5" s="1"/>
  <c r="T562" i="5"/>
  <c r="P562" i="5"/>
  <c r="Y603" i="5"/>
  <c r="V603" i="5"/>
  <c r="X603" i="5"/>
  <c r="W603" i="5"/>
  <c r="S603" i="5" s="1"/>
  <c r="V735" i="5"/>
  <c r="Y735" i="5"/>
  <c r="X735" i="5"/>
  <c r="X69" i="5"/>
  <c r="Z70" i="5"/>
  <c r="AE70" i="5" s="1"/>
  <c r="X72" i="5"/>
  <c r="X79" i="5"/>
  <c r="X82" i="5"/>
  <c r="Y92" i="5"/>
  <c r="Y97" i="5"/>
  <c r="Y99" i="5"/>
  <c r="Y101" i="5"/>
  <c r="V105" i="5"/>
  <c r="Y108" i="5"/>
  <c r="X110" i="5"/>
  <c r="V116" i="5"/>
  <c r="Z116" i="5" s="1"/>
  <c r="AE116" i="5" s="1"/>
  <c r="X117" i="5"/>
  <c r="X122" i="5"/>
  <c r="V124" i="5"/>
  <c r="V126" i="5"/>
  <c r="Z126" i="5" s="1"/>
  <c r="AE126" i="5" s="1"/>
  <c r="X127" i="5"/>
  <c r="V129" i="5"/>
  <c r="Z129" i="5" s="1"/>
  <c r="AE129" i="5" s="1"/>
  <c r="V139" i="5"/>
  <c r="V141" i="5"/>
  <c r="X146" i="5"/>
  <c r="V148" i="5"/>
  <c r="Z148" i="5" s="1"/>
  <c r="AE148" i="5" s="1"/>
  <c r="X149" i="5"/>
  <c r="V151" i="5"/>
  <c r="S151" i="5" s="1"/>
  <c r="V165" i="5"/>
  <c r="S165" i="5" s="1"/>
  <c r="X168" i="5"/>
  <c r="V177" i="5"/>
  <c r="AA186" i="5"/>
  <c r="AC186" i="5" s="1"/>
  <c r="X192" i="5"/>
  <c r="V194" i="5"/>
  <c r="V199" i="5"/>
  <c r="S199" i="5" s="1"/>
  <c r="X200" i="5"/>
  <c r="V202" i="5"/>
  <c r="V204" i="5"/>
  <c r="AA204" i="5" s="1"/>
  <c r="AC204" i="5" s="1"/>
  <c r="AA206" i="5"/>
  <c r="AC206" i="5" s="1"/>
  <c r="V212" i="5"/>
  <c r="AA217" i="5"/>
  <c r="AC217" i="5" s="1"/>
  <c r="V220" i="5"/>
  <c r="V225" i="5"/>
  <c r="Z225" i="5" s="1"/>
  <c r="AE225" i="5" s="1"/>
  <c r="X226" i="5"/>
  <c r="V228" i="5"/>
  <c r="S228" i="5" s="1"/>
  <c r="V232" i="5"/>
  <c r="Z232" i="5" s="1"/>
  <c r="AE232" i="5" s="1"/>
  <c r="W233" i="5"/>
  <c r="Z233" i="5" s="1"/>
  <c r="AE233" i="5" s="1"/>
  <c r="X237" i="5"/>
  <c r="U237" i="5" s="1"/>
  <c r="AA237" i="5" s="1"/>
  <c r="AB237" i="5" s="1"/>
  <c r="AC237" i="5" s="1"/>
  <c r="V240" i="5"/>
  <c r="S240" i="5" s="1"/>
  <c r="X241" i="5"/>
  <c r="U241" i="5" s="1"/>
  <c r="AA241" i="5" s="1"/>
  <c r="AB241" i="5" s="1"/>
  <c r="AC241" i="5" s="1"/>
  <c r="V244" i="5"/>
  <c r="AA244" i="5" s="1"/>
  <c r="AB244" i="5" s="1"/>
  <c r="AC244" i="5" s="1"/>
  <c r="X245" i="5"/>
  <c r="U245" i="5" s="1"/>
  <c r="W249" i="5"/>
  <c r="S250" i="5"/>
  <c r="Y251" i="5"/>
  <c r="Z251" i="5" s="1"/>
  <c r="AE251" i="5" s="1"/>
  <c r="V254" i="5"/>
  <c r="T255" i="5"/>
  <c r="X261" i="5"/>
  <c r="U261" i="5" s="1"/>
  <c r="S265" i="5"/>
  <c r="AA265" i="5"/>
  <c r="AB265" i="5" s="1"/>
  <c r="AC265" i="5" s="1"/>
  <c r="W266" i="5"/>
  <c r="S267" i="5"/>
  <c r="Z267" i="5"/>
  <c r="AE267" i="5" s="1"/>
  <c r="X268" i="5"/>
  <c r="U268" i="5" s="1"/>
  <c r="AA268" i="5" s="1"/>
  <c r="AB268" i="5" s="1"/>
  <c r="AC268" i="5" s="1"/>
  <c r="Y270" i="5"/>
  <c r="V271" i="5"/>
  <c r="Y272" i="5"/>
  <c r="S272" i="5" s="1"/>
  <c r="V273" i="5"/>
  <c r="X275" i="5"/>
  <c r="U275" i="5" s="1"/>
  <c r="AA275" i="5" s="1"/>
  <c r="AB275" i="5" s="1"/>
  <c r="AC275" i="5" s="1"/>
  <c r="V278" i="5"/>
  <c r="S279" i="5"/>
  <c r="Y282" i="5"/>
  <c r="V283" i="5"/>
  <c r="X285" i="5"/>
  <c r="U285" i="5" s="1"/>
  <c r="AA285" i="5" s="1"/>
  <c r="AB285" i="5" s="1"/>
  <c r="AC285" i="5" s="1"/>
  <c r="X287" i="5"/>
  <c r="U287" i="5" s="1"/>
  <c r="AA287" i="5" s="1"/>
  <c r="AB287" i="5" s="1"/>
  <c r="AC287" i="5" s="1"/>
  <c r="V291" i="5"/>
  <c r="S291" i="5" s="1"/>
  <c r="X294" i="5"/>
  <c r="U294" i="5" s="1"/>
  <c r="AA294" i="5" s="1"/>
  <c r="AB294" i="5" s="1"/>
  <c r="AC294" i="5" s="1"/>
  <c r="X296" i="5"/>
  <c r="U296" i="5" s="1"/>
  <c r="Z296" i="5" s="1"/>
  <c r="AE296" i="5" s="1"/>
  <c r="V301" i="5"/>
  <c r="X303" i="5"/>
  <c r="Y309" i="5"/>
  <c r="X312" i="5"/>
  <c r="U312" i="5" s="1"/>
  <c r="Y317" i="5"/>
  <c r="X320" i="5"/>
  <c r="U320" i="5" s="1"/>
  <c r="V324" i="5"/>
  <c r="W331" i="5"/>
  <c r="X333" i="5"/>
  <c r="V340" i="5"/>
  <c r="Y341" i="5"/>
  <c r="V342" i="5"/>
  <c r="T343" i="5"/>
  <c r="V345" i="5"/>
  <c r="S352" i="5"/>
  <c r="AA356" i="5"/>
  <c r="AB356" i="5" s="1"/>
  <c r="AC356" i="5" s="1"/>
  <c r="T359" i="5"/>
  <c r="W363" i="5"/>
  <c r="AA366" i="5"/>
  <c r="AB366" i="5" s="1"/>
  <c r="AC366" i="5" s="1"/>
  <c r="W367" i="5"/>
  <c r="V368" i="5"/>
  <c r="S371" i="5"/>
  <c r="V372" i="5"/>
  <c r="AA372" i="5" s="1"/>
  <c r="AB372" i="5" s="1"/>
  <c r="AC372" i="5" s="1"/>
  <c r="Z374" i="5"/>
  <c r="AE374" i="5" s="1"/>
  <c r="S379" i="5"/>
  <c r="S380" i="5"/>
  <c r="T391" i="5"/>
  <c r="V392" i="5"/>
  <c r="Z397" i="5"/>
  <c r="AE397" i="5" s="1"/>
  <c r="Z403" i="5"/>
  <c r="AE403" i="5" s="1"/>
  <c r="Y404" i="5"/>
  <c r="W404" i="5"/>
  <c r="W423" i="5"/>
  <c r="Y423" i="5"/>
  <c r="Z425" i="5"/>
  <c r="AE425" i="5" s="1"/>
  <c r="Y426" i="5"/>
  <c r="Y428" i="5"/>
  <c r="Y429" i="5"/>
  <c r="W429" i="5"/>
  <c r="S430" i="5"/>
  <c r="U436" i="5"/>
  <c r="S436" i="5" s="1"/>
  <c r="Z436" i="5"/>
  <c r="AE436" i="5" s="1"/>
  <c r="T458" i="5"/>
  <c r="P458" i="5"/>
  <c r="U474" i="5"/>
  <c r="AA474" i="5" s="1"/>
  <c r="AB474" i="5" s="1"/>
  <c r="AC474" i="5" s="1"/>
  <c r="U477" i="5"/>
  <c r="S477" i="5" s="1"/>
  <c r="S483" i="5"/>
  <c r="Z483" i="5"/>
  <c r="AE483" i="5" s="1"/>
  <c r="U483" i="5"/>
  <c r="T484" i="5"/>
  <c r="P484" i="5"/>
  <c r="U486" i="5"/>
  <c r="Z486" i="5" s="1"/>
  <c r="AE486" i="5" s="1"/>
  <c r="U488" i="5"/>
  <c r="AA488" i="5" s="1"/>
  <c r="AB488" i="5" s="1"/>
  <c r="AC488" i="5" s="1"/>
  <c r="Z492" i="5"/>
  <c r="AE492" i="5" s="1"/>
  <c r="U492" i="5"/>
  <c r="S492" i="5" s="1"/>
  <c r="S501" i="5"/>
  <c r="U504" i="5"/>
  <c r="AA504" i="5" s="1"/>
  <c r="AB504" i="5" s="1"/>
  <c r="AC504" i="5" s="1"/>
  <c r="U505" i="5"/>
  <c r="Z505" i="5" s="1"/>
  <c r="AE505" i="5" s="1"/>
  <c r="Y512" i="5"/>
  <c r="X512" i="5"/>
  <c r="V512" i="5"/>
  <c r="U519" i="5"/>
  <c r="Z519" i="5" s="1"/>
  <c r="AE519" i="5" s="1"/>
  <c r="T527" i="5"/>
  <c r="P527" i="5"/>
  <c r="AA537" i="5"/>
  <c r="AB537" i="5" s="1"/>
  <c r="AC537" i="5" s="1"/>
  <c r="S537" i="5"/>
  <c r="S538" i="5"/>
  <c r="AA543" i="5"/>
  <c r="AB543" i="5" s="1"/>
  <c r="AC543" i="5" s="1"/>
  <c r="S543" i="5"/>
  <c r="U559" i="5"/>
  <c r="S559" i="5" s="1"/>
  <c r="AA561" i="5"/>
  <c r="AB561" i="5" s="1"/>
  <c r="AC561" i="5" s="1"/>
  <c r="X612" i="5"/>
  <c r="V612" i="5"/>
  <c r="Y612" i="5"/>
  <c r="S612" i="5" s="1"/>
  <c r="U636" i="5"/>
  <c r="U720" i="5"/>
  <c r="S720" i="5" s="1"/>
  <c r="Z720" i="5"/>
  <c r="AE720" i="5" s="1"/>
  <c r="AA721" i="5"/>
  <c r="AB721" i="5" s="1"/>
  <c r="AC721" i="5" s="1"/>
  <c r="X63" i="5"/>
  <c r="W71" i="5"/>
  <c r="S71" i="5" s="1"/>
  <c r="X74" i="5"/>
  <c r="U74" i="5" s="1"/>
  <c r="X76" i="5"/>
  <c r="U76" i="5" s="1"/>
  <c r="W78" i="5"/>
  <c r="W81" i="5"/>
  <c r="AA81" i="5" s="1"/>
  <c r="AC81" i="5" s="1"/>
  <c r="X84" i="5"/>
  <c r="U84" i="5" s="1"/>
  <c r="X86" i="5"/>
  <c r="U86" i="5" s="1"/>
  <c r="W91" i="5"/>
  <c r="Z91" i="5" s="1"/>
  <c r="AE91" i="5" s="1"/>
  <c r="X105" i="5"/>
  <c r="W116" i="5"/>
  <c r="X124" i="5"/>
  <c r="U124" i="5" s="1"/>
  <c r="W126" i="5"/>
  <c r="X129" i="5"/>
  <c r="X139" i="5"/>
  <c r="U139" i="5" s="1"/>
  <c r="W141" i="5"/>
  <c r="W148" i="5"/>
  <c r="AA148" i="5" s="1"/>
  <c r="AC148" i="5" s="1"/>
  <c r="W151" i="5"/>
  <c r="W165" i="5"/>
  <c r="W177" i="5"/>
  <c r="V179" i="5"/>
  <c r="V181" i="5"/>
  <c r="Z181" i="5" s="1"/>
  <c r="AE181" i="5" s="1"/>
  <c r="V184" i="5"/>
  <c r="V186" i="5"/>
  <c r="V189" i="5"/>
  <c r="V191" i="5"/>
  <c r="X194" i="5"/>
  <c r="U194" i="5" s="1"/>
  <c r="V196" i="5"/>
  <c r="W199" i="5"/>
  <c r="AA199" i="5" s="1"/>
  <c r="AC199" i="5" s="1"/>
  <c r="X202" i="5"/>
  <c r="U202" i="5" s="1"/>
  <c r="W204" i="5"/>
  <c r="V206" i="5"/>
  <c r="V209" i="5"/>
  <c r="AA209" i="5" s="1"/>
  <c r="AC209" i="5" s="1"/>
  <c r="X212" i="5"/>
  <c r="U212" i="5" s="1"/>
  <c r="V214" i="5"/>
  <c r="AA214" i="5" s="1"/>
  <c r="AC214" i="5" s="1"/>
  <c r="V217" i="5"/>
  <c r="S217" i="5" s="1"/>
  <c r="X220" i="5"/>
  <c r="U220" i="5" s="1"/>
  <c r="V222" i="5"/>
  <c r="W225" i="5"/>
  <c r="W228" i="5"/>
  <c r="W232" i="5"/>
  <c r="V236" i="5"/>
  <c r="V239" i="5"/>
  <c r="S239" i="5" s="1"/>
  <c r="W240" i="5"/>
  <c r="V243" i="5"/>
  <c r="W244" i="5"/>
  <c r="V248" i="5"/>
  <c r="X249" i="5"/>
  <c r="U249" i="5" s="1"/>
  <c r="S249" i="5" s="1"/>
  <c r="X254" i="5"/>
  <c r="AA258" i="5"/>
  <c r="AB258" i="5" s="1"/>
  <c r="AC258" i="5" s="1"/>
  <c r="X259" i="5"/>
  <c r="U259" i="5" s="1"/>
  <c r="Y261" i="5"/>
  <c r="AA261" i="5" s="1"/>
  <c r="AB261" i="5" s="1"/>
  <c r="AC261" i="5" s="1"/>
  <c r="Y268" i="5"/>
  <c r="S268" i="5" s="1"/>
  <c r="W271" i="5"/>
  <c r="X273" i="5"/>
  <c r="U273" i="5" s="1"/>
  <c r="X278" i="5"/>
  <c r="U278" i="5" s="1"/>
  <c r="Z280" i="5"/>
  <c r="AE280" i="5" s="1"/>
  <c r="S282" i="5"/>
  <c r="Z282" i="5"/>
  <c r="AE282" i="5" s="1"/>
  <c r="X283" i="5"/>
  <c r="U283" i="5" s="1"/>
  <c r="Y285" i="5"/>
  <c r="Y287" i="5"/>
  <c r="Z287" i="5" s="1"/>
  <c r="AE287" i="5" s="1"/>
  <c r="V288" i="5"/>
  <c r="Y291" i="5"/>
  <c r="Y294" i="5"/>
  <c r="Y298" i="5"/>
  <c r="S298" i="5" s="1"/>
  <c r="W301" i="5"/>
  <c r="Y303" i="5"/>
  <c r="Y307" i="5"/>
  <c r="AA307" i="5" s="1"/>
  <c r="AB307" i="5" s="1"/>
  <c r="AC307" i="5" s="1"/>
  <c r="Z309" i="5"/>
  <c r="AE309" i="5" s="1"/>
  <c r="V313" i="5"/>
  <c r="AA315" i="5"/>
  <c r="AB315" i="5" s="1"/>
  <c r="AC315" i="5" s="1"/>
  <c r="Y315" i="5"/>
  <c r="S317" i="5"/>
  <c r="V321" i="5"/>
  <c r="Y324" i="5"/>
  <c r="AA326" i="5"/>
  <c r="AB326" i="5" s="1"/>
  <c r="AC326" i="5" s="1"/>
  <c r="W327" i="5"/>
  <c r="P331" i="5"/>
  <c r="X331" i="5"/>
  <c r="U331" i="5" s="1"/>
  <c r="Z331" i="5" s="1"/>
  <c r="AE331" i="5" s="1"/>
  <c r="Y333" i="5"/>
  <c r="Y337" i="5"/>
  <c r="AA337" i="5" s="1"/>
  <c r="AB337" i="5" s="1"/>
  <c r="AC337" i="5" s="1"/>
  <c r="V338" i="5"/>
  <c r="W340" i="5"/>
  <c r="X342" i="5"/>
  <c r="W345" i="5"/>
  <c r="Y347" i="5"/>
  <c r="S347" i="5" s="1"/>
  <c r="AA349" i="5"/>
  <c r="AB349" i="5" s="1"/>
  <c r="AC349" i="5" s="1"/>
  <c r="S356" i="5"/>
  <c r="Z364" i="5"/>
  <c r="AE364" i="5" s="1"/>
  <c r="Y365" i="5"/>
  <c r="Z365" i="5" s="1"/>
  <c r="AE365" i="5" s="1"/>
  <c r="W365" i="5"/>
  <c r="AA365" i="5" s="1"/>
  <c r="AB365" i="5" s="1"/>
  <c r="AC365" i="5" s="1"/>
  <c r="P366" i="5"/>
  <c r="Z366" i="5"/>
  <c r="AE366" i="5" s="1"/>
  <c r="X367" i="5"/>
  <c r="U367" i="5" s="1"/>
  <c r="X368" i="5"/>
  <c r="Z377" i="5"/>
  <c r="AE377" i="5" s="1"/>
  <c r="V383" i="5"/>
  <c r="S383" i="5" s="1"/>
  <c r="Z384" i="5"/>
  <c r="AE384" i="5" s="1"/>
  <c r="AA386" i="5"/>
  <c r="AB386" i="5" s="1"/>
  <c r="AC386" i="5" s="1"/>
  <c r="Y386" i="5"/>
  <c r="AA389" i="5"/>
  <c r="AB389" i="5" s="1"/>
  <c r="AC389" i="5" s="1"/>
  <c r="U404" i="5"/>
  <c r="Z404" i="5" s="1"/>
  <c r="AE404" i="5" s="1"/>
  <c r="Z405" i="5"/>
  <c r="AE405" i="5" s="1"/>
  <c r="AA407" i="5"/>
  <c r="AB407" i="5" s="1"/>
  <c r="AC407" i="5" s="1"/>
  <c r="AA422" i="5"/>
  <c r="AB422" i="5" s="1"/>
  <c r="AC422" i="5" s="1"/>
  <c r="U423" i="5"/>
  <c r="AA423" i="5" s="1"/>
  <c r="AB423" i="5" s="1"/>
  <c r="AC423" i="5" s="1"/>
  <c r="U424" i="5"/>
  <c r="Z424" i="5" s="1"/>
  <c r="AE424" i="5" s="1"/>
  <c r="AA426" i="5"/>
  <c r="AB426" i="5" s="1"/>
  <c r="AC426" i="5" s="1"/>
  <c r="U427" i="5"/>
  <c r="Z427" i="5" s="1"/>
  <c r="AE427" i="5" s="1"/>
  <c r="U429" i="5"/>
  <c r="Z429" i="5" s="1"/>
  <c r="AE429" i="5" s="1"/>
  <c r="Z432" i="5"/>
  <c r="AE432" i="5" s="1"/>
  <c r="Y433" i="5"/>
  <c r="W433" i="5"/>
  <c r="AA439" i="5"/>
  <c r="AB439" i="5" s="1"/>
  <c r="AC439" i="5" s="1"/>
  <c r="AA442" i="5"/>
  <c r="AB442" i="5" s="1"/>
  <c r="AC442" i="5" s="1"/>
  <c r="X445" i="5"/>
  <c r="W445" i="5"/>
  <c r="V445" i="5"/>
  <c r="S451" i="5"/>
  <c r="Z451" i="5"/>
  <c r="AE451" i="5" s="1"/>
  <c r="U451" i="5"/>
  <c r="AA451" i="5" s="1"/>
  <c r="AB451" i="5" s="1"/>
  <c r="AC451" i="5" s="1"/>
  <c r="Y452" i="5"/>
  <c r="X452" i="5"/>
  <c r="W452" i="5"/>
  <c r="V452" i="5"/>
  <c r="U472" i="5"/>
  <c r="AA472" i="5" s="1"/>
  <c r="AB472" i="5" s="1"/>
  <c r="AC472" i="5" s="1"/>
  <c r="W510" i="5"/>
  <c r="X510" i="5"/>
  <c r="V510" i="5"/>
  <c r="AA510" i="5"/>
  <c r="AB510" i="5" s="1"/>
  <c r="AC510" i="5" s="1"/>
  <c r="V526" i="5"/>
  <c r="Y526" i="5"/>
  <c r="X526" i="5"/>
  <c r="U526" i="5" s="1"/>
  <c r="X538" i="5"/>
  <c r="U538" i="5" s="1"/>
  <c r="AA538" i="5" s="1"/>
  <c r="AB538" i="5" s="1"/>
  <c r="AC538" i="5" s="1"/>
  <c r="W538" i="5"/>
  <c r="V538" i="5"/>
  <c r="S549" i="5"/>
  <c r="T585" i="5"/>
  <c r="P585" i="5"/>
  <c r="S695" i="5"/>
  <c r="S728" i="5"/>
  <c r="X179" i="5"/>
  <c r="U179" i="5" s="1"/>
  <c r="W181" i="5"/>
  <c r="S182" i="5"/>
  <c r="X184" i="5"/>
  <c r="U184" i="5" s="1"/>
  <c r="W186" i="5"/>
  <c r="S187" i="5"/>
  <c r="X189" i="5"/>
  <c r="U189" i="5" s="1"/>
  <c r="X191" i="5"/>
  <c r="U191" i="5" s="1"/>
  <c r="W196" i="5"/>
  <c r="AA196" i="5" s="1"/>
  <c r="AC196" i="5" s="1"/>
  <c r="W206" i="5"/>
  <c r="S207" i="5"/>
  <c r="W209" i="5"/>
  <c r="W214" i="5"/>
  <c r="W217" i="5"/>
  <c r="S218" i="5"/>
  <c r="W222" i="5"/>
  <c r="AA222" i="5" s="1"/>
  <c r="AC222" i="5" s="1"/>
  <c r="S223" i="5"/>
  <c r="X236" i="5"/>
  <c r="U236" i="5" s="1"/>
  <c r="W239" i="5"/>
  <c r="W243" i="5"/>
  <c r="Z243" i="5" s="1"/>
  <c r="AE243" i="5" s="1"/>
  <c r="S245" i="5"/>
  <c r="Z245" i="5"/>
  <c r="AE245" i="5" s="1"/>
  <c r="W248" i="5"/>
  <c r="S256" i="5"/>
  <c r="Z256" i="5"/>
  <c r="AE256" i="5" s="1"/>
  <c r="Y259" i="5"/>
  <c r="Y266" i="5"/>
  <c r="Z270" i="5"/>
  <c r="AE270" i="5" s="1"/>
  <c r="S270" i="5"/>
  <c r="Y273" i="5"/>
  <c r="S280" i="5"/>
  <c r="Y283" i="5"/>
  <c r="S287" i="5"/>
  <c r="Y288" i="5"/>
  <c r="S296" i="5"/>
  <c r="AA296" i="5"/>
  <c r="AB296" i="5" s="1"/>
  <c r="AC296" i="5" s="1"/>
  <c r="X301" i="5"/>
  <c r="S305" i="5"/>
  <c r="Z307" i="5"/>
  <c r="AE307" i="5" s="1"/>
  <c r="Y313" i="5"/>
  <c r="S315" i="5"/>
  <c r="Z315" i="5"/>
  <c r="AE315" i="5" s="1"/>
  <c r="Y321" i="5"/>
  <c r="X327" i="5"/>
  <c r="U327" i="5" s="1"/>
  <c r="S337" i="5"/>
  <c r="Z337" i="5"/>
  <c r="AE337" i="5" s="1"/>
  <c r="X338" i="5"/>
  <c r="X340" i="5"/>
  <c r="U340" i="5" s="1"/>
  <c r="X345" i="5"/>
  <c r="U345" i="5" s="1"/>
  <c r="Z347" i="5"/>
  <c r="AE347" i="5" s="1"/>
  <c r="AA351" i="5"/>
  <c r="AB351" i="5" s="1"/>
  <c r="AC351" i="5" s="1"/>
  <c r="U355" i="5"/>
  <c r="Z355" i="5" s="1"/>
  <c r="AE355" i="5" s="1"/>
  <c r="U362" i="5"/>
  <c r="Z362" i="5"/>
  <c r="AE362" i="5" s="1"/>
  <c r="S362" i="5"/>
  <c r="U363" i="5"/>
  <c r="AA363" i="5" s="1"/>
  <c r="AB363" i="5" s="1"/>
  <c r="AC363" i="5" s="1"/>
  <c r="S364" i="5"/>
  <c r="Y367" i="5"/>
  <c r="V375" i="5"/>
  <c r="AA375" i="5" s="1"/>
  <c r="AB375" i="5" s="1"/>
  <c r="AC375" i="5" s="1"/>
  <c r="S384" i="5"/>
  <c r="U386" i="5"/>
  <c r="Z386" i="5" s="1"/>
  <c r="AE386" i="5" s="1"/>
  <c r="S386" i="5"/>
  <c r="V387" i="5"/>
  <c r="AA387" i="5" s="1"/>
  <c r="AB387" i="5" s="1"/>
  <c r="AC387" i="5" s="1"/>
  <c r="AA393" i="5"/>
  <c r="AB393" i="5" s="1"/>
  <c r="AC393" i="5" s="1"/>
  <c r="Y396" i="5"/>
  <c r="W396" i="5"/>
  <c r="Z399" i="5"/>
  <c r="AE399" i="5" s="1"/>
  <c r="Z401" i="5"/>
  <c r="AE401" i="5" s="1"/>
  <c r="V404" i="5"/>
  <c r="Z407" i="5"/>
  <c r="AE407" i="5" s="1"/>
  <c r="T410" i="5"/>
  <c r="T414" i="5"/>
  <c r="T416" i="5"/>
  <c r="T418" i="5"/>
  <c r="Y421" i="5"/>
  <c r="W421" i="5"/>
  <c r="Z421" i="5" s="1"/>
  <c r="AE421" i="5" s="1"/>
  <c r="V423" i="5"/>
  <c r="V427" i="5"/>
  <c r="V429" i="5"/>
  <c r="T433" i="5"/>
  <c r="U440" i="5"/>
  <c r="S440" i="5" s="1"/>
  <c r="Z442" i="5"/>
  <c r="AE442" i="5" s="1"/>
  <c r="S442" i="5"/>
  <c r="U445" i="5"/>
  <c r="AA445" i="5" s="1"/>
  <c r="AB445" i="5" s="1"/>
  <c r="AC445" i="5" s="1"/>
  <c r="P455" i="5"/>
  <c r="T455" i="5"/>
  <c r="S466" i="5"/>
  <c r="Z466" i="5"/>
  <c r="AE466" i="5" s="1"/>
  <c r="U466" i="5"/>
  <c r="AA466" i="5" s="1"/>
  <c r="AB466" i="5" s="1"/>
  <c r="AC466" i="5" s="1"/>
  <c r="AA508" i="5"/>
  <c r="AB508" i="5" s="1"/>
  <c r="AC508" i="5" s="1"/>
  <c r="U510" i="5"/>
  <c r="S510" i="5" s="1"/>
  <c r="P515" i="5"/>
  <c r="T515" i="5"/>
  <c r="AA522" i="5"/>
  <c r="AB522" i="5" s="1"/>
  <c r="AC522" i="5" s="1"/>
  <c r="S522" i="5"/>
  <c r="Z523" i="5"/>
  <c r="AE523" i="5" s="1"/>
  <c r="P533" i="5"/>
  <c r="T533" i="5"/>
  <c r="AA546" i="5"/>
  <c r="AB546" i="5" s="1"/>
  <c r="AC546" i="5" s="1"/>
  <c r="S546" i="5"/>
  <c r="Z546" i="5"/>
  <c r="AE546" i="5" s="1"/>
  <c r="U546" i="5"/>
  <c r="U547" i="5"/>
  <c r="S547" i="5" s="1"/>
  <c r="AA552" i="5"/>
  <c r="AB552" i="5" s="1"/>
  <c r="AC552" i="5" s="1"/>
  <c r="U556" i="5"/>
  <c r="Z556" i="5" s="1"/>
  <c r="AE556" i="5" s="1"/>
  <c r="AA584" i="5"/>
  <c r="AB584" i="5" s="1"/>
  <c r="AC584" i="5" s="1"/>
  <c r="T587" i="5"/>
  <c r="P587" i="5"/>
  <c r="T592" i="5"/>
  <c r="P592" i="5"/>
  <c r="P639" i="5"/>
  <c r="T639" i="5"/>
  <c r="Z265" i="5"/>
  <c r="AE265" i="5" s="1"/>
  <c r="AA271" i="5"/>
  <c r="AB271" i="5" s="1"/>
  <c r="AC271" i="5" s="1"/>
  <c r="Y271" i="5"/>
  <c r="U290" i="5"/>
  <c r="AA290" i="5" s="1"/>
  <c r="AB290" i="5" s="1"/>
  <c r="AC290" i="5" s="1"/>
  <c r="U323" i="5"/>
  <c r="Z323" i="5" s="1"/>
  <c r="AE323" i="5" s="1"/>
  <c r="Y327" i="5"/>
  <c r="AA327" i="5" s="1"/>
  <c r="AB327" i="5" s="1"/>
  <c r="AC327" i="5" s="1"/>
  <c r="Y338" i="5"/>
  <c r="W368" i="5"/>
  <c r="AA371" i="5"/>
  <c r="AB371" i="5" s="1"/>
  <c r="AC371" i="5" s="1"/>
  <c r="Y392" i="5"/>
  <c r="AA392" i="5" s="1"/>
  <c r="AB392" i="5" s="1"/>
  <c r="AC392" i="5" s="1"/>
  <c r="W392" i="5"/>
  <c r="U396" i="5"/>
  <c r="Z396" i="5" s="1"/>
  <c r="AE396" i="5" s="1"/>
  <c r="S396" i="5"/>
  <c r="W402" i="5"/>
  <c r="AA402" i="5" s="1"/>
  <c r="AB402" i="5" s="1"/>
  <c r="AC402" i="5" s="1"/>
  <c r="Y402" i="5"/>
  <c r="U421" i="5"/>
  <c r="AA421" i="5" s="1"/>
  <c r="AB421" i="5" s="1"/>
  <c r="AC421" i="5" s="1"/>
  <c r="Z430" i="5"/>
  <c r="AE430" i="5" s="1"/>
  <c r="T448" i="5"/>
  <c r="P448" i="5"/>
  <c r="S453" i="5"/>
  <c r="Z453" i="5"/>
  <c r="AE453" i="5" s="1"/>
  <c r="V459" i="5"/>
  <c r="X459" i="5"/>
  <c r="U459" i="5" s="1"/>
  <c r="W459" i="5"/>
  <c r="T467" i="5"/>
  <c r="P467" i="5"/>
  <c r="T493" i="5"/>
  <c r="P493" i="5"/>
  <c r="X497" i="5"/>
  <c r="U497" i="5" s="1"/>
  <c r="W497" i="5"/>
  <c r="V497" i="5"/>
  <c r="T500" i="5"/>
  <c r="P500" i="5"/>
  <c r="AA502" i="5"/>
  <c r="AB502" i="5" s="1"/>
  <c r="AC502" i="5" s="1"/>
  <c r="U509" i="5"/>
  <c r="S509" i="5" s="1"/>
  <c r="Z509" i="5"/>
  <c r="AE509" i="5" s="1"/>
  <c r="AA511" i="5"/>
  <c r="AB511" i="5" s="1"/>
  <c r="AC511" i="5" s="1"/>
  <c r="AA523" i="5"/>
  <c r="AB523" i="5" s="1"/>
  <c r="AC523" i="5" s="1"/>
  <c r="S523" i="5"/>
  <c r="Y532" i="5"/>
  <c r="X532" i="5"/>
  <c r="U532" i="5" s="1"/>
  <c r="V532" i="5"/>
  <c r="W536" i="5"/>
  <c r="X536" i="5"/>
  <c r="U536" i="5" s="1"/>
  <c r="V536" i="5"/>
  <c r="U541" i="5"/>
  <c r="AA541" i="5" s="1"/>
  <c r="AB541" i="5" s="1"/>
  <c r="AC541" i="5" s="1"/>
  <c r="Y547" i="5"/>
  <c r="AA547" i="5"/>
  <c r="AB547" i="5" s="1"/>
  <c r="AC547" i="5" s="1"/>
  <c r="X547" i="5"/>
  <c r="W547" i="5"/>
  <c r="V547" i="5"/>
  <c r="U590" i="5"/>
  <c r="Y624" i="5"/>
  <c r="W624" i="5"/>
  <c r="V624" i="5"/>
  <c r="X624" i="5"/>
  <c r="U624" i="5" s="1"/>
  <c r="S674" i="5"/>
  <c r="U690" i="5"/>
  <c r="AA690" i="5" s="1"/>
  <c r="AB690" i="5" s="1"/>
  <c r="AC690" i="5" s="1"/>
  <c r="P701" i="5"/>
  <c r="T701" i="5"/>
  <c r="X713" i="5"/>
  <c r="V713" i="5"/>
  <c r="Y713" i="5"/>
  <c r="Z713" i="5" s="1"/>
  <c r="AE713" i="5" s="1"/>
  <c r="V350" i="5"/>
  <c r="V353" i="5"/>
  <c r="S353" i="5" s="1"/>
  <c r="V360" i="5"/>
  <c r="AA360" i="5" s="1"/>
  <c r="AB360" i="5" s="1"/>
  <c r="AC360" i="5" s="1"/>
  <c r="V364" i="5"/>
  <c r="AA364" i="5" s="1"/>
  <c r="AB364" i="5" s="1"/>
  <c r="AC364" i="5" s="1"/>
  <c r="V369" i="5"/>
  <c r="Z369" i="5" s="1"/>
  <c r="AE369" i="5" s="1"/>
  <c r="V373" i="5"/>
  <c r="S373" i="5" s="1"/>
  <c r="V376" i="5"/>
  <c r="V380" i="5"/>
  <c r="AA380" i="5" s="1"/>
  <c r="AB380" i="5" s="1"/>
  <c r="AC380" i="5" s="1"/>
  <c r="V384" i="5"/>
  <c r="AA384" i="5" s="1"/>
  <c r="AB384" i="5" s="1"/>
  <c r="AC384" i="5" s="1"/>
  <c r="V388" i="5"/>
  <c r="AA394" i="5"/>
  <c r="AB394" i="5" s="1"/>
  <c r="AC394" i="5" s="1"/>
  <c r="V395" i="5"/>
  <c r="S395" i="5" s="1"/>
  <c r="V399" i="5"/>
  <c r="S399" i="5" s="1"/>
  <c r="V405" i="5"/>
  <c r="S405" i="5" s="1"/>
  <c r="V409" i="5"/>
  <c r="S409" i="5" s="1"/>
  <c r="AA412" i="5"/>
  <c r="AB412" i="5" s="1"/>
  <c r="AC412" i="5" s="1"/>
  <c r="V413" i="5"/>
  <c r="AA413" i="5" s="1"/>
  <c r="AB413" i="5" s="1"/>
  <c r="AC413" i="5" s="1"/>
  <c r="V420" i="5"/>
  <c r="S420" i="5" s="1"/>
  <c r="V425" i="5"/>
  <c r="S425" i="5" s="1"/>
  <c r="V434" i="5"/>
  <c r="S434" i="5" s="1"/>
  <c r="V439" i="5"/>
  <c r="Z439" i="5" s="1"/>
  <c r="AE439" i="5" s="1"/>
  <c r="T443" i="5"/>
  <c r="W444" i="5"/>
  <c r="S444" i="5" s="1"/>
  <c r="X446" i="5"/>
  <c r="U446" i="5" s="1"/>
  <c r="Z446" i="5" s="1"/>
  <c r="AE446" i="5" s="1"/>
  <c r="T452" i="5"/>
  <c r="Y455" i="5"/>
  <c r="V458" i="5"/>
  <c r="V461" i="5"/>
  <c r="V463" i="5"/>
  <c r="Y464" i="5"/>
  <c r="S464" i="5" s="1"/>
  <c r="V465" i="5"/>
  <c r="V472" i="5"/>
  <c r="T473" i="5"/>
  <c r="V478" i="5"/>
  <c r="V480" i="5"/>
  <c r="Y481" i="5"/>
  <c r="Z481" i="5" s="1"/>
  <c r="AE481" i="5" s="1"/>
  <c r="V482" i="5"/>
  <c r="X484" i="5"/>
  <c r="X486" i="5"/>
  <c r="V489" i="5"/>
  <c r="Z489" i="5" s="1"/>
  <c r="AE489" i="5" s="1"/>
  <c r="S490" i="5"/>
  <c r="X491" i="5"/>
  <c r="U491" i="5" s="1"/>
  <c r="Z491" i="5" s="1"/>
  <c r="AE491" i="5" s="1"/>
  <c r="S495" i="5"/>
  <c r="AA495" i="5"/>
  <c r="AB495" i="5" s="1"/>
  <c r="AC495" i="5" s="1"/>
  <c r="W496" i="5"/>
  <c r="AA496" i="5" s="1"/>
  <c r="AB496" i="5" s="1"/>
  <c r="AC496" i="5" s="1"/>
  <c r="X498" i="5"/>
  <c r="U498" i="5" s="1"/>
  <c r="Z498" i="5" s="1"/>
  <c r="AE498" i="5" s="1"/>
  <c r="X500" i="5"/>
  <c r="Y502" i="5"/>
  <c r="S502" i="5" s="1"/>
  <c r="V503" i="5"/>
  <c r="AA505" i="5"/>
  <c r="AB505" i="5" s="1"/>
  <c r="AC505" i="5" s="1"/>
  <c r="Y505" i="5"/>
  <c r="S507" i="5"/>
  <c r="Z507" i="5"/>
  <c r="AE507" i="5" s="1"/>
  <c r="X508" i="5"/>
  <c r="Z510" i="5"/>
  <c r="AE510" i="5" s="1"/>
  <c r="T512" i="5"/>
  <c r="Y515" i="5"/>
  <c r="V518" i="5"/>
  <c r="S518" i="5" s="1"/>
  <c r="Y530" i="5"/>
  <c r="S530" i="5" s="1"/>
  <c r="V531" i="5"/>
  <c r="AA531" i="5" s="1"/>
  <c r="AB531" i="5" s="1"/>
  <c r="AC531" i="5" s="1"/>
  <c r="X534" i="5"/>
  <c r="V542" i="5"/>
  <c r="S542" i="5" s="1"/>
  <c r="W544" i="5"/>
  <c r="U545" i="5"/>
  <c r="AA545" i="5" s="1"/>
  <c r="AB545" i="5" s="1"/>
  <c r="AC545" i="5" s="1"/>
  <c r="T551" i="5"/>
  <c r="W552" i="5"/>
  <c r="Z555" i="5"/>
  <c r="AE555" i="5" s="1"/>
  <c r="S555" i="5"/>
  <c r="T557" i="5"/>
  <c r="P557" i="5"/>
  <c r="S561" i="5"/>
  <c r="Z561" i="5"/>
  <c r="AE561" i="5" s="1"/>
  <c r="W562" i="5"/>
  <c r="Y566" i="5"/>
  <c r="V566" i="5"/>
  <c r="V567" i="5"/>
  <c r="T571" i="5"/>
  <c r="V573" i="5"/>
  <c r="X573" i="5"/>
  <c r="T576" i="5"/>
  <c r="P576" i="5"/>
  <c r="T581" i="5"/>
  <c r="P581" i="5"/>
  <c r="X585" i="5"/>
  <c r="Y588" i="5"/>
  <c r="V588" i="5"/>
  <c r="Z588" i="5" s="1"/>
  <c r="AE588" i="5" s="1"/>
  <c r="V589" i="5"/>
  <c r="P591" i="5"/>
  <c r="T591" i="5"/>
  <c r="U594" i="5"/>
  <c r="U600" i="5"/>
  <c r="P602" i="5"/>
  <c r="T602" i="5"/>
  <c r="U604" i="5"/>
  <c r="S604" i="5" s="1"/>
  <c r="U605" i="5"/>
  <c r="AA605" i="5" s="1"/>
  <c r="AB605" i="5" s="1"/>
  <c r="AC605" i="5" s="1"/>
  <c r="Y615" i="5"/>
  <c r="V615" i="5"/>
  <c r="X628" i="5"/>
  <c r="U628" i="5" s="1"/>
  <c r="V628" i="5"/>
  <c r="Y636" i="5"/>
  <c r="W636" i="5"/>
  <c r="Z636" i="5" s="1"/>
  <c r="AE636" i="5" s="1"/>
  <c r="V636" i="5"/>
  <c r="S636" i="5" s="1"/>
  <c r="U640" i="5"/>
  <c r="Z640" i="5" s="1"/>
  <c r="AE640" i="5" s="1"/>
  <c r="Y654" i="5"/>
  <c r="Z654" i="5" s="1"/>
  <c r="AE654" i="5" s="1"/>
  <c r="W654" i="5"/>
  <c r="AA654" i="5" s="1"/>
  <c r="AB654" i="5" s="1"/>
  <c r="AC654" i="5" s="1"/>
  <c r="V654" i="5"/>
  <c r="S654" i="5" s="1"/>
  <c r="P668" i="5"/>
  <c r="T668" i="5"/>
  <c r="U671" i="5"/>
  <c r="S671" i="5" s="1"/>
  <c r="U673" i="5"/>
  <c r="AA673" i="5" s="1"/>
  <c r="AB673" i="5" s="1"/>
  <c r="AC673" i="5" s="1"/>
  <c r="U676" i="5"/>
  <c r="P684" i="5"/>
  <c r="T684" i="5"/>
  <c r="Y690" i="5"/>
  <c r="W690" i="5"/>
  <c r="V690" i="5"/>
  <c r="U702" i="5"/>
  <c r="AA702" i="5" s="1"/>
  <c r="AB702" i="5" s="1"/>
  <c r="AC702" i="5" s="1"/>
  <c r="P705" i="5"/>
  <c r="T705" i="5"/>
  <c r="AA714" i="5"/>
  <c r="AB714" i="5" s="1"/>
  <c r="AC714" i="5" s="1"/>
  <c r="S714" i="5"/>
  <c r="S721" i="5"/>
  <c r="U735" i="5"/>
  <c r="Y740" i="5"/>
  <c r="X740" i="5"/>
  <c r="W740" i="5"/>
  <c r="V740" i="5"/>
  <c r="U742" i="5"/>
  <c r="Z742" i="5" s="1"/>
  <c r="AE742" i="5" s="1"/>
  <c r="S742" i="5"/>
  <c r="AA749" i="5"/>
  <c r="AB749" i="5" s="1"/>
  <c r="AC749" i="5" s="1"/>
  <c r="Z788" i="5"/>
  <c r="AE788" i="5" s="1"/>
  <c r="U826" i="5"/>
  <c r="Z826" i="5" s="1"/>
  <c r="AE826" i="5" s="1"/>
  <c r="Z850" i="5"/>
  <c r="AE850" i="5" s="1"/>
  <c r="U850" i="5"/>
  <c r="AC850" i="5"/>
  <c r="U852" i="5"/>
  <c r="Z852" i="5" s="1"/>
  <c r="Z862" i="5"/>
  <c r="AE862" i="5" s="1"/>
  <c r="U862" i="5"/>
  <c r="U864" i="5"/>
  <c r="U896" i="5"/>
  <c r="Z896" i="5"/>
  <c r="AC902" i="5"/>
  <c r="Z906" i="5"/>
  <c r="AE906" i="5" s="1"/>
  <c r="U906" i="5"/>
  <c r="U915" i="5"/>
  <c r="Z915" i="5"/>
  <c r="AE915" i="5" s="1"/>
  <c r="Y484" i="5"/>
  <c r="Y486" i="5"/>
  <c r="U490" i="5"/>
  <c r="AA490" i="5" s="1"/>
  <c r="AB490" i="5" s="1"/>
  <c r="AC490" i="5" s="1"/>
  <c r="AA507" i="5"/>
  <c r="AB507" i="5" s="1"/>
  <c r="AC507" i="5" s="1"/>
  <c r="Y513" i="5"/>
  <c r="Z544" i="5"/>
  <c r="AE544" i="5" s="1"/>
  <c r="U544" i="5"/>
  <c r="S544" i="5" s="1"/>
  <c r="V549" i="5"/>
  <c r="V550" i="5"/>
  <c r="X550" i="5"/>
  <c r="U550" i="5" s="1"/>
  <c r="T553" i="5"/>
  <c r="P553" i="5"/>
  <c r="W557" i="5"/>
  <c r="P560" i="5"/>
  <c r="T560" i="5"/>
  <c r="V569" i="5"/>
  <c r="Y569" i="5"/>
  <c r="W569" i="5"/>
  <c r="S573" i="5"/>
  <c r="S575" i="5"/>
  <c r="W576" i="5"/>
  <c r="W581" i="5"/>
  <c r="P595" i="5"/>
  <c r="T595" i="5"/>
  <c r="V597" i="5"/>
  <c r="W604" i="5"/>
  <c r="V604" i="5"/>
  <c r="V608" i="5"/>
  <c r="U611" i="5"/>
  <c r="AA611" i="5" s="1"/>
  <c r="AB611" i="5" s="1"/>
  <c r="AC611" i="5" s="1"/>
  <c r="Z611" i="5"/>
  <c r="AE611" i="5" s="1"/>
  <c r="S611" i="5"/>
  <c r="AA614" i="5"/>
  <c r="AB614" i="5" s="1"/>
  <c r="AC614" i="5" s="1"/>
  <c r="U614" i="5"/>
  <c r="Z614" i="5"/>
  <c r="AE614" i="5" s="1"/>
  <c r="S614" i="5"/>
  <c r="P619" i="5"/>
  <c r="T619" i="5"/>
  <c r="S632" i="5"/>
  <c r="U632" i="5"/>
  <c r="AA632" i="5" s="1"/>
  <c r="AB632" i="5" s="1"/>
  <c r="AC632" i="5" s="1"/>
  <c r="Y640" i="5"/>
  <c r="W640" i="5"/>
  <c r="V640" i="5"/>
  <c r="AA645" i="5"/>
  <c r="AB645" i="5" s="1"/>
  <c r="AC645" i="5" s="1"/>
  <c r="U649" i="5"/>
  <c r="Z649" i="5" s="1"/>
  <c r="AE649" i="5" s="1"/>
  <c r="S669" i="5"/>
  <c r="U669" i="5"/>
  <c r="AA669" i="5" s="1"/>
  <c r="AB669" i="5" s="1"/>
  <c r="AC669" i="5" s="1"/>
  <c r="P679" i="5"/>
  <c r="T679" i="5"/>
  <c r="Y702" i="5"/>
  <c r="W702" i="5"/>
  <c r="V702" i="5"/>
  <c r="U709" i="5"/>
  <c r="S709" i="5" s="1"/>
  <c r="P731" i="5"/>
  <c r="T731" i="5"/>
  <c r="U790" i="5"/>
  <c r="AA790" i="5" s="1"/>
  <c r="AB790" i="5" s="1"/>
  <c r="AC790" i="5" s="1"/>
  <c r="U797" i="5"/>
  <c r="Z799" i="5"/>
  <c r="AE799" i="5" s="1"/>
  <c r="S799" i="5"/>
  <c r="U814" i="5"/>
  <c r="AA827" i="5"/>
  <c r="AB827" i="5" s="1"/>
  <c r="AC827" i="5" s="1"/>
  <c r="U834" i="5"/>
  <c r="Z834" i="5" s="1"/>
  <c r="AE834" i="5" s="1"/>
  <c r="U856" i="5"/>
  <c r="Z856" i="5"/>
  <c r="AE856" i="5" s="1"/>
  <c r="Z859" i="5"/>
  <c r="AE859" i="5" s="1"/>
  <c r="U859" i="5"/>
  <c r="U860" i="5"/>
  <c r="Z860" i="5" s="1"/>
  <c r="U866" i="5"/>
  <c r="Z866" i="5" s="1"/>
  <c r="U880" i="5"/>
  <c r="U884" i="5"/>
  <c r="Z884" i="5"/>
  <c r="AE884" i="5" s="1"/>
  <c r="U886" i="5"/>
  <c r="Z886" i="5" s="1"/>
  <c r="V394" i="5"/>
  <c r="Z394" i="5" s="1"/>
  <c r="AE394" i="5" s="1"/>
  <c r="V398" i="5"/>
  <c r="S398" i="5" s="1"/>
  <c r="V403" i="5"/>
  <c r="S403" i="5" s="1"/>
  <c r="V408" i="5"/>
  <c r="V412" i="5"/>
  <c r="V424" i="5"/>
  <c r="V432" i="5"/>
  <c r="S432" i="5" s="1"/>
  <c r="V437" i="5"/>
  <c r="S437" i="5" s="1"/>
  <c r="W438" i="5"/>
  <c r="V441" i="5"/>
  <c r="S441" i="5" s="1"/>
  <c r="S450" i="5"/>
  <c r="Z450" i="5"/>
  <c r="AE450" i="5" s="1"/>
  <c r="Y451" i="5"/>
  <c r="AA453" i="5"/>
  <c r="AB453" i="5" s="1"/>
  <c r="AC453" i="5" s="1"/>
  <c r="W454" i="5"/>
  <c r="AA454" i="5" s="1"/>
  <c r="AB454" i="5" s="1"/>
  <c r="AC454" i="5" s="1"/>
  <c r="X461" i="5"/>
  <c r="W466" i="5"/>
  <c r="Y472" i="5"/>
  <c r="V473" i="5"/>
  <c r="X476" i="5"/>
  <c r="U476" i="5" s="1"/>
  <c r="X478" i="5"/>
  <c r="W483" i="5"/>
  <c r="S486" i="5"/>
  <c r="X487" i="5"/>
  <c r="U487" i="5" s="1"/>
  <c r="P489" i="5"/>
  <c r="Y489" i="5"/>
  <c r="Y494" i="5"/>
  <c r="X504" i="5"/>
  <c r="Y506" i="5"/>
  <c r="W514" i="5"/>
  <c r="U517" i="5"/>
  <c r="S517" i="5" s="1"/>
  <c r="P518" i="5"/>
  <c r="AA525" i="5"/>
  <c r="AB525" i="5" s="1"/>
  <c r="AC525" i="5" s="1"/>
  <c r="Y525" i="5"/>
  <c r="X528" i="5"/>
  <c r="U528" i="5" s="1"/>
  <c r="P531" i="5"/>
  <c r="Y531" i="5"/>
  <c r="Z531" i="5" s="1"/>
  <c r="AE531" i="5" s="1"/>
  <c r="X540" i="5"/>
  <c r="U540" i="5" s="1"/>
  <c r="P542" i="5"/>
  <c r="X542" i="5"/>
  <c r="U542" i="5" s="1"/>
  <c r="P544" i="5"/>
  <c r="Y545" i="5"/>
  <c r="Z550" i="5"/>
  <c r="AE550" i="5" s="1"/>
  <c r="S550" i="5"/>
  <c r="S552" i="5"/>
  <c r="W553" i="5"/>
  <c r="P556" i="5"/>
  <c r="Y561" i="5"/>
  <c r="V561" i="5"/>
  <c r="T572" i="5"/>
  <c r="P572" i="5"/>
  <c r="U573" i="5"/>
  <c r="AA573" i="5" s="1"/>
  <c r="AB573" i="5" s="1"/>
  <c r="AC573" i="5" s="1"/>
  <c r="U577" i="5"/>
  <c r="P599" i="5"/>
  <c r="T599" i="5"/>
  <c r="V600" i="5"/>
  <c r="Z600" i="5" s="1"/>
  <c r="AE600" i="5" s="1"/>
  <c r="U607" i="5"/>
  <c r="Z607" i="5"/>
  <c r="AE607" i="5" s="1"/>
  <c r="X608" i="5"/>
  <c r="U608" i="5" s="1"/>
  <c r="P611" i="5"/>
  <c r="P614" i="5"/>
  <c r="X616" i="5"/>
  <c r="U616" i="5" s="1"/>
  <c r="V616" i="5"/>
  <c r="U620" i="5"/>
  <c r="AA620" i="5" s="1"/>
  <c r="AB620" i="5" s="1"/>
  <c r="AC620" i="5" s="1"/>
  <c r="Y632" i="5"/>
  <c r="W632" i="5"/>
  <c r="V632" i="5"/>
  <c r="X640" i="5"/>
  <c r="P647" i="5"/>
  <c r="T647" i="5"/>
  <c r="P661" i="5"/>
  <c r="T661" i="5"/>
  <c r="P664" i="5"/>
  <c r="T664" i="5"/>
  <c r="U667" i="5"/>
  <c r="Z667" i="5" s="1"/>
  <c r="AE667" i="5" s="1"/>
  <c r="S667" i="5"/>
  <c r="Y669" i="5"/>
  <c r="W669" i="5"/>
  <c r="V669" i="5"/>
  <c r="U680" i="5"/>
  <c r="Z680" i="5" s="1"/>
  <c r="AE680" i="5" s="1"/>
  <c r="X685" i="5"/>
  <c r="U685" i="5" s="1"/>
  <c r="V685" i="5"/>
  <c r="X702" i="5"/>
  <c r="P711" i="5"/>
  <c r="T711" i="5"/>
  <c r="U716" i="5"/>
  <c r="Z716" i="5" s="1"/>
  <c r="AE716" i="5" s="1"/>
  <c r="P719" i="5"/>
  <c r="T719" i="5"/>
  <c r="P729" i="5"/>
  <c r="T729" i="5"/>
  <c r="U792" i="5"/>
  <c r="Z792" i="5" s="1"/>
  <c r="AE792" i="5" s="1"/>
  <c r="U812" i="5"/>
  <c r="AA812" i="5" s="1"/>
  <c r="AB812" i="5" s="1"/>
  <c r="AC812" i="5" s="1"/>
  <c r="AA847" i="5"/>
  <c r="AC847" i="5" s="1"/>
  <c r="U848" i="5"/>
  <c r="Z848" i="5" s="1"/>
  <c r="U863" i="5"/>
  <c r="Z863" i="5"/>
  <c r="AE863" i="5" s="1"/>
  <c r="U870" i="5"/>
  <c r="Z870" i="5" s="1"/>
  <c r="U881" i="5"/>
  <c r="Z881" i="5" s="1"/>
  <c r="AA883" i="5"/>
  <c r="AC883" i="5" s="1"/>
  <c r="AA904" i="5"/>
  <c r="AC904" i="5" s="1"/>
  <c r="AA909" i="5"/>
  <c r="AC909" i="5" s="1"/>
  <c r="X438" i="5"/>
  <c r="U438" i="5" s="1"/>
  <c r="Y463" i="5"/>
  <c r="Y476" i="5"/>
  <c r="Y480" i="5"/>
  <c r="Y487" i="5"/>
  <c r="AA518" i="5"/>
  <c r="AB518" i="5" s="1"/>
  <c r="AC518" i="5" s="1"/>
  <c r="Z518" i="5"/>
  <c r="AE518" i="5" s="1"/>
  <c r="Y540" i="5"/>
  <c r="AA544" i="5"/>
  <c r="AB544" i="5" s="1"/>
  <c r="AC544" i="5" s="1"/>
  <c r="U549" i="5"/>
  <c r="V557" i="5"/>
  <c r="V564" i="5"/>
  <c r="X564" i="5"/>
  <c r="U564" i="5" s="1"/>
  <c r="Z564" i="5" s="1"/>
  <c r="AE564" i="5" s="1"/>
  <c r="T567" i="5"/>
  <c r="P567" i="5"/>
  <c r="X572" i="5"/>
  <c r="Y575" i="5"/>
  <c r="Z575" i="5" s="1"/>
  <c r="AE575" i="5" s="1"/>
  <c r="V575" i="5"/>
  <c r="V576" i="5"/>
  <c r="P578" i="5"/>
  <c r="T578" i="5"/>
  <c r="Y580" i="5"/>
  <c r="V580" i="5"/>
  <c r="V581" i="5"/>
  <c r="U584" i="5"/>
  <c r="Z584" i="5" s="1"/>
  <c r="AE584" i="5" s="1"/>
  <c r="S584" i="5"/>
  <c r="V586" i="5"/>
  <c r="X586" i="5"/>
  <c r="U586" i="5" s="1"/>
  <c r="Z586" i="5" s="1"/>
  <c r="AE586" i="5" s="1"/>
  <c r="T589" i="5"/>
  <c r="P589" i="5"/>
  <c r="U596" i="5"/>
  <c r="S596" i="5" s="1"/>
  <c r="X597" i="5"/>
  <c r="U597" i="5" s="1"/>
  <c r="U603" i="5"/>
  <c r="AA603" i="5" s="1"/>
  <c r="AB603" i="5" s="1"/>
  <c r="AC603" i="5" s="1"/>
  <c r="Z603" i="5"/>
  <c r="AE603" i="5" s="1"/>
  <c r="X604" i="5"/>
  <c r="Y608" i="5"/>
  <c r="X620" i="5"/>
  <c r="V620" i="5"/>
  <c r="P643" i="5"/>
  <c r="T643" i="5"/>
  <c r="U645" i="5"/>
  <c r="S645" i="5" s="1"/>
  <c r="U648" i="5"/>
  <c r="S648" i="5" s="1"/>
  <c r="P652" i="5"/>
  <c r="T652" i="5"/>
  <c r="U655" i="5"/>
  <c r="S655" i="5" s="1"/>
  <c r="Z665" i="5"/>
  <c r="AE665" i="5" s="1"/>
  <c r="S665" i="5"/>
  <c r="U665" i="5"/>
  <c r="AA665" i="5" s="1"/>
  <c r="AB665" i="5" s="1"/>
  <c r="AC665" i="5" s="1"/>
  <c r="U681" i="5"/>
  <c r="AA681" i="5" s="1"/>
  <c r="AB681" i="5" s="1"/>
  <c r="AC681" i="5" s="1"/>
  <c r="P688" i="5"/>
  <c r="T688" i="5"/>
  <c r="Y707" i="5"/>
  <c r="W707" i="5"/>
  <c r="V707" i="5"/>
  <c r="Z715" i="5"/>
  <c r="AE715" i="5" s="1"/>
  <c r="S715" i="5"/>
  <c r="U715" i="5"/>
  <c r="P727" i="5"/>
  <c r="T727" i="5"/>
  <c r="X733" i="5"/>
  <c r="U733" i="5" s="1"/>
  <c r="W733" i="5"/>
  <c r="V733" i="5"/>
  <c r="AA807" i="5"/>
  <c r="AB807" i="5" s="1"/>
  <c r="AC807" i="5" s="1"/>
  <c r="S807" i="5"/>
  <c r="AA828" i="5"/>
  <c r="AB828" i="5" s="1"/>
  <c r="AC828" i="5" s="1"/>
  <c r="U846" i="5"/>
  <c r="Z846" i="5" s="1"/>
  <c r="AA850" i="5"/>
  <c r="Z851" i="5"/>
  <c r="AE851" i="5" s="1"/>
  <c r="U853" i="5"/>
  <c r="AA859" i="5"/>
  <c r="AC859" i="5" s="1"/>
  <c r="U872" i="5"/>
  <c r="Z872" i="5" s="1"/>
  <c r="AE899" i="5"/>
  <c r="AA899" i="5"/>
  <c r="Z918" i="5"/>
  <c r="AA449" i="5"/>
  <c r="AB449" i="5" s="1"/>
  <c r="AC449" i="5" s="1"/>
  <c r="Y449" i="5"/>
  <c r="Y454" i="5"/>
  <c r="Z462" i="5"/>
  <c r="AE462" i="5" s="1"/>
  <c r="AA468" i="5"/>
  <c r="AB468" i="5" s="1"/>
  <c r="AC468" i="5" s="1"/>
  <c r="Y468" i="5"/>
  <c r="Z471" i="5"/>
  <c r="AE471" i="5" s="1"/>
  <c r="U475" i="5"/>
  <c r="Z479" i="5"/>
  <c r="AE479" i="5" s="1"/>
  <c r="T482" i="5"/>
  <c r="AA485" i="5"/>
  <c r="AB485" i="5" s="1"/>
  <c r="AC485" i="5" s="1"/>
  <c r="Y485" i="5"/>
  <c r="S485" i="5" s="1"/>
  <c r="V493" i="5"/>
  <c r="AA494" i="5"/>
  <c r="AB494" i="5" s="1"/>
  <c r="AC494" i="5" s="1"/>
  <c r="V500" i="5"/>
  <c r="AA501" i="5"/>
  <c r="AB501" i="5" s="1"/>
  <c r="AC501" i="5" s="1"/>
  <c r="T503" i="5"/>
  <c r="U508" i="5"/>
  <c r="Z508" i="5" s="1"/>
  <c r="AE508" i="5" s="1"/>
  <c r="V513" i="5"/>
  <c r="Y514" i="5"/>
  <c r="AA514" i="5" s="1"/>
  <c r="AB514" i="5" s="1"/>
  <c r="AC514" i="5" s="1"/>
  <c r="AA521" i="5"/>
  <c r="AB521" i="5" s="1"/>
  <c r="AC521" i="5" s="1"/>
  <c r="P524" i="5"/>
  <c r="U525" i="5"/>
  <c r="U534" i="5"/>
  <c r="AA534" i="5" s="1"/>
  <c r="AB534" i="5" s="1"/>
  <c r="AC534" i="5" s="1"/>
  <c r="P538" i="5"/>
  <c r="U539" i="5"/>
  <c r="Z539" i="5" s="1"/>
  <c r="AE539" i="5" s="1"/>
  <c r="Z543" i="5"/>
  <c r="AE543" i="5" s="1"/>
  <c r="P547" i="5"/>
  <c r="Z548" i="5"/>
  <c r="AE548" i="5" s="1"/>
  <c r="U548" i="5"/>
  <c r="S548" i="5" s="1"/>
  <c r="W549" i="5"/>
  <c r="AA549" i="5" s="1"/>
  <c r="AB549" i="5" s="1"/>
  <c r="AC549" i="5" s="1"/>
  <c r="Y550" i="5"/>
  <c r="Y552" i="5"/>
  <c r="Z552" i="5" s="1"/>
  <c r="AE552" i="5" s="1"/>
  <c r="V552" i="5"/>
  <c r="X557" i="5"/>
  <c r="V559" i="5"/>
  <c r="Y559" i="5"/>
  <c r="W559" i="5"/>
  <c r="S564" i="5"/>
  <c r="S566" i="5"/>
  <c r="Z566" i="5"/>
  <c r="AE566" i="5" s="1"/>
  <c r="AA566" i="5"/>
  <c r="AB566" i="5" s="1"/>
  <c r="AC566" i="5" s="1"/>
  <c r="W567" i="5"/>
  <c r="X569" i="5"/>
  <c r="U569" i="5" s="1"/>
  <c r="Z569" i="5" s="1"/>
  <c r="AE569" i="5" s="1"/>
  <c r="P570" i="5"/>
  <c r="T570" i="5"/>
  <c r="U575" i="5"/>
  <c r="AA575" i="5" s="1"/>
  <c r="AB575" i="5" s="1"/>
  <c r="AC575" i="5" s="1"/>
  <c r="X576" i="5"/>
  <c r="U580" i="5"/>
  <c r="S580" i="5" s="1"/>
  <c r="X581" i="5"/>
  <c r="V583" i="5"/>
  <c r="X583" i="5"/>
  <c r="U583" i="5" s="1"/>
  <c r="S588" i="5"/>
  <c r="W589" i="5"/>
  <c r="T593" i="5"/>
  <c r="P593" i="5"/>
  <c r="Y597" i="5"/>
  <c r="AA598" i="5"/>
  <c r="AB598" i="5" s="1"/>
  <c r="AC598" i="5" s="1"/>
  <c r="Y604" i="5"/>
  <c r="U612" i="5"/>
  <c r="AA612" i="5" s="1"/>
  <c r="AB612" i="5" s="1"/>
  <c r="AC612" i="5" s="1"/>
  <c r="S615" i="5"/>
  <c r="U615" i="5"/>
  <c r="Z615" i="5" s="1"/>
  <c r="AE615" i="5" s="1"/>
  <c r="P618" i="5"/>
  <c r="T618" i="5"/>
  <c r="Y620" i="5"/>
  <c r="P627" i="5"/>
  <c r="T627" i="5"/>
  <c r="P635" i="5"/>
  <c r="T635" i="5"/>
  <c r="U644" i="5"/>
  <c r="Z644" i="5" s="1"/>
  <c r="AE644" i="5" s="1"/>
  <c r="Y648" i="5"/>
  <c r="W648" i="5"/>
  <c r="V648" i="5"/>
  <c r="AA648" i="5" s="1"/>
  <c r="AB648" i="5" s="1"/>
  <c r="AC648" i="5" s="1"/>
  <c r="U656" i="5"/>
  <c r="Z656" i="5" s="1"/>
  <c r="AE656" i="5" s="1"/>
  <c r="U658" i="5"/>
  <c r="S658" i="5" s="1"/>
  <c r="X662" i="5"/>
  <c r="U662" i="5" s="1"/>
  <c r="V662" i="5"/>
  <c r="Y665" i="5"/>
  <c r="W665" i="5"/>
  <c r="V665" i="5"/>
  <c r="Y681" i="5"/>
  <c r="W681" i="5"/>
  <c r="V681" i="5"/>
  <c r="U692" i="5"/>
  <c r="S692" i="5" s="1"/>
  <c r="U694" i="5"/>
  <c r="AA694" i="5" s="1"/>
  <c r="AB694" i="5" s="1"/>
  <c r="AC694" i="5" s="1"/>
  <c r="Z697" i="5"/>
  <c r="AE697" i="5" s="1"/>
  <c r="S697" i="5"/>
  <c r="U697" i="5"/>
  <c r="X707" i="5"/>
  <c r="U707" i="5" s="1"/>
  <c r="U713" i="5"/>
  <c r="AA713" i="5" s="1"/>
  <c r="AB713" i="5" s="1"/>
  <c r="AC713" i="5" s="1"/>
  <c r="X718" i="5"/>
  <c r="Y718" i="5"/>
  <c r="V718" i="5"/>
  <c r="V724" i="5"/>
  <c r="X724" i="5"/>
  <c r="U724" i="5" s="1"/>
  <c r="W724" i="5"/>
  <c r="Y733" i="5"/>
  <c r="P736" i="5"/>
  <c r="T736" i="5"/>
  <c r="AA744" i="5"/>
  <c r="AB744" i="5" s="1"/>
  <c r="AC744" i="5" s="1"/>
  <c r="S744" i="5"/>
  <c r="AA747" i="5"/>
  <c r="AB747" i="5" s="1"/>
  <c r="AC747" i="5" s="1"/>
  <c r="S747" i="5"/>
  <c r="U747" i="5"/>
  <c r="Z747" i="5" s="1"/>
  <c r="AE747" i="5" s="1"/>
  <c r="S758" i="5"/>
  <c r="U758" i="5"/>
  <c r="AA758" i="5" s="1"/>
  <c r="AB758" i="5" s="1"/>
  <c r="AC758" i="5" s="1"/>
  <c r="S801" i="5"/>
  <c r="Z801" i="5"/>
  <c r="AE801" i="5" s="1"/>
  <c r="U854" i="5"/>
  <c r="Z854" i="5" s="1"/>
  <c r="U876" i="5"/>
  <c r="AA884" i="5"/>
  <c r="AC884" i="5" s="1"/>
  <c r="U885" i="5"/>
  <c r="Z885" i="5" s="1"/>
  <c r="AA895" i="5"/>
  <c r="AC899" i="5"/>
  <c r="Y551" i="5"/>
  <c r="V554" i="5"/>
  <c r="V558" i="5"/>
  <c r="V563" i="5"/>
  <c r="Y565" i="5"/>
  <c r="V568" i="5"/>
  <c r="Y574" i="5"/>
  <c r="AA574" i="5" s="1"/>
  <c r="AB574" i="5" s="1"/>
  <c r="AC574" i="5" s="1"/>
  <c r="V577" i="5"/>
  <c r="Y579" i="5"/>
  <c r="V582" i="5"/>
  <c r="Y587" i="5"/>
  <c r="V590" i="5"/>
  <c r="S590" i="5" s="1"/>
  <c r="V594" i="5"/>
  <c r="Y596" i="5"/>
  <c r="V598" i="5"/>
  <c r="Z598" i="5" s="1"/>
  <c r="AE598" i="5" s="1"/>
  <c r="V601" i="5"/>
  <c r="V605" i="5"/>
  <c r="X606" i="5"/>
  <c r="U606" i="5" s="1"/>
  <c r="Z606" i="5" s="1"/>
  <c r="AE606" i="5" s="1"/>
  <c r="Y607" i="5"/>
  <c r="S607" i="5" s="1"/>
  <c r="V609" i="5"/>
  <c r="X610" i="5"/>
  <c r="U610" i="5" s="1"/>
  <c r="X613" i="5"/>
  <c r="U613" i="5" s="1"/>
  <c r="Y614" i="5"/>
  <c r="W617" i="5"/>
  <c r="W621" i="5"/>
  <c r="V625" i="5"/>
  <c r="AA625" i="5" s="1"/>
  <c r="AB625" i="5" s="1"/>
  <c r="AC625" i="5" s="1"/>
  <c r="W629" i="5"/>
  <c r="V633" i="5"/>
  <c r="X634" i="5"/>
  <c r="U634" i="5" s="1"/>
  <c r="V637" i="5"/>
  <c r="Z637" i="5" s="1"/>
  <c r="AE637" i="5" s="1"/>
  <c r="V641" i="5"/>
  <c r="X642" i="5"/>
  <c r="U642" i="5" s="1"/>
  <c r="Y643" i="5"/>
  <c r="V645" i="5"/>
  <c r="X646" i="5"/>
  <c r="U646" i="5" s="1"/>
  <c r="V649" i="5"/>
  <c r="W650" i="5"/>
  <c r="Y652" i="5"/>
  <c r="V655" i="5"/>
  <c r="W656" i="5"/>
  <c r="AA658" i="5"/>
  <c r="AB658" i="5" s="1"/>
  <c r="AC658" i="5" s="1"/>
  <c r="V659" i="5"/>
  <c r="X660" i="5"/>
  <c r="U660" i="5" s="1"/>
  <c r="X663" i="5"/>
  <c r="U663" i="5" s="1"/>
  <c r="V666" i="5"/>
  <c r="X667" i="5"/>
  <c r="V670" i="5"/>
  <c r="W671" i="5"/>
  <c r="AA671" i="5" s="1"/>
  <c r="AB671" i="5" s="1"/>
  <c r="AC671" i="5" s="1"/>
  <c r="V674" i="5"/>
  <c r="Z674" i="5" s="1"/>
  <c r="AE674" i="5" s="1"/>
  <c r="V677" i="5"/>
  <c r="S677" i="5" s="1"/>
  <c r="Y679" i="5"/>
  <c r="V682" i="5"/>
  <c r="X683" i="5"/>
  <c r="U683" i="5" s="1"/>
  <c r="W686" i="5"/>
  <c r="Y688" i="5"/>
  <c r="V691" i="5"/>
  <c r="W692" i="5"/>
  <c r="AA692" i="5" s="1"/>
  <c r="AB692" i="5" s="1"/>
  <c r="AC692" i="5" s="1"/>
  <c r="V695" i="5"/>
  <c r="Z695" i="5" s="1"/>
  <c r="AE695" i="5" s="1"/>
  <c r="V698" i="5"/>
  <c r="W699" i="5"/>
  <c r="V703" i="5"/>
  <c r="S703" i="5" s="1"/>
  <c r="Y705" i="5"/>
  <c r="V708" i="5"/>
  <c r="W709" i="5"/>
  <c r="Y711" i="5"/>
  <c r="X715" i="5"/>
  <c r="X717" i="5"/>
  <c r="U717" i="5" s="1"/>
  <c r="Y720" i="5"/>
  <c r="AA720" i="5" s="1"/>
  <c r="AB720" i="5" s="1"/>
  <c r="AC720" i="5" s="1"/>
  <c r="V721" i="5"/>
  <c r="Y723" i="5"/>
  <c r="Z728" i="5"/>
  <c r="AE728" i="5" s="1"/>
  <c r="W728" i="5"/>
  <c r="AA728" i="5" s="1"/>
  <c r="AB728" i="5" s="1"/>
  <c r="AC728" i="5" s="1"/>
  <c r="W730" i="5"/>
  <c r="Y734" i="5"/>
  <c r="V742" i="5"/>
  <c r="S745" i="5"/>
  <c r="Y746" i="5"/>
  <c r="V749" i="5"/>
  <c r="T750" i="5"/>
  <c r="X752" i="5"/>
  <c r="V755" i="5"/>
  <c r="AA756" i="5"/>
  <c r="AB756" i="5" s="1"/>
  <c r="AC756" i="5" s="1"/>
  <c r="Z756" i="5"/>
  <c r="AE756" i="5" s="1"/>
  <c r="X757" i="5"/>
  <c r="U757" i="5" s="1"/>
  <c r="Y759" i="5"/>
  <c r="V760" i="5"/>
  <c r="T761" i="5"/>
  <c r="Y765" i="5"/>
  <c r="S765" i="5" s="1"/>
  <c r="V766" i="5"/>
  <c r="AA767" i="5"/>
  <c r="AB767" i="5" s="1"/>
  <c r="AC767" i="5" s="1"/>
  <c r="Z767" i="5"/>
  <c r="AE767" i="5" s="1"/>
  <c r="W768" i="5"/>
  <c r="Z768" i="5" s="1"/>
  <c r="AE768" i="5" s="1"/>
  <c r="T769" i="5"/>
  <c r="X771" i="5"/>
  <c r="U771" i="5" s="1"/>
  <c r="V774" i="5"/>
  <c r="Y775" i="5"/>
  <c r="V781" i="5"/>
  <c r="Y783" i="5"/>
  <c r="S783" i="5" s="1"/>
  <c r="V784" i="5"/>
  <c r="W787" i="5"/>
  <c r="Y789" i="5"/>
  <c r="V792" i="5"/>
  <c r="Y793" i="5"/>
  <c r="AA793" i="5" s="1"/>
  <c r="AB793" i="5" s="1"/>
  <c r="AC793" i="5" s="1"/>
  <c r="V794" i="5"/>
  <c r="AA794" i="5" s="1"/>
  <c r="AB794" i="5" s="1"/>
  <c r="AC794" i="5" s="1"/>
  <c r="Y796" i="5"/>
  <c r="T800" i="5"/>
  <c r="AA802" i="5"/>
  <c r="AB802" i="5" s="1"/>
  <c r="AC802" i="5" s="1"/>
  <c r="X804" i="5"/>
  <c r="U804" i="5" s="1"/>
  <c r="S808" i="5"/>
  <c r="AA808" i="5"/>
  <c r="AB808" i="5" s="1"/>
  <c r="AC808" i="5" s="1"/>
  <c r="P813" i="5"/>
  <c r="X813" i="5"/>
  <c r="U813" i="5" s="1"/>
  <c r="S813" i="5" s="1"/>
  <c r="X815" i="5"/>
  <c r="U815" i="5" s="1"/>
  <c r="T817" i="5"/>
  <c r="W818" i="5"/>
  <c r="AA818" i="5" s="1"/>
  <c r="AB818" i="5" s="1"/>
  <c r="AC818" i="5" s="1"/>
  <c r="X821" i="5"/>
  <c r="U821" i="5" s="1"/>
  <c r="Y823" i="5"/>
  <c r="V826" i="5"/>
  <c r="Y827" i="5"/>
  <c r="Z827" i="5" s="1"/>
  <c r="AE827" i="5" s="1"/>
  <c r="V828" i="5"/>
  <c r="S828" i="5" s="1"/>
  <c r="Y831" i="5"/>
  <c r="V832" i="5"/>
  <c r="V834" i="5"/>
  <c r="W845" i="5"/>
  <c r="W849" i="5"/>
  <c r="AA851" i="5"/>
  <c r="AC851" i="5" s="1"/>
  <c r="W855" i="5"/>
  <c r="X857" i="5"/>
  <c r="T858" i="5"/>
  <c r="W858" i="5"/>
  <c r="W861" i="5"/>
  <c r="Z867" i="5"/>
  <c r="AE867" i="5" s="1"/>
  <c r="X868" i="5"/>
  <c r="T869" i="5"/>
  <c r="W869" i="5"/>
  <c r="Z873" i="5"/>
  <c r="AE873" i="5" s="1"/>
  <c r="X874" i="5"/>
  <c r="T875" i="5"/>
  <c r="W875" i="5"/>
  <c r="V879" i="5"/>
  <c r="W882" i="5"/>
  <c r="W886" i="5"/>
  <c r="W888" i="5"/>
  <c r="Z888" i="5" s="1"/>
  <c r="W890" i="5"/>
  <c r="Z890" i="5" s="1"/>
  <c r="X897" i="5"/>
  <c r="U897" i="5" s="1"/>
  <c r="Z897" i="5" s="1"/>
  <c r="X908" i="5"/>
  <c r="AA916" i="5"/>
  <c r="AC916" i="5" s="1"/>
  <c r="Z922" i="5"/>
  <c r="AE922" i="5" s="1"/>
  <c r="Z931" i="5"/>
  <c r="AE931" i="5" s="1"/>
  <c r="Y932" i="5"/>
  <c r="Y934" i="5"/>
  <c r="Z934" i="5" s="1"/>
  <c r="Z941" i="5"/>
  <c r="AE941" i="5" s="1"/>
  <c r="Z948" i="5"/>
  <c r="AE948" i="5" s="1"/>
  <c r="AA949" i="5"/>
  <c r="AC949" i="5" s="1"/>
  <c r="AA950" i="5"/>
  <c r="AC950" i="5" s="1"/>
  <c r="Z959" i="5"/>
  <c r="T974" i="5"/>
  <c r="U976" i="5"/>
  <c r="Z976" i="5" s="1"/>
  <c r="AE976" i="5" s="1"/>
  <c r="Z977" i="5"/>
  <c r="AA980" i="5"/>
  <c r="AC980" i="5" s="1"/>
  <c r="T982" i="5"/>
  <c r="U985" i="5"/>
  <c r="Z985" i="5"/>
  <c r="AE985" i="5" s="1"/>
  <c r="U995" i="5"/>
  <c r="Z995" i="5"/>
  <c r="AE995" i="5" s="1"/>
  <c r="U1002" i="5"/>
  <c r="Z1002" i="5" s="1"/>
  <c r="U1016" i="5"/>
  <c r="Z1016" i="5" s="1"/>
  <c r="Z1021" i="5"/>
  <c r="AE1021" i="5" s="1"/>
  <c r="U1021" i="5"/>
  <c r="U1023" i="5"/>
  <c r="Z1023" i="5" s="1"/>
  <c r="X1023" i="5"/>
  <c r="Z1024" i="5"/>
  <c r="AE1024" i="5" s="1"/>
  <c r="AA1025" i="5"/>
  <c r="AC1025" i="5" s="1"/>
  <c r="U1034" i="5"/>
  <c r="Z1034" i="5" s="1"/>
  <c r="AE1034" i="5" s="1"/>
  <c r="U1052" i="5"/>
  <c r="Z1052" i="5" s="1"/>
  <c r="U1053" i="5"/>
  <c r="Z1053" i="5" s="1"/>
  <c r="U1058" i="5"/>
  <c r="Z1058" i="5" s="1"/>
  <c r="U1059" i="5"/>
  <c r="Z1059" i="5" s="1"/>
  <c r="U1066" i="5"/>
  <c r="Z1066" i="5" s="1"/>
  <c r="AA1070" i="5"/>
  <c r="AC1070" i="5" s="1"/>
  <c r="U1074" i="5"/>
  <c r="U1075" i="5"/>
  <c r="Z1075" i="5" s="1"/>
  <c r="Z1077" i="5"/>
  <c r="AE1077" i="5" s="1"/>
  <c r="U1077" i="5"/>
  <c r="U1088" i="5"/>
  <c r="U1092" i="5"/>
  <c r="Z1092" i="5" s="1"/>
  <c r="U1093" i="5"/>
  <c r="U1094" i="5"/>
  <c r="Z1094" i="5"/>
  <c r="AE1094" i="5" s="1"/>
  <c r="U1107" i="5"/>
  <c r="Z1107" i="5" s="1"/>
  <c r="U1125" i="5"/>
  <c r="U1128" i="5"/>
  <c r="Z1128" i="5"/>
  <c r="AE1128" i="5" s="1"/>
  <c r="U1130" i="5"/>
  <c r="Z1130" i="5" s="1"/>
  <c r="U1135" i="5"/>
  <c r="Z1139" i="5"/>
  <c r="AE1139" i="5" s="1"/>
  <c r="U1145" i="5"/>
  <c r="Z1145" i="5" s="1"/>
  <c r="AA1148" i="5"/>
  <c r="AC1148" i="5" s="1"/>
  <c r="AA1150" i="5"/>
  <c r="AC1150" i="5" s="1"/>
  <c r="AA1152" i="5"/>
  <c r="AC1152" i="5" s="1"/>
  <c r="AA1179" i="5"/>
  <c r="AC1179" i="5" s="1"/>
  <c r="U1187" i="5"/>
  <c r="Z1187" i="5" s="1"/>
  <c r="U1194" i="5"/>
  <c r="Z1194" i="5" s="1"/>
  <c r="AA1201" i="5"/>
  <c r="AC1201" i="5" s="1"/>
  <c r="U1213" i="5"/>
  <c r="Z1213" i="5" s="1"/>
  <c r="Y606" i="5"/>
  <c r="Y610" i="5"/>
  <c r="Y613" i="5"/>
  <c r="X617" i="5"/>
  <c r="U617" i="5" s="1"/>
  <c r="Z617" i="5" s="1"/>
  <c r="AE617" i="5" s="1"/>
  <c r="X621" i="5"/>
  <c r="U621" i="5" s="1"/>
  <c r="X629" i="5"/>
  <c r="U629" i="5" s="1"/>
  <c r="Y634" i="5"/>
  <c r="Y642" i="5"/>
  <c r="Y646" i="5"/>
  <c r="X650" i="5"/>
  <c r="U650" i="5" s="1"/>
  <c r="X656" i="5"/>
  <c r="Y660" i="5"/>
  <c r="Y663" i="5"/>
  <c r="Y667" i="5"/>
  <c r="X671" i="5"/>
  <c r="AA680" i="5"/>
  <c r="AB680" i="5" s="1"/>
  <c r="AC680" i="5" s="1"/>
  <c r="Y683" i="5"/>
  <c r="X686" i="5"/>
  <c r="U686" i="5" s="1"/>
  <c r="X692" i="5"/>
  <c r="X699" i="5"/>
  <c r="U699" i="5" s="1"/>
  <c r="X709" i="5"/>
  <c r="V716" i="5"/>
  <c r="Y717" i="5"/>
  <c r="V722" i="5"/>
  <c r="T725" i="5"/>
  <c r="T732" i="5"/>
  <c r="S741" i="5"/>
  <c r="AA741" i="5"/>
  <c r="AB741" i="5" s="1"/>
  <c r="AC741" i="5" s="1"/>
  <c r="W742" i="5"/>
  <c r="S743" i="5"/>
  <c r="U745" i="5"/>
  <c r="AA745" i="5" s="1"/>
  <c r="AB745" i="5" s="1"/>
  <c r="AC745" i="5" s="1"/>
  <c r="S748" i="5"/>
  <c r="AA748" i="5"/>
  <c r="AB748" i="5" s="1"/>
  <c r="AC748" i="5" s="1"/>
  <c r="X749" i="5"/>
  <c r="T751" i="5"/>
  <c r="V753" i="5"/>
  <c r="W755" i="5"/>
  <c r="S756" i="5"/>
  <c r="AA759" i="5"/>
  <c r="AB759" i="5" s="1"/>
  <c r="AC759" i="5" s="1"/>
  <c r="X760" i="5"/>
  <c r="U760" i="5" s="1"/>
  <c r="V763" i="5"/>
  <c r="Z765" i="5"/>
  <c r="AE765" i="5" s="1"/>
  <c r="W766" i="5"/>
  <c r="S767" i="5"/>
  <c r="T770" i="5"/>
  <c r="V772" i="5"/>
  <c r="Z774" i="5"/>
  <c r="AE774" i="5" s="1"/>
  <c r="W774" i="5"/>
  <c r="X776" i="5"/>
  <c r="U776" i="5" s="1"/>
  <c r="T777" i="5"/>
  <c r="W781" i="5"/>
  <c r="Z783" i="5"/>
  <c r="AE783" i="5" s="1"/>
  <c r="X784" i="5"/>
  <c r="U784" i="5" s="1"/>
  <c r="T785" i="5"/>
  <c r="S786" i="5"/>
  <c r="U788" i="5"/>
  <c r="S788" i="5" s="1"/>
  <c r="S791" i="5"/>
  <c r="AA791" i="5"/>
  <c r="AB791" i="5" s="1"/>
  <c r="AC791" i="5" s="1"/>
  <c r="W792" i="5"/>
  <c r="V795" i="5"/>
  <c r="W797" i="5"/>
  <c r="T798" i="5"/>
  <c r="S803" i="5"/>
  <c r="V805" i="5"/>
  <c r="T806" i="5"/>
  <c r="V812" i="5"/>
  <c r="Y813" i="5"/>
  <c r="V814" i="5"/>
  <c r="Z814" i="5" s="1"/>
  <c r="AE814" i="5" s="1"/>
  <c r="Y815" i="5"/>
  <c r="V816" i="5"/>
  <c r="T819" i="5"/>
  <c r="S820" i="5"/>
  <c r="V822" i="5"/>
  <c r="S825" i="5"/>
  <c r="AA825" i="5"/>
  <c r="AB825" i="5" s="1"/>
  <c r="AC825" i="5" s="1"/>
  <c r="W826" i="5"/>
  <c r="S827" i="5"/>
  <c r="V829" i="5"/>
  <c r="Z831" i="5"/>
  <c r="AE831" i="5" s="1"/>
  <c r="W832" i="5"/>
  <c r="S833" i="5"/>
  <c r="AA833" i="5"/>
  <c r="AB833" i="5" s="1"/>
  <c r="AC833" i="5" s="1"/>
  <c r="W834" i="5"/>
  <c r="S835" i="5"/>
  <c r="U837" i="5"/>
  <c r="Z837" i="5" s="1"/>
  <c r="AE837" i="5" s="1"/>
  <c r="V1806" i="5"/>
  <c r="V838" i="5"/>
  <c r="Z1806" i="5" s="1"/>
  <c r="T842" i="5"/>
  <c r="U851" i="5"/>
  <c r="V853" i="5"/>
  <c r="Z853" i="5" s="1"/>
  <c r="X855" i="5"/>
  <c r="V856" i="5"/>
  <c r="V864" i="5"/>
  <c r="Z864" i="5" s="1"/>
  <c r="V865" i="5"/>
  <c r="AA867" i="5"/>
  <c r="AC867" i="5" s="1"/>
  <c r="Z868" i="5"/>
  <c r="AE868" i="5" s="1"/>
  <c r="V870" i="5"/>
  <c r="V871" i="5"/>
  <c r="AA873" i="5"/>
  <c r="AC873" i="5" s="1"/>
  <c r="V876" i="5"/>
  <c r="Z876" i="5" s="1"/>
  <c r="V877" i="5"/>
  <c r="X888" i="5"/>
  <c r="X890" i="5"/>
  <c r="V892" i="5"/>
  <c r="AC893" i="5"/>
  <c r="X903" i="5"/>
  <c r="U903" i="5" s="1"/>
  <c r="Z903" i="5" s="1"/>
  <c r="AE903" i="5" s="1"/>
  <c r="AA912" i="5"/>
  <c r="AC912" i="5" s="1"/>
  <c r="AA937" i="5"/>
  <c r="AA941" i="5"/>
  <c r="AC941" i="5" s="1"/>
  <c r="AA948" i="5"/>
  <c r="AC948" i="5" s="1"/>
  <c r="Z960" i="5"/>
  <c r="Z962" i="5"/>
  <c r="AE962" i="5" s="1"/>
  <c r="Y965" i="5"/>
  <c r="U978" i="5"/>
  <c r="Z978" i="5" s="1"/>
  <c r="Z1003" i="5"/>
  <c r="AE1003" i="5" s="1"/>
  <c r="U1003" i="5"/>
  <c r="U1006" i="5"/>
  <c r="Z1006" i="5" s="1"/>
  <c r="U1012" i="5"/>
  <c r="Z1012" i="5" s="1"/>
  <c r="AA1024" i="5"/>
  <c r="AC1024" i="5" s="1"/>
  <c r="U1026" i="5"/>
  <c r="Z1026" i="5" s="1"/>
  <c r="U1032" i="5"/>
  <c r="Z1032" i="5" s="1"/>
  <c r="U1035" i="5"/>
  <c r="Z1035" i="5" s="1"/>
  <c r="U1040" i="5"/>
  <c r="Z1040" i="5" s="1"/>
  <c r="U1042" i="5"/>
  <c r="Z1042" i="5" s="1"/>
  <c r="Z1044" i="5"/>
  <c r="AE1044" i="5" s="1"/>
  <c r="U1044" i="5"/>
  <c r="U1063" i="5"/>
  <c r="Z1063" i="5" s="1"/>
  <c r="U1065" i="5"/>
  <c r="Z1065" i="5" s="1"/>
  <c r="Z1067" i="5"/>
  <c r="AE1067" i="5" s="1"/>
  <c r="U1067" i="5"/>
  <c r="U1085" i="5"/>
  <c r="Z1085" i="5" s="1"/>
  <c r="U1087" i="5"/>
  <c r="Z1087" i="5" s="1"/>
  <c r="Z1089" i="5"/>
  <c r="AE1089" i="5" s="1"/>
  <c r="U1089" i="5"/>
  <c r="U1111" i="5"/>
  <c r="Z1111" i="5" s="1"/>
  <c r="U1113" i="5"/>
  <c r="Z1113" i="5"/>
  <c r="AE1113" i="5" s="1"/>
  <c r="U1119" i="5"/>
  <c r="Z1119" i="5" s="1"/>
  <c r="AA1120" i="5"/>
  <c r="AC1120" i="5" s="1"/>
  <c r="U1168" i="5"/>
  <c r="Z1168" i="5" s="1"/>
  <c r="U1182" i="5"/>
  <c r="Z1182" i="5" s="1"/>
  <c r="U1189" i="5"/>
  <c r="Z1189" i="5" s="1"/>
  <c r="U1204" i="5"/>
  <c r="Z1204" i="5" s="1"/>
  <c r="Z1210" i="5"/>
  <c r="U1210" i="5"/>
  <c r="U1219" i="5"/>
  <c r="X554" i="5"/>
  <c r="U554" i="5" s="1"/>
  <c r="X558" i="5"/>
  <c r="U558" i="5" s="1"/>
  <c r="X563" i="5"/>
  <c r="U563" i="5" s="1"/>
  <c r="X568" i="5"/>
  <c r="U568" i="5" s="1"/>
  <c r="X582" i="5"/>
  <c r="U582" i="5" s="1"/>
  <c r="P604" i="5"/>
  <c r="X605" i="5"/>
  <c r="X609" i="5"/>
  <c r="U609" i="5" s="1"/>
  <c r="P612" i="5"/>
  <c r="P616" i="5"/>
  <c r="Y617" i="5"/>
  <c r="P620" i="5"/>
  <c r="Y621" i="5"/>
  <c r="T622" i="5"/>
  <c r="V623" i="5"/>
  <c r="P624" i="5"/>
  <c r="T626" i="5"/>
  <c r="P628" i="5"/>
  <c r="Y629" i="5"/>
  <c r="T630" i="5"/>
  <c r="V631" i="5"/>
  <c r="P632" i="5"/>
  <c r="X633" i="5"/>
  <c r="U633" i="5" s="1"/>
  <c r="P636" i="5"/>
  <c r="T638" i="5"/>
  <c r="P640" i="5"/>
  <c r="X641" i="5"/>
  <c r="U641" i="5" s="1"/>
  <c r="V644" i="5"/>
  <c r="X645" i="5"/>
  <c r="P648" i="5"/>
  <c r="X649" i="5"/>
  <c r="Y650" i="5"/>
  <c r="T651" i="5"/>
  <c r="V653" i="5"/>
  <c r="P654" i="5"/>
  <c r="X655" i="5"/>
  <c r="Y656" i="5"/>
  <c r="T657" i="5"/>
  <c r="V658" i="5"/>
  <c r="Z658" i="5" s="1"/>
  <c r="AE658" i="5" s="1"/>
  <c r="X659" i="5"/>
  <c r="U659" i="5" s="1"/>
  <c r="P662" i="5"/>
  <c r="P665" i="5"/>
  <c r="X666" i="5"/>
  <c r="U666" i="5" s="1"/>
  <c r="P669" i="5"/>
  <c r="X670" i="5"/>
  <c r="U670" i="5" s="1"/>
  <c r="Y671" i="5"/>
  <c r="T672" i="5"/>
  <c r="V673" i="5"/>
  <c r="T675" i="5"/>
  <c r="V676" i="5"/>
  <c r="Z676" i="5" s="1"/>
  <c r="AE676" i="5" s="1"/>
  <c r="T678" i="5"/>
  <c r="V680" i="5"/>
  <c r="P681" i="5"/>
  <c r="X682" i="5"/>
  <c r="U682" i="5" s="1"/>
  <c r="P685" i="5"/>
  <c r="Y686" i="5"/>
  <c r="T687" i="5"/>
  <c r="V689" i="5"/>
  <c r="P690" i="5"/>
  <c r="X691" i="5"/>
  <c r="U691" i="5" s="1"/>
  <c r="Y692" i="5"/>
  <c r="T693" i="5"/>
  <c r="V694" i="5"/>
  <c r="T696" i="5"/>
  <c r="V697" i="5"/>
  <c r="AA697" i="5" s="1"/>
  <c r="AB697" i="5" s="1"/>
  <c r="AC697" i="5" s="1"/>
  <c r="X698" i="5"/>
  <c r="U698" i="5" s="1"/>
  <c r="Y699" i="5"/>
  <c r="T700" i="5"/>
  <c r="P702" i="5"/>
  <c r="T704" i="5"/>
  <c r="V706" i="5"/>
  <c r="P707" i="5"/>
  <c r="X708" i="5"/>
  <c r="U708" i="5" s="1"/>
  <c r="Y709" i="5"/>
  <c r="T710" i="5"/>
  <c r="V712" i="5"/>
  <c r="P713" i="5"/>
  <c r="AA715" i="5"/>
  <c r="AB715" i="5" s="1"/>
  <c r="AC715" i="5" s="1"/>
  <c r="Z721" i="5"/>
  <c r="AE721" i="5" s="1"/>
  <c r="X722" i="5"/>
  <c r="U722" i="5" s="1"/>
  <c r="T723" i="5"/>
  <c r="Y728" i="5"/>
  <c r="Y730" i="5"/>
  <c r="V731" i="5"/>
  <c r="P733" i="5"/>
  <c r="T734" i="5"/>
  <c r="AA737" i="5"/>
  <c r="AB737" i="5" s="1"/>
  <c r="AC737" i="5" s="1"/>
  <c r="X738" i="5"/>
  <c r="U738" i="5" s="1"/>
  <c r="T739" i="5"/>
  <c r="P742" i="5"/>
  <c r="Z744" i="5"/>
  <c r="AE744" i="5" s="1"/>
  <c r="P747" i="5"/>
  <c r="P749" i="5"/>
  <c r="Y749" i="5"/>
  <c r="V750" i="5"/>
  <c r="X753" i="5"/>
  <c r="T754" i="5"/>
  <c r="X755" i="5"/>
  <c r="Z759" i="5"/>
  <c r="AE759" i="5" s="1"/>
  <c r="S759" i="5"/>
  <c r="P760" i="5"/>
  <c r="Y760" i="5"/>
  <c r="V761" i="5"/>
  <c r="S762" i="5"/>
  <c r="Z762" i="5"/>
  <c r="AE762" i="5" s="1"/>
  <c r="X763" i="5"/>
  <c r="U763" i="5" s="1"/>
  <c r="T764" i="5"/>
  <c r="X766" i="5"/>
  <c r="U766" i="5" s="1"/>
  <c r="Y768" i="5"/>
  <c r="S768" i="5" s="1"/>
  <c r="V769" i="5"/>
  <c r="X772" i="5"/>
  <c r="T773" i="5"/>
  <c r="P774" i="5"/>
  <c r="X774" i="5"/>
  <c r="T775" i="5"/>
  <c r="Y776" i="5"/>
  <c r="AA778" i="5"/>
  <c r="AB778" i="5" s="1"/>
  <c r="AC778" i="5" s="1"/>
  <c r="X779" i="5"/>
  <c r="U779" i="5" s="1"/>
  <c r="T780" i="5"/>
  <c r="P781" i="5"/>
  <c r="X781" i="5"/>
  <c r="T782" i="5"/>
  <c r="Y784" i="5"/>
  <c r="P790" i="5"/>
  <c r="P792" i="5"/>
  <c r="X795" i="5"/>
  <c r="U795" i="5" s="1"/>
  <c r="T796" i="5"/>
  <c r="X797" i="5"/>
  <c r="AA801" i="5"/>
  <c r="AB801" i="5" s="1"/>
  <c r="AC801" i="5" s="1"/>
  <c r="W802" i="5"/>
  <c r="Z802" i="5" s="1"/>
  <c r="AE802" i="5" s="1"/>
  <c r="X805" i="5"/>
  <c r="U805" i="5" s="1"/>
  <c r="Z807" i="5"/>
  <c r="AE807" i="5" s="1"/>
  <c r="Y809" i="5"/>
  <c r="U810" i="5"/>
  <c r="Z810" i="5" s="1"/>
  <c r="AE810" i="5" s="1"/>
  <c r="S811" i="5"/>
  <c r="Z811" i="5"/>
  <c r="AE811" i="5" s="1"/>
  <c r="W812" i="5"/>
  <c r="Y816" i="5"/>
  <c r="Y818" i="5"/>
  <c r="P824" i="5"/>
  <c r="P826" i="5"/>
  <c r="Z828" i="5"/>
  <c r="AE828" i="5" s="1"/>
  <c r="X829" i="5"/>
  <c r="U829" i="5" s="1"/>
  <c r="T830" i="5"/>
  <c r="S831" i="5"/>
  <c r="X832" i="5"/>
  <c r="P834" i="5"/>
  <c r="Z836" i="5"/>
  <c r="AE836" i="5" s="1"/>
  <c r="P841" i="5"/>
  <c r="Z845" i="5"/>
  <c r="AE845" i="5" s="1"/>
  <c r="Z849" i="5"/>
  <c r="AE849" i="5" s="1"/>
  <c r="W853" i="5"/>
  <c r="W859" i="5"/>
  <c r="Z861" i="5"/>
  <c r="AE861" i="5" s="1"/>
  <c r="X864" i="5"/>
  <c r="T865" i="5"/>
  <c r="X870" i="5"/>
  <c r="T871" i="5"/>
  <c r="X876" i="5"/>
  <c r="T877" i="5"/>
  <c r="W880" i="5"/>
  <c r="Z880" i="5" s="1"/>
  <c r="Z887" i="5"/>
  <c r="AE887" i="5" s="1"/>
  <c r="Z889" i="5"/>
  <c r="AE889" i="5" s="1"/>
  <c r="Z891" i="5"/>
  <c r="AE891" i="5" s="1"/>
  <c r="T892" i="5"/>
  <c r="AA902" i="5"/>
  <c r="Z907" i="5"/>
  <c r="AA910" i="5"/>
  <c r="AC910" i="5" s="1"/>
  <c r="Y913" i="5"/>
  <c r="Z913" i="5" s="1"/>
  <c r="AE913" i="5" s="1"/>
  <c r="X914" i="5"/>
  <c r="Z917" i="5"/>
  <c r="Z919" i="5"/>
  <c r="Z924" i="5"/>
  <c r="AE924" i="5" s="1"/>
  <c r="Y925" i="5"/>
  <c r="Y927" i="5"/>
  <c r="Z927" i="5" s="1"/>
  <c r="Z932" i="5"/>
  <c r="AE932" i="5" s="1"/>
  <c r="AC937" i="5"/>
  <c r="AA938" i="5"/>
  <c r="AC938" i="5" s="1"/>
  <c r="Z945" i="5"/>
  <c r="U968" i="5"/>
  <c r="Z968" i="5" s="1"/>
  <c r="X968" i="5"/>
  <c r="Z969" i="5"/>
  <c r="AE969" i="5" s="1"/>
  <c r="U981" i="5"/>
  <c r="Z981" i="5"/>
  <c r="AE981" i="5" s="1"/>
  <c r="Z983" i="5"/>
  <c r="AE983" i="5" s="1"/>
  <c r="U983" i="5"/>
  <c r="U987" i="5"/>
  <c r="Z987" i="5" s="1"/>
  <c r="X990" i="5"/>
  <c r="U990" i="5" s="1"/>
  <c r="Z990" i="5" s="1"/>
  <c r="Z991" i="5"/>
  <c r="AE991" i="5" s="1"/>
  <c r="Z997" i="5"/>
  <c r="AE997" i="5" s="1"/>
  <c r="U997" i="5"/>
  <c r="U1000" i="5"/>
  <c r="Z1000" i="5" s="1"/>
  <c r="X1000" i="5"/>
  <c r="AA1001" i="5"/>
  <c r="AC1001" i="5" s="1"/>
  <c r="U1020" i="5"/>
  <c r="Z1020" i="5" s="1"/>
  <c r="X1020" i="5"/>
  <c r="AA1027" i="5"/>
  <c r="AC1027" i="5" s="1"/>
  <c r="U1046" i="5"/>
  <c r="Z1046" i="5"/>
  <c r="AE1046" i="5" s="1"/>
  <c r="AA1055" i="5"/>
  <c r="AC1055" i="5" s="1"/>
  <c r="U1069" i="5"/>
  <c r="U1079" i="5"/>
  <c r="Z1079" i="5"/>
  <c r="AE1079" i="5" s="1"/>
  <c r="AA1082" i="5"/>
  <c r="AC1082" i="5" s="1"/>
  <c r="U1098" i="5"/>
  <c r="Z1098" i="5"/>
  <c r="AE1098" i="5" s="1"/>
  <c r="U1100" i="5"/>
  <c r="Z1100" i="5" s="1"/>
  <c r="U1104" i="5"/>
  <c r="Z1104" i="5"/>
  <c r="AE1104" i="5" s="1"/>
  <c r="U1106" i="5"/>
  <c r="Z1106" i="5" s="1"/>
  <c r="U1121" i="5"/>
  <c r="Z1121" i="5" s="1"/>
  <c r="U1123" i="5"/>
  <c r="Z1123" i="5" s="1"/>
  <c r="U1129" i="5"/>
  <c r="Z1129" i="5" s="1"/>
  <c r="AA1134" i="5"/>
  <c r="AC1134" i="5" s="1"/>
  <c r="Z1146" i="5"/>
  <c r="U1146" i="5"/>
  <c r="Z1161" i="5"/>
  <c r="AE1161" i="5" s="1"/>
  <c r="U1161" i="5"/>
  <c r="U1188" i="5"/>
  <c r="Z1188" i="5" s="1"/>
  <c r="AA742" i="5"/>
  <c r="AB742" i="5" s="1"/>
  <c r="AC742" i="5" s="1"/>
  <c r="Y742" i="5"/>
  <c r="Y753" i="5"/>
  <c r="AA762" i="5"/>
  <c r="AB762" i="5" s="1"/>
  <c r="AC762" i="5" s="1"/>
  <c r="Y772" i="5"/>
  <c r="Y774" i="5"/>
  <c r="Y781" i="5"/>
  <c r="Y792" i="5"/>
  <c r="Y797" i="5"/>
  <c r="Z808" i="5"/>
  <c r="AE808" i="5" s="1"/>
  <c r="AA811" i="5"/>
  <c r="AB811" i="5" s="1"/>
  <c r="AC811" i="5" s="1"/>
  <c r="Y826" i="5"/>
  <c r="Y834" i="5"/>
  <c r="U900" i="5"/>
  <c r="Z900" i="5" s="1"/>
  <c r="U908" i="5"/>
  <c r="Z908" i="5" s="1"/>
  <c r="Z928" i="5"/>
  <c r="AA931" i="5"/>
  <c r="AC931" i="5" s="1"/>
  <c r="AA932" i="5"/>
  <c r="AC932" i="5" s="1"/>
  <c r="Z965" i="5"/>
  <c r="AE965" i="5" s="1"/>
  <c r="AA969" i="5"/>
  <c r="AC969" i="5" s="1"/>
  <c r="U971" i="5"/>
  <c r="Z971" i="5" s="1"/>
  <c r="AA985" i="5"/>
  <c r="AC985" i="5" s="1"/>
  <c r="Z988" i="5"/>
  <c r="AA991" i="5"/>
  <c r="AC991" i="5" s="1"/>
  <c r="U993" i="5"/>
  <c r="Z993" i="5"/>
  <c r="Z998" i="5"/>
  <c r="U1007" i="5"/>
  <c r="Z1007" i="5" s="1"/>
  <c r="AE1007" i="5" s="1"/>
  <c r="U1009" i="5"/>
  <c r="Z1009" i="5" s="1"/>
  <c r="Z1014" i="5"/>
  <c r="AE1014" i="5" s="1"/>
  <c r="U1014" i="5"/>
  <c r="U1017" i="5"/>
  <c r="Z1017" i="5" s="1"/>
  <c r="U1025" i="5"/>
  <c r="Z1025" i="5"/>
  <c r="AE1025" i="5" s="1"/>
  <c r="U1027" i="5"/>
  <c r="Z1027" i="5" s="1"/>
  <c r="AE1027" i="5" s="1"/>
  <c r="U1029" i="5"/>
  <c r="Z1029" i="5" s="1"/>
  <c r="Z1037" i="5"/>
  <c r="AE1037" i="5" s="1"/>
  <c r="U1037" i="5"/>
  <c r="U1056" i="5"/>
  <c r="Z1056" i="5" s="1"/>
  <c r="Z1061" i="5"/>
  <c r="Z1070" i="5"/>
  <c r="AE1070" i="5" s="1"/>
  <c r="U1070" i="5"/>
  <c r="U1091" i="5"/>
  <c r="Z1091" i="5"/>
  <c r="AE1091" i="5" s="1"/>
  <c r="AA1094" i="5"/>
  <c r="AC1094" i="5" s="1"/>
  <c r="U1108" i="5"/>
  <c r="Z1108" i="5" s="1"/>
  <c r="U1112" i="5"/>
  <c r="Z1112" i="5" s="1"/>
  <c r="AA1113" i="5"/>
  <c r="AC1113" i="5" s="1"/>
  <c r="U1127" i="5"/>
  <c r="Z1127" i="5" s="1"/>
  <c r="Z1133" i="5"/>
  <c r="AE1133" i="5" s="1"/>
  <c r="U1133" i="5"/>
  <c r="U1134" i="5"/>
  <c r="U1154" i="5"/>
  <c r="Z1154" i="5"/>
  <c r="AE1154" i="5" s="1"/>
  <c r="AA1155" i="5"/>
  <c r="Z1177" i="5"/>
  <c r="U1177" i="5"/>
  <c r="U1185" i="5"/>
  <c r="Z1185" i="5" s="1"/>
  <c r="AA1191" i="5"/>
  <c r="AC1191" i="5" s="1"/>
  <c r="U1199" i="5"/>
  <c r="Z1199" i="5" s="1"/>
  <c r="X623" i="5"/>
  <c r="U623" i="5" s="1"/>
  <c r="X631" i="5"/>
  <c r="U631" i="5" s="1"/>
  <c r="X653" i="5"/>
  <c r="U653" i="5" s="1"/>
  <c r="Z655" i="5"/>
  <c r="AE655" i="5" s="1"/>
  <c r="AA674" i="5"/>
  <c r="AB674" i="5" s="1"/>
  <c r="AC674" i="5" s="1"/>
  <c r="AA677" i="5"/>
  <c r="AB677" i="5" s="1"/>
  <c r="AC677" i="5" s="1"/>
  <c r="X680" i="5"/>
  <c r="X689" i="5"/>
  <c r="U689" i="5" s="1"/>
  <c r="X706" i="5"/>
  <c r="U706" i="5" s="1"/>
  <c r="X712" i="5"/>
  <c r="U712" i="5" s="1"/>
  <c r="Y716" i="5"/>
  <c r="AA726" i="5"/>
  <c r="AB726" i="5" s="1"/>
  <c r="AC726" i="5" s="1"/>
  <c r="AA730" i="5"/>
  <c r="AB730" i="5" s="1"/>
  <c r="AC730" i="5" s="1"/>
  <c r="Z741" i="5"/>
  <c r="AE741" i="5" s="1"/>
  <c r="P745" i="5"/>
  <c r="Z748" i="5"/>
  <c r="AE748" i="5" s="1"/>
  <c r="U752" i="5"/>
  <c r="Z752" i="5" s="1"/>
  <c r="AE752" i="5" s="1"/>
  <c r="Y761" i="5"/>
  <c r="AA768" i="5"/>
  <c r="AB768" i="5" s="1"/>
  <c r="AC768" i="5" s="1"/>
  <c r="U787" i="5"/>
  <c r="AA787" i="5" s="1"/>
  <c r="AB787" i="5" s="1"/>
  <c r="AC787" i="5" s="1"/>
  <c r="P788" i="5"/>
  <c r="Z791" i="5"/>
  <c r="AE791" i="5" s="1"/>
  <c r="AA799" i="5"/>
  <c r="AB799" i="5" s="1"/>
  <c r="AC799" i="5" s="1"/>
  <c r="Y802" i="5"/>
  <c r="P808" i="5"/>
  <c r="Y814" i="5"/>
  <c r="Y822" i="5"/>
  <c r="S822" i="5" s="1"/>
  <c r="Z825" i="5"/>
  <c r="AE825" i="5" s="1"/>
  <c r="Z833" i="5"/>
  <c r="AE833" i="5" s="1"/>
  <c r="P837" i="5"/>
  <c r="U838" i="5"/>
  <c r="Y1806" i="5" s="1"/>
  <c r="U855" i="5"/>
  <c r="Z855" i="5" s="1"/>
  <c r="U894" i="5"/>
  <c r="Z894" i="5" s="1"/>
  <c r="Z912" i="5"/>
  <c r="AE912" i="5" s="1"/>
  <c r="U912" i="5"/>
  <c r="Z920" i="5"/>
  <c r="AE920" i="5" s="1"/>
  <c r="U920" i="5"/>
  <c r="Z925" i="5"/>
  <c r="AE925" i="5" s="1"/>
  <c r="Z936" i="5"/>
  <c r="U946" i="5"/>
  <c r="U955" i="5"/>
  <c r="Z955" i="5" s="1"/>
  <c r="U967" i="5"/>
  <c r="Z967" i="5" s="1"/>
  <c r="AA972" i="5"/>
  <c r="AC972" i="5" s="1"/>
  <c r="U975" i="5"/>
  <c r="Z975" i="5" s="1"/>
  <c r="U986" i="5"/>
  <c r="Z986" i="5" s="1"/>
  <c r="U989" i="5"/>
  <c r="Z989" i="5" s="1"/>
  <c r="U996" i="5"/>
  <c r="Z996" i="5"/>
  <c r="U1005" i="5"/>
  <c r="Z1005" i="5" s="1"/>
  <c r="U1008" i="5"/>
  <c r="Z1008" i="5" s="1"/>
  <c r="Z1010" i="5"/>
  <c r="AE1010" i="5" s="1"/>
  <c r="U1010" i="5"/>
  <c r="U1019" i="5"/>
  <c r="Z1019" i="5" s="1"/>
  <c r="U1028" i="5"/>
  <c r="Z1028" i="5" s="1"/>
  <c r="Z1030" i="5"/>
  <c r="AE1030" i="5" s="1"/>
  <c r="U1030" i="5"/>
  <c r="U1033" i="5"/>
  <c r="Z1033" i="5" s="1"/>
  <c r="Z1038" i="5"/>
  <c r="U1039" i="5"/>
  <c r="Z1039" i="5" s="1"/>
  <c r="AA1044" i="5"/>
  <c r="AC1044" i="5" s="1"/>
  <c r="U1050" i="5"/>
  <c r="Z1050" i="5" s="1"/>
  <c r="U1062" i="5"/>
  <c r="Z1062" i="5" s="1"/>
  <c r="U1072" i="5"/>
  <c r="Z1072" i="5" s="1"/>
  <c r="AA1081" i="5"/>
  <c r="AC1081" i="5" s="1"/>
  <c r="U1084" i="5"/>
  <c r="Z1084" i="5"/>
  <c r="AE1084" i="5" s="1"/>
  <c r="AA1089" i="5"/>
  <c r="AC1089" i="5" s="1"/>
  <c r="U1099" i="5"/>
  <c r="Z1099" i="5" s="1"/>
  <c r="AA1104" i="5"/>
  <c r="AC1104" i="5" s="1"/>
  <c r="U1114" i="5"/>
  <c r="Z1114" i="5"/>
  <c r="AE1114" i="5" s="1"/>
  <c r="U1122" i="5"/>
  <c r="Z1122" i="5" s="1"/>
  <c r="U1147" i="5"/>
  <c r="Z1147" i="5" s="1"/>
  <c r="AA1183" i="5"/>
  <c r="AC1183" i="5" s="1"/>
  <c r="AE1183" i="5"/>
  <c r="W717" i="5"/>
  <c r="T718" i="5"/>
  <c r="Y725" i="5"/>
  <c r="Y729" i="5"/>
  <c r="V737" i="5"/>
  <c r="S737" i="5" s="1"/>
  <c r="AA738" i="5"/>
  <c r="AB738" i="5" s="1"/>
  <c r="AC738" i="5" s="1"/>
  <c r="U740" i="5"/>
  <c r="Z740" i="5" s="1"/>
  <c r="AE740" i="5" s="1"/>
  <c r="P741" i="5"/>
  <c r="X746" i="5"/>
  <c r="U746" i="5" s="1"/>
  <c r="P748" i="5"/>
  <c r="T753" i="5"/>
  <c r="U755" i="5"/>
  <c r="Z755" i="5" s="1"/>
  <c r="AE755" i="5" s="1"/>
  <c r="P756" i="5"/>
  <c r="V765" i="5"/>
  <c r="AA765" i="5" s="1"/>
  <c r="AB765" i="5" s="1"/>
  <c r="AC765" i="5" s="1"/>
  <c r="P767" i="5"/>
  <c r="T772" i="5"/>
  <c r="U774" i="5"/>
  <c r="V778" i="5"/>
  <c r="S778" i="5" s="1"/>
  <c r="AA779" i="5"/>
  <c r="AB779" i="5" s="1"/>
  <c r="AC779" i="5" s="1"/>
  <c r="U781" i="5"/>
  <c r="S781" i="5" s="1"/>
  <c r="V783" i="5"/>
  <c r="AA783" i="5" s="1"/>
  <c r="AB783" i="5" s="1"/>
  <c r="AC783" i="5" s="1"/>
  <c r="V787" i="5"/>
  <c r="AA788" i="5"/>
  <c r="AB788" i="5" s="1"/>
  <c r="AC788" i="5" s="1"/>
  <c r="X789" i="5"/>
  <c r="U789" i="5" s="1"/>
  <c r="P791" i="5"/>
  <c r="AA797" i="5"/>
  <c r="AB797" i="5" s="1"/>
  <c r="AC797" i="5" s="1"/>
  <c r="Y798" i="5"/>
  <c r="V801" i="5"/>
  <c r="Y806" i="5"/>
  <c r="V809" i="5"/>
  <c r="AA809" i="5" s="1"/>
  <c r="AB809" i="5" s="1"/>
  <c r="AC809" i="5" s="1"/>
  <c r="W815" i="5"/>
  <c r="T816" i="5"/>
  <c r="X823" i="5"/>
  <c r="U823" i="5" s="1"/>
  <c r="P825" i="5"/>
  <c r="V831" i="5"/>
  <c r="AA831" i="5" s="1"/>
  <c r="AB831" i="5" s="1"/>
  <c r="AC831" i="5" s="1"/>
  <c r="U832" i="5"/>
  <c r="AA832" i="5" s="1"/>
  <c r="AB832" i="5" s="1"/>
  <c r="AC832" i="5" s="1"/>
  <c r="P833" i="5"/>
  <c r="X838" i="5"/>
  <c r="X1806" i="5" s="1"/>
  <c r="V857" i="5"/>
  <c r="Z857" i="5" s="1"/>
  <c r="V868" i="5"/>
  <c r="V874" i="5"/>
  <c r="Z874" i="5" s="1"/>
  <c r="U879" i="5"/>
  <c r="Z879" i="5" s="1"/>
  <c r="AC895" i="5"/>
  <c r="AA905" i="5"/>
  <c r="AC905" i="5" s="1"/>
  <c r="AA906" i="5"/>
  <c r="AC906" i="5" s="1"/>
  <c r="AA913" i="5"/>
  <c r="AC913" i="5" s="1"/>
  <c r="U914" i="5"/>
  <c r="Z914" i="5" s="1"/>
  <c r="Z923" i="5"/>
  <c r="AE923" i="5" s="1"/>
  <c r="AA924" i="5"/>
  <c r="AC924" i="5" s="1"/>
  <c r="AA925" i="5"/>
  <c r="AC925" i="5" s="1"/>
  <c r="Z929" i="5"/>
  <c r="AE929" i="5" s="1"/>
  <c r="Z938" i="5"/>
  <c r="AE938" i="5" s="1"/>
  <c r="U943" i="5"/>
  <c r="Z943" i="5"/>
  <c r="Z947" i="5"/>
  <c r="AE947" i="5" s="1"/>
  <c r="U947" i="5"/>
  <c r="Z950" i="5"/>
  <c r="AE950" i="5" s="1"/>
  <c r="Z952" i="5"/>
  <c r="U957" i="5"/>
  <c r="Z957" i="5"/>
  <c r="AE957" i="5" s="1"/>
  <c r="Z958" i="5"/>
  <c r="AE958" i="5" s="1"/>
  <c r="AA962" i="5"/>
  <c r="AC962" i="5" s="1"/>
  <c r="U970" i="5"/>
  <c r="Z970" i="5"/>
  <c r="AE970" i="5" s="1"/>
  <c r="U972" i="5"/>
  <c r="Z972" i="5" s="1"/>
  <c r="AE972" i="5" s="1"/>
  <c r="Z973" i="5"/>
  <c r="AA976" i="5"/>
  <c r="AC976" i="5" s="1"/>
  <c r="U979" i="5"/>
  <c r="Z979" i="5" s="1"/>
  <c r="X979" i="5"/>
  <c r="Z980" i="5"/>
  <c r="AE980" i="5" s="1"/>
  <c r="AA981" i="5"/>
  <c r="AC981" i="5" s="1"/>
  <c r="AA983" i="5"/>
  <c r="AC983" i="5" s="1"/>
  <c r="U984" i="5"/>
  <c r="Z984" i="5" s="1"/>
  <c r="AE984" i="5" s="1"/>
  <c r="U992" i="5"/>
  <c r="Z992" i="5"/>
  <c r="AE992" i="5" s="1"/>
  <c r="U994" i="5"/>
  <c r="Z994" i="5" s="1"/>
  <c r="AE994" i="5" s="1"/>
  <c r="AA997" i="5"/>
  <c r="AC997" i="5" s="1"/>
  <c r="U999" i="5"/>
  <c r="Z999" i="5" s="1"/>
  <c r="U1013" i="5"/>
  <c r="Z1013" i="5" s="1"/>
  <c r="X1013" i="5"/>
  <c r="U1036" i="5"/>
  <c r="Z1036" i="5" s="1"/>
  <c r="X1036" i="5"/>
  <c r="U1048" i="5"/>
  <c r="U1076" i="5"/>
  <c r="Z1076" i="5"/>
  <c r="U1081" i="5"/>
  <c r="Z1082" i="5"/>
  <c r="AE1082" i="5" s="1"/>
  <c r="AA1083" i="5"/>
  <c r="AC1083" i="5" s="1"/>
  <c r="AA1093" i="5"/>
  <c r="AC1093" i="5" s="1"/>
  <c r="U1103" i="5"/>
  <c r="Z1103" i="5" s="1"/>
  <c r="Z1109" i="5"/>
  <c r="AE1109" i="5" s="1"/>
  <c r="U1115" i="5"/>
  <c r="Z1115" i="5" s="1"/>
  <c r="U1120" i="5"/>
  <c r="Z1120" i="5"/>
  <c r="AE1120" i="5" s="1"/>
  <c r="U1124" i="5"/>
  <c r="Z1124" i="5"/>
  <c r="AE1124" i="5" s="1"/>
  <c r="U1156" i="5"/>
  <c r="Z1156" i="5" s="1"/>
  <c r="Z1158" i="5"/>
  <c r="AE1158" i="5" s="1"/>
  <c r="Z1160" i="5"/>
  <c r="AE1160" i="5" s="1"/>
  <c r="Z1173" i="5"/>
  <c r="AE1173" i="5" s="1"/>
  <c r="U1181" i="5"/>
  <c r="Z1181" i="5" s="1"/>
  <c r="U1203" i="5"/>
  <c r="Z1203" i="5"/>
  <c r="AE1203" i="5" s="1"/>
  <c r="X921" i="5"/>
  <c r="U921" i="5" s="1"/>
  <c r="Z921" i="5" s="1"/>
  <c r="X926" i="5"/>
  <c r="U926" i="5" s="1"/>
  <c r="Z926" i="5" s="1"/>
  <c r="X933" i="5"/>
  <c r="U933" i="5" s="1"/>
  <c r="Z933" i="5" s="1"/>
  <c r="X935" i="5"/>
  <c r="U935" i="5" s="1"/>
  <c r="Z935" i="5" s="1"/>
  <c r="X940" i="5"/>
  <c r="U940" i="5" s="1"/>
  <c r="Z940" i="5" s="1"/>
  <c r="X942" i="5"/>
  <c r="U942" i="5" s="1"/>
  <c r="Z942" i="5" s="1"/>
  <c r="Y943" i="5"/>
  <c r="Y946" i="5"/>
  <c r="Z946" i="5" s="1"/>
  <c r="U953" i="5"/>
  <c r="Z953" i="5" s="1"/>
  <c r="X954" i="5"/>
  <c r="U954" i="5" s="1"/>
  <c r="Z954" i="5" s="1"/>
  <c r="X964" i="5"/>
  <c r="U964" i="5" s="1"/>
  <c r="Z964" i="5" s="1"/>
  <c r="Y974" i="5"/>
  <c r="Y978" i="5"/>
  <c r="Y982" i="5"/>
  <c r="Y989" i="5"/>
  <c r="Y999" i="5"/>
  <c r="Y1002" i="5"/>
  <c r="Y1005" i="5"/>
  <c r="Y1009" i="5"/>
  <c r="Y1016" i="5"/>
  <c r="X1022" i="5"/>
  <c r="U1022" i="5" s="1"/>
  <c r="Z1022" i="5" s="1"/>
  <c r="Y1029" i="5"/>
  <c r="Y1032" i="5"/>
  <c r="Y1050" i="5"/>
  <c r="Y1066" i="5"/>
  <c r="X1068" i="5"/>
  <c r="U1068" i="5" s="1"/>
  <c r="Z1068" i="5" s="1"/>
  <c r="Y1069" i="5"/>
  <c r="Z1069" i="5" s="1"/>
  <c r="Y1072" i="5"/>
  <c r="Y1076" i="5"/>
  <c r="Y1088" i="5"/>
  <c r="Z1088" i="5" s="1"/>
  <c r="Y1095" i="5"/>
  <c r="Y1105" i="5"/>
  <c r="Z1105" i="5" s="1"/>
  <c r="Y1115" i="5"/>
  <c r="Y1118" i="5"/>
  <c r="Z1118" i="5" s="1"/>
  <c r="Y1125" i="5"/>
  <c r="Z1125" i="5" s="1"/>
  <c r="Y1132" i="5"/>
  <c r="Z1132" i="5" s="1"/>
  <c r="Y1135" i="5"/>
  <c r="Y1140" i="5"/>
  <c r="Y1143" i="5"/>
  <c r="Z1143" i="5" s="1"/>
  <c r="Z1165" i="5"/>
  <c r="X1166" i="5"/>
  <c r="U1166" i="5" s="1"/>
  <c r="X1171" i="5"/>
  <c r="U1171" i="5" s="1"/>
  <c r="Z1171" i="5" s="1"/>
  <c r="X1174" i="5"/>
  <c r="U1174" i="5" s="1"/>
  <c r="Z1174" i="5" s="1"/>
  <c r="Z1176" i="5"/>
  <c r="Z1195" i="5"/>
  <c r="X1196" i="5"/>
  <c r="U1196" i="5" s="1"/>
  <c r="Z1196" i="5" s="1"/>
  <c r="Y1202" i="5"/>
  <c r="Y1208" i="5"/>
  <c r="AA1211" i="5"/>
  <c r="AC1211" i="5" s="1"/>
  <c r="Z1212" i="5"/>
  <c r="AA1216" i="5"/>
  <c r="AC1216" i="5" s="1"/>
  <c r="Z1217" i="5"/>
  <c r="AE1217" i="5" s="1"/>
  <c r="AA1222" i="5"/>
  <c r="AC1222" i="5" s="1"/>
  <c r="Z1223" i="5"/>
  <c r="AE1223" i="5" s="1"/>
  <c r="AA1224" i="5"/>
  <c r="AC1224" i="5" s="1"/>
  <c r="AA1229" i="5"/>
  <c r="AC1229" i="5" s="1"/>
  <c r="Y1238" i="5"/>
  <c r="Z1238" i="5" s="1"/>
  <c r="AA1239" i="5"/>
  <c r="AC1239" i="5" s="1"/>
  <c r="U1243" i="5"/>
  <c r="AA1245" i="5"/>
  <c r="AC1245" i="5" s="1"/>
  <c r="U1246" i="5"/>
  <c r="Z1246" i="5" s="1"/>
  <c r="Z1261" i="5"/>
  <c r="AE1261" i="5" s="1"/>
  <c r="Z1296" i="5"/>
  <c r="AA1297" i="5"/>
  <c r="AC1297" i="5" s="1"/>
  <c r="AA1301" i="5"/>
  <c r="AC1301" i="5" s="1"/>
  <c r="AA1315" i="5"/>
  <c r="AC1315" i="5" s="1"/>
  <c r="AA1317" i="5"/>
  <c r="AC1317" i="5" s="1"/>
  <c r="AA1319" i="5"/>
  <c r="AC1319" i="5" s="1"/>
  <c r="AA1321" i="5"/>
  <c r="AC1321" i="5" s="1"/>
  <c r="Z1329" i="5"/>
  <c r="AA1330" i="5"/>
  <c r="AC1330" i="5" s="1"/>
  <c r="Z1331" i="5"/>
  <c r="AE1331" i="5" s="1"/>
  <c r="Z1339" i="5"/>
  <c r="AE1339" i="5" s="1"/>
  <c r="U1345" i="5"/>
  <c r="Z1345" i="5"/>
  <c r="U1348" i="5"/>
  <c r="Z1348" i="5" s="1"/>
  <c r="U1349" i="5"/>
  <c r="U1350" i="5"/>
  <c r="Z1350" i="5"/>
  <c r="Z1361" i="5"/>
  <c r="AE1361" i="5" s="1"/>
  <c r="U1370" i="5"/>
  <c r="Z1370" i="5"/>
  <c r="AA1389" i="5"/>
  <c r="AC1389" i="5" s="1"/>
  <c r="AA1396" i="5"/>
  <c r="AC1396" i="5" s="1"/>
  <c r="AA1398" i="5"/>
  <c r="AC1398" i="5" s="1"/>
  <c r="U1402" i="5"/>
  <c r="Z1402" i="5"/>
  <c r="AE1402" i="5" s="1"/>
  <c r="U1404" i="5"/>
  <c r="Z1404" i="5" s="1"/>
  <c r="U1419" i="5"/>
  <c r="Z1419" i="5" s="1"/>
  <c r="AA1420" i="5"/>
  <c r="AC1420" i="5" s="1"/>
  <c r="U1427" i="5"/>
  <c r="Z1427" i="5" s="1"/>
  <c r="R1446" i="5"/>
  <c r="W1446" i="5"/>
  <c r="Y1449" i="5"/>
  <c r="X1449" i="5"/>
  <c r="X928" i="5"/>
  <c r="U928" i="5" s="1"/>
  <c r="X945" i="5"/>
  <c r="U945" i="5" s="1"/>
  <c r="X951" i="5"/>
  <c r="U951" i="5" s="1"/>
  <c r="Z951" i="5" s="1"/>
  <c r="X966" i="5"/>
  <c r="U966" i="5" s="1"/>
  <c r="Z966" i="5" s="1"/>
  <c r="X973" i="5"/>
  <c r="U973" i="5" s="1"/>
  <c r="X977" i="5"/>
  <c r="U977" i="5" s="1"/>
  <c r="X988" i="5"/>
  <c r="U988" i="5" s="1"/>
  <c r="X998" i="5"/>
  <c r="U998" i="5" s="1"/>
  <c r="X1004" i="5"/>
  <c r="U1004" i="5" s="1"/>
  <c r="Z1004" i="5" s="1"/>
  <c r="X1011" i="5"/>
  <c r="U1011" i="5" s="1"/>
  <c r="Z1011" i="5" s="1"/>
  <c r="X1015" i="5"/>
  <c r="U1015" i="5" s="1"/>
  <c r="Z1015" i="5" s="1"/>
  <c r="X1031" i="5"/>
  <c r="U1031" i="5" s="1"/>
  <c r="Z1031" i="5" s="1"/>
  <c r="X1038" i="5"/>
  <c r="U1038" i="5" s="1"/>
  <c r="X1045" i="5"/>
  <c r="U1045" i="5" s="1"/>
  <c r="Z1045" i="5" s="1"/>
  <c r="X1049" i="5"/>
  <c r="U1049" i="5" s="1"/>
  <c r="Z1049" i="5" s="1"/>
  <c r="X1071" i="5"/>
  <c r="U1071" i="5" s="1"/>
  <c r="Z1071" i="5" s="1"/>
  <c r="Z1095" i="5"/>
  <c r="X1097" i="5"/>
  <c r="U1097" i="5" s="1"/>
  <c r="Z1097" i="5" s="1"/>
  <c r="X1110" i="5"/>
  <c r="U1110" i="5" s="1"/>
  <c r="Z1110" i="5" s="1"/>
  <c r="X1117" i="5"/>
  <c r="U1117" i="5" s="1"/>
  <c r="Z1117" i="5" s="1"/>
  <c r="X1131" i="5"/>
  <c r="U1131" i="5" s="1"/>
  <c r="Z1131" i="5" s="1"/>
  <c r="X1134" i="5"/>
  <c r="Z1135" i="5"/>
  <c r="X1137" i="5"/>
  <c r="U1137" i="5" s="1"/>
  <c r="Z1137" i="5" s="1"/>
  <c r="Z1140" i="5"/>
  <c r="X1142" i="5"/>
  <c r="U1142" i="5" s="1"/>
  <c r="Z1142" i="5" s="1"/>
  <c r="X1147" i="5"/>
  <c r="U1163" i="5"/>
  <c r="Z1163" i="5" s="1"/>
  <c r="X1164" i="5"/>
  <c r="U1164" i="5" s="1"/>
  <c r="Z1164" i="5" s="1"/>
  <c r="AA1178" i="5"/>
  <c r="AC1178" i="5" s="1"/>
  <c r="X1185" i="5"/>
  <c r="X1209" i="5"/>
  <c r="U1209" i="5" s="1"/>
  <c r="Z1209" i="5" s="1"/>
  <c r="Z1214" i="5"/>
  <c r="AE1214" i="5" s="1"/>
  <c r="U1214" i="5"/>
  <c r="AA1217" i="5"/>
  <c r="AC1217" i="5" s="1"/>
  <c r="Z1240" i="5"/>
  <c r="AE1240" i="5" s="1"/>
  <c r="U1240" i="5"/>
  <c r="U1249" i="5"/>
  <c r="Z1249" i="5" s="1"/>
  <c r="AA1273" i="5"/>
  <c r="AC1273" i="5" s="1"/>
  <c r="AA1275" i="5"/>
  <c r="AC1275" i="5" s="1"/>
  <c r="U1298" i="5"/>
  <c r="U1307" i="5"/>
  <c r="Z1307" i="5" s="1"/>
  <c r="U1316" i="5"/>
  <c r="U1353" i="5"/>
  <c r="Z1353" i="5" s="1"/>
  <c r="U1369" i="5"/>
  <c r="AE1379" i="5"/>
  <c r="AA1379" i="5"/>
  <c r="AC1379" i="5" s="1"/>
  <c r="AE1383" i="5"/>
  <c r="AA1383" i="5"/>
  <c r="AC1383" i="5" s="1"/>
  <c r="U1409" i="5"/>
  <c r="Z1409" i="5" s="1"/>
  <c r="U1418" i="5"/>
  <c r="Y1437" i="5"/>
  <c r="X1437" i="5"/>
  <c r="U1437" i="5" s="1"/>
  <c r="Z1437" i="5" s="1"/>
  <c r="AE1437" i="5" s="1"/>
  <c r="R1444" i="5"/>
  <c r="W1444" i="5"/>
  <c r="Y1447" i="5"/>
  <c r="X1447" i="5"/>
  <c r="Y1455" i="5"/>
  <c r="X1455" i="5"/>
  <c r="Y1461" i="5"/>
  <c r="X1461" i="5"/>
  <c r="U1461" i="5" s="1"/>
  <c r="Z1461" i="5" s="1"/>
  <c r="Y1467" i="5"/>
  <c r="X1467" i="5"/>
  <c r="Y1473" i="5"/>
  <c r="X1473" i="5"/>
  <c r="A1792" i="5"/>
  <c r="J573" i="7" s="1"/>
  <c r="X930" i="5"/>
  <c r="U930" i="5" s="1"/>
  <c r="Z930" i="5" s="1"/>
  <c r="AE930" i="5" s="1"/>
  <c r="X939" i="5"/>
  <c r="U939" i="5" s="1"/>
  <c r="Z939" i="5" s="1"/>
  <c r="AE939" i="5" s="1"/>
  <c r="X944" i="5"/>
  <c r="U944" i="5" s="1"/>
  <c r="Z944" i="5" s="1"/>
  <c r="AE944" i="5" s="1"/>
  <c r="X956" i="5"/>
  <c r="U956" i="5" s="1"/>
  <c r="Z956" i="5" s="1"/>
  <c r="AE956" i="5" s="1"/>
  <c r="X961" i="5"/>
  <c r="U961" i="5" s="1"/>
  <c r="Z961" i="5" s="1"/>
  <c r="AE961" i="5" s="1"/>
  <c r="X963" i="5"/>
  <c r="U963" i="5" s="1"/>
  <c r="Z963" i="5" s="1"/>
  <c r="AE963" i="5" s="1"/>
  <c r="X1018" i="5"/>
  <c r="U1018" i="5" s="1"/>
  <c r="Z1018" i="5" s="1"/>
  <c r="AE1018" i="5" s="1"/>
  <c r="X1083" i="5"/>
  <c r="U1083" i="5" s="1"/>
  <c r="Z1083" i="5" s="1"/>
  <c r="AE1083" i="5" s="1"/>
  <c r="X1144" i="5"/>
  <c r="U1144" i="5" s="1"/>
  <c r="Z1144" i="5" s="1"/>
  <c r="X1162" i="5"/>
  <c r="U1162" i="5" s="1"/>
  <c r="Z1162" i="5" s="1"/>
  <c r="X1167" i="5"/>
  <c r="U1167" i="5" s="1"/>
  <c r="Z1167" i="5" s="1"/>
  <c r="X1175" i="5"/>
  <c r="U1175" i="5" s="1"/>
  <c r="Z1175" i="5" s="1"/>
  <c r="T1190" i="5"/>
  <c r="X1218" i="5"/>
  <c r="U1218" i="5" s="1"/>
  <c r="Z1218" i="5" s="1"/>
  <c r="AA1231" i="5"/>
  <c r="AC1231" i="5" s="1"/>
  <c r="AA1236" i="5"/>
  <c r="AC1236" i="5" s="1"/>
  <c r="U1247" i="5"/>
  <c r="Z1247" i="5" s="1"/>
  <c r="U1248" i="5"/>
  <c r="Z1248" i="5" s="1"/>
  <c r="U1256" i="5"/>
  <c r="Z1256" i="5"/>
  <c r="U1266" i="5"/>
  <c r="Z1266" i="5" s="1"/>
  <c r="U1268" i="5"/>
  <c r="Z1268" i="5"/>
  <c r="AE1268" i="5" s="1"/>
  <c r="AE1281" i="5"/>
  <c r="AA1281" i="5"/>
  <c r="AC1281" i="5" s="1"/>
  <c r="AA1282" i="5"/>
  <c r="AC1282" i="5" s="1"/>
  <c r="AA1285" i="5"/>
  <c r="AC1285" i="5" s="1"/>
  <c r="AE1285" i="5"/>
  <c r="AE1288" i="5"/>
  <c r="AA1288" i="5"/>
  <c r="AC1288" i="5" s="1"/>
  <c r="AA1289" i="5"/>
  <c r="AC1289" i="5" s="1"/>
  <c r="U1306" i="5"/>
  <c r="AA1309" i="5"/>
  <c r="AC1309" i="5" s="1"/>
  <c r="AA1311" i="5"/>
  <c r="AC1311" i="5" s="1"/>
  <c r="Z1373" i="5"/>
  <c r="AE1373" i="5" s="1"/>
  <c r="U1373" i="5"/>
  <c r="AE1381" i="5"/>
  <c r="AA1381" i="5"/>
  <c r="AC1381" i="5" s="1"/>
  <c r="AA1382" i="5"/>
  <c r="AC1382" i="5" s="1"/>
  <c r="U1388" i="5"/>
  <c r="Z1388" i="5" s="1"/>
  <c r="R1442" i="5"/>
  <c r="W1442" i="5"/>
  <c r="Y1445" i="5"/>
  <c r="X1445" i="5"/>
  <c r="U1445" i="5" s="1"/>
  <c r="Z1445" i="5" s="1"/>
  <c r="X1096" i="5"/>
  <c r="U1096" i="5" s="1"/>
  <c r="Z1096" i="5" s="1"/>
  <c r="X1102" i="5"/>
  <c r="U1102" i="5" s="1"/>
  <c r="Z1102" i="5" s="1"/>
  <c r="X1106" i="5"/>
  <c r="X1116" i="5"/>
  <c r="U1116" i="5" s="1"/>
  <c r="Z1116" i="5" s="1"/>
  <c r="X1126" i="5"/>
  <c r="U1126" i="5" s="1"/>
  <c r="Z1126" i="5" s="1"/>
  <c r="X1133" i="5"/>
  <c r="Z1134" i="5"/>
  <c r="AE1134" i="5" s="1"/>
  <c r="X1136" i="5"/>
  <c r="U1136" i="5" s="1"/>
  <c r="Z1136" i="5" s="1"/>
  <c r="X1141" i="5"/>
  <c r="U1141" i="5" s="1"/>
  <c r="Z1141" i="5" s="1"/>
  <c r="AA1169" i="5"/>
  <c r="AC1169" i="5" s="1"/>
  <c r="X1170" i="5"/>
  <c r="U1170" i="5" s="1"/>
  <c r="Z1170" i="5" s="1"/>
  <c r="X1172" i="5"/>
  <c r="U1172" i="5" s="1"/>
  <c r="Z1172" i="5" s="1"/>
  <c r="X1177" i="5"/>
  <c r="X1197" i="5"/>
  <c r="U1197" i="5" s="1"/>
  <c r="Z1197" i="5" s="1"/>
  <c r="Z1205" i="5"/>
  <c r="AE1205" i="5" s="1"/>
  <c r="X1215" i="5"/>
  <c r="U1215" i="5" s="1"/>
  <c r="Z1215" i="5" s="1"/>
  <c r="Z1225" i="5"/>
  <c r="AE1225" i="5" s="1"/>
  <c r="U1225" i="5"/>
  <c r="U1235" i="5"/>
  <c r="Z1235" i="5" s="1"/>
  <c r="U1237" i="5"/>
  <c r="Z1244" i="5"/>
  <c r="U1259" i="5"/>
  <c r="Z1259" i="5"/>
  <c r="AE1283" i="5"/>
  <c r="AA1283" i="5"/>
  <c r="AC1283" i="5" s="1"/>
  <c r="AE1290" i="5"/>
  <c r="AA1290" i="5"/>
  <c r="AC1290" i="5" s="1"/>
  <c r="U1312" i="5"/>
  <c r="Z1312" i="5" s="1"/>
  <c r="U1338" i="5"/>
  <c r="Z1338" i="5"/>
  <c r="AA1339" i="5"/>
  <c r="AC1339" i="5" s="1"/>
  <c r="U1351" i="5"/>
  <c r="Z1351" i="5" s="1"/>
  <c r="U1352" i="5"/>
  <c r="U1359" i="5"/>
  <c r="AA1375" i="5"/>
  <c r="AC1375" i="5" s="1"/>
  <c r="U1382" i="5"/>
  <c r="U1403" i="5"/>
  <c r="Z1403" i="5"/>
  <c r="Z1412" i="5"/>
  <c r="AE1412" i="5" s="1"/>
  <c r="U1412" i="5"/>
  <c r="Z1415" i="5"/>
  <c r="U1416" i="5"/>
  <c r="Z1416" i="5" s="1"/>
  <c r="AA1417" i="5"/>
  <c r="AC1417" i="5" s="1"/>
  <c r="R1440" i="5"/>
  <c r="W1440" i="5"/>
  <c r="Y1443" i="5"/>
  <c r="X1443" i="5"/>
  <c r="U1443" i="5" s="1"/>
  <c r="Z1443" i="5" s="1"/>
  <c r="Y1453" i="5"/>
  <c r="X1453" i="5"/>
  <c r="Y1459" i="5"/>
  <c r="X1459" i="5"/>
  <c r="Y1465" i="5"/>
  <c r="X1465" i="5"/>
  <c r="Y1471" i="5"/>
  <c r="X1471" i="5"/>
  <c r="U1471" i="5" s="1"/>
  <c r="Z1471" i="5" s="1"/>
  <c r="Y1477" i="5"/>
  <c r="Z1477" i="5" s="1"/>
  <c r="X1477" i="5"/>
  <c r="X1040" i="5"/>
  <c r="Z1041" i="5"/>
  <c r="AE1041" i="5" s="1"/>
  <c r="X1043" i="5"/>
  <c r="U1043" i="5" s="1"/>
  <c r="Z1043" i="5" s="1"/>
  <c r="X1047" i="5"/>
  <c r="U1047" i="5" s="1"/>
  <c r="Z1047" i="5" s="1"/>
  <c r="Z1048" i="5"/>
  <c r="AE1048" i="5" s="1"/>
  <c r="X1051" i="5"/>
  <c r="U1051" i="5" s="1"/>
  <c r="Z1051" i="5" s="1"/>
  <c r="X1054" i="5"/>
  <c r="U1054" i="5" s="1"/>
  <c r="Z1054" i="5" s="1"/>
  <c r="Z1055" i="5"/>
  <c r="AE1055" i="5" s="1"/>
  <c r="X1057" i="5"/>
  <c r="U1057" i="5" s="1"/>
  <c r="Z1057" i="5" s="1"/>
  <c r="X1060" i="5"/>
  <c r="U1060" i="5" s="1"/>
  <c r="Z1060" i="5" s="1"/>
  <c r="X1063" i="5"/>
  <c r="Z1064" i="5"/>
  <c r="AE1064" i="5" s="1"/>
  <c r="X1073" i="5"/>
  <c r="U1073" i="5" s="1"/>
  <c r="Z1073" i="5" s="1"/>
  <c r="Z1074" i="5"/>
  <c r="AE1074" i="5" s="1"/>
  <c r="Z1078" i="5"/>
  <c r="AE1078" i="5" s="1"/>
  <c r="X1080" i="5"/>
  <c r="U1080" i="5" s="1"/>
  <c r="Z1080" i="5" s="1"/>
  <c r="Z1081" i="5"/>
  <c r="AE1081" i="5" s="1"/>
  <c r="X1085" i="5"/>
  <c r="Z1086" i="5"/>
  <c r="AE1086" i="5" s="1"/>
  <c r="Z1090" i="5"/>
  <c r="AE1090" i="5" s="1"/>
  <c r="X1092" i="5"/>
  <c r="Z1093" i="5"/>
  <c r="AE1093" i="5" s="1"/>
  <c r="C269" i="8"/>
  <c r="AF1792" i="5"/>
  <c r="AF1795" i="5" s="1"/>
  <c r="X1138" i="5"/>
  <c r="U1138" i="5" s="1"/>
  <c r="Z1138" i="5" s="1"/>
  <c r="AC1155" i="5"/>
  <c r="T1157" i="5"/>
  <c r="X1163" i="5"/>
  <c r="X1184" i="5"/>
  <c r="U1184" i="5" s="1"/>
  <c r="Z1184" i="5" s="1"/>
  <c r="X1193" i="5"/>
  <c r="U1193" i="5" s="1"/>
  <c r="Z1193" i="5" s="1"/>
  <c r="X1200" i="5"/>
  <c r="U1200" i="5" s="1"/>
  <c r="Z1200" i="5" s="1"/>
  <c r="Y1206" i="5"/>
  <c r="Z1206" i="5" s="1"/>
  <c r="T1207" i="5"/>
  <c r="X1221" i="5"/>
  <c r="U1221" i="5" s="1"/>
  <c r="Z1221" i="5" s="1"/>
  <c r="AA1227" i="5"/>
  <c r="AC1227" i="5" s="1"/>
  <c r="AA1233" i="5"/>
  <c r="AC1233" i="5" s="1"/>
  <c r="Z1251" i="5"/>
  <c r="AE1251" i="5" s="1"/>
  <c r="Z1253" i="5"/>
  <c r="AE1253" i="5" s="1"/>
  <c r="U1258" i="5"/>
  <c r="AA1261" i="5"/>
  <c r="AC1261" i="5" s="1"/>
  <c r="U1264" i="5"/>
  <c r="Z1264" i="5" s="1"/>
  <c r="U1269" i="5"/>
  <c r="Z1269" i="5"/>
  <c r="U1271" i="5"/>
  <c r="Z1271" i="5" s="1"/>
  <c r="Z1274" i="5"/>
  <c r="Z1276" i="5"/>
  <c r="U1277" i="5"/>
  <c r="Z1277" i="5" s="1"/>
  <c r="U1284" i="5"/>
  <c r="AE1292" i="5"/>
  <c r="AA1292" i="5"/>
  <c r="AC1292" i="5" s="1"/>
  <c r="AA1293" i="5"/>
  <c r="AC1293" i="5" s="1"/>
  <c r="Z1300" i="5"/>
  <c r="AE1300" i="5" s="1"/>
  <c r="Z1302" i="5"/>
  <c r="AE1302" i="5" s="1"/>
  <c r="AA1305" i="5"/>
  <c r="AC1305" i="5" s="1"/>
  <c r="Z1309" i="5"/>
  <c r="AE1309" i="5" s="1"/>
  <c r="Z1311" i="5"/>
  <c r="AE1311" i="5" s="1"/>
  <c r="Z1318" i="5"/>
  <c r="AE1318" i="5" s="1"/>
  <c r="Z1320" i="5"/>
  <c r="AE1320" i="5" s="1"/>
  <c r="Z1322" i="5"/>
  <c r="AE1322" i="5" s="1"/>
  <c r="AA1325" i="5"/>
  <c r="AC1325" i="5" s="1"/>
  <c r="AA1331" i="5"/>
  <c r="AC1331" i="5" s="1"/>
  <c r="AE1334" i="5"/>
  <c r="AA1334" i="5"/>
  <c r="AC1334" i="5" s="1"/>
  <c r="AA1335" i="5"/>
  <c r="AC1335" i="5" s="1"/>
  <c r="AA1337" i="5"/>
  <c r="AC1337" i="5" s="1"/>
  <c r="U1364" i="5"/>
  <c r="Z1364" i="5"/>
  <c r="U1376" i="5"/>
  <c r="Z1376" i="5" s="1"/>
  <c r="AA1377" i="5"/>
  <c r="AC1377" i="5" s="1"/>
  <c r="AA1384" i="5"/>
  <c r="AC1384" i="5" s="1"/>
  <c r="AE1385" i="5"/>
  <c r="AA1385" i="5"/>
  <c r="AC1385" i="5" s="1"/>
  <c r="U1393" i="5"/>
  <c r="Z1393" i="5"/>
  <c r="AE1393" i="5" s="1"/>
  <c r="AA1394" i="5"/>
  <c r="AC1394" i="5" s="1"/>
  <c r="AA1399" i="5"/>
  <c r="AC1399" i="5" s="1"/>
  <c r="U1408" i="5"/>
  <c r="Z1408" i="5" s="1"/>
  <c r="U1421" i="5"/>
  <c r="Z1421" i="5" s="1"/>
  <c r="U1422" i="5"/>
  <c r="Z1422" i="5" s="1"/>
  <c r="R1438" i="5"/>
  <c r="W1438" i="5"/>
  <c r="Y1441" i="5"/>
  <c r="X1441" i="5"/>
  <c r="R1450" i="5"/>
  <c r="W1450" i="5"/>
  <c r="X1159" i="5"/>
  <c r="U1159" i="5" s="1"/>
  <c r="Z1159" i="5" s="1"/>
  <c r="Z1166" i="5"/>
  <c r="AE1166" i="5" s="1"/>
  <c r="X1180" i="5"/>
  <c r="U1180" i="5" s="1"/>
  <c r="Z1180" i="5" s="1"/>
  <c r="X1186" i="5"/>
  <c r="U1186" i="5" s="1"/>
  <c r="Z1186" i="5" s="1"/>
  <c r="U1202" i="5"/>
  <c r="Z1202" i="5" s="1"/>
  <c r="U1208" i="5"/>
  <c r="Z1208" i="5" s="1"/>
  <c r="AA1220" i="5"/>
  <c r="AC1220" i="5" s="1"/>
  <c r="Y1226" i="5"/>
  <c r="X1226" i="5"/>
  <c r="U1226" i="5" s="1"/>
  <c r="Z1231" i="5"/>
  <c r="AE1231" i="5" s="1"/>
  <c r="Z1242" i="5"/>
  <c r="AE1242" i="5" s="1"/>
  <c r="Z1272" i="5"/>
  <c r="AE1272" i="5" s="1"/>
  <c r="Z1294" i="5"/>
  <c r="U1336" i="5"/>
  <c r="Z1336" i="5"/>
  <c r="Z1341" i="5"/>
  <c r="AE1341" i="5" s="1"/>
  <c r="Z1343" i="5"/>
  <c r="AA1344" i="5"/>
  <c r="AC1344" i="5" s="1"/>
  <c r="Z1354" i="5"/>
  <c r="AE1354" i="5" s="1"/>
  <c r="Z1356" i="5"/>
  <c r="AE1356" i="5" s="1"/>
  <c r="U1367" i="5"/>
  <c r="Z1367" i="5"/>
  <c r="AA1371" i="5"/>
  <c r="AC1371" i="5" s="1"/>
  <c r="U1394" i="5"/>
  <c r="U1406" i="5"/>
  <c r="Z1406" i="5" s="1"/>
  <c r="U1407" i="5"/>
  <c r="Z1407" i="5" s="1"/>
  <c r="U1425" i="5"/>
  <c r="Z1425" i="5" s="1"/>
  <c r="Y1439" i="5"/>
  <c r="X1439" i="5"/>
  <c r="U1439" i="5" s="1"/>
  <c r="Z1439" i="5" s="1"/>
  <c r="R1448" i="5"/>
  <c r="W1448" i="5"/>
  <c r="Y1451" i="5"/>
  <c r="X1451" i="5"/>
  <c r="U1451" i="5" s="1"/>
  <c r="Z1451" i="5" s="1"/>
  <c r="Y1457" i="5"/>
  <c r="X1457" i="5"/>
  <c r="Y1463" i="5"/>
  <c r="X1463" i="5"/>
  <c r="Y1469" i="5"/>
  <c r="X1469" i="5"/>
  <c r="U1469" i="5" s="1"/>
  <c r="Z1469" i="5" s="1"/>
  <c r="Y1475" i="5"/>
  <c r="X1475" i="5"/>
  <c r="Y1210" i="5"/>
  <c r="Y1213" i="5"/>
  <c r="Y1219" i="5"/>
  <c r="Z1219" i="5" s="1"/>
  <c r="X1228" i="5"/>
  <c r="U1228" i="5" s="1"/>
  <c r="Z1228" i="5" s="1"/>
  <c r="X1230" i="5"/>
  <c r="U1230" i="5" s="1"/>
  <c r="Z1230" i="5" s="1"/>
  <c r="X1232" i="5"/>
  <c r="U1232" i="5" s="1"/>
  <c r="Z1232" i="5" s="1"/>
  <c r="X1234" i="5"/>
  <c r="U1234" i="5" s="1"/>
  <c r="Z1234" i="5" s="1"/>
  <c r="Y1237" i="5"/>
  <c r="Z1237" i="5" s="1"/>
  <c r="X1241" i="5"/>
  <c r="U1241" i="5" s="1"/>
  <c r="Z1241" i="5" s="1"/>
  <c r="Y1246" i="5"/>
  <c r="Y1249" i="5"/>
  <c r="Y1256" i="5"/>
  <c r="Y1259" i="5"/>
  <c r="Y1264" i="5"/>
  <c r="X1278" i="5"/>
  <c r="U1278" i="5" s="1"/>
  <c r="Z1278" i="5" s="1"/>
  <c r="Y1298" i="5"/>
  <c r="Z1298" i="5" s="1"/>
  <c r="X1304" i="5"/>
  <c r="U1304" i="5" s="1"/>
  <c r="Z1304" i="5" s="1"/>
  <c r="Y1307" i="5"/>
  <c r="X1313" i="5"/>
  <c r="U1313" i="5" s="1"/>
  <c r="Z1313" i="5" s="1"/>
  <c r="Y1316" i="5"/>
  <c r="Z1316" i="5" s="1"/>
  <c r="X1324" i="5"/>
  <c r="U1324" i="5" s="1"/>
  <c r="Z1324" i="5" s="1"/>
  <c r="X1326" i="5"/>
  <c r="U1326" i="5" s="1"/>
  <c r="Z1326" i="5" s="1"/>
  <c r="Y1336" i="5"/>
  <c r="X1340" i="5"/>
  <c r="U1340" i="5" s="1"/>
  <c r="Z1340" i="5" s="1"/>
  <c r="Y1345" i="5"/>
  <c r="X1347" i="5"/>
  <c r="U1347" i="5" s="1"/>
  <c r="Z1347" i="5" s="1"/>
  <c r="Y1359" i="5"/>
  <c r="Z1359" i="5" s="1"/>
  <c r="Y1364" i="5"/>
  <c r="Y1367" i="5"/>
  <c r="Y1370" i="5"/>
  <c r="X1374" i="5"/>
  <c r="U1374" i="5" s="1"/>
  <c r="Z1374" i="5" s="1"/>
  <c r="Y1388" i="5"/>
  <c r="X1405" i="5"/>
  <c r="U1405" i="5" s="1"/>
  <c r="Z1405" i="5" s="1"/>
  <c r="X1411" i="5"/>
  <c r="U1411" i="5" s="1"/>
  <c r="Z1411" i="5" s="1"/>
  <c r="X1423" i="5"/>
  <c r="U1423" i="5" s="1"/>
  <c r="T1426" i="5"/>
  <c r="U1441" i="5"/>
  <c r="Z1441" i="5" s="1"/>
  <c r="AE1441" i="5" s="1"/>
  <c r="U1447" i="5"/>
  <c r="U1449" i="5"/>
  <c r="Z1449" i="5" s="1"/>
  <c r="AE1449" i="5" s="1"/>
  <c r="U1453" i="5"/>
  <c r="Z1453" i="5" s="1"/>
  <c r="AE1453" i="5" s="1"/>
  <c r="U1455" i="5"/>
  <c r="U1457" i="5"/>
  <c r="U1459" i="5"/>
  <c r="U1463" i="5"/>
  <c r="U1465" i="5"/>
  <c r="Z1465" i="5" s="1"/>
  <c r="AE1465" i="5" s="1"/>
  <c r="U1467" i="5"/>
  <c r="U1473" i="5"/>
  <c r="U1475" i="5"/>
  <c r="Z1475" i="5" s="1"/>
  <c r="P1476" i="5"/>
  <c r="R1479" i="5"/>
  <c r="X1481" i="5"/>
  <c r="S1486" i="5"/>
  <c r="Z1487" i="5"/>
  <c r="AE1487" i="5" s="1"/>
  <c r="Y1489" i="5"/>
  <c r="R1493" i="5"/>
  <c r="Q1496" i="5"/>
  <c r="V1496" i="5" s="1"/>
  <c r="P1496" i="5"/>
  <c r="R1497" i="5"/>
  <c r="Q1500" i="5"/>
  <c r="V1500" i="5" s="1"/>
  <c r="P1500" i="5"/>
  <c r="R1501" i="5"/>
  <c r="Q1504" i="5"/>
  <c r="V1504" i="5" s="1"/>
  <c r="P1504" i="5"/>
  <c r="R1505" i="5"/>
  <c r="Q1508" i="5"/>
  <c r="V1508" i="5" s="1"/>
  <c r="P1508" i="5"/>
  <c r="R1509" i="5"/>
  <c r="Q1512" i="5"/>
  <c r="V1512" i="5" s="1"/>
  <c r="P1512" i="5"/>
  <c r="R1513" i="5"/>
  <c r="Q1516" i="5"/>
  <c r="V1516" i="5" s="1"/>
  <c r="P1516" i="5"/>
  <c r="R1517" i="5"/>
  <c r="R1522" i="5"/>
  <c r="W1530" i="5"/>
  <c r="R1565" i="5"/>
  <c r="W1565" i="5"/>
  <c r="W1604" i="5"/>
  <c r="AE1611" i="5"/>
  <c r="AA1611" i="5"/>
  <c r="AC1611" i="5" s="1"/>
  <c r="W1628" i="5"/>
  <c r="AE1635" i="5"/>
  <c r="AA1635" i="5"/>
  <c r="AC1635" i="5" s="1"/>
  <c r="X1243" i="5"/>
  <c r="X1248" i="5"/>
  <c r="X1255" i="5"/>
  <c r="U1255" i="5" s="1"/>
  <c r="Z1255" i="5" s="1"/>
  <c r="X1258" i="5"/>
  <c r="X1263" i="5"/>
  <c r="U1263" i="5" s="1"/>
  <c r="Z1263" i="5" s="1"/>
  <c r="X1280" i="5"/>
  <c r="U1280" i="5" s="1"/>
  <c r="Z1280" i="5" s="1"/>
  <c r="X1306" i="5"/>
  <c r="X1333" i="5"/>
  <c r="U1333" i="5" s="1"/>
  <c r="Z1333" i="5" s="1"/>
  <c r="X1342" i="5"/>
  <c r="U1342" i="5" s="1"/>
  <c r="Z1342" i="5" s="1"/>
  <c r="X1353" i="5"/>
  <c r="X1358" i="5"/>
  <c r="U1358" i="5" s="1"/>
  <c r="Z1358" i="5" s="1"/>
  <c r="X1363" i="5"/>
  <c r="U1363" i="5" s="1"/>
  <c r="Z1363" i="5" s="1"/>
  <c r="X1366" i="5"/>
  <c r="U1366" i="5" s="1"/>
  <c r="Z1366" i="5" s="1"/>
  <c r="X1369" i="5"/>
  <c r="X1378" i="5"/>
  <c r="U1378" i="5" s="1"/>
  <c r="Z1378" i="5" s="1"/>
  <c r="AA1393" i="5"/>
  <c r="AC1393" i="5" s="1"/>
  <c r="X1407" i="5"/>
  <c r="X1413" i="5"/>
  <c r="U1413" i="5" s="1"/>
  <c r="Z1413" i="5" s="1"/>
  <c r="X1418" i="5"/>
  <c r="V1439" i="5"/>
  <c r="V1441" i="5"/>
  <c r="V1443" i="5"/>
  <c r="V1445" i="5"/>
  <c r="V1447" i="5"/>
  <c r="V1449" i="5"/>
  <c r="V1451" i="5"/>
  <c r="V1453" i="5"/>
  <c r="V1455" i="5"/>
  <c r="V1457" i="5"/>
  <c r="V1459" i="5"/>
  <c r="V1461" i="5"/>
  <c r="V1463" i="5"/>
  <c r="V1465" i="5"/>
  <c r="V1467" i="5"/>
  <c r="V1469" i="5"/>
  <c r="V1471" i="5"/>
  <c r="V1473" i="5"/>
  <c r="V1475" i="5"/>
  <c r="W1478" i="5"/>
  <c r="R1478" i="5"/>
  <c r="W1490" i="5"/>
  <c r="R1490" i="5"/>
  <c r="X1495" i="5"/>
  <c r="U1495" i="5" s="1"/>
  <c r="Z1495" i="5" s="1"/>
  <c r="X1499" i="5"/>
  <c r="X1503" i="5"/>
  <c r="U1503" i="5" s="1"/>
  <c r="Z1503" i="5" s="1"/>
  <c r="X1507" i="5"/>
  <c r="U1507" i="5" s="1"/>
  <c r="Z1507" i="5" s="1"/>
  <c r="X1511" i="5"/>
  <c r="X1515" i="5"/>
  <c r="U1515" i="5" s="1"/>
  <c r="Z1515" i="5" s="1"/>
  <c r="X1519" i="5"/>
  <c r="U1519" i="5" s="1"/>
  <c r="Z1519" i="5" s="1"/>
  <c r="W1532" i="5"/>
  <c r="X1559" i="5"/>
  <c r="U1559" i="5" s="1"/>
  <c r="Z1559" i="5" s="1"/>
  <c r="Y1559" i="5"/>
  <c r="X1250" i="5"/>
  <c r="U1250" i="5" s="1"/>
  <c r="Z1250" i="5" s="1"/>
  <c r="AE1250" i="5" s="1"/>
  <c r="X1252" i="5"/>
  <c r="U1252" i="5" s="1"/>
  <c r="Z1252" i="5" s="1"/>
  <c r="AE1252" i="5" s="1"/>
  <c r="X1260" i="5"/>
  <c r="U1260" i="5" s="1"/>
  <c r="Z1260" i="5" s="1"/>
  <c r="AE1260" i="5" s="1"/>
  <c r="X1265" i="5"/>
  <c r="U1265" i="5" s="1"/>
  <c r="Z1265" i="5" s="1"/>
  <c r="AE1265" i="5" s="1"/>
  <c r="X1273" i="5"/>
  <c r="U1273" i="5" s="1"/>
  <c r="Z1273" i="5" s="1"/>
  <c r="AE1273" i="5" s="1"/>
  <c r="X1275" i="5"/>
  <c r="U1275" i="5" s="1"/>
  <c r="Z1275" i="5" s="1"/>
  <c r="AE1275" i="5" s="1"/>
  <c r="X1299" i="5"/>
  <c r="U1299" i="5" s="1"/>
  <c r="Z1299" i="5" s="1"/>
  <c r="AE1299" i="5" s="1"/>
  <c r="X1301" i="5"/>
  <c r="U1301" i="5" s="1"/>
  <c r="Z1301" i="5" s="1"/>
  <c r="AE1301" i="5" s="1"/>
  <c r="X1308" i="5"/>
  <c r="U1308" i="5" s="1"/>
  <c r="Z1308" i="5" s="1"/>
  <c r="AE1308" i="5" s="1"/>
  <c r="X1310" i="5"/>
  <c r="U1310" i="5" s="1"/>
  <c r="Z1310" i="5" s="1"/>
  <c r="AE1310" i="5" s="1"/>
  <c r="X1317" i="5"/>
  <c r="U1317" i="5" s="1"/>
  <c r="Z1317" i="5" s="1"/>
  <c r="AE1317" i="5" s="1"/>
  <c r="X1319" i="5"/>
  <c r="U1319" i="5" s="1"/>
  <c r="Z1319" i="5" s="1"/>
  <c r="AE1319" i="5" s="1"/>
  <c r="X1321" i="5"/>
  <c r="U1321" i="5" s="1"/>
  <c r="Z1321" i="5" s="1"/>
  <c r="AE1321" i="5" s="1"/>
  <c r="X1337" i="5"/>
  <c r="U1337" i="5" s="1"/>
  <c r="Z1337" i="5" s="1"/>
  <c r="AE1337" i="5" s="1"/>
  <c r="X1355" i="5"/>
  <c r="U1355" i="5" s="1"/>
  <c r="Z1355" i="5" s="1"/>
  <c r="AE1355" i="5" s="1"/>
  <c r="X1360" i="5"/>
  <c r="U1360" i="5" s="1"/>
  <c r="Z1360" i="5" s="1"/>
  <c r="AE1360" i="5" s="1"/>
  <c r="X1371" i="5"/>
  <c r="U1371" i="5" s="1"/>
  <c r="Z1371" i="5" s="1"/>
  <c r="AE1371" i="5" s="1"/>
  <c r="Z1386" i="5"/>
  <c r="X1387" i="5"/>
  <c r="T1390" i="5"/>
  <c r="Z1395" i="5"/>
  <c r="T1414" i="5"/>
  <c r="Z1430" i="5"/>
  <c r="P1434" i="5"/>
  <c r="P1435" i="5"/>
  <c r="W1437" i="5"/>
  <c r="P1452" i="5"/>
  <c r="P1454" i="5"/>
  <c r="P1456" i="5"/>
  <c r="P1458" i="5"/>
  <c r="P1460" i="5"/>
  <c r="P1462" i="5"/>
  <c r="P1464" i="5"/>
  <c r="P1466" i="5"/>
  <c r="P1468" i="5"/>
  <c r="P1470" i="5"/>
  <c r="P1472" i="5"/>
  <c r="P1474" i="5"/>
  <c r="P1480" i="5"/>
  <c r="R1483" i="5"/>
  <c r="X1485" i="5"/>
  <c r="S1521" i="5"/>
  <c r="P1521" i="5"/>
  <c r="W1534" i="5"/>
  <c r="R1551" i="5"/>
  <c r="W1551" i="5"/>
  <c r="Y1555" i="5"/>
  <c r="X1555" i="5"/>
  <c r="U1555" i="5" s="1"/>
  <c r="X1240" i="5"/>
  <c r="Z1243" i="5"/>
  <c r="X1247" i="5"/>
  <c r="X1254" i="5"/>
  <c r="U1254" i="5" s="1"/>
  <c r="Z1254" i="5" s="1"/>
  <c r="X1257" i="5"/>
  <c r="U1257" i="5" s="1"/>
  <c r="Z1257" i="5" s="1"/>
  <c r="Z1258" i="5"/>
  <c r="X1262" i="5"/>
  <c r="U1262" i="5" s="1"/>
  <c r="Z1262" i="5" s="1"/>
  <c r="X1277" i="5"/>
  <c r="X1303" i="5"/>
  <c r="U1303" i="5" s="1"/>
  <c r="Z1303" i="5" s="1"/>
  <c r="Z1306" i="5"/>
  <c r="X1312" i="5"/>
  <c r="X1323" i="5"/>
  <c r="U1323" i="5" s="1"/>
  <c r="Z1323" i="5" s="1"/>
  <c r="X1332" i="5"/>
  <c r="U1332" i="5" s="1"/>
  <c r="Z1332" i="5" s="1"/>
  <c r="X1346" i="5"/>
  <c r="U1346" i="5" s="1"/>
  <c r="Z1346" i="5" s="1"/>
  <c r="X1357" i="5"/>
  <c r="U1357" i="5" s="1"/>
  <c r="Z1357" i="5" s="1"/>
  <c r="X1362" i="5"/>
  <c r="U1362" i="5" s="1"/>
  <c r="Z1362" i="5" s="1"/>
  <c r="X1365" i="5"/>
  <c r="U1365" i="5" s="1"/>
  <c r="Z1365" i="5" s="1"/>
  <c r="X1368" i="5"/>
  <c r="U1368" i="5" s="1"/>
  <c r="Z1368" i="5" s="1"/>
  <c r="Z1369" i="5"/>
  <c r="X1373" i="5"/>
  <c r="X1392" i="5"/>
  <c r="U1392" i="5" s="1"/>
  <c r="Z1392" i="5" s="1"/>
  <c r="X1406" i="5"/>
  <c r="X1412" i="5"/>
  <c r="Z1417" i="5"/>
  <c r="AE1417" i="5" s="1"/>
  <c r="Z1418" i="5"/>
  <c r="X1424" i="5"/>
  <c r="U1424" i="5" s="1"/>
  <c r="Z1424" i="5" s="1"/>
  <c r="X1433" i="5"/>
  <c r="U1433" i="5" s="1"/>
  <c r="W1477" i="5"/>
  <c r="W1482" i="5"/>
  <c r="R1482" i="5"/>
  <c r="Q1494" i="5"/>
  <c r="V1494" i="5" s="1"/>
  <c r="P1494" i="5"/>
  <c r="Q1498" i="5"/>
  <c r="V1498" i="5" s="1"/>
  <c r="P1498" i="5"/>
  <c r="Q1502" i="5"/>
  <c r="V1502" i="5" s="1"/>
  <c r="P1502" i="5"/>
  <c r="Q1506" i="5"/>
  <c r="V1506" i="5" s="1"/>
  <c r="P1506" i="5"/>
  <c r="Q1510" i="5"/>
  <c r="V1510" i="5" s="1"/>
  <c r="P1510" i="5"/>
  <c r="Q1514" i="5"/>
  <c r="V1514" i="5" s="1"/>
  <c r="P1514" i="5"/>
  <c r="Q1518" i="5"/>
  <c r="V1518" i="5" s="1"/>
  <c r="P1518" i="5"/>
  <c r="R1528" i="5"/>
  <c r="W1528" i="5"/>
  <c r="R1536" i="5"/>
  <c r="W1536" i="5"/>
  <c r="R1553" i="5"/>
  <c r="W1553" i="5"/>
  <c r="W1616" i="5"/>
  <c r="AE1623" i="5"/>
  <c r="AA1623" i="5"/>
  <c r="AC1623" i="5" s="1"/>
  <c r="X1235" i="5"/>
  <c r="X1267" i="5"/>
  <c r="U1267" i="5" s="1"/>
  <c r="Z1267" i="5" s="1"/>
  <c r="X1270" i="5"/>
  <c r="U1270" i="5" s="1"/>
  <c r="Z1270" i="5" s="1"/>
  <c r="Z1284" i="5"/>
  <c r="AE1284" i="5" s="1"/>
  <c r="X1286" i="5"/>
  <c r="U1286" i="5" s="1"/>
  <c r="Z1286" i="5" s="1"/>
  <c r="X1314" i="5"/>
  <c r="U1314" i="5" s="1"/>
  <c r="Z1314" i="5" s="1"/>
  <c r="X1327" i="5"/>
  <c r="U1327" i="5" s="1"/>
  <c r="Z1327" i="5" s="1"/>
  <c r="Z1330" i="5"/>
  <c r="AE1330" i="5" s="1"/>
  <c r="X1348" i="5"/>
  <c r="Z1349" i="5"/>
  <c r="AE1349" i="5" s="1"/>
  <c r="X1351" i="5"/>
  <c r="Z1352" i="5"/>
  <c r="AE1352" i="5" s="1"/>
  <c r="Z1382" i="5"/>
  <c r="AE1382" i="5" s="1"/>
  <c r="Z1394" i="5"/>
  <c r="AE1394" i="5" s="1"/>
  <c r="X1404" i="5"/>
  <c r="X1410" i="5"/>
  <c r="U1410" i="5" s="1"/>
  <c r="Z1410" i="5" s="1"/>
  <c r="Z1420" i="5"/>
  <c r="AE1420" i="5" s="1"/>
  <c r="X1427" i="5"/>
  <c r="R1436" i="5"/>
  <c r="P1484" i="5"/>
  <c r="P1488" i="5"/>
  <c r="P1492" i="5"/>
  <c r="S1494" i="5"/>
  <c r="S1498" i="5"/>
  <c r="S1502" i="5"/>
  <c r="S1506" i="5"/>
  <c r="S1510" i="5"/>
  <c r="S1514" i="5"/>
  <c r="S1518" i="5"/>
  <c r="R1526" i="5"/>
  <c r="W1526" i="5"/>
  <c r="R1538" i="5"/>
  <c r="W1538" i="5"/>
  <c r="X1547" i="5"/>
  <c r="U1547" i="5" s="1"/>
  <c r="Z1547" i="5" s="1"/>
  <c r="Y1547" i="5"/>
  <c r="X1571" i="5"/>
  <c r="U1571" i="5" s="1"/>
  <c r="Y1571" i="5"/>
  <c r="U1387" i="5"/>
  <c r="Z1387" i="5" s="1"/>
  <c r="X1397" i="5"/>
  <c r="U1397" i="5" s="1"/>
  <c r="Z1397" i="5" s="1"/>
  <c r="AA1402" i="5"/>
  <c r="AC1402" i="5" s="1"/>
  <c r="Z1423" i="5"/>
  <c r="AE1423" i="5" s="1"/>
  <c r="Z1433" i="5"/>
  <c r="AE1433" i="5" s="1"/>
  <c r="S1436" i="5"/>
  <c r="AA1449" i="5"/>
  <c r="AC1449" i="5" s="1"/>
  <c r="S1484" i="5"/>
  <c r="P1486" i="5"/>
  <c r="AA1487" i="5"/>
  <c r="AC1487" i="5" s="1"/>
  <c r="S1488" i="5"/>
  <c r="S1492" i="5"/>
  <c r="R1524" i="5"/>
  <c r="W1524" i="5"/>
  <c r="W1540" i="5"/>
  <c r="W1542" i="5"/>
  <c r="W1544" i="5"/>
  <c r="R1563" i="5"/>
  <c r="W1563" i="5"/>
  <c r="Y1567" i="5"/>
  <c r="X1567" i="5"/>
  <c r="U1567" i="5" s="1"/>
  <c r="Y1584" i="5"/>
  <c r="X1584" i="5"/>
  <c r="U1584" i="5" s="1"/>
  <c r="Z1584" i="5" s="1"/>
  <c r="U1477" i="5"/>
  <c r="U1481" i="5"/>
  <c r="Z1481" i="5" s="1"/>
  <c r="U1485" i="5"/>
  <c r="Z1485" i="5" s="1"/>
  <c r="U1487" i="5"/>
  <c r="U1489" i="5"/>
  <c r="Z1489" i="5" s="1"/>
  <c r="U1491" i="5"/>
  <c r="Z1491" i="5" s="1"/>
  <c r="U1499" i="5"/>
  <c r="Z1499" i="5" s="1"/>
  <c r="U1511" i="5"/>
  <c r="Z1511" i="5" s="1"/>
  <c r="Q1520" i="5"/>
  <c r="Q1522" i="5"/>
  <c r="V1522" i="5" s="1"/>
  <c r="Q1524" i="5"/>
  <c r="V1524" i="5" s="1"/>
  <c r="Q1526" i="5"/>
  <c r="V1526" i="5" s="1"/>
  <c r="Q1528" i="5"/>
  <c r="V1528" i="5" s="1"/>
  <c r="Q1530" i="5"/>
  <c r="V1530" i="5" s="1"/>
  <c r="Q1532" i="5"/>
  <c r="V1532" i="5" s="1"/>
  <c r="Q1534" i="5"/>
  <c r="V1534" i="5" s="1"/>
  <c r="Q1536" i="5"/>
  <c r="V1536" i="5" s="1"/>
  <c r="Q1538" i="5"/>
  <c r="V1538" i="5" s="1"/>
  <c r="Q1540" i="5"/>
  <c r="V1540" i="5" s="1"/>
  <c r="Q1542" i="5"/>
  <c r="V1542" i="5" s="1"/>
  <c r="Q1544" i="5"/>
  <c r="V1544" i="5" s="1"/>
  <c r="S1548" i="5"/>
  <c r="Q1551" i="5"/>
  <c r="V1551" i="5" s="1"/>
  <c r="P1552" i="5"/>
  <c r="S1560" i="5"/>
  <c r="Q1563" i="5"/>
  <c r="V1563" i="5" s="1"/>
  <c r="P1564" i="5"/>
  <c r="S1572" i="5"/>
  <c r="P1575" i="5"/>
  <c r="P1577" i="5"/>
  <c r="S1585" i="5"/>
  <c r="Q1596" i="5"/>
  <c r="V1596" i="5" s="1"/>
  <c r="Q1597" i="5"/>
  <c r="S1602" i="5"/>
  <c r="P1602" i="5"/>
  <c r="Q1602" i="5"/>
  <c r="V1602" i="5" s="1"/>
  <c r="X1606" i="5"/>
  <c r="U1606" i="5" s="1"/>
  <c r="R1608" i="5"/>
  <c r="R1610" i="5"/>
  <c r="S1614" i="5"/>
  <c r="P1614" i="5"/>
  <c r="Q1614" i="5"/>
  <c r="V1614" i="5" s="1"/>
  <c r="X1618" i="5"/>
  <c r="U1618" i="5" s="1"/>
  <c r="R1620" i="5"/>
  <c r="R1622" i="5"/>
  <c r="S1626" i="5"/>
  <c r="P1626" i="5"/>
  <c r="Q1626" i="5"/>
  <c r="V1626" i="5" s="1"/>
  <c r="X1630" i="5"/>
  <c r="U1630" i="5" s="1"/>
  <c r="Z1630" i="5" s="1"/>
  <c r="AE1630" i="5" s="1"/>
  <c r="R1632" i="5"/>
  <c r="R1634" i="5"/>
  <c r="S1638" i="5"/>
  <c r="P1638" i="5"/>
  <c r="Q1638" i="5"/>
  <c r="V1638" i="5" s="1"/>
  <c r="S1650" i="5"/>
  <c r="P1650" i="5"/>
  <c r="Q1650" i="5"/>
  <c r="V1650" i="5" s="1"/>
  <c r="S1652" i="5"/>
  <c r="Q1652" i="5"/>
  <c r="V1652" i="5" s="1"/>
  <c r="R1664" i="5"/>
  <c r="R1670" i="5"/>
  <c r="W1670" i="5"/>
  <c r="W1671" i="5"/>
  <c r="R1676" i="5"/>
  <c r="W1676" i="5"/>
  <c r="W1677" i="5"/>
  <c r="R1682" i="5"/>
  <c r="W1682" i="5"/>
  <c r="W1683" i="5"/>
  <c r="R1688" i="5"/>
  <c r="W1688" i="5"/>
  <c r="W1689" i="5"/>
  <c r="R1694" i="5"/>
  <c r="W1694" i="5"/>
  <c r="W1695" i="5"/>
  <c r="R1700" i="5"/>
  <c r="W1700" i="5"/>
  <c r="R1706" i="5"/>
  <c r="W1706" i="5"/>
  <c r="R1742" i="5"/>
  <c r="W1742" i="5"/>
  <c r="AA1645" i="5"/>
  <c r="AC1645" i="5" s="1"/>
  <c r="R1648" i="5"/>
  <c r="W1648" i="5"/>
  <c r="R1652" i="5"/>
  <c r="R1658" i="5"/>
  <c r="W1658" i="5"/>
  <c r="S1666" i="5"/>
  <c r="P1666" i="5"/>
  <c r="Q1666" i="5"/>
  <c r="V1666" i="5" s="1"/>
  <c r="X1671" i="5"/>
  <c r="X1677" i="5"/>
  <c r="U1677" i="5" s="1"/>
  <c r="Z1677" i="5" s="1"/>
  <c r="X1683" i="5"/>
  <c r="X1689" i="5"/>
  <c r="X1695" i="5"/>
  <c r="U1695" i="5" s="1"/>
  <c r="Z1695" i="5" s="1"/>
  <c r="Y1701" i="5"/>
  <c r="X1701" i="5"/>
  <c r="U1701" i="5" s="1"/>
  <c r="Z1701" i="5" s="1"/>
  <c r="R1736" i="5"/>
  <c r="W1736" i="5"/>
  <c r="U1790" i="5"/>
  <c r="Z1790" i="5"/>
  <c r="AE1790" i="5" s="1"/>
  <c r="S1520" i="5"/>
  <c r="S1522" i="5"/>
  <c r="P1523" i="5"/>
  <c r="S1524" i="5"/>
  <c r="P1525" i="5"/>
  <c r="S1526" i="5"/>
  <c r="P1527" i="5"/>
  <c r="S1528" i="5"/>
  <c r="P1529" i="5"/>
  <c r="S1530" i="5"/>
  <c r="P1531" i="5"/>
  <c r="S1532" i="5"/>
  <c r="P1533" i="5"/>
  <c r="S1534" i="5"/>
  <c r="P1535" i="5"/>
  <c r="S1536" i="5"/>
  <c r="P1537" i="5"/>
  <c r="S1538" i="5"/>
  <c r="P1539" i="5"/>
  <c r="S1540" i="5"/>
  <c r="P1541" i="5"/>
  <c r="S1542" i="5"/>
  <c r="P1543" i="5"/>
  <c r="S1544" i="5"/>
  <c r="P1545" i="5"/>
  <c r="S1551" i="5"/>
  <c r="R1554" i="5"/>
  <c r="W1555" i="5"/>
  <c r="Z1555" i="5" s="1"/>
  <c r="P1556" i="5"/>
  <c r="P1557" i="5"/>
  <c r="S1563" i="5"/>
  <c r="R1566" i="5"/>
  <c r="W1567" i="5"/>
  <c r="P1568" i="5"/>
  <c r="P1569" i="5"/>
  <c r="S1580" i="5"/>
  <c r="Q1580" i="5"/>
  <c r="V1580" i="5" s="1"/>
  <c r="P1581" i="5"/>
  <c r="S1581" i="5"/>
  <c r="P1582" i="5"/>
  <c r="P1583" i="5"/>
  <c r="S1583" i="5"/>
  <c r="W1584" i="5"/>
  <c r="W1585" i="5"/>
  <c r="R1586" i="5"/>
  <c r="R1730" i="5"/>
  <c r="W1730" i="5"/>
  <c r="Q1541" i="5"/>
  <c r="V1541" i="5" s="1"/>
  <c r="Q1543" i="5"/>
  <c r="V1543" i="5" s="1"/>
  <c r="Q1545" i="5"/>
  <c r="V1545" i="5" s="1"/>
  <c r="Q1557" i="5"/>
  <c r="V1557" i="5" s="1"/>
  <c r="Q1569" i="5"/>
  <c r="V1569" i="5" s="1"/>
  <c r="P1574" i="5"/>
  <c r="Q1574" i="5"/>
  <c r="V1574" i="5" s="1"/>
  <c r="P1576" i="5"/>
  <c r="Q1576" i="5"/>
  <c r="V1576" i="5" s="1"/>
  <c r="S1578" i="5"/>
  <c r="P1578" i="5"/>
  <c r="Q1578" i="5"/>
  <c r="V1578" i="5" s="1"/>
  <c r="P1579" i="5"/>
  <c r="Q1579" i="5"/>
  <c r="V1579" i="5" s="1"/>
  <c r="R1580" i="5"/>
  <c r="Q1582" i="5"/>
  <c r="V1582" i="5" s="1"/>
  <c r="P1603" i="5"/>
  <c r="Q1603" i="5"/>
  <c r="V1603" i="5" s="1"/>
  <c r="S1603" i="5"/>
  <c r="P1605" i="5"/>
  <c r="S1605" i="5"/>
  <c r="P1615" i="5"/>
  <c r="Q1615" i="5"/>
  <c r="V1615" i="5" s="1"/>
  <c r="S1615" i="5"/>
  <c r="P1617" i="5"/>
  <c r="S1617" i="5"/>
  <c r="P1627" i="5"/>
  <c r="Q1627" i="5"/>
  <c r="V1627" i="5" s="1"/>
  <c r="S1627" i="5"/>
  <c r="P1629" i="5"/>
  <c r="S1629" i="5"/>
  <c r="P1639" i="5"/>
  <c r="Q1639" i="5"/>
  <c r="V1639" i="5" s="1"/>
  <c r="S1639" i="5"/>
  <c r="S1640" i="5"/>
  <c r="Q1640" i="5"/>
  <c r="V1640" i="5" s="1"/>
  <c r="R1724" i="5"/>
  <c r="W1724" i="5"/>
  <c r="R1760" i="5"/>
  <c r="W1760" i="5"/>
  <c r="R1546" i="5"/>
  <c r="W1547" i="5"/>
  <c r="P1548" i="5"/>
  <c r="P1549" i="5"/>
  <c r="S1556" i="5"/>
  <c r="R1558" i="5"/>
  <c r="W1559" i="5"/>
  <c r="P1560" i="5"/>
  <c r="P1561" i="5"/>
  <c r="S1568" i="5"/>
  <c r="R1570" i="5"/>
  <c r="W1571" i="5"/>
  <c r="Z1571" i="5" s="1"/>
  <c r="P1572" i="5"/>
  <c r="P1573" i="5"/>
  <c r="S1579" i="5"/>
  <c r="Q1585" i="5"/>
  <c r="V1585" i="5" s="1"/>
  <c r="S1592" i="5"/>
  <c r="Q1592" i="5"/>
  <c r="V1592" i="5" s="1"/>
  <c r="P1593" i="5"/>
  <c r="S1593" i="5"/>
  <c r="P1594" i="5"/>
  <c r="P1595" i="5"/>
  <c r="S1595" i="5"/>
  <c r="R1598" i="5"/>
  <c r="Q1605" i="5"/>
  <c r="V1605" i="5" s="1"/>
  <c r="P1607" i="5"/>
  <c r="S1607" i="5"/>
  <c r="Q1617" i="5"/>
  <c r="V1617" i="5" s="1"/>
  <c r="P1619" i="5"/>
  <c r="S1619" i="5"/>
  <c r="Q1629" i="5"/>
  <c r="V1629" i="5" s="1"/>
  <c r="P1631" i="5"/>
  <c r="S1631" i="5"/>
  <c r="P1640" i="5"/>
  <c r="P1641" i="5"/>
  <c r="S1641" i="5"/>
  <c r="W1642" i="5"/>
  <c r="S1672" i="5"/>
  <c r="P1672" i="5"/>
  <c r="Q1672" i="5"/>
  <c r="V1672" i="5" s="1"/>
  <c r="S1678" i="5"/>
  <c r="P1678" i="5"/>
  <c r="Q1678" i="5"/>
  <c r="V1678" i="5" s="1"/>
  <c r="S1684" i="5"/>
  <c r="P1684" i="5"/>
  <c r="Q1684" i="5"/>
  <c r="V1684" i="5" s="1"/>
  <c r="S1690" i="5"/>
  <c r="P1690" i="5"/>
  <c r="Q1690" i="5"/>
  <c r="V1690" i="5" s="1"/>
  <c r="S1696" i="5"/>
  <c r="P1696" i="5"/>
  <c r="Q1696" i="5"/>
  <c r="V1696" i="5" s="1"/>
  <c r="R1718" i="5"/>
  <c r="W1718" i="5"/>
  <c r="R1754" i="5"/>
  <c r="W1754" i="5"/>
  <c r="S1546" i="5"/>
  <c r="P1550" i="5"/>
  <c r="S1558" i="5"/>
  <c r="P1562" i="5"/>
  <c r="Z1567" i="5"/>
  <c r="AE1567" i="5" s="1"/>
  <c r="S1570" i="5"/>
  <c r="S1574" i="5"/>
  <c r="S1576" i="5"/>
  <c r="U1587" i="5"/>
  <c r="Z1587" i="5" s="1"/>
  <c r="S1590" i="5"/>
  <c r="P1590" i="5"/>
  <c r="Q1590" i="5"/>
  <c r="V1590" i="5" s="1"/>
  <c r="P1591" i="5"/>
  <c r="Q1591" i="5"/>
  <c r="V1591" i="5" s="1"/>
  <c r="P1592" i="5"/>
  <c r="Q1593" i="5"/>
  <c r="V1593" i="5" s="1"/>
  <c r="Q1594" i="5"/>
  <c r="V1594" i="5" s="1"/>
  <c r="Q1595" i="5"/>
  <c r="V1595" i="5" s="1"/>
  <c r="P1596" i="5"/>
  <c r="R1599" i="5"/>
  <c r="S1604" i="5"/>
  <c r="Q1604" i="5"/>
  <c r="V1604" i="5" s="1"/>
  <c r="W1606" i="5"/>
  <c r="Q1607" i="5"/>
  <c r="V1607" i="5" s="1"/>
  <c r="R1609" i="5"/>
  <c r="S1616" i="5"/>
  <c r="Q1616" i="5"/>
  <c r="V1616" i="5" s="1"/>
  <c r="W1618" i="5"/>
  <c r="Q1619" i="5"/>
  <c r="V1619" i="5" s="1"/>
  <c r="R1621" i="5"/>
  <c r="S1628" i="5"/>
  <c r="Q1628" i="5"/>
  <c r="V1628" i="5" s="1"/>
  <c r="W1630" i="5"/>
  <c r="Q1631" i="5"/>
  <c r="V1631" i="5" s="1"/>
  <c r="R1633" i="5"/>
  <c r="Q1641" i="5"/>
  <c r="V1641" i="5" s="1"/>
  <c r="X1642" i="5"/>
  <c r="U1642" i="5" s="1"/>
  <c r="Z1642" i="5" s="1"/>
  <c r="AE1642" i="5" s="1"/>
  <c r="R1643" i="5"/>
  <c r="X1644" i="5"/>
  <c r="U1644" i="5" s="1"/>
  <c r="Z1644" i="5" s="1"/>
  <c r="Y1646" i="5"/>
  <c r="X1646" i="5"/>
  <c r="U1646" i="5" s="1"/>
  <c r="Z1646" i="5" s="1"/>
  <c r="P1647" i="5"/>
  <c r="Q1647" i="5"/>
  <c r="V1647" i="5" s="1"/>
  <c r="S1647" i="5"/>
  <c r="Y1649" i="5"/>
  <c r="X1649" i="5"/>
  <c r="U1649" i="5" s="1"/>
  <c r="Z1649" i="5" s="1"/>
  <c r="R1654" i="5"/>
  <c r="W1654" i="5"/>
  <c r="R1656" i="5"/>
  <c r="V1660" i="5"/>
  <c r="R1660" i="5"/>
  <c r="U1661" i="5"/>
  <c r="Z1661" i="5" s="1"/>
  <c r="R1712" i="5"/>
  <c r="W1712" i="5"/>
  <c r="R1748" i="5"/>
  <c r="W1748" i="5"/>
  <c r="P1588" i="5"/>
  <c r="Q1589" i="5"/>
  <c r="P1600" i="5"/>
  <c r="Q1601" i="5"/>
  <c r="P1612" i="5"/>
  <c r="Q1613" i="5"/>
  <c r="P1624" i="5"/>
  <c r="Q1625" i="5"/>
  <c r="P1636" i="5"/>
  <c r="Q1637" i="5"/>
  <c r="R1653" i="5"/>
  <c r="Q1657" i="5"/>
  <c r="Q1659" i="5"/>
  <c r="S1662" i="5"/>
  <c r="Q1662" i="5"/>
  <c r="V1662" i="5" s="1"/>
  <c r="P1662" i="5"/>
  <c r="P1663" i="5"/>
  <c r="Q1663" i="5"/>
  <c r="V1663" i="5" s="1"/>
  <c r="R1673" i="5"/>
  <c r="R1679" i="5"/>
  <c r="R1685" i="5"/>
  <c r="R1691" i="5"/>
  <c r="R1697" i="5"/>
  <c r="Q1702" i="5"/>
  <c r="V1702" i="5" s="1"/>
  <c r="R1703" i="5"/>
  <c r="Q1708" i="5"/>
  <c r="V1708" i="5" s="1"/>
  <c r="R1709" i="5"/>
  <c r="Q1714" i="5"/>
  <c r="V1714" i="5" s="1"/>
  <c r="R1715" i="5"/>
  <c r="Q1720" i="5"/>
  <c r="V1720" i="5" s="1"/>
  <c r="R1721" i="5"/>
  <c r="Q1726" i="5"/>
  <c r="V1726" i="5" s="1"/>
  <c r="R1727" i="5"/>
  <c r="Q1732" i="5"/>
  <c r="V1732" i="5" s="1"/>
  <c r="R1733" i="5"/>
  <c r="Q1738" i="5"/>
  <c r="V1738" i="5" s="1"/>
  <c r="R1739" i="5"/>
  <c r="Q1744" i="5"/>
  <c r="V1744" i="5" s="1"/>
  <c r="R1745" i="5"/>
  <c r="Q1750" i="5"/>
  <c r="V1750" i="5" s="1"/>
  <c r="R1751" i="5"/>
  <c r="Q1756" i="5"/>
  <c r="V1756" i="5" s="1"/>
  <c r="R1757" i="5"/>
  <c r="Q1762" i="5"/>
  <c r="V1762" i="5" s="1"/>
  <c r="R1763" i="5"/>
  <c r="R1769" i="5"/>
  <c r="R1775" i="5"/>
  <c r="R1781" i="5"/>
  <c r="R1787" i="5"/>
  <c r="Y1790" i="5"/>
  <c r="P1651" i="5"/>
  <c r="Q1651" i="5"/>
  <c r="V1651" i="5" s="1"/>
  <c r="R1668" i="5"/>
  <c r="U1671" i="5"/>
  <c r="Z1671" i="5" s="1"/>
  <c r="R1674" i="5"/>
  <c r="R1680" i="5"/>
  <c r="U1683" i="5"/>
  <c r="Z1683" i="5" s="1"/>
  <c r="R1686" i="5"/>
  <c r="U1689" i="5"/>
  <c r="Z1689" i="5" s="1"/>
  <c r="R1692" i="5"/>
  <c r="R1698" i="5"/>
  <c r="R1704" i="5"/>
  <c r="R1710" i="5"/>
  <c r="R1716" i="5"/>
  <c r="U1719" i="5"/>
  <c r="Z1719" i="5" s="1"/>
  <c r="R1722" i="5"/>
  <c r="R1728" i="5"/>
  <c r="U1731" i="5"/>
  <c r="Z1731" i="5" s="1"/>
  <c r="R1734" i="5"/>
  <c r="R1740" i="5"/>
  <c r="R1746" i="5"/>
  <c r="R1752" i="5"/>
  <c r="U1755" i="5"/>
  <c r="Z1755" i="5" s="1"/>
  <c r="R1758" i="5"/>
  <c r="R1669" i="5"/>
  <c r="R1675" i="5"/>
  <c r="R1681" i="5"/>
  <c r="R1687" i="5"/>
  <c r="R1693" i="5"/>
  <c r="R1699" i="5"/>
  <c r="R1705" i="5"/>
  <c r="R1711" i="5"/>
  <c r="R1717" i="5"/>
  <c r="R1723" i="5"/>
  <c r="R1729" i="5"/>
  <c r="R1735" i="5"/>
  <c r="R1741" i="5"/>
  <c r="R1747" i="5"/>
  <c r="R1753" i="5"/>
  <c r="R1759" i="5"/>
  <c r="R1765" i="5"/>
  <c r="R1771" i="5"/>
  <c r="R1777" i="5"/>
  <c r="R1783" i="5"/>
  <c r="X1707" i="5"/>
  <c r="U1707" i="5" s="1"/>
  <c r="Z1707" i="5" s="1"/>
  <c r="X1713" i="5"/>
  <c r="U1713" i="5" s="1"/>
  <c r="Z1713" i="5" s="1"/>
  <c r="X1719" i="5"/>
  <c r="X1725" i="5"/>
  <c r="U1725" i="5" s="1"/>
  <c r="Z1725" i="5" s="1"/>
  <c r="X1731" i="5"/>
  <c r="X1737" i="5"/>
  <c r="U1737" i="5" s="1"/>
  <c r="Z1737" i="5" s="1"/>
  <c r="X1743" i="5"/>
  <c r="U1743" i="5" s="1"/>
  <c r="Z1743" i="5" s="1"/>
  <c r="X1749" i="5"/>
  <c r="U1749" i="5" s="1"/>
  <c r="Z1749" i="5" s="1"/>
  <c r="X1755" i="5"/>
  <c r="X1761" i="5"/>
  <c r="U1761" i="5" s="1"/>
  <c r="Z1761" i="5" s="1"/>
  <c r="Y1767" i="5"/>
  <c r="Y1773" i="5"/>
  <c r="Y1779" i="5"/>
  <c r="Y1785" i="5"/>
  <c r="S1643" i="5"/>
  <c r="P1655" i="5"/>
  <c r="S1655" i="5"/>
  <c r="Y1661" i="5"/>
  <c r="S1664" i="5"/>
  <c r="Q1664" i="5"/>
  <c r="V1664" i="5" s="1"/>
  <c r="P1665" i="5"/>
  <c r="S1665" i="5"/>
  <c r="P1667" i="5"/>
  <c r="S1667" i="5"/>
  <c r="P1702" i="5"/>
  <c r="P1708" i="5"/>
  <c r="P1714" i="5"/>
  <c r="P1720" i="5"/>
  <c r="P1726" i="5"/>
  <c r="P1732" i="5"/>
  <c r="P1738" i="5"/>
  <c r="P1744" i="5"/>
  <c r="P1750" i="5"/>
  <c r="P1756" i="5"/>
  <c r="P1762" i="5"/>
  <c r="O13" i="6"/>
  <c r="N13" i="6"/>
  <c r="P13" i="6"/>
  <c r="Z1808" i="5"/>
  <c r="Z1810" i="5" s="1"/>
  <c r="AB1795" i="5"/>
  <c r="I1794" i="5"/>
  <c r="I573" i="7" s="1"/>
  <c r="AB1797" i="5"/>
  <c r="AE1797" i="5"/>
  <c r="AB1796" i="5"/>
  <c r="O16" i="6"/>
  <c r="N16" i="6"/>
  <c r="P16" i="6"/>
  <c r="R1764" i="5"/>
  <c r="R1766" i="5"/>
  <c r="U1767" i="5"/>
  <c r="Z1767" i="5" s="1"/>
  <c r="AE1767" i="5" s="1"/>
  <c r="R1768" i="5"/>
  <c r="R1770" i="5"/>
  <c r="R1772" i="5"/>
  <c r="U1773" i="5"/>
  <c r="Z1773" i="5" s="1"/>
  <c r="AE1773" i="5" s="1"/>
  <c r="R1774" i="5"/>
  <c r="R1776" i="5"/>
  <c r="R1778" i="5"/>
  <c r="U1779" i="5"/>
  <c r="Z1779" i="5" s="1"/>
  <c r="AE1779" i="5" s="1"/>
  <c r="R1780" i="5"/>
  <c r="R1782" i="5"/>
  <c r="R1784" i="5"/>
  <c r="U1785" i="5"/>
  <c r="Z1785" i="5" s="1"/>
  <c r="AE1785" i="5" s="1"/>
  <c r="R1786" i="5"/>
  <c r="AA1790" i="5"/>
  <c r="AB1790" i="5" s="1"/>
  <c r="AC1790" i="5" s="1"/>
  <c r="AC1803" i="5"/>
  <c r="V1808" i="5"/>
  <c r="V1810" i="5" s="1"/>
  <c r="AB1808" i="5"/>
  <c r="AB1810" i="5" s="1"/>
  <c r="Z1797" i="5"/>
  <c r="D107" i="3" s="1"/>
  <c r="D108" i="3" s="1"/>
  <c r="K6" i="6"/>
  <c r="S6" i="6" s="1"/>
  <c r="O6" i="6"/>
  <c r="N6" i="6"/>
  <c r="P6" i="6"/>
  <c r="X1808" i="5"/>
  <c r="X1810" i="5" s="1"/>
  <c r="O24" i="6"/>
  <c r="N24" i="6"/>
  <c r="P24" i="6"/>
  <c r="W1803" i="5"/>
  <c r="K2" i="6"/>
  <c r="S2" i="6" s="1"/>
  <c r="U138" i="6"/>
  <c r="V138" i="6" s="1"/>
  <c r="U140" i="6"/>
  <c r="V140" i="6" s="1"/>
  <c r="M23" i="6"/>
  <c r="O26" i="6"/>
  <c r="P26" i="6"/>
  <c r="M29" i="6"/>
  <c r="P34" i="6"/>
  <c r="O34" i="6"/>
  <c r="N34" i="6"/>
  <c r="N36" i="6"/>
  <c r="P36" i="6"/>
  <c r="O36" i="6"/>
  <c r="P39" i="6"/>
  <c r="O39" i="6"/>
  <c r="N39" i="6"/>
  <c r="N44" i="6"/>
  <c r="P44" i="6"/>
  <c r="K44" i="6" s="1"/>
  <c r="O44" i="6"/>
  <c r="M49" i="6"/>
  <c r="P56" i="6"/>
  <c r="O56" i="6"/>
  <c r="N56" i="6"/>
  <c r="K56" i="6" s="1"/>
  <c r="S56" i="6" s="1"/>
  <c r="O58" i="6"/>
  <c r="N58" i="6"/>
  <c r="P58" i="6"/>
  <c r="P60" i="6"/>
  <c r="O60" i="6"/>
  <c r="N60" i="6"/>
  <c r="O70" i="6"/>
  <c r="K70" i="6" s="1"/>
  <c r="S70" i="6" s="1"/>
  <c r="P70" i="6"/>
  <c r="N70" i="6"/>
  <c r="N74" i="6"/>
  <c r="O74" i="6"/>
  <c r="P74" i="6"/>
  <c r="P76" i="6"/>
  <c r="O76" i="6"/>
  <c r="N76" i="6"/>
  <c r="K76" i="6"/>
  <c r="S76" i="6" s="1"/>
  <c r="K80" i="6"/>
  <c r="S80" i="6" s="1"/>
  <c r="P80" i="6"/>
  <c r="I80" i="6" s="1"/>
  <c r="H80" i="6" s="1"/>
  <c r="O80" i="6"/>
  <c r="N80" i="6"/>
  <c r="O84" i="6"/>
  <c r="N84" i="6"/>
  <c r="P84" i="6"/>
  <c r="P90" i="6"/>
  <c r="O90" i="6"/>
  <c r="N90" i="6"/>
  <c r="K90" i="6" s="1"/>
  <c r="S90" i="6" s="1"/>
  <c r="P105" i="6"/>
  <c r="O105" i="6"/>
  <c r="N105" i="6"/>
  <c r="P108" i="6"/>
  <c r="O108" i="6"/>
  <c r="I108" i="6" s="1"/>
  <c r="H108" i="6" s="1"/>
  <c r="N108" i="6"/>
  <c r="K108" i="6" s="1"/>
  <c r="S108" i="6" s="1"/>
  <c r="P115" i="6"/>
  <c r="O115" i="6"/>
  <c r="N115" i="6"/>
  <c r="O148" i="6"/>
  <c r="N148" i="6"/>
  <c r="P148" i="6"/>
  <c r="K148" i="6" s="1"/>
  <c r="S148" i="6" s="1"/>
  <c r="Y1808" i="5"/>
  <c r="Y1810" i="5" s="1"/>
  <c r="I2" i="6"/>
  <c r="H2" i="6" s="1"/>
  <c r="M2" i="6"/>
  <c r="F2" i="6"/>
  <c r="O9" i="6"/>
  <c r="P9" i="6"/>
  <c r="P20" i="6"/>
  <c r="O20" i="6"/>
  <c r="N20" i="6"/>
  <c r="O32" i="6"/>
  <c r="N32" i="6"/>
  <c r="P32" i="6"/>
  <c r="M42" i="6"/>
  <c r="O52" i="6"/>
  <c r="N52" i="6"/>
  <c r="P52" i="6"/>
  <c r="O54" i="6"/>
  <c r="N54" i="6"/>
  <c r="P54" i="6"/>
  <c r="M72" i="6"/>
  <c r="M82" i="6"/>
  <c r="I90" i="6"/>
  <c r="H90" i="6" s="1"/>
  <c r="M92" i="6"/>
  <c r="O102" i="6"/>
  <c r="N102" i="6"/>
  <c r="P102" i="6"/>
  <c r="I102" i="6" s="1"/>
  <c r="H102" i="6" s="1"/>
  <c r="N112" i="6"/>
  <c r="K112" i="6" s="1"/>
  <c r="R112" i="6" s="1"/>
  <c r="S112" i="6" s="1"/>
  <c r="P112" i="6"/>
  <c r="O112" i="6"/>
  <c r="P125" i="6"/>
  <c r="O125" i="6"/>
  <c r="N125" i="6"/>
  <c r="N127" i="6"/>
  <c r="K127" i="6" s="1"/>
  <c r="R127" i="6" s="1"/>
  <c r="P127" i="6"/>
  <c r="O127" i="6"/>
  <c r="N146" i="6"/>
  <c r="P146" i="6"/>
  <c r="O146" i="6"/>
  <c r="O151" i="6"/>
  <c r="N151" i="6"/>
  <c r="I151" i="6" s="1"/>
  <c r="H151" i="6" s="1"/>
  <c r="K151" i="6"/>
  <c r="S151" i="6" s="1"/>
  <c r="P151" i="6"/>
  <c r="O18" i="6"/>
  <c r="P18" i="6"/>
  <c r="I19" i="6"/>
  <c r="H19" i="6" s="1"/>
  <c r="M20" i="6"/>
  <c r="I20" i="6" s="1"/>
  <c r="H20" i="6" s="1"/>
  <c r="P25" i="6"/>
  <c r="N25" i="6"/>
  <c r="K25" i="6"/>
  <c r="S25" i="6" s="1"/>
  <c r="P28" i="6"/>
  <c r="O28" i="6"/>
  <c r="N28" i="6"/>
  <c r="P30" i="6"/>
  <c r="O30" i="6"/>
  <c r="N30" i="6"/>
  <c r="P37" i="6"/>
  <c r="O37" i="6"/>
  <c r="N37" i="6"/>
  <c r="P45" i="6"/>
  <c r="O45" i="6"/>
  <c r="N45" i="6"/>
  <c r="P50" i="6"/>
  <c r="O50" i="6"/>
  <c r="N50" i="6"/>
  <c r="P63" i="6"/>
  <c r="I63" i="6" s="1"/>
  <c r="H63" i="6" s="1"/>
  <c r="K63" i="6"/>
  <c r="S63" i="6" s="1"/>
  <c r="O63" i="6"/>
  <c r="N63" i="6"/>
  <c r="N65" i="6"/>
  <c r="O65" i="6"/>
  <c r="P65" i="6"/>
  <c r="P67" i="6"/>
  <c r="O67" i="6"/>
  <c r="N67" i="6"/>
  <c r="P75" i="6"/>
  <c r="O75" i="6"/>
  <c r="N75" i="6"/>
  <c r="K75" i="6" s="1"/>
  <c r="S75" i="6" s="1"/>
  <c r="O87" i="6"/>
  <c r="P87" i="6"/>
  <c r="N87" i="6"/>
  <c r="O95" i="6"/>
  <c r="P95" i="6"/>
  <c r="K95" i="6" s="1"/>
  <c r="S95" i="6" s="1"/>
  <c r="N95" i="6"/>
  <c r="N101" i="6"/>
  <c r="P101" i="6"/>
  <c r="O101" i="6"/>
  <c r="K101" i="6"/>
  <c r="S101" i="6" s="1"/>
  <c r="O104" i="6"/>
  <c r="P104" i="6"/>
  <c r="N104" i="6"/>
  <c r="O107" i="6"/>
  <c r="P107" i="6"/>
  <c r="N107" i="6"/>
  <c r="N140" i="6"/>
  <c r="P140" i="6"/>
  <c r="O140" i="6"/>
  <c r="N143" i="6"/>
  <c r="P143" i="6"/>
  <c r="O143" i="6"/>
  <c r="O145" i="6"/>
  <c r="P145" i="6"/>
  <c r="K145" i="6" s="1"/>
  <c r="S145" i="6" s="1"/>
  <c r="N145" i="6"/>
  <c r="N210" i="6"/>
  <c r="P210" i="6"/>
  <c r="O210" i="6"/>
  <c r="I210" i="6" s="1"/>
  <c r="H210" i="6" s="1"/>
  <c r="L9" i="6"/>
  <c r="O11" i="6"/>
  <c r="P11" i="6"/>
  <c r="I12" i="6"/>
  <c r="H12" i="6" s="1"/>
  <c r="F15" i="6"/>
  <c r="L15" i="6" s="1"/>
  <c r="P17" i="6"/>
  <c r="N17" i="6"/>
  <c r="K17" i="6"/>
  <c r="S17" i="6" s="1"/>
  <c r="N19" i="6"/>
  <c r="P19" i="6"/>
  <c r="O19" i="6"/>
  <c r="I25" i="6"/>
  <c r="H25" i="6" s="1"/>
  <c r="L28" i="6"/>
  <c r="M33" i="6"/>
  <c r="I33" i="6" s="1"/>
  <c r="H33" i="6" s="1"/>
  <c r="O35" i="6"/>
  <c r="N35" i="6"/>
  <c r="P35" i="6"/>
  <c r="G43" i="6"/>
  <c r="F43" i="6"/>
  <c r="L43" i="6" s="1"/>
  <c r="P57" i="6"/>
  <c r="O57" i="6"/>
  <c r="I57" i="6" s="1"/>
  <c r="H57" i="6" s="1"/>
  <c r="N57" i="6"/>
  <c r="N59" i="6"/>
  <c r="P59" i="6"/>
  <c r="O59" i="6"/>
  <c r="K59" i="6"/>
  <c r="S59" i="6" s="1"/>
  <c r="P61" i="6"/>
  <c r="O61" i="6"/>
  <c r="I61" i="6" s="1"/>
  <c r="H61" i="6" s="1"/>
  <c r="N61" i="6"/>
  <c r="K61" i="6" s="1"/>
  <c r="S61" i="6" s="1"/>
  <c r="N71" i="6"/>
  <c r="I71" i="6" s="1"/>
  <c r="H71" i="6" s="1"/>
  <c r="K71" i="6"/>
  <c r="S71" i="6" s="1"/>
  <c r="P71" i="6"/>
  <c r="O71" i="6"/>
  <c r="O73" i="6"/>
  <c r="P73" i="6"/>
  <c r="N73" i="6"/>
  <c r="N77" i="6"/>
  <c r="O77" i="6"/>
  <c r="P77" i="6"/>
  <c r="P79" i="6"/>
  <c r="O79" i="6"/>
  <c r="N79" i="6"/>
  <c r="N83" i="6"/>
  <c r="P83" i="6"/>
  <c r="O83" i="6"/>
  <c r="I83" i="6" s="1"/>
  <c r="H83" i="6" s="1"/>
  <c r="N85" i="6"/>
  <c r="P85" i="6"/>
  <c r="O85" i="6"/>
  <c r="P89" i="6"/>
  <c r="O89" i="6"/>
  <c r="N89" i="6"/>
  <c r="P94" i="6"/>
  <c r="O94" i="6"/>
  <c r="N94" i="6"/>
  <c r="I94" i="6" s="1"/>
  <c r="H94" i="6" s="1"/>
  <c r="I101" i="6"/>
  <c r="H101" i="6" s="1"/>
  <c r="P111" i="6"/>
  <c r="O111" i="6"/>
  <c r="I111" i="6" s="1"/>
  <c r="H111" i="6" s="1"/>
  <c r="N111" i="6"/>
  <c r="N114" i="6"/>
  <c r="P114" i="6"/>
  <c r="O114" i="6"/>
  <c r="I116" i="6"/>
  <c r="H116" i="6" s="1"/>
  <c r="M116" i="6"/>
  <c r="N124" i="6"/>
  <c r="I124" i="6" s="1"/>
  <c r="H124" i="6" s="1"/>
  <c r="P124" i="6"/>
  <c r="O124" i="6"/>
  <c r="K124" i="6"/>
  <c r="N133" i="6"/>
  <c r="I133" i="6" s="1"/>
  <c r="H133" i="6" s="1"/>
  <c r="P133" i="6"/>
  <c r="O133" i="6"/>
  <c r="I5" i="6"/>
  <c r="H5" i="6" s="1"/>
  <c r="N9" i="6"/>
  <c r="N12" i="6"/>
  <c r="K12" i="6" s="1"/>
  <c r="S12" i="6" s="1"/>
  <c r="P12" i="6"/>
  <c r="O12" i="6"/>
  <c r="L13" i="6"/>
  <c r="I17" i="6"/>
  <c r="H17" i="6" s="1"/>
  <c r="L18" i="6"/>
  <c r="O25" i="6"/>
  <c r="M31" i="6"/>
  <c r="I31" i="6" s="1"/>
  <c r="H31" i="6" s="1"/>
  <c r="N33" i="6"/>
  <c r="P33" i="6"/>
  <c r="O33" i="6"/>
  <c r="M38" i="6"/>
  <c r="M46" i="6"/>
  <c r="P48" i="6"/>
  <c r="O48" i="6"/>
  <c r="N48" i="6"/>
  <c r="I51" i="6"/>
  <c r="H51" i="6" s="1"/>
  <c r="M51" i="6"/>
  <c r="P53" i="6"/>
  <c r="O53" i="6"/>
  <c r="N53" i="6"/>
  <c r="P66" i="6"/>
  <c r="O66" i="6"/>
  <c r="N66" i="6"/>
  <c r="I66" i="6" s="1"/>
  <c r="H66" i="6" s="1"/>
  <c r="K66" i="6"/>
  <c r="S66" i="6" s="1"/>
  <c r="P106" i="6"/>
  <c r="O106" i="6"/>
  <c r="N106" i="6"/>
  <c r="O116" i="6"/>
  <c r="N116" i="6"/>
  <c r="P116" i="6"/>
  <c r="K116" i="6"/>
  <c r="R116" i="6" s="1"/>
  <c r="S116" i="6" s="1"/>
  <c r="N126" i="6"/>
  <c r="P126" i="6"/>
  <c r="O126" i="6"/>
  <c r="O142" i="6"/>
  <c r="I142" i="6" s="1"/>
  <c r="H142" i="6" s="1"/>
  <c r="K142" i="6"/>
  <c r="S142" i="6" s="1"/>
  <c r="P142" i="6"/>
  <c r="N142" i="6"/>
  <c r="W1808" i="5"/>
  <c r="L3" i="6"/>
  <c r="M6" i="6"/>
  <c r="I6" i="6"/>
  <c r="H6" i="6" s="1"/>
  <c r="M11" i="6"/>
  <c r="K11" i="6" s="1"/>
  <c r="N18" i="6"/>
  <c r="M19" i="6"/>
  <c r="M21" i="6"/>
  <c r="N27" i="6"/>
  <c r="I27" i="6" s="1"/>
  <c r="H27" i="6" s="1"/>
  <c r="K27" i="6"/>
  <c r="P27" i="6"/>
  <c r="O27" i="6"/>
  <c r="P31" i="6"/>
  <c r="O31" i="6"/>
  <c r="N31" i="6"/>
  <c r="K31" i="6"/>
  <c r="S31" i="6" s="1"/>
  <c r="M36" i="6"/>
  <c r="I36" i="6" s="1"/>
  <c r="H36" i="6" s="1"/>
  <c r="P41" i="6"/>
  <c r="O41" i="6"/>
  <c r="N41" i="6"/>
  <c r="M44" i="6"/>
  <c r="I44" i="6" s="1"/>
  <c r="H44" i="6" s="1"/>
  <c r="P51" i="6"/>
  <c r="O51" i="6"/>
  <c r="N51" i="6"/>
  <c r="K51" i="6"/>
  <c r="S51" i="6" s="1"/>
  <c r="P62" i="6"/>
  <c r="O62" i="6"/>
  <c r="N62" i="6"/>
  <c r="K62" i="6" s="1"/>
  <c r="S62" i="6" s="1"/>
  <c r="O64" i="6"/>
  <c r="P64" i="6"/>
  <c r="N64" i="6"/>
  <c r="P68" i="6"/>
  <c r="O68" i="6"/>
  <c r="N68" i="6"/>
  <c r="K68" i="6" s="1"/>
  <c r="S68" i="6" s="1"/>
  <c r="P78" i="6"/>
  <c r="O78" i="6"/>
  <c r="N78" i="6"/>
  <c r="I78" i="6" s="1"/>
  <c r="H78" i="6" s="1"/>
  <c r="K78" i="6"/>
  <c r="S78" i="6" s="1"/>
  <c r="I81" i="6"/>
  <c r="H81" i="6" s="1"/>
  <c r="P86" i="6"/>
  <c r="N86" i="6"/>
  <c r="O86" i="6"/>
  <c r="N88" i="6"/>
  <c r="P88" i="6"/>
  <c r="O88" i="6"/>
  <c r="N96" i="6"/>
  <c r="P96" i="6"/>
  <c r="I96" i="6" s="1"/>
  <c r="H96" i="6" s="1"/>
  <c r="O96" i="6"/>
  <c r="O99" i="6"/>
  <c r="N99" i="6"/>
  <c r="K99" i="6" s="1"/>
  <c r="S99" i="6" s="1"/>
  <c r="P99" i="6"/>
  <c r="N109" i="6"/>
  <c r="K109" i="6" s="1"/>
  <c r="S109" i="6" s="1"/>
  <c r="P109" i="6"/>
  <c r="O109" i="6"/>
  <c r="P113" i="6"/>
  <c r="O113" i="6"/>
  <c r="K113" i="6" s="1"/>
  <c r="R113" i="6" s="1"/>
  <c r="N113" i="6"/>
  <c r="I113" i="6" s="1"/>
  <c r="H113" i="6" s="1"/>
  <c r="P123" i="6"/>
  <c r="O123" i="6"/>
  <c r="N123" i="6"/>
  <c r="K123" i="6" s="1"/>
  <c r="R123" i="6" s="1"/>
  <c r="S123" i="6" s="1"/>
  <c r="N129" i="6"/>
  <c r="K129" i="6" s="1"/>
  <c r="R129" i="6" s="1"/>
  <c r="S129" i="6" s="1"/>
  <c r="P129" i="6"/>
  <c r="O129" i="6"/>
  <c r="N137" i="6"/>
  <c r="P137" i="6"/>
  <c r="O137" i="6"/>
  <c r="O154" i="6"/>
  <c r="N154" i="6"/>
  <c r="P154" i="6"/>
  <c r="I154" i="6" s="1"/>
  <c r="H154" i="6" s="1"/>
  <c r="G7" i="6"/>
  <c r="J7" i="6" s="1"/>
  <c r="S8" i="6"/>
  <c r="G14" i="6"/>
  <c r="J14" i="6" s="1"/>
  <c r="L16" i="6"/>
  <c r="G21" i="6"/>
  <c r="J21" i="6" s="1"/>
  <c r="G23" i="6"/>
  <c r="J23" i="6" s="1"/>
  <c r="L24" i="6"/>
  <c r="G29" i="6"/>
  <c r="J29" i="6" s="1"/>
  <c r="L30" i="6"/>
  <c r="G38" i="6"/>
  <c r="J38" i="6" s="1"/>
  <c r="L39" i="6"/>
  <c r="G42" i="6"/>
  <c r="J42" i="6" s="1"/>
  <c r="J43" i="6"/>
  <c r="G46" i="6"/>
  <c r="J46" i="6" s="1"/>
  <c r="G49" i="6"/>
  <c r="J49" i="6" s="1"/>
  <c r="L50" i="6"/>
  <c r="L53" i="6"/>
  <c r="N93" i="6"/>
  <c r="O97" i="6"/>
  <c r="O98" i="6"/>
  <c r="K98" i="6" s="1"/>
  <c r="S98" i="6" s="1"/>
  <c r="I99" i="6"/>
  <c r="H99" i="6" s="1"/>
  <c r="I100" i="6"/>
  <c r="H100" i="6" s="1"/>
  <c r="V229" i="6"/>
  <c r="V231" i="6"/>
  <c r="N110" i="6"/>
  <c r="K110" i="6" s="1"/>
  <c r="S110" i="6" s="1"/>
  <c r="N118" i="6"/>
  <c r="I118" i="6" s="1"/>
  <c r="H118" i="6" s="1"/>
  <c r="P122" i="6"/>
  <c r="L125" i="6"/>
  <c r="L126" i="6"/>
  <c r="L134" i="6"/>
  <c r="P144" i="6"/>
  <c r="O144" i="6"/>
  <c r="L146" i="6"/>
  <c r="P167" i="6"/>
  <c r="N167" i="6"/>
  <c r="G173" i="6"/>
  <c r="J173" i="6" s="1"/>
  <c r="L173" i="6"/>
  <c r="P183" i="6"/>
  <c r="N183" i="6"/>
  <c r="K183" i="6"/>
  <c r="S183" i="6" s="1"/>
  <c r="N184" i="6"/>
  <c r="K184" i="6"/>
  <c r="S184" i="6" s="1"/>
  <c r="O184" i="6"/>
  <c r="P185" i="6"/>
  <c r="O185" i="6"/>
  <c r="N185" i="6"/>
  <c r="K185" i="6" s="1"/>
  <c r="S185" i="6" s="1"/>
  <c r="I194" i="6"/>
  <c r="H194" i="6" s="1"/>
  <c r="G200" i="6"/>
  <c r="J200" i="6" s="1"/>
  <c r="L200" i="6"/>
  <c r="G215" i="6"/>
  <c r="J215" i="6" s="1"/>
  <c r="L215" i="6"/>
  <c r="K220" i="6"/>
  <c r="S220" i="6" s="1"/>
  <c r="U200" i="6"/>
  <c r="V200" i="6" s="1"/>
  <c r="U174" i="6"/>
  <c r="V174" i="6" s="1"/>
  <c r="G55" i="6"/>
  <c r="J55" i="6" s="1"/>
  <c r="L60" i="6"/>
  <c r="G72" i="6"/>
  <c r="J72" i="6" s="1"/>
  <c r="G82" i="6"/>
  <c r="J82" i="6" s="1"/>
  <c r="L88" i="6"/>
  <c r="G92" i="6"/>
  <c r="J92" i="6" s="1"/>
  <c r="M95" i="6"/>
  <c r="I95" i="6" s="1"/>
  <c r="H95" i="6" s="1"/>
  <c r="I97" i="6"/>
  <c r="H97" i="6" s="1"/>
  <c r="P97" i="6"/>
  <c r="P98" i="6"/>
  <c r="I98" i="6" s="1"/>
  <c r="H98" i="6" s="1"/>
  <c r="K100" i="6"/>
  <c r="S100" i="6" s="1"/>
  <c r="L104" i="6"/>
  <c r="L105" i="6"/>
  <c r="L106" i="6"/>
  <c r="I112" i="6"/>
  <c r="H112" i="6" s="1"/>
  <c r="L114" i="6"/>
  <c r="P135" i="6"/>
  <c r="O135" i="6"/>
  <c r="L137" i="6"/>
  <c r="L140" i="6"/>
  <c r="P141" i="6"/>
  <c r="O141" i="6"/>
  <c r="P147" i="6"/>
  <c r="O147" i="6"/>
  <c r="L149" i="6"/>
  <c r="P150" i="6"/>
  <c r="O150" i="6"/>
  <c r="N162" i="6"/>
  <c r="P162" i="6"/>
  <c r="O162" i="6"/>
  <c r="P168" i="6"/>
  <c r="O168" i="6"/>
  <c r="N168" i="6"/>
  <c r="K168" i="6"/>
  <c r="S168" i="6" s="1"/>
  <c r="M169" i="6"/>
  <c r="O183" i="6"/>
  <c r="M189" i="6"/>
  <c r="K189" i="6" s="1"/>
  <c r="S189" i="6" s="1"/>
  <c r="V192" i="6"/>
  <c r="V201" i="6"/>
  <c r="L204" i="6"/>
  <c r="G204" i="6"/>
  <c r="J204" i="6" s="1"/>
  <c r="K209" i="6"/>
  <c r="S209" i="6" s="1"/>
  <c r="L214" i="6"/>
  <c r="G214" i="6"/>
  <c r="J214" i="6" s="1"/>
  <c r="M217" i="6"/>
  <c r="L26" i="6"/>
  <c r="L32" i="6"/>
  <c r="L35" i="6"/>
  <c r="L52" i="6"/>
  <c r="L54" i="6"/>
  <c r="M67" i="6"/>
  <c r="K67" i="6" s="1"/>
  <c r="S67" i="6" s="1"/>
  <c r="N69" i="6"/>
  <c r="I69" i="6" s="1"/>
  <c r="H69" i="6" s="1"/>
  <c r="M76" i="6"/>
  <c r="I76" i="6" s="1"/>
  <c r="H76" i="6" s="1"/>
  <c r="M79" i="6"/>
  <c r="K79" i="6" s="1"/>
  <c r="S79" i="6" s="1"/>
  <c r="N81" i="6"/>
  <c r="M89" i="6"/>
  <c r="K89" i="6" s="1"/>
  <c r="S89" i="6" s="1"/>
  <c r="N91" i="6"/>
  <c r="I91" i="6" s="1"/>
  <c r="H91" i="6" s="1"/>
  <c r="M115" i="6"/>
  <c r="K115" i="6" s="1"/>
  <c r="R115" i="6" s="1"/>
  <c r="O136" i="6"/>
  <c r="P138" i="6"/>
  <c r="O138" i="6"/>
  <c r="O139" i="6"/>
  <c r="O157" i="6"/>
  <c r="N157" i="6"/>
  <c r="I157" i="6" s="1"/>
  <c r="H157" i="6" s="1"/>
  <c r="K157" i="6"/>
  <c r="S157" i="6" s="1"/>
  <c r="P158" i="6"/>
  <c r="N158" i="6"/>
  <c r="O160" i="6"/>
  <c r="N160" i="6"/>
  <c r="I162" i="6"/>
  <c r="H162" i="6" s="1"/>
  <c r="M162" i="6"/>
  <c r="K162" i="6" s="1"/>
  <c r="S162" i="6" s="1"/>
  <c r="K164" i="6"/>
  <c r="S164" i="6" s="1"/>
  <c r="I164" i="6"/>
  <c r="H164" i="6" s="1"/>
  <c r="M168" i="6"/>
  <c r="I168" i="6"/>
  <c r="H168" i="6" s="1"/>
  <c r="N174" i="6"/>
  <c r="P174" i="6"/>
  <c r="O174" i="6"/>
  <c r="K174" i="6" s="1"/>
  <c r="S174" i="6" s="1"/>
  <c r="K175" i="6"/>
  <c r="S175" i="6" s="1"/>
  <c r="I175" i="6"/>
  <c r="H175" i="6" s="1"/>
  <c r="G188" i="6"/>
  <c r="J188" i="6" s="1"/>
  <c r="L188" i="6"/>
  <c r="M198" i="6"/>
  <c r="I198" i="6" s="1"/>
  <c r="H198" i="6" s="1"/>
  <c r="G203" i="6"/>
  <c r="J203" i="6" s="1"/>
  <c r="L203" i="6"/>
  <c r="K208" i="6"/>
  <c r="S208" i="6" s="1"/>
  <c r="P228" i="6"/>
  <c r="O228" i="6"/>
  <c r="I228" i="6" s="1"/>
  <c r="H228" i="6" s="1"/>
  <c r="N228" i="6"/>
  <c r="O254" i="6"/>
  <c r="F40" i="6"/>
  <c r="F47" i="6"/>
  <c r="L47" i="6" s="1"/>
  <c r="L58" i="6"/>
  <c r="M59" i="6"/>
  <c r="I59" i="6" s="1"/>
  <c r="H59" i="6" s="1"/>
  <c r="L65" i="6"/>
  <c r="O69" i="6"/>
  <c r="L74" i="6"/>
  <c r="L77" i="6"/>
  <c r="O81" i="6"/>
  <c r="K81" i="6" s="1"/>
  <c r="S81" i="6" s="1"/>
  <c r="L84" i="6"/>
  <c r="L85" i="6"/>
  <c r="L86" i="6"/>
  <c r="M87" i="6"/>
  <c r="K87" i="6" s="1"/>
  <c r="S87" i="6" s="1"/>
  <c r="O91" i="6"/>
  <c r="K97" i="6"/>
  <c r="S97" i="6" s="1"/>
  <c r="M101" i="6"/>
  <c r="M107" i="6"/>
  <c r="K107" i="6" s="1"/>
  <c r="S107" i="6" s="1"/>
  <c r="K122" i="6"/>
  <c r="R122" i="6" s="1"/>
  <c r="S122" i="6" s="1"/>
  <c r="I127" i="6"/>
  <c r="H127" i="6" s="1"/>
  <c r="M144" i="6"/>
  <c r="I144" i="6" s="1"/>
  <c r="H144" i="6" s="1"/>
  <c r="P152" i="6"/>
  <c r="N152" i="6"/>
  <c r="V152" i="6"/>
  <c r="P155" i="6"/>
  <c r="N155" i="6"/>
  <c r="O176" i="6"/>
  <c r="I176" i="6" s="1"/>
  <c r="H176" i="6" s="1"/>
  <c r="P176" i="6"/>
  <c r="N176" i="6"/>
  <c r="K176" i="6"/>
  <c r="S176" i="6" s="1"/>
  <c r="I180" i="6"/>
  <c r="H180" i="6" s="1"/>
  <c r="L187" i="6"/>
  <c r="G187" i="6"/>
  <c r="J187" i="6" s="1"/>
  <c r="G197" i="6"/>
  <c r="J197" i="6" s="1"/>
  <c r="L197" i="6"/>
  <c r="P198" i="6"/>
  <c r="O198" i="6"/>
  <c r="O227" i="6"/>
  <c r="N227" i="6"/>
  <c r="P227" i="6"/>
  <c r="O240" i="6"/>
  <c r="N240" i="6"/>
  <c r="K240" i="6" s="1"/>
  <c r="R240" i="6" s="1"/>
  <c r="P240" i="6"/>
  <c r="L34" i="6"/>
  <c r="L37" i="6"/>
  <c r="L41" i="6"/>
  <c r="L45" i="6"/>
  <c r="L48" i="6"/>
  <c r="I73" i="6"/>
  <c r="H73" i="6" s="1"/>
  <c r="N100" i="6"/>
  <c r="N103" i="6"/>
  <c r="I103" i="6" s="1"/>
  <c r="H103" i="6" s="1"/>
  <c r="M135" i="6"/>
  <c r="I135" i="6"/>
  <c r="H135" i="6" s="1"/>
  <c r="N136" i="6"/>
  <c r="I136" i="6" s="1"/>
  <c r="H136" i="6" s="1"/>
  <c r="N139" i="6"/>
  <c r="K139" i="6" s="1"/>
  <c r="S139" i="6" s="1"/>
  <c r="M141" i="6"/>
  <c r="I141" i="6"/>
  <c r="H141" i="6" s="1"/>
  <c r="P156" i="6"/>
  <c r="O156" i="6"/>
  <c r="P157" i="6"/>
  <c r="L158" i="6"/>
  <c r="P159" i="6"/>
  <c r="O159" i="6"/>
  <c r="P160" i="6"/>
  <c r="I160" i="6" s="1"/>
  <c r="H160" i="6" s="1"/>
  <c r="K170" i="6"/>
  <c r="S170" i="6" s="1"/>
  <c r="P170" i="6"/>
  <c r="N170" i="6"/>
  <c r="P171" i="6"/>
  <c r="O171" i="6"/>
  <c r="N171" i="6"/>
  <c r="I171" i="6" s="1"/>
  <c r="H171" i="6" s="1"/>
  <c r="M176" i="6"/>
  <c r="N178" i="6"/>
  <c r="P178" i="6"/>
  <c r="I178" i="6" s="1"/>
  <c r="H178" i="6" s="1"/>
  <c r="K178" i="6"/>
  <c r="S178" i="6" s="1"/>
  <c r="O178" i="6"/>
  <c r="N181" i="6"/>
  <c r="O181" i="6"/>
  <c r="I181" i="6" s="1"/>
  <c r="H181" i="6" s="1"/>
  <c r="I190" i="6"/>
  <c r="H190" i="6" s="1"/>
  <c r="L191" i="6"/>
  <c r="G191" i="6"/>
  <c r="J191" i="6" s="1"/>
  <c r="P192" i="6"/>
  <c r="O192" i="6"/>
  <c r="N192" i="6"/>
  <c r="I192" i="6" s="1"/>
  <c r="H192" i="6" s="1"/>
  <c r="K192" i="6"/>
  <c r="S192" i="6" s="1"/>
  <c r="I195" i="6"/>
  <c r="H195" i="6" s="1"/>
  <c r="M195" i="6"/>
  <c r="N196" i="6"/>
  <c r="P196" i="6"/>
  <c r="O196" i="6"/>
  <c r="N198" i="6"/>
  <c r="K198" i="6" s="1"/>
  <c r="R198" i="6" s="1"/>
  <c r="L201" i="6"/>
  <c r="G201" i="6"/>
  <c r="J201" i="6" s="1"/>
  <c r="F207" i="6"/>
  <c r="L207" i="6" s="1"/>
  <c r="P212" i="6"/>
  <c r="K212" i="6" s="1"/>
  <c r="S212" i="6" s="1"/>
  <c r="O212" i="6"/>
  <c r="N212" i="6"/>
  <c r="M64" i="6"/>
  <c r="K64" i="6" s="1"/>
  <c r="S64" i="6" s="1"/>
  <c r="M73" i="6"/>
  <c r="K73" i="6" s="1"/>
  <c r="S73" i="6" s="1"/>
  <c r="I75" i="6"/>
  <c r="H75" i="6" s="1"/>
  <c r="L93" i="6"/>
  <c r="O100" i="6"/>
  <c r="O103" i="6"/>
  <c r="K103" i="6" s="1"/>
  <c r="S103" i="6" s="1"/>
  <c r="O122" i="6"/>
  <c r="I122" i="6" s="1"/>
  <c r="H122" i="6" s="1"/>
  <c r="L132" i="6"/>
  <c r="O132" i="6"/>
  <c r="N132" i="6"/>
  <c r="N134" i="6"/>
  <c r="P136" i="6"/>
  <c r="L138" i="6"/>
  <c r="I139" i="6"/>
  <c r="H139" i="6" s="1"/>
  <c r="P139" i="6"/>
  <c r="L143" i="6"/>
  <c r="P149" i="6"/>
  <c r="N149" i="6"/>
  <c r="L152" i="6"/>
  <c r="P153" i="6"/>
  <c r="O153" i="6"/>
  <c r="L155" i="6"/>
  <c r="O158" i="6"/>
  <c r="G165" i="6"/>
  <c r="J165" i="6" s="1"/>
  <c r="L165" i="6"/>
  <c r="O166" i="6"/>
  <c r="N166" i="6"/>
  <c r="P166" i="6"/>
  <c r="M171" i="6"/>
  <c r="K171" i="6" s="1"/>
  <c r="R171" i="6" s="1"/>
  <c r="K172" i="6"/>
  <c r="S172" i="6" s="1"/>
  <c r="P182" i="6"/>
  <c r="O182" i="6"/>
  <c r="N182" i="6"/>
  <c r="G206" i="6"/>
  <c r="J206" i="6" s="1"/>
  <c r="L206" i="6"/>
  <c r="N219" i="6"/>
  <c r="P219" i="6"/>
  <c r="O219" i="6"/>
  <c r="I219" i="6" s="1"/>
  <c r="H219" i="6" s="1"/>
  <c r="N222" i="6"/>
  <c r="I222" i="6" s="1"/>
  <c r="H222" i="6" s="1"/>
  <c r="P222" i="6"/>
  <c r="O222" i="6"/>
  <c r="P223" i="6"/>
  <c r="N223" i="6"/>
  <c r="I223" i="6" s="1"/>
  <c r="H223" i="6" s="1"/>
  <c r="K223" i="6"/>
  <c r="S223" i="6" s="1"/>
  <c r="O223" i="6"/>
  <c r="U224" i="6"/>
  <c r="V224" i="6" s="1"/>
  <c r="S224" i="6"/>
  <c r="G161" i="6"/>
  <c r="J161" i="6" s="1"/>
  <c r="O163" i="6"/>
  <c r="I163" i="6" s="1"/>
  <c r="H163" i="6" s="1"/>
  <c r="M167" i="6"/>
  <c r="K167" i="6" s="1"/>
  <c r="S167" i="6" s="1"/>
  <c r="G169" i="6"/>
  <c r="J169" i="6" s="1"/>
  <c r="M170" i="6"/>
  <c r="I170" i="6" s="1"/>
  <c r="H170" i="6" s="1"/>
  <c r="N172" i="6"/>
  <c r="G177" i="6"/>
  <c r="J177" i="6" s="1"/>
  <c r="P179" i="6"/>
  <c r="N179" i="6"/>
  <c r="I179" i="6" s="1"/>
  <c r="H179" i="6" s="1"/>
  <c r="O179" i="6"/>
  <c r="N180" i="6"/>
  <c r="M181" i="6"/>
  <c r="K181" i="6" s="1"/>
  <c r="S181" i="6" s="1"/>
  <c r="M182" i="6"/>
  <c r="I182" i="6" s="1"/>
  <c r="H182" i="6" s="1"/>
  <c r="M184" i="6"/>
  <c r="I184" i="6" s="1"/>
  <c r="H184" i="6" s="1"/>
  <c r="K186" i="6"/>
  <c r="S186" i="6" s="1"/>
  <c r="K194" i="6"/>
  <c r="S194" i="6" s="1"/>
  <c r="K195" i="6"/>
  <c r="S195" i="6" s="1"/>
  <c r="O208" i="6"/>
  <c r="I208" i="6" s="1"/>
  <c r="H208" i="6" s="1"/>
  <c r="O209" i="6"/>
  <c r="I209" i="6" s="1"/>
  <c r="H209" i="6" s="1"/>
  <c r="K213" i="6"/>
  <c r="S213" i="6" s="1"/>
  <c r="G217" i="6"/>
  <c r="J217" i="6" s="1"/>
  <c r="P220" i="6"/>
  <c r="N220" i="6"/>
  <c r="O220" i="6"/>
  <c r="N221" i="6"/>
  <c r="I221" i="6" s="1"/>
  <c r="H221" i="6" s="1"/>
  <c r="P230" i="6"/>
  <c r="I230" i="6" s="1"/>
  <c r="H230" i="6" s="1"/>
  <c r="S238" i="6"/>
  <c r="O241" i="6"/>
  <c r="N241" i="6"/>
  <c r="N253" i="6"/>
  <c r="O253" i="6" s="1"/>
  <c r="L253" i="6"/>
  <c r="M293" i="6"/>
  <c r="V293" i="6"/>
  <c r="E568" i="7"/>
  <c r="W120" i="7"/>
  <c r="O172" i="6"/>
  <c r="I174" i="6"/>
  <c r="H174" i="6" s="1"/>
  <c r="L193" i="6"/>
  <c r="L196" i="6"/>
  <c r="L199" i="6"/>
  <c r="L202" i="6"/>
  <c r="L205" i="6"/>
  <c r="G218" i="6"/>
  <c r="J218" i="6" s="1"/>
  <c r="I224" i="6"/>
  <c r="H224" i="6" s="1"/>
  <c r="P225" i="6"/>
  <c r="N225" i="6"/>
  <c r="K225" i="6" s="1"/>
  <c r="R225" i="6" s="1"/>
  <c r="F235" i="6"/>
  <c r="I238" i="6"/>
  <c r="H238" i="6" s="1"/>
  <c r="K241" i="6"/>
  <c r="R241" i="6" s="1"/>
  <c r="P255" i="6"/>
  <c r="S255" i="6" s="1"/>
  <c r="U255" i="6" s="1"/>
  <c r="X255" i="6" s="1"/>
  <c r="Q255" i="6"/>
  <c r="R255" i="6"/>
  <c r="R262" i="6"/>
  <c r="Q262" i="6"/>
  <c r="P262" i="6"/>
  <c r="N318" i="6"/>
  <c r="O318" i="6" s="1"/>
  <c r="L318" i="6"/>
  <c r="M228" i="6"/>
  <c r="I239" i="6"/>
  <c r="H239" i="6" s="1"/>
  <c r="I240" i="6"/>
  <c r="H240" i="6" s="1"/>
  <c r="M287" i="6"/>
  <c r="V287" i="6"/>
  <c r="P291" i="6"/>
  <c r="S291" i="6" s="1"/>
  <c r="U291" i="6" s="1"/>
  <c r="X291" i="6" s="1"/>
  <c r="Q291" i="6"/>
  <c r="R291" i="6"/>
  <c r="N300" i="6"/>
  <c r="O300" i="6" s="1"/>
  <c r="L300" i="6"/>
  <c r="L147" i="6"/>
  <c r="L150" i="6"/>
  <c r="L153" i="6"/>
  <c r="L156" i="6"/>
  <c r="L159" i="6"/>
  <c r="I166" i="6"/>
  <c r="H166" i="6" s="1"/>
  <c r="P186" i="6"/>
  <c r="I186" i="6" s="1"/>
  <c r="H186" i="6" s="1"/>
  <c r="P189" i="6"/>
  <c r="P190" i="6"/>
  <c r="K190" i="6" s="1"/>
  <c r="S190" i="6" s="1"/>
  <c r="O194" i="6"/>
  <c r="O195" i="6"/>
  <c r="O199" i="6"/>
  <c r="O202" i="6"/>
  <c r="O205" i="6"/>
  <c r="L211" i="6"/>
  <c r="P213" i="6"/>
  <c r="I213" i="6" s="1"/>
  <c r="H213" i="6" s="1"/>
  <c r="I225" i="6"/>
  <c r="H225" i="6" s="1"/>
  <c r="K229" i="6"/>
  <c r="S229" i="6" s="1"/>
  <c r="O229" i="6"/>
  <c r="I229" i="6" s="1"/>
  <c r="H229" i="6" s="1"/>
  <c r="N231" i="6"/>
  <c r="I231" i="6" s="1"/>
  <c r="H231" i="6" s="1"/>
  <c r="P234" i="6"/>
  <c r="O234" i="6"/>
  <c r="P239" i="6"/>
  <c r="K239" i="6" s="1"/>
  <c r="R239" i="6" s="1"/>
  <c r="F243" i="6"/>
  <c r="L243" i="6" s="1"/>
  <c r="F244" i="6"/>
  <c r="L244" i="6" s="1"/>
  <c r="V265" i="6"/>
  <c r="M265" i="6"/>
  <c r="V280" i="6"/>
  <c r="M280" i="6"/>
  <c r="U280" i="6" s="1"/>
  <c r="X280" i="6" s="1"/>
  <c r="L317" i="6"/>
  <c r="N317" i="6"/>
  <c r="O317" i="6" s="1"/>
  <c r="M166" i="6"/>
  <c r="K166" i="6" s="1"/>
  <c r="S166" i="6" s="1"/>
  <c r="V178" i="6"/>
  <c r="K180" i="6"/>
  <c r="S180" i="6" s="1"/>
  <c r="V184" i="6"/>
  <c r="I185" i="6"/>
  <c r="H185" i="6" s="1"/>
  <c r="V219" i="6"/>
  <c r="K221" i="6"/>
  <c r="S221" i="6" s="1"/>
  <c r="V222" i="6"/>
  <c r="M227" i="6"/>
  <c r="K227" i="6" s="1"/>
  <c r="S227" i="6" s="1"/>
  <c r="G243" i="6"/>
  <c r="J243" i="6" s="1"/>
  <c r="N271" i="6"/>
  <c r="O271" i="6" s="1"/>
  <c r="L271" i="6"/>
  <c r="O290" i="6"/>
  <c r="N163" i="6"/>
  <c r="N193" i="6"/>
  <c r="O193" i="6"/>
  <c r="P211" i="6"/>
  <c r="N211" i="6"/>
  <c r="O211" i="6"/>
  <c r="M234" i="6"/>
  <c r="I234" i="6" s="1"/>
  <c r="H234" i="6" s="1"/>
  <c r="I241" i="6"/>
  <c r="H241" i="6" s="1"/>
  <c r="O246" i="6"/>
  <c r="N246" i="6"/>
  <c r="P246" i="6"/>
  <c r="K246" i="6" s="1"/>
  <c r="R246" i="6" s="1"/>
  <c r="F249" i="6"/>
  <c r="L249" i="6" s="1"/>
  <c r="M249" i="6" s="1"/>
  <c r="L257" i="6"/>
  <c r="N257" i="6"/>
  <c r="P261" i="6"/>
  <c r="Q261" i="6"/>
  <c r="R261" i="6"/>
  <c r="V187" i="6"/>
  <c r="U214" i="6"/>
  <c r="V214" i="6" s="1"/>
  <c r="E216" i="6"/>
  <c r="K242" i="6"/>
  <c r="R242" i="6" s="1"/>
  <c r="V257" i="6"/>
  <c r="R259" i="6"/>
  <c r="Q259" i="6"/>
  <c r="M262" i="6"/>
  <c r="P267" i="6"/>
  <c r="Q267" i="6"/>
  <c r="L270" i="6"/>
  <c r="N270" i="6"/>
  <c r="O270" i="6" s="1"/>
  <c r="L275" i="6"/>
  <c r="N275" i="6"/>
  <c r="O275" i="6" s="1"/>
  <c r="L283" i="6"/>
  <c r="O284" i="6"/>
  <c r="V286" i="6"/>
  <c r="M286" i="6"/>
  <c r="R295" i="6"/>
  <c r="Q295" i="6"/>
  <c r="P297" i="6"/>
  <c r="Q297" i="6"/>
  <c r="L299" i="6"/>
  <c r="N299" i="6"/>
  <c r="O299" i="6" s="1"/>
  <c r="P303" i="6"/>
  <c r="Q303" i="6"/>
  <c r="L306" i="6"/>
  <c r="N306" i="6"/>
  <c r="O306" i="6" s="1"/>
  <c r="S315" i="6"/>
  <c r="U315" i="6" s="1"/>
  <c r="X315" i="6" s="1"/>
  <c r="O285" i="6"/>
  <c r="N307" i="6"/>
  <c r="O307" i="6" s="1"/>
  <c r="L307" i="6"/>
  <c r="L311" i="6"/>
  <c r="N311" i="6"/>
  <c r="O311" i="6" s="1"/>
  <c r="N319" i="6"/>
  <c r="O319" i="6" s="1"/>
  <c r="P319" i="6"/>
  <c r="Q265" i="6"/>
  <c r="P265" i="6"/>
  <c r="S265" i="6" s="1"/>
  <c r="P273" i="6"/>
  <c r="Q273" i="6"/>
  <c r="R273" i="6"/>
  <c r="N282" i="6"/>
  <c r="O282" i="6" s="1"/>
  <c r="L282" i="6"/>
  <c r="S297" i="6"/>
  <c r="U297" i="6" s="1"/>
  <c r="X297" i="6" s="1"/>
  <c r="Q309" i="6"/>
  <c r="R309" i="6"/>
  <c r="S309" i="6" s="1"/>
  <c r="U309" i="6" s="1"/>
  <c r="X309" i="6" s="1"/>
  <c r="U316" i="6"/>
  <c r="X316" i="6" s="1"/>
  <c r="E247" i="6"/>
  <c r="E236" i="6"/>
  <c r="E233" i="6"/>
  <c r="E226" i="6"/>
  <c r="U205" i="6"/>
  <c r="V205" i="6" s="1"/>
  <c r="U202" i="6"/>
  <c r="V202" i="6" s="1"/>
  <c r="U199" i="6"/>
  <c r="V199" i="6" s="1"/>
  <c r="E245" i="6"/>
  <c r="E237" i="6"/>
  <c r="E232" i="6"/>
  <c r="P252" i="6"/>
  <c r="S252" i="6" s="1"/>
  <c r="U252" i="6" s="1"/>
  <c r="X252" i="6" s="1"/>
  <c r="Q252" i="6"/>
  <c r="R252" i="6"/>
  <c r="L263" i="6"/>
  <c r="N263" i="6"/>
  <c r="O263" i="6" s="1"/>
  <c r="N264" i="6"/>
  <c r="O264" i="6" s="1"/>
  <c r="L264" i="6"/>
  <c r="R265" i="6"/>
  <c r="O266" i="6"/>
  <c r="V268" i="6"/>
  <c r="M268" i="6"/>
  <c r="R277" i="6"/>
  <c r="Q277" i="6"/>
  <c r="S277" i="6" s="1"/>
  <c r="U277" i="6" s="1"/>
  <c r="X277" i="6" s="1"/>
  <c r="P279" i="6"/>
  <c r="S279" i="6" s="1"/>
  <c r="U279" i="6" s="1"/>
  <c r="X279" i="6" s="1"/>
  <c r="Q279" i="6"/>
  <c r="L281" i="6"/>
  <c r="N281" i="6"/>
  <c r="O281" i="6" s="1"/>
  <c r="P285" i="6"/>
  <c r="Q285" i="6"/>
  <c r="L288" i="6"/>
  <c r="N288" i="6"/>
  <c r="O288" i="6" s="1"/>
  <c r="L293" i="6"/>
  <c r="N293" i="6"/>
  <c r="O293" i="6" s="1"/>
  <c r="L301" i="6"/>
  <c r="O302" i="6"/>
  <c r="V304" i="6"/>
  <c r="M304" i="6"/>
  <c r="P307" i="6"/>
  <c r="L319" i="6"/>
  <c r="O320" i="6"/>
  <c r="V323" i="6"/>
  <c r="M323" i="6"/>
  <c r="P258" i="6"/>
  <c r="Q258" i="6"/>
  <c r="R258" i="6"/>
  <c r="S258" i="6" s="1"/>
  <c r="U258" i="6" s="1"/>
  <c r="X258" i="6" s="1"/>
  <c r="S259" i="6"/>
  <c r="U259" i="6" s="1"/>
  <c r="X259" i="6" s="1"/>
  <c r="L260" i="6"/>
  <c r="N260" i="6"/>
  <c r="O267" i="6"/>
  <c r="S273" i="6"/>
  <c r="U273" i="6" s="1"/>
  <c r="X273" i="6" s="1"/>
  <c r="V275" i="6"/>
  <c r="N289" i="6"/>
  <c r="O289" i="6" s="1"/>
  <c r="L289" i="6"/>
  <c r="S295" i="6"/>
  <c r="U295" i="6" s="1"/>
  <c r="X295" i="6" s="1"/>
  <c r="M298" i="6"/>
  <c r="O303" i="6"/>
  <c r="R313" i="6"/>
  <c r="S313" i="6" s="1"/>
  <c r="U313" i="6" s="1"/>
  <c r="X313" i="6" s="1"/>
  <c r="Q313" i="6"/>
  <c r="O321" i="6"/>
  <c r="S321" i="6" s="1"/>
  <c r="U321" i="6" s="1"/>
  <c r="X321" i="6" s="1"/>
  <c r="V272" i="6"/>
  <c r="P276" i="6"/>
  <c r="S276" i="6" s="1"/>
  <c r="U276" i="6" s="1"/>
  <c r="X276" i="6" s="1"/>
  <c r="Q276" i="6"/>
  <c r="L278" i="6"/>
  <c r="V290" i="6"/>
  <c r="P294" i="6"/>
  <c r="S294" i="6" s="1"/>
  <c r="U294" i="6" s="1"/>
  <c r="X294" i="6" s="1"/>
  <c r="Q294" i="6"/>
  <c r="L296" i="6"/>
  <c r="V308" i="6"/>
  <c r="L314" i="6"/>
  <c r="H52" i="7"/>
  <c r="J82" i="7"/>
  <c r="W98" i="7"/>
  <c r="W134" i="7"/>
  <c r="W149" i="7"/>
  <c r="W153" i="7"/>
  <c r="W161" i="7"/>
  <c r="E566" i="7"/>
  <c r="W169" i="7"/>
  <c r="W171" i="7"/>
  <c r="W173" i="7"/>
  <c r="W189" i="7"/>
  <c r="W191" i="7"/>
  <c r="W209" i="7"/>
  <c r="W227" i="7"/>
  <c r="M319" i="7"/>
  <c r="U319" i="7"/>
  <c r="H319" i="7"/>
  <c r="W359" i="7"/>
  <c r="W366" i="7"/>
  <c r="W381" i="7"/>
  <c r="W400" i="7"/>
  <c r="W469" i="7"/>
  <c r="W473" i="7"/>
  <c r="W540" i="7"/>
  <c r="W558" i="7"/>
  <c r="W93" i="7"/>
  <c r="W119" i="7"/>
  <c r="U127" i="7"/>
  <c r="H127" i="7"/>
  <c r="E573" i="7"/>
  <c r="W502" i="7"/>
  <c r="W531" i="7"/>
  <c r="L246" i="6"/>
  <c r="M246" i="6" s="1"/>
  <c r="V260" i="6"/>
  <c r="L266" i="6"/>
  <c r="L268" i="6"/>
  <c r="P269" i="6"/>
  <c r="S269" i="6" s="1"/>
  <c r="U269" i="6" s="1"/>
  <c r="X269" i="6" s="1"/>
  <c r="V278" i="6"/>
  <c r="P280" i="6"/>
  <c r="S280" i="6" s="1"/>
  <c r="M283" i="6"/>
  <c r="L284" i="6"/>
  <c r="L286" i="6"/>
  <c r="P287" i="6"/>
  <c r="S287" i="6" s="1"/>
  <c r="V296" i="6"/>
  <c r="P298" i="6"/>
  <c r="M301" i="6"/>
  <c r="L302" i="6"/>
  <c r="L304" i="6"/>
  <c r="P305" i="6"/>
  <c r="S305" i="6" s="1"/>
  <c r="U305" i="6" s="1"/>
  <c r="X305" i="6" s="1"/>
  <c r="V314" i="6"/>
  <c r="M319" i="6"/>
  <c r="L320" i="6"/>
  <c r="L323" i="6"/>
  <c r="M49" i="7"/>
  <c r="T52" i="7"/>
  <c r="V52" i="7" s="1"/>
  <c r="W52" i="7" s="1"/>
  <c r="W103" i="7"/>
  <c r="W112" i="7"/>
  <c r="M127" i="7"/>
  <c r="W127" i="7" s="1"/>
  <c r="W130" i="7"/>
  <c r="W183" i="7"/>
  <c r="W185" i="7"/>
  <c r="W203" i="7"/>
  <c r="W221" i="7"/>
  <c r="W344" i="7"/>
  <c r="W362" i="7"/>
  <c r="AA382" i="7"/>
  <c r="T382" i="7"/>
  <c r="V382" i="7" s="1"/>
  <c r="M382" i="7"/>
  <c r="W382" i="7" s="1"/>
  <c r="V263" i="6"/>
  <c r="Q269" i="6"/>
  <c r="N278" i="6"/>
  <c r="Q280" i="6"/>
  <c r="V281" i="6"/>
  <c r="Q287" i="6"/>
  <c r="N296" i="6"/>
  <c r="Q298" i="6"/>
  <c r="V299" i="6"/>
  <c r="Q305" i="6"/>
  <c r="N314" i="6"/>
  <c r="Q316" i="6"/>
  <c r="S316" i="6" s="1"/>
  <c r="V317" i="6"/>
  <c r="W150" i="7"/>
  <c r="M253" i="6"/>
  <c r="L254" i="6"/>
  <c r="L256" i="6"/>
  <c r="V266" i="6"/>
  <c r="M271" i="6"/>
  <c r="L272" i="6"/>
  <c r="L274" i="6"/>
  <c r="R276" i="6"/>
  <c r="V284" i="6"/>
  <c r="M289" i="6"/>
  <c r="L290" i="6"/>
  <c r="L292" i="6"/>
  <c r="R294" i="6"/>
  <c r="V302" i="6"/>
  <c r="M307" i="6"/>
  <c r="L308" i="6"/>
  <c r="L310" i="6"/>
  <c r="R312" i="6"/>
  <c r="S312" i="6" s="1"/>
  <c r="U312" i="6" s="1"/>
  <c r="X312" i="6" s="1"/>
  <c r="V320" i="6"/>
  <c r="P323" i="6"/>
  <c r="W109" i="7"/>
  <c r="W118" i="7"/>
  <c r="AA127" i="7"/>
  <c r="W138" i="7"/>
  <c r="W177" i="7"/>
  <c r="W179" i="7"/>
  <c r="W195" i="7"/>
  <c r="W197" i="7"/>
  <c r="W215" i="7"/>
  <c r="W231" i="7"/>
  <c r="V380" i="7"/>
  <c r="W380" i="7" s="1"/>
  <c r="W485" i="7"/>
  <c r="W508" i="7"/>
  <c r="AA147" i="7"/>
  <c r="W233" i="7"/>
  <c r="T247" i="7"/>
  <c r="V247" i="7" s="1"/>
  <c r="W247" i="7" s="1"/>
  <c r="H320" i="7"/>
  <c r="W328" i="7"/>
  <c r="W342" i="7"/>
  <c r="M348" i="7"/>
  <c r="W348" i="7" s="1"/>
  <c r="AA350" i="7"/>
  <c r="W425" i="7"/>
  <c r="W512" i="7"/>
  <c r="AR14" i="9"/>
  <c r="AZ14" i="9"/>
  <c r="BA15" i="9" s="1"/>
  <c r="W16" i="9" s="1"/>
  <c r="V147" i="7"/>
  <c r="V566" i="7" s="1"/>
  <c r="U315" i="7"/>
  <c r="W497" i="7"/>
  <c r="H531" i="7"/>
  <c r="W545" i="7"/>
  <c r="B16" i="10"/>
  <c r="W477" i="7"/>
  <c r="E567" i="7"/>
  <c r="W526" i="7"/>
  <c r="D1211" i="7"/>
  <c r="D1210" i="7" s="1"/>
  <c r="AN35" i="9"/>
  <c r="BG37" i="9"/>
  <c r="AL37" i="9" s="1"/>
  <c r="W452" i="7"/>
  <c r="W491" i="7"/>
  <c r="W498" i="7"/>
  <c r="W507" i="7"/>
  <c r="W557" i="7"/>
  <c r="S567" i="7"/>
  <c r="T381" i="7"/>
  <c r="V381" i="7" s="1"/>
  <c r="E569" i="7" s="1"/>
  <c r="W431" i="7"/>
  <c r="V455" i="7"/>
  <c r="W455" i="7" s="1"/>
  <c r="T531" i="7"/>
  <c r="V531" i="7" s="1"/>
  <c r="V563" i="7"/>
  <c r="W563" i="7" s="1"/>
  <c r="E1211" i="7"/>
  <c r="F1207" i="7"/>
  <c r="F1211" i="7" s="1"/>
  <c r="AX16" i="9"/>
  <c r="Q16" i="9" s="1"/>
  <c r="P15" i="9"/>
  <c r="S14" i="9"/>
  <c r="W246" i="7"/>
  <c r="H246" i="7"/>
  <c r="W301" i="7"/>
  <c r="V335" i="7"/>
  <c r="P569" i="7" s="1"/>
  <c r="W345" i="7"/>
  <c r="W446" i="7"/>
  <c r="W463" i="7"/>
  <c r="W486" i="7"/>
  <c r="W501" i="7"/>
  <c r="G1207" i="7"/>
  <c r="E269" i="8"/>
  <c r="AX14" i="9"/>
  <c r="AK15" i="9"/>
  <c r="AN14" i="9"/>
  <c r="BG16" i="9"/>
  <c r="AL16" i="9" s="1"/>
  <c r="BD35" i="9"/>
  <c r="AU37" i="9"/>
  <c r="J37" i="9" s="1"/>
  <c r="L35" i="9"/>
  <c r="I36" i="9"/>
  <c r="AG35" i="9"/>
  <c r="BD37" i="9"/>
  <c r="AE37" i="9" s="1"/>
  <c r="AD36" i="9"/>
  <c r="AN15" i="9"/>
  <c r="H11" i="10"/>
  <c r="J11" i="10"/>
  <c r="G11" i="10"/>
  <c r="I26" i="10"/>
  <c r="AE26" i="10"/>
  <c r="A26" i="10" s="1"/>
  <c r="G30" i="10"/>
  <c r="AE30" i="10"/>
  <c r="A30" i="10" s="1"/>
  <c r="E30" i="10" s="1"/>
  <c r="I30" i="10"/>
  <c r="AB41" i="10"/>
  <c r="D41" i="10" s="1"/>
  <c r="AE41" i="10"/>
  <c r="A41" i="10" s="1"/>
  <c r="E41" i="10" s="1"/>
  <c r="BG5" i="9"/>
  <c r="BG14" i="9" s="1"/>
  <c r="AA14" i="9"/>
  <c r="BD16" i="9"/>
  <c r="AE16" i="9" s="1"/>
  <c r="BD18" i="9"/>
  <c r="AU39" i="9"/>
  <c r="L36" i="9"/>
  <c r="I35" i="9"/>
  <c r="AG36" i="9"/>
  <c r="AD35" i="9"/>
  <c r="AW35" i="9"/>
  <c r="AX36" i="9" s="1"/>
  <c r="P37" i="9" s="1"/>
  <c r="B36" i="9"/>
  <c r="AR37" i="9"/>
  <c r="C37" i="9" s="1"/>
  <c r="E35" i="9"/>
  <c r="T35" i="9"/>
  <c r="AE7" i="10"/>
  <c r="AB7" i="10"/>
  <c r="D7" i="10" s="1"/>
  <c r="A7" i="10"/>
  <c r="E7" i="10" s="1"/>
  <c r="B8" i="10"/>
  <c r="AH8" i="10"/>
  <c r="F8" i="10"/>
  <c r="AA11" i="10"/>
  <c r="C11" i="10" s="1"/>
  <c r="J14" i="10"/>
  <c r="F14" i="10"/>
  <c r="AH17" i="10"/>
  <c r="B17" i="10" s="1"/>
  <c r="AE18" i="10"/>
  <c r="A18" i="10" s="1"/>
  <c r="E18" i="10" s="1"/>
  <c r="AB18" i="10"/>
  <c r="D18" i="10" s="1"/>
  <c r="B22" i="10"/>
  <c r="G26" i="10"/>
  <c r="I38" i="10"/>
  <c r="G38" i="10"/>
  <c r="A38" i="10"/>
  <c r="E38" i="10" s="1"/>
  <c r="AE38" i="10"/>
  <c r="C14" i="9"/>
  <c r="X14" i="9"/>
  <c r="AQ3" i="9"/>
  <c r="AQ14" i="9" s="1"/>
  <c r="AR15" i="9" s="1"/>
  <c r="B16" i="9" s="1"/>
  <c r="BF3" i="9"/>
  <c r="BF14" i="9" s="1"/>
  <c r="L14" i="9"/>
  <c r="AK14" i="9"/>
  <c r="AD15" i="9"/>
  <c r="AU25" i="9"/>
  <c r="AU35" i="9" s="1"/>
  <c r="H37" i="9"/>
  <c r="V37" i="9"/>
  <c r="AJ37" i="9"/>
  <c r="E71" i="9"/>
  <c r="G3" i="10"/>
  <c r="AE4" i="10"/>
  <c r="A4" i="10" s="1"/>
  <c r="E4" i="10" s="1"/>
  <c r="AB4" i="10"/>
  <c r="D4" i="10" s="1"/>
  <c r="I5" i="10"/>
  <c r="AE5" i="10"/>
  <c r="A5" i="10" s="1"/>
  <c r="E5" i="10" s="1"/>
  <c r="H6" i="10"/>
  <c r="AH10" i="10"/>
  <c r="B10" i="10" s="1"/>
  <c r="F10" i="10"/>
  <c r="AE13" i="10"/>
  <c r="AB13" i="10"/>
  <c r="D13" i="10" s="1"/>
  <c r="A13" i="10"/>
  <c r="F17" i="10"/>
  <c r="I35" i="10"/>
  <c r="G35" i="10"/>
  <c r="AE35" i="10"/>
  <c r="A35" i="10" s="1"/>
  <c r="E35" i="10" s="1"/>
  <c r="AB53" i="10"/>
  <c r="D53" i="10" s="1"/>
  <c r="A53" i="10"/>
  <c r="AE53" i="10"/>
  <c r="C291" i="8"/>
  <c r="Q35" i="9"/>
  <c r="AL35" i="9"/>
  <c r="AK36" i="9" s="1"/>
  <c r="AZ24" i="9"/>
  <c r="AZ35" i="9" s="1"/>
  <c r="BA36" i="9" s="1"/>
  <c r="W37" i="9" s="1"/>
  <c r="E58" i="9"/>
  <c r="E68" i="9"/>
  <c r="I2" i="10"/>
  <c r="AE2" i="10"/>
  <c r="H3" i="10"/>
  <c r="J5" i="10"/>
  <c r="AH5" i="10"/>
  <c r="AH7" i="10"/>
  <c r="B7" i="10"/>
  <c r="H17" i="10"/>
  <c r="J17" i="10"/>
  <c r="G17" i="10"/>
  <c r="I70" i="10"/>
  <c r="G70" i="10"/>
  <c r="AE70" i="10"/>
  <c r="A70" i="10" s="1"/>
  <c r="E70" i="10" s="1"/>
  <c r="AU18" i="9"/>
  <c r="L15" i="9"/>
  <c r="AG15" i="9"/>
  <c r="AW3" i="9"/>
  <c r="AW14" i="9" s="1"/>
  <c r="AX15" i="9" s="1"/>
  <c r="P16" i="9" s="1"/>
  <c r="F14" i="9"/>
  <c r="S15" i="9"/>
  <c r="W36" i="9"/>
  <c r="BA37" i="9"/>
  <c r="X37" i="9" s="1"/>
  <c r="Z35" i="9"/>
  <c r="C63" i="9"/>
  <c r="B63" i="9" s="1"/>
  <c r="B64" i="9" s="1"/>
  <c r="J2" i="10"/>
  <c r="AH2" i="10"/>
  <c r="AH4" i="10"/>
  <c r="B4" i="10"/>
  <c r="AB8" i="10"/>
  <c r="D8" i="10" s="1"/>
  <c r="AA8" i="10"/>
  <c r="C8" i="10" s="1"/>
  <c r="AH11" i="10"/>
  <c r="B11" i="10"/>
  <c r="AH13" i="10"/>
  <c r="B13" i="10" s="1"/>
  <c r="AE22" i="10"/>
  <c r="A22" i="10" s="1"/>
  <c r="E22" i="10" s="1"/>
  <c r="AB22" i="10"/>
  <c r="D22" i="10" s="1"/>
  <c r="AH23" i="10"/>
  <c r="B23" i="10" s="1"/>
  <c r="F23" i="10"/>
  <c r="AH25" i="10"/>
  <c r="B25" i="10"/>
  <c r="AH32" i="10"/>
  <c r="B32" i="10" s="1"/>
  <c r="P14" i="9"/>
  <c r="AR39" i="9"/>
  <c r="B35" i="9"/>
  <c r="E36" i="9"/>
  <c r="W35" i="9"/>
  <c r="BA39" i="9"/>
  <c r="Z36" i="9"/>
  <c r="AQ24" i="9"/>
  <c r="AQ35" i="9" s="1"/>
  <c r="AR36" i="9" s="1"/>
  <c r="B37" i="9" s="1"/>
  <c r="BF35" i="9"/>
  <c r="BG36" i="9" s="1"/>
  <c r="AK37" i="9" s="1"/>
  <c r="A37" i="9"/>
  <c r="E45" i="9" s="1"/>
  <c r="O37" i="9"/>
  <c r="AC37" i="9"/>
  <c r="I14" i="10"/>
  <c r="AE14" i="10"/>
  <c r="A14" i="10" s="1"/>
  <c r="E14" i="10" s="1"/>
  <c r="G15" i="10"/>
  <c r="AE15" i="10"/>
  <c r="AH16" i="10"/>
  <c r="F16" i="10"/>
  <c r="AA18" i="10"/>
  <c r="C18" i="10" s="1"/>
  <c r="J18" i="10"/>
  <c r="I18" i="10"/>
  <c r="F45" i="10"/>
  <c r="J45" i="10"/>
  <c r="AH45" i="10"/>
  <c r="H45" i="10"/>
  <c r="B45" i="10"/>
  <c r="E45" i="10" s="1"/>
  <c r="I3" i="10"/>
  <c r="I6" i="10"/>
  <c r="I17" i="10"/>
  <c r="AH20" i="10"/>
  <c r="B20" i="10"/>
  <c r="E20" i="10" s="1"/>
  <c r="A21" i="10"/>
  <c r="E21" i="10" s="1"/>
  <c r="A24" i="10"/>
  <c r="E24" i="10" s="1"/>
  <c r="AH26" i="10"/>
  <c r="B26" i="10" s="1"/>
  <c r="AB28" i="10"/>
  <c r="D28" i="10" s="1"/>
  <c r="AB32" i="10"/>
  <c r="D32" i="10" s="1"/>
  <c r="AH34" i="10"/>
  <c r="B34" i="10" s="1"/>
  <c r="AH37" i="10"/>
  <c r="B37" i="10" s="1"/>
  <c r="AH40" i="10"/>
  <c r="B40" i="10"/>
  <c r="J43" i="10"/>
  <c r="H43" i="10"/>
  <c r="AA43" i="10"/>
  <c r="C43" i="10" s="1"/>
  <c r="G43" i="10"/>
  <c r="AB47" i="10"/>
  <c r="D47" i="10" s="1"/>
  <c r="A47" i="10"/>
  <c r="AE47" i="10"/>
  <c r="AB56" i="10"/>
  <c r="D56" i="10" s="1"/>
  <c r="AE56" i="10"/>
  <c r="A56" i="10" s="1"/>
  <c r="E56" i="10" s="1"/>
  <c r="A73" i="10"/>
  <c r="A75" i="10"/>
  <c r="AH93" i="10"/>
  <c r="B93" i="10"/>
  <c r="E93" i="10" s="1"/>
  <c r="F93" i="10"/>
  <c r="AB97" i="10"/>
  <c r="D97" i="10" s="1"/>
  <c r="AA97" i="10"/>
  <c r="C97" i="10" s="1"/>
  <c r="F104" i="10"/>
  <c r="B104" i="10"/>
  <c r="AH104" i="10"/>
  <c r="H111" i="10"/>
  <c r="J111" i="10"/>
  <c r="AB113" i="10"/>
  <c r="D113" i="10" s="1"/>
  <c r="AE113" i="10"/>
  <c r="A10" i="10"/>
  <c r="E10" i="10" s="1"/>
  <c r="J13" i="10"/>
  <c r="AB14" i="10"/>
  <c r="D14" i="10" s="1"/>
  <c r="AE17" i="10"/>
  <c r="A17" i="10" s="1"/>
  <c r="J22" i="10"/>
  <c r="I23" i="10"/>
  <c r="AE23" i="10"/>
  <c r="G24" i="10"/>
  <c r="I24" i="10"/>
  <c r="AE28" i="10"/>
  <c r="A28" i="10" s="1"/>
  <c r="E28" i="10" s="1"/>
  <c r="AB31" i="10"/>
  <c r="D31" i="10" s="1"/>
  <c r="I32" i="10"/>
  <c r="G32" i="10"/>
  <c r="A32" i="10"/>
  <c r="AE32" i="10"/>
  <c r="AB44" i="10"/>
  <c r="D44" i="10" s="1"/>
  <c r="AE44" i="10"/>
  <c r="A44" i="10" s="1"/>
  <c r="E44" i="10" s="1"/>
  <c r="F48" i="10"/>
  <c r="J48" i="10"/>
  <c r="AH48" i="10"/>
  <c r="H48" i="10"/>
  <c r="B48" i="10"/>
  <c r="E48" i="10" s="1"/>
  <c r="I49" i="10"/>
  <c r="J52" i="10"/>
  <c r="H52" i="10"/>
  <c r="AA52" i="10"/>
  <c r="C52" i="10" s="1"/>
  <c r="G52" i="10"/>
  <c r="F57" i="10"/>
  <c r="J57" i="10"/>
  <c r="AH57" i="10"/>
  <c r="B57" i="10" s="1"/>
  <c r="E57" i="10" s="1"/>
  <c r="H57" i="10"/>
  <c r="I58" i="10"/>
  <c r="AB66" i="10"/>
  <c r="D66" i="10" s="1"/>
  <c r="A66" i="10"/>
  <c r="E66" i="10" s="1"/>
  <c r="AE66" i="10"/>
  <c r="G68" i="10"/>
  <c r="AE68" i="10"/>
  <c r="A68" i="10" s="1"/>
  <c r="A71" i="10"/>
  <c r="AB77" i="10"/>
  <c r="D77" i="10" s="1"/>
  <c r="AA77" i="10"/>
  <c r="C77" i="10" s="1"/>
  <c r="AB78" i="10"/>
  <c r="D78" i="10" s="1"/>
  <c r="AE78" i="10"/>
  <c r="I72" i="10"/>
  <c r="G72" i="10"/>
  <c r="AE72" i="10"/>
  <c r="A72" i="10" s="1"/>
  <c r="E72" i="10" s="1"/>
  <c r="AT3" i="9"/>
  <c r="AT14" i="9" s="1"/>
  <c r="AU15" i="9" s="1"/>
  <c r="I16" i="9" s="1"/>
  <c r="BC3" i="9"/>
  <c r="BC14" i="9" s="1"/>
  <c r="BD15" i="9" s="1"/>
  <c r="AD16" i="9" s="1"/>
  <c r="B2" i="10"/>
  <c r="E2" i="10" s="1"/>
  <c r="B5" i="10"/>
  <c r="AE9" i="10"/>
  <c r="A9" i="10" s="1"/>
  <c r="E9" i="10" s="1"/>
  <c r="I11" i="10"/>
  <c r="F13" i="10"/>
  <c r="G18" i="10"/>
  <c r="F20" i="10"/>
  <c r="AB20" i="10"/>
  <c r="D20" i="10" s="1"/>
  <c r="F22" i="10"/>
  <c r="AE25" i="10"/>
  <c r="A25" i="10" s="1"/>
  <c r="E25" i="10" s="1"/>
  <c r="I29" i="10"/>
  <c r="AE29" i="10"/>
  <c r="A29" i="10" s="1"/>
  <c r="AB34" i="10"/>
  <c r="D34" i="10" s="1"/>
  <c r="AA34" i="10"/>
  <c r="C34" i="10" s="1"/>
  <c r="AB37" i="10"/>
  <c r="D37" i="10" s="1"/>
  <c r="AA37" i="10"/>
  <c r="C37" i="10" s="1"/>
  <c r="AB40" i="10"/>
  <c r="D40" i="10" s="1"/>
  <c r="AA40" i="10"/>
  <c r="C40" i="10" s="1"/>
  <c r="F42" i="10"/>
  <c r="J42" i="10"/>
  <c r="AH42" i="10"/>
  <c r="B42" i="10" s="1"/>
  <c r="E42" i="10" s="1"/>
  <c r="H42" i="10"/>
  <c r="I46" i="10"/>
  <c r="J49" i="10"/>
  <c r="H49" i="10"/>
  <c r="AA49" i="10"/>
  <c r="C49" i="10" s="1"/>
  <c r="G49" i="10"/>
  <c r="F54" i="10"/>
  <c r="J54" i="10"/>
  <c r="AH54" i="10"/>
  <c r="H54" i="10"/>
  <c r="B54" i="10"/>
  <c r="E54" i="10" s="1"/>
  <c r="I55" i="10"/>
  <c r="J58" i="10"/>
  <c r="H58" i="10"/>
  <c r="AA58" i="10"/>
  <c r="C58" i="10" s="1"/>
  <c r="G58" i="10"/>
  <c r="B61" i="10"/>
  <c r="E61" i="10" s="1"/>
  <c r="H61" i="10"/>
  <c r="AH61" i="10"/>
  <c r="I68" i="10"/>
  <c r="B74" i="10"/>
  <c r="J74" i="10"/>
  <c r="H74" i="10"/>
  <c r="F74" i="10"/>
  <c r="AT24" i="9"/>
  <c r="AT35" i="9" s="1"/>
  <c r="BC24" i="9"/>
  <c r="BC35" i="9" s="1"/>
  <c r="BD36" i="9" s="1"/>
  <c r="AD37" i="9" s="1"/>
  <c r="AE8" i="10"/>
  <c r="A8" i="10" s="1"/>
  <c r="AE11" i="10"/>
  <c r="A11" i="10" s="1"/>
  <c r="E11" i="10" s="1"/>
  <c r="AA12" i="10"/>
  <c r="C12" i="10" s="1"/>
  <c r="E12" i="10" s="1"/>
  <c r="H14" i="10"/>
  <c r="AH14" i="10"/>
  <c r="B14" i="10"/>
  <c r="H15" i="10"/>
  <c r="A15" i="10"/>
  <c r="E15" i="10" s="1"/>
  <c r="A16" i="10"/>
  <c r="G20" i="10"/>
  <c r="I20" i="10"/>
  <c r="A23" i="10"/>
  <c r="F26" i="10"/>
  <c r="AB26" i="10"/>
  <c r="D26" i="10" s="1"/>
  <c r="A27" i="10"/>
  <c r="E27" i="10" s="1"/>
  <c r="AH29" i="10"/>
  <c r="B29" i="10" s="1"/>
  <c r="F34" i="10"/>
  <c r="F37" i="10"/>
  <c r="F40" i="10"/>
  <c r="I43" i="10"/>
  <c r="AB50" i="10"/>
  <c r="D50" i="10" s="1"/>
  <c r="AE50" i="10"/>
  <c r="A50" i="10" s="1"/>
  <c r="E50" i="10" s="1"/>
  <c r="AB59" i="10"/>
  <c r="D59" i="10" s="1"/>
  <c r="A59" i="10"/>
  <c r="AE59" i="10"/>
  <c r="AB67" i="10"/>
  <c r="D67" i="10" s="1"/>
  <c r="AE67" i="10"/>
  <c r="A67" i="10" s="1"/>
  <c r="E67" i="10" s="1"/>
  <c r="AE69" i="10"/>
  <c r="A69" i="10" s="1"/>
  <c r="AB69" i="10"/>
  <c r="D69" i="10" s="1"/>
  <c r="AE71" i="10"/>
  <c r="AB71" i="10"/>
  <c r="D71" i="10" s="1"/>
  <c r="I73" i="10"/>
  <c r="G73" i="10"/>
  <c r="AE79" i="10"/>
  <c r="A79" i="10" s="1"/>
  <c r="E79" i="10" s="1"/>
  <c r="I79" i="10"/>
  <c r="G79" i="10"/>
  <c r="G27" i="10"/>
  <c r="I27" i="10"/>
  <c r="E33" i="10"/>
  <c r="E39" i="10"/>
  <c r="J46" i="10"/>
  <c r="H46" i="10"/>
  <c r="AA46" i="10"/>
  <c r="C46" i="10" s="1"/>
  <c r="G46" i="10"/>
  <c r="F51" i="10"/>
  <c r="J51" i="10"/>
  <c r="AH51" i="10"/>
  <c r="B51" i="10" s="1"/>
  <c r="E51" i="10" s="1"/>
  <c r="H51" i="10"/>
  <c r="J55" i="10"/>
  <c r="H55" i="10"/>
  <c r="AA55" i="10"/>
  <c r="C55" i="10" s="1"/>
  <c r="G55" i="10"/>
  <c r="F60" i="10"/>
  <c r="J60" i="10"/>
  <c r="AH60" i="10"/>
  <c r="H60" i="10"/>
  <c r="B60" i="10"/>
  <c r="E60" i="10" s="1"/>
  <c r="AB65" i="10"/>
  <c r="D65" i="10" s="1"/>
  <c r="AE65" i="10"/>
  <c r="A65" i="10" s="1"/>
  <c r="E65" i="10" s="1"/>
  <c r="E76" i="10"/>
  <c r="J77" i="10"/>
  <c r="H77" i="10"/>
  <c r="AH77" i="10"/>
  <c r="B77" i="10" s="1"/>
  <c r="E77" i="10" s="1"/>
  <c r="A31" i="10"/>
  <c r="I33" i="10"/>
  <c r="A34" i="10"/>
  <c r="I36" i="10"/>
  <c r="A37" i="10"/>
  <c r="I39" i="10"/>
  <c r="A40" i="10"/>
  <c r="AB42" i="10"/>
  <c r="D42" i="10" s="1"/>
  <c r="F43" i="10"/>
  <c r="J44" i="10"/>
  <c r="AB45" i="10"/>
  <c r="D45" i="10" s="1"/>
  <c r="F46" i="10"/>
  <c r="J47" i="10"/>
  <c r="AB48" i="10"/>
  <c r="D48" i="10" s="1"/>
  <c r="F49" i="10"/>
  <c r="J50" i="10"/>
  <c r="AB51" i="10"/>
  <c r="D51" i="10" s="1"/>
  <c r="F52" i="10"/>
  <c r="J53" i="10"/>
  <c r="AB54" i="10"/>
  <c r="D54" i="10" s="1"/>
  <c r="F55" i="10"/>
  <c r="J56" i="10"/>
  <c r="AB57" i="10"/>
  <c r="D57" i="10" s="1"/>
  <c r="F58" i="10"/>
  <c r="J59" i="10"/>
  <c r="AB60" i="10"/>
  <c r="D60" i="10" s="1"/>
  <c r="AB61" i="10"/>
  <c r="D61" i="10" s="1"/>
  <c r="G62" i="10"/>
  <c r="I63" i="10"/>
  <c r="H64" i="10"/>
  <c r="I65" i="10"/>
  <c r="J66" i="10"/>
  <c r="B67" i="10"/>
  <c r="I67" i="10"/>
  <c r="J68" i="10"/>
  <c r="F73" i="10"/>
  <c r="I75" i="10"/>
  <c r="AE75" i="10"/>
  <c r="AH76" i="10"/>
  <c r="G78" i="10"/>
  <c r="I78" i="10"/>
  <c r="F79" i="10"/>
  <c r="G82" i="10"/>
  <c r="I82" i="10"/>
  <c r="B83" i="10"/>
  <c r="AH68" i="10"/>
  <c r="B68" i="10" s="1"/>
  <c r="A78" i="10"/>
  <c r="E78" i="10" s="1"/>
  <c r="AH81" i="10"/>
  <c r="F81" i="10"/>
  <c r="B81" i="10"/>
  <c r="E81" i="10" s="1"/>
  <c r="E85" i="10"/>
  <c r="F86" i="10"/>
  <c r="AH86" i="10"/>
  <c r="B86" i="10" s="1"/>
  <c r="H86" i="10"/>
  <c r="F89" i="10"/>
  <c r="AB91" i="10"/>
  <c r="D91" i="10" s="1"/>
  <c r="AA91" i="10"/>
  <c r="C91" i="10" s="1"/>
  <c r="AE33" i="10"/>
  <c r="AE36" i="10"/>
  <c r="A36" i="10" s="1"/>
  <c r="E36" i="10" s="1"/>
  <c r="AE39" i="10"/>
  <c r="G41" i="10"/>
  <c r="B43" i="10"/>
  <c r="E43" i="10" s="1"/>
  <c r="B46" i="10"/>
  <c r="E46" i="10" s="1"/>
  <c r="B49" i="10"/>
  <c r="B52" i="10"/>
  <c r="E52" i="10" s="1"/>
  <c r="B55" i="10"/>
  <c r="B58" i="10"/>
  <c r="E58" i="10" s="1"/>
  <c r="AE63" i="10"/>
  <c r="A63" i="10" s="1"/>
  <c r="E63" i="10" s="1"/>
  <c r="AH65" i="10"/>
  <c r="B65" i="10"/>
  <c r="F70" i="10"/>
  <c r="G71" i="10"/>
  <c r="F72" i="10"/>
  <c r="AA73" i="10"/>
  <c r="C73" i="10" s="1"/>
  <c r="AH73" i="10"/>
  <c r="B73" i="10" s="1"/>
  <c r="G74" i="10"/>
  <c r="I74" i="10"/>
  <c r="AA76" i="10"/>
  <c r="C76" i="10" s="1"/>
  <c r="AA79" i="10"/>
  <c r="C79" i="10" s="1"/>
  <c r="AH79" i="10"/>
  <c r="B79" i="10" s="1"/>
  <c r="I80" i="10"/>
  <c r="AA80" i="10"/>
  <c r="C80" i="10" s="1"/>
  <c r="H80" i="10"/>
  <c r="J81" i="10"/>
  <c r="G81" i="10"/>
  <c r="I81" i="10"/>
  <c r="AB83" i="10"/>
  <c r="D83" i="10" s="1"/>
  <c r="AA83" i="10"/>
  <c r="C83" i="10" s="1"/>
  <c r="H89" i="10"/>
  <c r="E97" i="10"/>
  <c r="B35" i="10"/>
  <c r="B38" i="10"/>
  <c r="B41" i="10"/>
  <c r="J61" i="10"/>
  <c r="H62" i="10"/>
  <c r="AH62" i="10"/>
  <c r="B62" i="10" s="1"/>
  <c r="E62" i="10" s="1"/>
  <c r="AA66" i="10"/>
  <c r="C66" i="10" s="1"/>
  <c r="F67" i="10"/>
  <c r="F68" i="10"/>
  <c r="AH69" i="10"/>
  <c r="B69" i="10" s="1"/>
  <c r="AH71" i="10"/>
  <c r="H73" i="10"/>
  <c r="A74" i="10"/>
  <c r="AE74" i="10"/>
  <c r="H76" i="10"/>
  <c r="H79" i="10"/>
  <c r="A88" i="10"/>
  <c r="E88" i="10" s="1"/>
  <c r="G88" i="10"/>
  <c r="I88" i="10"/>
  <c r="AE94" i="10"/>
  <c r="AB94" i="10"/>
  <c r="D94" i="10" s="1"/>
  <c r="B44" i="10"/>
  <c r="B47" i="10"/>
  <c r="B50" i="10"/>
  <c r="B53" i="10"/>
  <c r="B56" i="10"/>
  <c r="B59" i="10"/>
  <c r="AA64" i="10"/>
  <c r="C64" i="10" s="1"/>
  <c r="E64" i="10" s="1"/>
  <c r="F65" i="10"/>
  <c r="AA65" i="10"/>
  <c r="C65" i="10" s="1"/>
  <c r="G67" i="10"/>
  <c r="AB68" i="10"/>
  <c r="D68" i="10" s="1"/>
  <c r="AB70" i="10"/>
  <c r="D70" i="10" s="1"/>
  <c r="B71" i="10"/>
  <c r="AB72" i="10"/>
  <c r="D72" i="10" s="1"/>
  <c r="AE73" i="10"/>
  <c r="AH74" i="10"/>
  <c r="AH75" i="10"/>
  <c r="B75" i="10" s="1"/>
  <c r="G76" i="10"/>
  <c r="I76" i="10"/>
  <c r="F77" i="10"/>
  <c r="I83" i="10"/>
  <c r="AE83" i="10"/>
  <c r="A83" i="10"/>
  <c r="G83" i="10"/>
  <c r="AE86" i="10"/>
  <c r="A86" i="10" s="1"/>
  <c r="E86" i="10" s="1"/>
  <c r="AB86" i="10"/>
  <c r="D86" i="10" s="1"/>
  <c r="AB89" i="10"/>
  <c r="D89" i="10" s="1"/>
  <c r="AA89" i="10"/>
  <c r="C89" i="10" s="1"/>
  <c r="E115" i="10"/>
  <c r="A80" i="10"/>
  <c r="E80" i="10" s="1"/>
  <c r="G80" i="10"/>
  <c r="J84" i="10"/>
  <c r="AE84" i="10"/>
  <c r="B85" i="10"/>
  <c r="J85" i="10"/>
  <c r="AH85" i="10"/>
  <c r="H87" i="10"/>
  <c r="I87" i="10"/>
  <c r="B90" i="10"/>
  <c r="J90" i="10"/>
  <c r="AE90" i="10"/>
  <c r="A90" i="10" s="1"/>
  <c r="E90" i="10" s="1"/>
  <c r="J93" i="10"/>
  <c r="H93" i="10"/>
  <c r="A94" i="10"/>
  <c r="AB96" i="10"/>
  <c r="D96" i="10" s="1"/>
  <c r="I99" i="10"/>
  <c r="AE106" i="10"/>
  <c r="A106" i="10" s="1"/>
  <c r="E106" i="10" s="1"/>
  <c r="AB106" i="10"/>
  <c r="D106" i="10" s="1"/>
  <c r="F114" i="10"/>
  <c r="AH114" i="10"/>
  <c r="B114" i="10" s="1"/>
  <c r="E114" i="10" s="1"/>
  <c r="A84" i="10"/>
  <c r="G89" i="10"/>
  <c r="AB93" i="10"/>
  <c r="D93" i="10" s="1"/>
  <c r="AA93" i="10"/>
  <c r="C93" i="10" s="1"/>
  <c r="AH95" i="10"/>
  <c r="B95" i="10"/>
  <c r="E99" i="10"/>
  <c r="AB105" i="10"/>
  <c r="D105" i="10" s="1"/>
  <c r="AE105" i="10"/>
  <c r="A105" i="10" s="1"/>
  <c r="H107" i="10"/>
  <c r="J107" i="10"/>
  <c r="G107" i="10"/>
  <c r="J95" i="10"/>
  <c r="H95" i="10"/>
  <c r="E96" i="10"/>
  <c r="F132" i="10"/>
  <c r="AH132" i="10"/>
  <c r="B132" i="10" s="1"/>
  <c r="F150" i="10"/>
  <c r="B150" i="10"/>
  <c r="E150" i="10" s="1"/>
  <c r="AH150" i="10"/>
  <c r="AE89" i="10"/>
  <c r="A89" i="10" s="1"/>
  <c r="AH91" i="10"/>
  <c r="B91" i="10"/>
  <c r="E91" i="10" s="1"/>
  <c r="AB95" i="10"/>
  <c r="D95" i="10" s="1"/>
  <c r="AA95" i="10"/>
  <c r="C95" i="10" s="1"/>
  <c r="A98" i="10"/>
  <c r="E98" i="10" s="1"/>
  <c r="J99" i="10"/>
  <c r="H99" i="10"/>
  <c r="G99" i="10"/>
  <c r="E100" i="10"/>
  <c r="B80" i="10"/>
  <c r="AA81" i="10"/>
  <c r="C81" i="10" s="1"/>
  <c r="B82" i="10"/>
  <c r="J82" i="10"/>
  <c r="AE82" i="10"/>
  <c r="A82" i="10" s="1"/>
  <c r="E82" i="10" s="1"/>
  <c r="J83" i="10"/>
  <c r="AH83" i="10"/>
  <c r="H84" i="10"/>
  <c r="AH84" i="10"/>
  <c r="B84" i="10" s="1"/>
  <c r="F87" i="10"/>
  <c r="AA87" i="10"/>
  <c r="C87" i="10" s="1"/>
  <c r="E87" i="10" s="1"/>
  <c r="B88" i="10"/>
  <c r="J88" i="10"/>
  <c r="AE88" i="10"/>
  <c r="J89" i="10"/>
  <c r="AH89" i="10"/>
  <c r="B89" i="10" s="1"/>
  <c r="H90" i="10"/>
  <c r="AH90" i="10"/>
  <c r="J91" i="10"/>
  <c r="H91" i="10"/>
  <c r="A92" i="10"/>
  <c r="E92" i="10" s="1"/>
  <c r="E95" i="10"/>
  <c r="J97" i="10"/>
  <c r="H97" i="10"/>
  <c r="J101" i="10"/>
  <c r="H101" i="10"/>
  <c r="G101" i="10"/>
  <c r="E102" i="10"/>
  <c r="AA107" i="10"/>
  <c r="C107" i="10" s="1"/>
  <c r="E108" i="10"/>
  <c r="AH109" i="10"/>
  <c r="B109" i="10"/>
  <c r="E109" i="10" s="1"/>
  <c r="AA111" i="10"/>
  <c r="C111" i="10" s="1"/>
  <c r="I113" i="10"/>
  <c r="G113" i="10"/>
  <c r="AH120" i="10"/>
  <c r="B120" i="10"/>
  <c r="F120" i="10"/>
  <c r="F121" i="10"/>
  <c r="AH121" i="10"/>
  <c r="B121" i="10" s="1"/>
  <c r="J124" i="10"/>
  <c r="H124" i="10"/>
  <c r="AA124" i="10"/>
  <c r="C124" i="10" s="1"/>
  <c r="G124" i="10"/>
  <c r="AH126" i="10"/>
  <c r="B126" i="10"/>
  <c r="F126" i="10"/>
  <c r="A132" i="10"/>
  <c r="B97" i="10"/>
  <c r="B99" i="10"/>
  <c r="AA99" i="10"/>
  <c r="C99" i="10" s="1"/>
  <c r="B101" i="10"/>
  <c r="E101" i="10" s="1"/>
  <c r="AA101" i="10"/>
  <c r="C101" i="10" s="1"/>
  <c r="AA114" i="10"/>
  <c r="C114" i="10" s="1"/>
  <c r="H134" i="10"/>
  <c r="J134" i="10"/>
  <c r="G134" i="10"/>
  <c r="B134" i="10"/>
  <c r="E134" i="10" s="1"/>
  <c r="F134" i="10"/>
  <c r="AH134" i="10"/>
  <c r="AE136" i="10"/>
  <c r="AB136" i="10"/>
  <c r="D136" i="10" s="1"/>
  <c r="J137" i="10"/>
  <c r="H137" i="10"/>
  <c r="F137" i="10"/>
  <c r="AH147" i="10"/>
  <c r="B147" i="10" s="1"/>
  <c r="F147" i="10"/>
  <c r="AA103" i="10"/>
  <c r="C103" i="10" s="1"/>
  <c r="E103" i="10" s="1"/>
  <c r="E104" i="10"/>
  <c r="AH105" i="10"/>
  <c r="B105" i="10" s="1"/>
  <c r="I107" i="10"/>
  <c r="AA109" i="10"/>
  <c r="C109" i="10" s="1"/>
  <c r="I111" i="10"/>
  <c r="G111" i="10"/>
  <c r="A113" i="10"/>
  <c r="E113" i="10" s="1"/>
  <c r="H114" i="10"/>
  <c r="AA115" i="10"/>
  <c r="C115" i="10" s="1"/>
  <c r="J120" i="10"/>
  <c r="H120" i="10"/>
  <c r="AA120" i="10"/>
  <c r="C120" i="10" s="1"/>
  <c r="G120" i="10"/>
  <c r="AH122" i="10"/>
  <c r="B122" i="10" s="1"/>
  <c r="F122" i="10"/>
  <c r="F123" i="10"/>
  <c r="B123" i="10"/>
  <c r="AH123" i="10"/>
  <c r="J126" i="10"/>
  <c r="H126" i="10"/>
  <c r="AA126" i="10"/>
  <c r="C126" i="10" s="1"/>
  <c r="G126" i="10"/>
  <c r="AE129" i="10"/>
  <c r="A129" i="10" s="1"/>
  <c r="E129" i="10" s="1"/>
  <c r="AB129" i="10"/>
  <c r="D129" i="10" s="1"/>
  <c r="H130" i="10"/>
  <c r="J130" i="10"/>
  <c r="I130" i="10"/>
  <c r="G130" i="10"/>
  <c r="AE140" i="10"/>
  <c r="A140" i="10" s="1"/>
  <c r="E140" i="10" s="1"/>
  <c r="AB140" i="10"/>
  <c r="D140" i="10" s="1"/>
  <c r="F103" i="10"/>
  <c r="AB103" i="10"/>
  <c r="D103" i="10" s="1"/>
  <c r="AH106" i="10"/>
  <c r="B106" i="10" s="1"/>
  <c r="AE107" i="10"/>
  <c r="F108" i="10"/>
  <c r="F109" i="10"/>
  <c r="AB109" i="10"/>
  <c r="D109" i="10" s="1"/>
  <c r="B110" i="10"/>
  <c r="E110" i="10" s="1"/>
  <c r="F110" i="10"/>
  <c r="AE111" i="10"/>
  <c r="AH112" i="10"/>
  <c r="B112" i="10" s="1"/>
  <c r="E112" i="10" s="1"/>
  <c r="B116" i="10"/>
  <c r="E116" i="10" s="1"/>
  <c r="AH116" i="10"/>
  <c r="F116" i="10"/>
  <c r="AH118" i="10"/>
  <c r="B118" i="10"/>
  <c r="F118" i="10"/>
  <c r="AE142" i="10"/>
  <c r="AB142" i="10"/>
  <c r="D142" i="10" s="1"/>
  <c r="A142" i="10"/>
  <c r="G103" i="10"/>
  <c r="I103" i="10"/>
  <c r="A107" i="10"/>
  <c r="AH107" i="10"/>
  <c r="B107" i="10" s="1"/>
  <c r="G109" i="10"/>
  <c r="I109" i="10"/>
  <c r="A111" i="10"/>
  <c r="E111" i="10" s="1"/>
  <c r="I115" i="10"/>
  <c r="G115" i="10"/>
  <c r="F117" i="10"/>
  <c r="B117" i="10"/>
  <c r="E117" i="10" s="1"/>
  <c r="J118" i="10"/>
  <c r="H118" i="10"/>
  <c r="F119" i="10"/>
  <c r="AH119" i="10"/>
  <c r="B119" i="10" s="1"/>
  <c r="J122" i="10"/>
  <c r="H122" i="10"/>
  <c r="AA122" i="10"/>
  <c r="C122" i="10" s="1"/>
  <c r="G122" i="10"/>
  <c r="AH124" i="10"/>
  <c r="B124" i="10"/>
  <c r="F124" i="10"/>
  <c r="F125" i="10"/>
  <c r="B125" i="10"/>
  <c r="AH125" i="10"/>
  <c r="I151" i="10"/>
  <c r="H151" i="10"/>
  <c r="J151" i="10"/>
  <c r="G151" i="10"/>
  <c r="AH135" i="10"/>
  <c r="AH141" i="10"/>
  <c r="B141" i="10"/>
  <c r="AB153" i="10"/>
  <c r="D153" i="10" s="1"/>
  <c r="AE153" i="10"/>
  <c r="A153" i="10" s="1"/>
  <c r="B129" i="10"/>
  <c r="F129" i="10"/>
  <c r="E131" i="10"/>
  <c r="I135" i="10"/>
  <c r="J135" i="10"/>
  <c r="G135" i="10"/>
  <c r="A136" i="10"/>
  <c r="F136" i="10"/>
  <c r="B136" i="10"/>
  <c r="F140" i="10"/>
  <c r="B140" i="10"/>
  <c r="F142" i="10"/>
  <c r="AH143" i="10"/>
  <c r="B143" i="10"/>
  <c r="F143" i="10"/>
  <c r="F146" i="10"/>
  <c r="AB118" i="10"/>
  <c r="D118" i="10" s="1"/>
  <c r="AB120" i="10"/>
  <c r="D120" i="10" s="1"/>
  <c r="AB122" i="10"/>
  <c r="D122" i="10" s="1"/>
  <c r="AB124" i="10"/>
  <c r="D124" i="10" s="1"/>
  <c r="AB126" i="10"/>
  <c r="D126" i="10" s="1"/>
  <c r="AE128" i="10"/>
  <c r="A128" i="10" s="1"/>
  <c r="E128" i="10" s="1"/>
  <c r="AB132" i="10"/>
  <c r="D132" i="10" s="1"/>
  <c r="J133" i="10"/>
  <c r="H133" i="10"/>
  <c r="B135" i="10"/>
  <c r="AA135" i="10"/>
  <c r="C135" i="10" s="1"/>
  <c r="AE138" i="10"/>
  <c r="A138" i="10" s="1"/>
  <c r="E138" i="10" s="1"/>
  <c r="AB138" i="10"/>
  <c r="D138" i="10" s="1"/>
  <c r="F139" i="10"/>
  <c r="F144" i="10"/>
  <c r="B144" i="10"/>
  <c r="AH144" i="10"/>
  <c r="I145" i="10"/>
  <c r="H145" i="10"/>
  <c r="J145" i="10"/>
  <c r="B111" i="10"/>
  <c r="B113" i="10"/>
  <c r="B115" i="10"/>
  <c r="I118" i="10"/>
  <c r="AE119" i="10"/>
  <c r="A119" i="10" s="1"/>
  <c r="I120" i="10"/>
  <c r="AE121" i="10"/>
  <c r="A121" i="10" s="1"/>
  <c r="I122" i="10"/>
  <c r="AE123" i="10"/>
  <c r="A123" i="10" s="1"/>
  <c r="I124" i="10"/>
  <c r="AE125" i="10"/>
  <c r="A125" i="10" s="1"/>
  <c r="E125" i="10" s="1"/>
  <c r="I126" i="10"/>
  <c r="AH128" i="10"/>
  <c r="B128" i="10" s="1"/>
  <c r="AH129" i="10"/>
  <c r="F131" i="10"/>
  <c r="AA133" i="10"/>
  <c r="C133" i="10" s="1"/>
  <c r="E133" i="10" s="1"/>
  <c r="I134" i="10"/>
  <c r="AB135" i="10"/>
  <c r="D135" i="10" s="1"/>
  <c r="A135" i="10"/>
  <c r="AH136" i="10"/>
  <c r="AE137" i="10"/>
  <c r="A137" i="10" s="1"/>
  <c r="E137" i="10" s="1"/>
  <c r="AB139" i="10"/>
  <c r="D139" i="10" s="1"/>
  <c r="A139" i="10"/>
  <c r="E139" i="10" s="1"/>
  <c r="AH140" i="10"/>
  <c r="AH142" i="10"/>
  <c r="B142" i="10" s="1"/>
  <c r="A144" i="10"/>
  <c r="AA145" i="10"/>
  <c r="C145" i="10" s="1"/>
  <c r="AH146" i="10"/>
  <c r="B146" i="10" s="1"/>
  <c r="E146" i="10" s="1"/>
  <c r="AB147" i="10"/>
  <c r="D147" i="10" s="1"/>
  <c r="A147" i="10"/>
  <c r="AE147" i="10"/>
  <c r="AE148" i="10"/>
  <c r="A148" i="10"/>
  <c r="AB148" i="10"/>
  <c r="D148" i="10" s="1"/>
  <c r="AE118" i="10"/>
  <c r="A118" i="10" s="1"/>
  <c r="AE120" i="10"/>
  <c r="A120" i="10" s="1"/>
  <c r="AE122" i="10"/>
  <c r="A122" i="10" s="1"/>
  <c r="AE124" i="10"/>
  <c r="A124" i="10" s="1"/>
  <c r="E124" i="10" s="1"/>
  <c r="AE126" i="10"/>
  <c r="A126" i="10" s="1"/>
  <c r="E126" i="10" s="1"/>
  <c r="A130" i="10"/>
  <c r="B130" i="10"/>
  <c r="F130" i="10"/>
  <c r="J132" i="10"/>
  <c r="AE132" i="10"/>
  <c r="I132" i="10"/>
  <c r="F133" i="10"/>
  <c r="F135" i="10"/>
  <c r="F138" i="10"/>
  <c r="B138" i="10"/>
  <c r="AB141" i="10"/>
  <c r="D141" i="10" s="1"/>
  <c r="A141" i="10"/>
  <c r="E141" i="10" s="1"/>
  <c r="AE141" i="10"/>
  <c r="A143" i="10"/>
  <c r="F152" i="10"/>
  <c r="AH152" i="10"/>
  <c r="B152" i="10"/>
  <c r="E152" i="10" s="1"/>
  <c r="F159" i="10"/>
  <c r="J159" i="10"/>
  <c r="H159" i="10"/>
  <c r="I160" i="10"/>
  <c r="G160" i="10"/>
  <c r="A160" i="10"/>
  <c r="AH149" i="10"/>
  <c r="B149" i="10" s="1"/>
  <c r="E149" i="10" s="1"/>
  <c r="AA151" i="10"/>
  <c r="C151" i="10" s="1"/>
  <c r="G159" i="10"/>
  <c r="I159" i="10"/>
  <c r="AA134" i="10"/>
  <c r="C134" i="10" s="1"/>
  <c r="AH137" i="10"/>
  <c r="B137" i="10" s="1"/>
  <c r="J139" i="10"/>
  <c r="I143" i="10"/>
  <c r="H143" i="10"/>
  <c r="AB145" i="10"/>
  <c r="D145" i="10" s="1"/>
  <c r="I149" i="10"/>
  <c r="H149" i="10"/>
  <c r="AB151" i="10"/>
  <c r="D151" i="10" s="1"/>
  <c r="AH159" i="10"/>
  <c r="B159" i="10" s="1"/>
  <c r="AA130" i="10"/>
  <c r="C130" i="10" s="1"/>
  <c r="AH139" i="10"/>
  <c r="B139" i="10" s="1"/>
  <c r="I141" i="10"/>
  <c r="H141" i="10"/>
  <c r="AB143" i="10"/>
  <c r="D143" i="10" s="1"/>
  <c r="AB146" i="10"/>
  <c r="D146" i="10" s="1"/>
  <c r="I147" i="10"/>
  <c r="H147" i="10"/>
  <c r="F149" i="10"/>
  <c r="AB149" i="10"/>
  <c r="D149" i="10" s="1"/>
  <c r="AE152" i="10"/>
  <c r="AB152" i="10"/>
  <c r="D152" i="10" s="1"/>
  <c r="AH145" i="10"/>
  <c r="B145" i="10" s="1"/>
  <c r="E145" i="10" s="1"/>
  <c r="F148" i="10"/>
  <c r="B148" i="10"/>
  <c r="AH151" i="10"/>
  <c r="B151" i="10"/>
  <c r="E151" i="10" s="1"/>
  <c r="AH153" i="10"/>
  <c r="B153" i="10" s="1"/>
  <c r="F153" i="10"/>
  <c r="AE160" i="10"/>
  <c r="AB159" i="10"/>
  <c r="D159" i="10" s="1"/>
  <c r="F160" i="10"/>
  <c r="AE159" i="10"/>
  <c r="A159" i="10" s="1"/>
  <c r="Q158" i="10"/>
  <c r="U154" i="10"/>
  <c r="X156" i="10"/>
  <c r="N158" i="10"/>
  <c r="Q155" i="10"/>
  <c r="U156" i="10"/>
  <c r="R158" i="10"/>
  <c r="N159" i="10"/>
  <c r="N156" i="10"/>
  <c r="T156" i="10"/>
  <c r="AF36" i="9"/>
  <c r="H15" i="9"/>
  <c r="R15" i="9"/>
  <c r="Y36" i="9"/>
  <c r="F1781" i="5"/>
  <c r="F1769" i="5"/>
  <c r="F1780" i="5"/>
  <c r="F1768" i="5"/>
  <c r="F1756" i="5"/>
  <c r="F1744" i="5"/>
  <c r="F1732" i="5"/>
  <c r="F1720" i="5"/>
  <c r="F1708" i="5"/>
  <c r="F1696" i="5"/>
  <c r="F1684" i="5"/>
  <c r="F1672" i="5"/>
  <c r="G1660" i="5"/>
  <c r="G1648" i="5"/>
  <c r="G1636" i="5"/>
  <c r="G1624" i="5"/>
  <c r="G1612" i="5"/>
  <c r="G1600" i="5"/>
  <c r="G1588" i="5"/>
  <c r="G1785" i="5"/>
  <c r="G1773" i="5"/>
  <c r="G1762" i="5"/>
  <c r="G1756" i="5"/>
  <c r="G1750" i="5"/>
  <c r="G1744" i="5"/>
  <c r="G1738" i="5"/>
  <c r="G1732" i="5"/>
  <c r="G1726" i="5"/>
  <c r="G1720" i="5"/>
  <c r="G1714" i="5"/>
  <c r="G1708" i="5"/>
  <c r="G1702" i="5"/>
  <c r="G1696" i="5"/>
  <c r="G1690" i="5"/>
  <c r="G1684" i="5"/>
  <c r="G1678" i="5"/>
  <c r="G1672" i="5"/>
  <c r="F1666" i="5"/>
  <c r="E1783" i="5"/>
  <c r="E1771" i="5"/>
  <c r="F1761" i="5"/>
  <c r="F1755" i="5"/>
  <c r="F1749" i="5"/>
  <c r="F1743" i="5"/>
  <c r="F1737" i="5"/>
  <c r="F1731" i="5"/>
  <c r="F1725" i="5"/>
  <c r="F1719" i="5"/>
  <c r="F1713" i="5"/>
  <c r="F1707" i="5"/>
  <c r="F1701" i="5"/>
  <c r="F1695" i="5"/>
  <c r="F1689" i="5"/>
  <c r="F1683" i="5"/>
  <c r="F1677" i="5"/>
  <c r="F1671" i="5"/>
  <c r="E1665" i="5"/>
  <c r="E1654" i="5"/>
  <c r="G1764" i="5"/>
  <c r="H1746" i="5"/>
  <c r="H1728" i="5"/>
  <c r="H1710" i="5"/>
  <c r="H1692" i="5"/>
  <c r="H1674" i="5"/>
  <c r="E1656" i="5"/>
  <c r="G1645" i="5"/>
  <c r="H1634" i="5"/>
  <c r="H1623" i="5"/>
  <c r="E1617" i="5"/>
  <c r="E1606" i="5"/>
  <c r="F1595" i="5"/>
  <c r="F1584" i="5"/>
  <c r="E1790" i="5"/>
  <c r="E1776" i="5"/>
  <c r="E1764" i="5"/>
  <c r="H1733" i="5"/>
  <c r="E1786" i="5"/>
  <c r="E1774" i="5"/>
  <c r="H1761" i="5"/>
  <c r="H1725" i="5"/>
  <c r="H1689" i="5"/>
  <c r="E1657" i="5"/>
  <c r="H1640" i="5"/>
  <c r="H1760" i="5"/>
  <c r="H1742" i="5"/>
  <c r="H1724" i="5"/>
  <c r="H1706" i="5"/>
  <c r="H1688" i="5"/>
  <c r="H1670" i="5"/>
  <c r="E1650" i="5"/>
  <c r="F1640" i="5"/>
  <c r="G1629" i="5"/>
  <c r="H1618" i="5"/>
  <c r="H1607" i="5"/>
  <c r="E1784" i="5"/>
  <c r="E1772" i="5"/>
  <c r="H1759" i="5"/>
  <c r="H1723" i="5"/>
  <c r="H1687" i="5"/>
  <c r="H1656" i="5"/>
  <c r="H1645" i="5"/>
  <c r="E1639" i="5"/>
  <c r="E1628" i="5"/>
  <c r="F1617" i="5"/>
  <c r="F1606" i="5"/>
  <c r="G1595" i="5"/>
  <c r="H1584" i="5"/>
  <c r="E1578" i="5"/>
  <c r="E1572" i="5"/>
  <c r="E1566" i="5"/>
  <c r="E1560" i="5"/>
  <c r="E1554" i="5"/>
  <c r="E1548" i="5"/>
  <c r="X157" i="10"/>
  <c r="O154" i="10"/>
  <c r="R156" i="10"/>
  <c r="U157" i="10"/>
  <c r="X154" i="10"/>
  <c r="O156" i="10"/>
  <c r="U155" i="10"/>
  <c r="V157" i="10"/>
  <c r="V154" i="10"/>
  <c r="S154" i="10"/>
  <c r="V36" i="9"/>
  <c r="AM36" i="9"/>
  <c r="A15" i="9" a="1"/>
  <c r="D36" i="9"/>
  <c r="F1779" i="5"/>
  <c r="F1767" i="5"/>
  <c r="F1778" i="5"/>
  <c r="F1766" i="5"/>
  <c r="F1754" i="5"/>
  <c r="F1742" i="5"/>
  <c r="F1730" i="5"/>
  <c r="F1718" i="5"/>
  <c r="F1706" i="5"/>
  <c r="F1694" i="5"/>
  <c r="F1682" i="5"/>
  <c r="F1670" i="5"/>
  <c r="G1658" i="5"/>
  <c r="G1646" i="5"/>
  <c r="G1634" i="5"/>
  <c r="G1622" i="5"/>
  <c r="G1610" i="5"/>
  <c r="G1598" i="5"/>
  <c r="G1586" i="5"/>
  <c r="G1783" i="5"/>
  <c r="G1771" i="5"/>
  <c r="G1761" i="5"/>
  <c r="G1755" i="5"/>
  <c r="G1749" i="5"/>
  <c r="G1743" i="5"/>
  <c r="G1737" i="5"/>
  <c r="G1731" i="5"/>
  <c r="G1725" i="5"/>
  <c r="G1719" i="5"/>
  <c r="G1713" i="5"/>
  <c r="G1707" i="5"/>
  <c r="G1701" i="5"/>
  <c r="G1695" i="5"/>
  <c r="G1689" i="5"/>
  <c r="G1683" i="5"/>
  <c r="G1677" i="5"/>
  <c r="G1671" i="5"/>
  <c r="F1665" i="5"/>
  <c r="E1781" i="5"/>
  <c r="E1769" i="5"/>
  <c r="E1760" i="5"/>
  <c r="E1754" i="5"/>
  <c r="E1748" i="5"/>
  <c r="E1742" i="5"/>
  <c r="E1736" i="5"/>
  <c r="E1730" i="5"/>
  <c r="E1724" i="5"/>
  <c r="E1718" i="5"/>
  <c r="E1712" i="5"/>
  <c r="E1706" i="5"/>
  <c r="E1700" i="5"/>
  <c r="E1694" i="5"/>
  <c r="E1688" i="5"/>
  <c r="E1682" i="5"/>
  <c r="E1676" i="5"/>
  <c r="E1670" i="5"/>
  <c r="H1659" i="5"/>
  <c r="E1653" i="5"/>
  <c r="E1759" i="5"/>
  <c r="E1741" i="5"/>
  <c r="E1723" i="5"/>
  <c r="E1705" i="5"/>
  <c r="E1687" i="5"/>
  <c r="E1669" i="5"/>
  <c r="H1653" i="5"/>
  <c r="F1644" i="5"/>
  <c r="G1633" i="5"/>
  <c r="H1622" i="5"/>
  <c r="H1611" i="5"/>
  <c r="E1605" i="5"/>
  <c r="E1594" i="5"/>
  <c r="F1583" i="5"/>
  <c r="H1787" i="5"/>
  <c r="H1775" i="5"/>
  <c r="H1763" i="5"/>
  <c r="H1727" i="5"/>
  <c r="H1785" i="5"/>
  <c r="H1773" i="5"/>
  <c r="H1755" i="5"/>
  <c r="H1719" i="5"/>
  <c r="H1683" i="5"/>
  <c r="E1655" i="5"/>
  <c r="G1784" i="5"/>
  <c r="E1755" i="5"/>
  <c r="E1737" i="5"/>
  <c r="E1719" i="5"/>
  <c r="E1701" i="5"/>
  <c r="E1683" i="5"/>
  <c r="E1661" i="5"/>
  <c r="H1648" i="5"/>
  <c r="F1639" i="5"/>
  <c r="F1628" i="5"/>
  <c r="G1617" i="5"/>
  <c r="H1606" i="5"/>
  <c r="H1783" i="5"/>
  <c r="H1771" i="5"/>
  <c r="H1753" i="5"/>
  <c r="H1717" i="5"/>
  <c r="H1681" i="5"/>
  <c r="F1654" i="5"/>
  <c r="H1644" i="5"/>
  <c r="H1633" i="5"/>
  <c r="E1627" i="5"/>
  <c r="E1616" i="5"/>
  <c r="F1605" i="5"/>
  <c r="F1594" i="5"/>
  <c r="G1583" i="5"/>
  <c r="H1577" i="5"/>
  <c r="H1571" i="5"/>
  <c r="H1565" i="5"/>
  <c r="H1559" i="5"/>
  <c r="H1553" i="5"/>
  <c r="H1547" i="5"/>
  <c r="R157" i="10"/>
  <c r="V158" i="10"/>
  <c r="S155" i="10"/>
  <c r="O157" i="10"/>
  <c r="R154" i="10"/>
  <c r="V155" i="10"/>
  <c r="P154" i="10"/>
  <c r="Q156" i="10"/>
  <c r="P157" i="10"/>
  <c r="AJ15" i="9"/>
  <c r="K36" i="9"/>
  <c r="R36" i="9"/>
  <c r="AC36" i="9"/>
  <c r="A82" i="7"/>
  <c r="F1777" i="5"/>
  <c r="F1765" i="5"/>
  <c r="F1776" i="5"/>
  <c r="F1764" i="5"/>
  <c r="F1752" i="5"/>
  <c r="F1740" i="5"/>
  <c r="F1728" i="5"/>
  <c r="F1716" i="5"/>
  <c r="F1704" i="5"/>
  <c r="F1692" i="5"/>
  <c r="F1680" i="5"/>
  <c r="F1668" i="5"/>
  <c r="G1656" i="5"/>
  <c r="G1644" i="5"/>
  <c r="G1632" i="5"/>
  <c r="G1620" i="5"/>
  <c r="G1608" i="5"/>
  <c r="G1596" i="5"/>
  <c r="G1584" i="5"/>
  <c r="G1781" i="5"/>
  <c r="G1769" i="5"/>
  <c r="G1760" i="5"/>
  <c r="G1754" i="5"/>
  <c r="G1748" i="5"/>
  <c r="G1742" i="5"/>
  <c r="G1736" i="5"/>
  <c r="G1730" i="5"/>
  <c r="G1724" i="5"/>
  <c r="G1718" i="5"/>
  <c r="G1712" i="5"/>
  <c r="G1706" i="5"/>
  <c r="G1700" i="5"/>
  <c r="G1694" i="5"/>
  <c r="G1688" i="5"/>
  <c r="G1682" i="5"/>
  <c r="G1676" i="5"/>
  <c r="G1670" i="5"/>
  <c r="E1664" i="5"/>
  <c r="E1779" i="5"/>
  <c r="E1767" i="5"/>
  <c r="F1759" i="5"/>
  <c r="F1753" i="5"/>
  <c r="F1747" i="5"/>
  <c r="F1741" i="5"/>
  <c r="F1735" i="5"/>
  <c r="F1729" i="5"/>
  <c r="F1723" i="5"/>
  <c r="F1717" i="5"/>
  <c r="F1711" i="5"/>
  <c r="F1705" i="5"/>
  <c r="F1699" i="5"/>
  <c r="F1693" i="5"/>
  <c r="F1687" i="5"/>
  <c r="F1681" i="5"/>
  <c r="F1675" i="5"/>
  <c r="F1669" i="5"/>
  <c r="H1658" i="5"/>
  <c r="H1647" i="5"/>
  <c r="H1758" i="5"/>
  <c r="H1740" i="5"/>
  <c r="H1722" i="5"/>
  <c r="H1704" i="5"/>
  <c r="H1686" i="5"/>
  <c r="H1668" i="5"/>
  <c r="G1651" i="5"/>
  <c r="F1643" i="5"/>
  <c r="F1632" i="5"/>
  <c r="G1621" i="5"/>
  <c r="H1610" i="5"/>
  <c r="H1599" i="5"/>
  <c r="E1593" i="5"/>
  <c r="E1582" i="5"/>
  <c r="H1786" i="5"/>
  <c r="H1774" i="5"/>
  <c r="H1757" i="5"/>
  <c r="H1721" i="5"/>
  <c r="H1784" i="5"/>
  <c r="H1772" i="5"/>
  <c r="H1749" i="5"/>
  <c r="H1713" i="5"/>
  <c r="H1677" i="5"/>
  <c r="H1652" i="5"/>
  <c r="G1778" i="5"/>
  <c r="H1754" i="5"/>
  <c r="H1736" i="5"/>
  <c r="H1718" i="5"/>
  <c r="H1700" i="5"/>
  <c r="H1682" i="5"/>
  <c r="H1660" i="5"/>
  <c r="E1647" i="5"/>
  <c r="E1638" i="5"/>
  <c r="F1627" i="5"/>
  <c r="F1616" i="5"/>
  <c r="G1605" i="5"/>
  <c r="H1782" i="5"/>
  <c r="H1770" i="5"/>
  <c r="H1747" i="5"/>
  <c r="H1711" i="5"/>
  <c r="H1675" i="5"/>
  <c r="E1652" i="5"/>
  <c r="G1643" i="5"/>
  <c r="H1632" i="5"/>
  <c r="H1621" i="5"/>
  <c r="E1615" i="5"/>
  <c r="E1604" i="5"/>
  <c r="F1593" i="5"/>
  <c r="F1582" i="5"/>
  <c r="E1576" i="5"/>
  <c r="E1570" i="5"/>
  <c r="E1564" i="5"/>
  <c r="E1558" i="5"/>
  <c r="E1552" i="5"/>
  <c r="E1546" i="5"/>
  <c r="W157" i="10"/>
  <c r="P156" i="10"/>
  <c r="W154" i="10"/>
  <c r="X158" i="10"/>
  <c r="O15" i="9"/>
  <c r="O36" i="9"/>
  <c r="F1785" i="5"/>
  <c r="F1784" i="5"/>
  <c r="F1760" i="5"/>
  <c r="F1736" i="5"/>
  <c r="F1712" i="5"/>
  <c r="F1688" i="5"/>
  <c r="G1664" i="5"/>
  <c r="G1640" i="5"/>
  <c r="G1616" i="5"/>
  <c r="G1592" i="5"/>
  <c r="G1777" i="5"/>
  <c r="G1758" i="5"/>
  <c r="G1746" i="5"/>
  <c r="G1734" i="5"/>
  <c r="G1722" i="5"/>
  <c r="G1710" i="5"/>
  <c r="G1698" i="5"/>
  <c r="G1686" i="5"/>
  <c r="G1674" i="5"/>
  <c r="E1787" i="5"/>
  <c r="F1763" i="5"/>
  <c r="F1751" i="5"/>
  <c r="F1739" i="5"/>
  <c r="F1727" i="5"/>
  <c r="F1715" i="5"/>
  <c r="F1703" i="5"/>
  <c r="F1691" i="5"/>
  <c r="F1679" i="5"/>
  <c r="F1667" i="5"/>
  <c r="G1776" i="5"/>
  <c r="H1734" i="5"/>
  <c r="H1698" i="5"/>
  <c r="H1662" i="5"/>
  <c r="E1641" i="5"/>
  <c r="F1619" i="5"/>
  <c r="G1597" i="5"/>
  <c r="G1577" i="5"/>
  <c r="H1769" i="5"/>
  <c r="H1709" i="5"/>
  <c r="H1767" i="5"/>
  <c r="H1701" i="5"/>
  <c r="F1647" i="5"/>
  <c r="H1748" i="5"/>
  <c r="H1712" i="5"/>
  <c r="H1676" i="5"/>
  <c r="H1642" i="5"/>
  <c r="E1625" i="5"/>
  <c r="F1603" i="5"/>
  <c r="H1765" i="5"/>
  <c r="H1699" i="5"/>
  <c r="H1649" i="5"/>
  <c r="F1630" i="5"/>
  <c r="H1608" i="5"/>
  <c r="E1591" i="5"/>
  <c r="E1574" i="5"/>
  <c r="E1562" i="5"/>
  <c r="E1550" i="5"/>
  <c r="G1665" i="5"/>
  <c r="H1650" i="5"/>
  <c r="G1601" i="5"/>
  <c r="G1568" i="5"/>
  <c r="G1556" i="5"/>
  <c r="G1543" i="5"/>
  <c r="G1531" i="5"/>
  <c r="H1519" i="5"/>
  <c r="H1513" i="5"/>
  <c r="H1507" i="5"/>
  <c r="H1501" i="5"/>
  <c r="H1495" i="5"/>
  <c r="H1489" i="5"/>
  <c r="H1483" i="5"/>
  <c r="H1477" i="5"/>
  <c r="E1721" i="5"/>
  <c r="F1664" i="5"/>
  <c r="F1626" i="5"/>
  <c r="H1600" i="5"/>
  <c r="F1586" i="5"/>
  <c r="G1566" i="5"/>
  <c r="G1554" i="5"/>
  <c r="F1539" i="5"/>
  <c r="F1527" i="5"/>
  <c r="G1515" i="5"/>
  <c r="G1503" i="5"/>
  <c r="E1763" i="5"/>
  <c r="H1690" i="5"/>
  <c r="H1672" i="5"/>
  <c r="E1601" i="5"/>
  <c r="H1592" i="5"/>
  <c r="E1575" i="5"/>
  <c r="H1562" i="5"/>
  <c r="H1550" i="5"/>
  <c r="H1540" i="5"/>
  <c r="H1534" i="5"/>
  <c r="G1768" i="5"/>
  <c r="G1659" i="5"/>
  <c r="H1636" i="5"/>
  <c r="H1627" i="5"/>
  <c r="E1620" i="5"/>
  <c r="F1610" i="5"/>
  <c r="G1599" i="5"/>
  <c r="E1590" i="5"/>
  <c r="H1576" i="5"/>
  <c r="F1563" i="5"/>
  <c r="F1551" i="5"/>
  <c r="G1540" i="5"/>
  <c r="G1528" i="5"/>
  <c r="H1518" i="5"/>
  <c r="H1512" i="5"/>
  <c r="H1506" i="5"/>
  <c r="H1500" i="5"/>
  <c r="H1494" i="5"/>
  <c r="H1488" i="5"/>
  <c r="E1662" i="5"/>
  <c r="G1637" i="5"/>
  <c r="G1625" i="5"/>
  <c r="W158" i="10"/>
  <c r="Q157" i="10"/>
  <c r="W155" i="10"/>
  <c r="Q154" i="10"/>
  <c r="S157" i="10"/>
  <c r="D15" i="9"/>
  <c r="AF15" i="9"/>
  <c r="F1783" i="5"/>
  <c r="F1782" i="5"/>
  <c r="F1758" i="5"/>
  <c r="F1734" i="5"/>
  <c r="F1710" i="5"/>
  <c r="F1686" i="5"/>
  <c r="G1662" i="5"/>
  <c r="G1638" i="5"/>
  <c r="G1614" i="5"/>
  <c r="G1590" i="5"/>
  <c r="G1775" i="5"/>
  <c r="G1757" i="5"/>
  <c r="G1745" i="5"/>
  <c r="G1733" i="5"/>
  <c r="G1721" i="5"/>
  <c r="G1709" i="5"/>
  <c r="G1697" i="5"/>
  <c r="G1685" i="5"/>
  <c r="G1673" i="5"/>
  <c r="E1785" i="5"/>
  <c r="E1762" i="5"/>
  <c r="E1750" i="5"/>
  <c r="E1738" i="5"/>
  <c r="E1726" i="5"/>
  <c r="E1714" i="5"/>
  <c r="E1702" i="5"/>
  <c r="E1690" i="5"/>
  <c r="E1678" i="5"/>
  <c r="E1666" i="5"/>
  <c r="G1770" i="5"/>
  <c r="E1729" i="5"/>
  <c r="E1693" i="5"/>
  <c r="E1660" i="5"/>
  <c r="H1635" i="5"/>
  <c r="E1618" i="5"/>
  <c r="F1596" i="5"/>
  <c r="G1575" i="5"/>
  <c r="H1768" i="5"/>
  <c r="H1703" i="5"/>
  <c r="H1766" i="5"/>
  <c r="H1695" i="5"/>
  <c r="H1641" i="5"/>
  <c r="E1743" i="5"/>
  <c r="E1707" i="5"/>
  <c r="E1671" i="5"/>
  <c r="G1641" i="5"/>
  <c r="H1619" i="5"/>
  <c r="E1602" i="5"/>
  <c r="H1764" i="5"/>
  <c r="H1693" i="5"/>
  <c r="F1648" i="5"/>
  <c r="F1629" i="5"/>
  <c r="G1607" i="5"/>
  <c r="H1585" i="5"/>
  <c r="H1573" i="5"/>
  <c r="H1561" i="5"/>
  <c r="H1549" i="5"/>
  <c r="H1664" i="5"/>
  <c r="E1644" i="5"/>
  <c r="E1598" i="5"/>
  <c r="G1567" i="5"/>
  <c r="G1555" i="5"/>
  <c r="G1541" i="5"/>
  <c r="G1529" i="5"/>
  <c r="E1518" i="5"/>
  <c r="E1512" i="5"/>
  <c r="E1506" i="5"/>
  <c r="E1500" i="5"/>
  <c r="E1494" i="5"/>
  <c r="E1488" i="5"/>
  <c r="E1482" i="5"/>
  <c r="E1476" i="5"/>
  <c r="H1697" i="5"/>
  <c r="G1661" i="5"/>
  <c r="H1616" i="5"/>
  <c r="F1597" i="5"/>
  <c r="F1577" i="5"/>
  <c r="G1565" i="5"/>
  <c r="G1553" i="5"/>
  <c r="F1537" i="5"/>
  <c r="F1525" i="5"/>
  <c r="G1513" i="5"/>
  <c r="G1501" i="5"/>
  <c r="H1732" i="5"/>
  <c r="E1685" i="5"/>
  <c r="G1663" i="5"/>
  <c r="F1600" i="5"/>
  <c r="G1591" i="5"/>
  <c r="E1567" i="5"/>
  <c r="E1555" i="5"/>
  <c r="E1545" i="5"/>
  <c r="E1539" i="5"/>
  <c r="E1533" i="5"/>
  <c r="H1738" i="5"/>
  <c r="F1649" i="5"/>
  <c r="G1635" i="5"/>
  <c r="H1625" i="5"/>
  <c r="H1617" i="5"/>
  <c r="F1609" i="5"/>
  <c r="E1595" i="5"/>
  <c r="F1589" i="5"/>
  <c r="H1574" i="5"/>
  <c r="G1562" i="5"/>
  <c r="G1550" i="5"/>
  <c r="G1538" i="5"/>
  <c r="G1526" i="5"/>
  <c r="E1517" i="5"/>
  <c r="E1511" i="5"/>
  <c r="E1505" i="5"/>
  <c r="E1499" i="5"/>
  <c r="E1493" i="5"/>
  <c r="H1744" i="5"/>
  <c r="F1659" i="5"/>
  <c r="F1636" i="5"/>
  <c r="F1624" i="5"/>
  <c r="S156" i="10"/>
  <c r="T154" i="10"/>
  <c r="S158" i="10"/>
  <c r="O158" i="10"/>
  <c r="X155" i="10"/>
  <c r="A36" i="9" a="1"/>
  <c r="H36" i="9"/>
  <c r="F1775" i="5"/>
  <c r="F1774" i="5"/>
  <c r="F1750" i="5"/>
  <c r="F1726" i="5"/>
  <c r="F1702" i="5"/>
  <c r="F1678" i="5"/>
  <c r="G1654" i="5"/>
  <c r="G1630" i="5"/>
  <c r="G1606" i="5"/>
  <c r="G1582" i="5"/>
  <c r="G1767" i="5"/>
  <c r="G1753" i="5"/>
  <c r="G1741" i="5"/>
  <c r="G1729" i="5"/>
  <c r="G1717" i="5"/>
  <c r="G1705" i="5"/>
  <c r="G1693" i="5"/>
  <c r="G1681" i="5"/>
  <c r="G1669" i="5"/>
  <c r="E1777" i="5"/>
  <c r="E1758" i="5"/>
  <c r="E1746" i="5"/>
  <c r="E1734" i="5"/>
  <c r="E1722" i="5"/>
  <c r="E1710" i="5"/>
  <c r="E1698" i="5"/>
  <c r="E1686" i="5"/>
  <c r="E1674" i="5"/>
  <c r="G1657" i="5"/>
  <c r="E1753" i="5"/>
  <c r="E1717" i="5"/>
  <c r="E1681" i="5"/>
  <c r="G1649" i="5"/>
  <c r="F1631" i="5"/>
  <c r="G1609" i="5"/>
  <c r="H1587" i="5"/>
  <c r="E1782" i="5"/>
  <c r="H1751" i="5"/>
  <c r="E1780" i="5"/>
  <c r="H1743" i="5"/>
  <c r="H1671" i="5"/>
  <c r="G1772" i="5"/>
  <c r="E1731" i="5"/>
  <c r="E1695" i="5"/>
  <c r="F1658" i="5"/>
  <c r="E1637" i="5"/>
  <c r="F1615" i="5"/>
  <c r="E1778" i="5"/>
  <c r="H1741" i="5"/>
  <c r="H1669" i="5"/>
  <c r="F1642" i="5"/>
  <c r="H1620" i="5"/>
  <c r="E1603" i="5"/>
  <c r="F1581" i="5"/>
  <c r="H1569" i="5"/>
  <c r="H1557" i="5"/>
  <c r="H1756" i="5"/>
  <c r="H1661" i="5"/>
  <c r="H1638" i="5"/>
  <c r="F1587" i="5"/>
  <c r="H1566" i="5"/>
  <c r="H1554" i="5"/>
  <c r="G1539" i="5"/>
  <c r="G1527" i="5"/>
  <c r="H1517" i="5"/>
  <c r="H1511" i="5"/>
  <c r="H1505" i="5"/>
  <c r="H1499" i="5"/>
  <c r="H1493" i="5"/>
  <c r="H1487" i="5"/>
  <c r="H1481" i="5"/>
  <c r="G1774" i="5"/>
  <c r="H1691" i="5"/>
  <c r="F1657" i="5"/>
  <c r="F1614" i="5"/>
  <c r="H1591" i="5"/>
  <c r="F1575" i="5"/>
  <c r="H1564" i="5"/>
  <c r="H1552" i="5"/>
  <c r="F1535" i="5"/>
  <c r="F1523" i="5"/>
  <c r="G1511" i="5"/>
  <c r="G1499" i="5"/>
  <c r="E1727" i="5"/>
  <c r="H1684" i="5"/>
  <c r="F1645" i="5"/>
  <c r="E1597" i="5"/>
  <c r="F1590" i="5"/>
  <c r="F1566" i="5"/>
  <c r="F1554" i="5"/>
  <c r="H1544" i="5"/>
  <c r="H1538" i="5"/>
  <c r="H1532" i="5"/>
  <c r="E1733" i="5"/>
  <c r="E1645" i="5"/>
  <c r="F1634" i="5"/>
  <c r="H1624" i="5"/>
  <c r="H1615" i="5"/>
  <c r="E1608" i="5"/>
  <c r="H1594" i="5"/>
  <c r="H1588" i="5"/>
  <c r="G1573" i="5"/>
  <c r="G1561" i="5"/>
  <c r="G1549" i="5"/>
  <c r="G1536" i="5"/>
  <c r="G1524" i="5"/>
  <c r="H1516" i="5"/>
  <c r="H1510" i="5"/>
  <c r="H1504" i="5"/>
  <c r="H1498" i="5"/>
  <c r="H1492" i="5"/>
  <c r="E1739" i="5"/>
  <c r="G1653" i="5"/>
  <c r="F1635" i="5"/>
  <c r="F1623" i="5"/>
  <c r="F1611" i="5"/>
  <c r="F1588" i="5"/>
  <c r="G1579" i="5"/>
  <c r="G1571" i="5"/>
  <c r="G1559" i="5"/>
  <c r="T155" i="10"/>
  <c r="N154" i="10"/>
  <c r="T157" i="10"/>
  <c r="W156" i="10"/>
  <c r="O155" i="10"/>
  <c r="AM15" i="9"/>
  <c r="AC15" i="9"/>
  <c r="F1773" i="5"/>
  <c r="F1772" i="5"/>
  <c r="F1748" i="5"/>
  <c r="F1724" i="5"/>
  <c r="F1700" i="5"/>
  <c r="F1676" i="5"/>
  <c r="G1652" i="5"/>
  <c r="G1628" i="5"/>
  <c r="G1604" i="5"/>
  <c r="G1580" i="5"/>
  <c r="G1765" i="5"/>
  <c r="G1752" i="5"/>
  <c r="G1740" i="5"/>
  <c r="G1728" i="5"/>
  <c r="G1716" i="5"/>
  <c r="G1704" i="5"/>
  <c r="G1692" i="5"/>
  <c r="G1680" i="5"/>
  <c r="G1668" i="5"/>
  <c r="E1775" i="5"/>
  <c r="F1757" i="5"/>
  <c r="F1745" i="5"/>
  <c r="F1733" i="5"/>
  <c r="F1721" i="5"/>
  <c r="F1709" i="5"/>
  <c r="F1697" i="5"/>
  <c r="F1685" i="5"/>
  <c r="F1673" i="5"/>
  <c r="F1656" i="5"/>
  <c r="H1752" i="5"/>
  <c r="H1716" i="5"/>
  <c r="H1680" i="5"/>
  <c r="E1648" i="5"/>
  <c r="E1630" i="5"/>
  <c r="F1608" i="5"/>
  <c r="H1586" i="5"/>
  <c r="H1781" i="5"/>
  <c r="H1745" i="5"/>
  <c r="H1779" i="5"/>
  <c r="H1737" i="5"/>
  <c r="F1661" i="5"/>
  <c r="G1766" i="5"/>
  <c r="H1730" i="5"/>
  <c r="H1694" i="5"/>
  <c r="H1654" i="5"/>
  <c r="H1631" i="5"/>
  <c r="E1614" i="5"/>
  <c r="H1777" i="5"/>
  <c r="H1735" i="5"/>
  <c r="F1660" i="5"/>
  <c r="F1641" i="5"/>
  <c r="G1619" i="5"/>
  <c r="H1597" i="5"/>
  <c r="E1580" i="5"/>
  <c r="E1568" i="5"/>
  <c r="E1556" i="5"/>
  <c r="E1751" i="5"/>
  <c r="H1657" i="5"/>
  <c r="H1626" i="5"/>
  <c r="E1571" i="5"/>
  <c r="E1559" i="5"/>
  <c r="E1547" i="5"/>
  <c r="G1537" i="5"/>
  <c r="G1525" i="5"/>
  <c r="E1516" i="5"/>
  <c r="E1510" i="5"/>
  <c r="E1504" i="5"/>
  <c r="E1498" i="5"/>
  <c r="E1492" i="5"/>
  <c r="E1486" i="5"/>
  <c r="E1480" i="5"/>
  <c r="H1762" i="5"/>
  <c r="H1685" i="5"/>
  <c r="G1647" i="5"/>
  <c r="H1604" i="5"/>
  <c r="H1590" i="5"/>
  <c r="E1569" i="5"/>
  <c r="E1557" i="5"/>
  <c r="F1545" i="5"/>
  <c r="F1533" i="5"/>
  <c r="F1521" i="5"/>
  <c r="G1509" i="5"/>
  <c r="G1497" i="5"/>
  <c r="E1697" i="5"/>
  <c r="E1679" i="5"/>
  <c r="E1631" i="5"/>
  <c r="E1596" i="5"/>
  <c r="G1589" i="5"/>
  <c r="F1565" i="5"/>
  <c r="F1553" i="5"/>
  <c r="E1543" i="5"/>
  <c r="E1537" i="5"/>
  <c r="E1531" i="5"/>
  <c r="H1702" i="5"/>
  <c r="E1643" i="5"/>
  <c r="F1633" i="5"/>
  <c r="G1623" i="5"/>
  <c r="H1613" i="5"/>
  <c r="H1605" i="5"/>
  <c r="G1593" i="5"/>
  <c r="F1585" i="5"/>
  <c r="H1572" i="5"/>
  <c r="H1560" i="5"/>
  <c r="H1548" i="5"/>
  <c r="G1534" i="5"/>
  <c r="G1522" i="5"/>
  <c r="E1515" i="5"/>
  <c r="E1509" i="5"/>
  <c r="E1503" i="5"/>
  <c r="E1497" i="5"/>
  <c r="E1491" i="5"/>
  <c r="H1708" i="5"/>
  <c r="E1649" i="5"/>
  <c r="E1634" i="5"/>
  <c r="E1622" i="5"/>
  <c r="E1610" i="5"/>
  <c r="E1585" i="5"/>
  <c r="G1578" i="5"/>
  <c r="H1570" i="5"/>
  <c r="H1558" i="5"/>
  <c r="N155" i="10"/>
  <c r="T158" i="10"/>
  <c r="N157" i="10"/>
  <c r="R155" i="10"/>
  <c r="U158" i="10"/>
  <c r="V15" i="9"/>
  <c r="K15" i="9"/>
  <c r="F1771" i="5"/>
  <c r="F1770" i="5"/>
  <c r="F1746" i="5"/>
  <c r="F1722" i="5"/>
  <c r="F1698" i="5"/>
  <c r="F1674" i="5"/>
  <c r="G1650" i="5"/>
  <c r="G1626" i="5"/>
  <c r="G1602" i="5"/>
  <c r="G1787" i="5"/>
  <c r="G1763" i="5"/>
  <c r="G1751" i="5"/>
  <c r="G1739" i="5"/>
  <c r="G1727" i="5"/>
  <c r="G1715" i="5"/>
  <c r="G1703" i="5"/>
  <c r="G1691" i="5"/>
  <c r="G1679" i="5"/>
  <c r="G1667" i="5"/>
  <c r="E1773" i="5"/>
  <c r="E1756" i="5"/>
  <c r="E1744" i="5"/>
  <c r="E1732" i="5"/>
  <c r="E1720" i="5"/>
  <c r="E1708" i="5"/>
  <c r="E1696" i="5"/>
  <c r="E1684" i="5"/>
  <c r="E1672" i="5"/>
  <c r="F1655" i="5"/>
  <c r="E1747" i="5"/>
  <c r="E1711" i="5"/>
  <c r="E1675" i="5"/>
  <c r="H1646" i="5"/>
  <c r="E1629" i="5"/>
  <c r="F1607" i="5"/>
  <c r="G1585" i="5"/>
  <c r="H1780" i="5"/>
  <c r="H1739" i="5"/>
  <c r="H1778" i="5"/>
  <c r="H1731" i="5"/>
  <c r="E1659" i="5"/>
  <c r="E1761" i="5"/>
  <c r="E1725" i="5"/>
  <c r="E1689" i="5"/>
  <c r="F1652" i="5"/>
  <c r="H1630" i="5"/>
  <c r="E1613" i="5"/>
  <c r="H1776" i="5"/>
  <c r="H1729" i="5"/>
  <c r="E1658" i="5"/>
  <c r="E1640" i="5"/>
  <c r="F1618" i="5"/>
  <c r="H1596" i="5"/>
  <c r="E1579" i="5"/>
  <c r="H1567" i="5"/>
  <c r="H1555" i="5"/>
  <c r="H1720" i="5"/>
  <c r="G1655" i="5"/>
  <c r="H1614" i="5"/>
  <c r="F1570" i="5"/>
  <c r="F1558" i="5"/>
  <c r="F1546" i="5"/>
  <c r="G1535" i="5"/>
  <c r="G1523" i="5"/>
  <c r="H1515" i="5"/>
  <c r="H1509" i="5"/>
  <c r="H1503" i="5"/>
  <c r="H1497" i="5"/>
  <c r="H1491" i="5"/>
  <c r="H1485" i="5"/>
  <c r="H1479" i="5"/>
  <c r="E1757" i="5"/>
  <c r="H1679" i="5"/>
  <c r="F1638" i="5"/>
  <c r="F1602" i="5"/>
  <c r="H1589" i="5"/>
  <c r="F1568" i="5"/>
  <c r="F1556" i="5"/>
  <c r="F1543" i="5"/>
  <c r="F1531" i="5"/>
  <c r="G1519" i="5"/>
  <c r="G1507" i="5"/>
  <c r="G1495" i="5"/>
  <c r="H1696" i="5"/>
  <c r="H1678" i="5"/>
  <c r="E1619" i="5"/>
  <c r="H1595" i="5"/>
  <c r="E1586" i="5"/>
  <c r="G1564" i="5"/>
  <c r="G1552" i="5"/>
  <c r="H1542" i="5"/>
  <c r="H1536" i="5"/>
  <c r="H1530" i="5"/>
  <c r="F1663" i="5"/>
  <c r="H1639" i="5"/>
  <c r="E1632" i="5"/>
  <c r="F1622" i="5"/>
  <c r="H1612" i="5"/>
  <c r="H1603" i="5"/>
  <c r="F1592" i="5"/>
  <c r="H1579" i="5"/>
  <c r="E1565" i="5"/>
  <c r="E1553" i="5"/>
  <c r="G1544" i="5"/>
  <c r="G1532" i="5"/>
  <c r="G1520" i="5"/>
  <c r="H1514" i="5"/>
  <c r="H1508" i="5"/>
  <c r="H1502" i="5"/>
  <c r="H1496" i="5"/>
  <c r="H1490" i="5"/>
  <c r="E1703" i="5"/>
  <c r="F1646" i="5"/>
  <c r="P158" i="10"/>
  <c r="V156" i="10"/>
  <c r="P155" i="10"/>
  <c r="N160" i="10"/>
  <c r="Y15" i="9"/>
  <c r="AJ36" i="9"/>
  <c r="F1787" i="5"/>
  <c r="F1786" i="5"/>
  <c r="F1762" i="5"/>
  <c r="F1738" i="5"/>
  <c r="F1714" i="5"/>
  <c r="F1690" i="5"/>
  <c r="G1666" i="5"/>
  <c r="G1642" i="5"/>
  <c r="G1618" i="5"/>
  <c r="G1594" i="5"/>
  <c r="G1779" i="5"/>
  <c r="G1759" i="5"/>
  <c r="G1747" i="5"/>
  <c r="G1735" i="5"/>
  <c r="G1723" i="5"/>
  <c r="G1711" i="5"/>
  <c r="G1699" i="5"/>
  <c r="G1687" i="5"/>
  <c r="G1675" i="5"/>
  <c r="E1663" i="5"/>
  <c r="E1765" i="5"/>
  <c r="E1752" i="5"/>
  <c r="E1740" i="5"/>
  <c r="E1728" i="5"/>
  <c r="E1716" i="5"/>
  <c r="E1704" i="5"/>
  <c r="E1692" i="5"/>
  <c r="E1680" i="5"/>
  <c r="E1668" i="5"/>
  <c r="G1782" i="5"/>
  <c r="E1735" i="5"/>
  <c r="E1699" i="5"/>
  <c r="H1663" i="5"/>
  <c r="E1642" i="5"/>
  <c r="F1620" i="5"/>
  <c r="H1598" i="5"/>
  <c r="E1581" i="5"/>
  <c r="E1770" i="5"/>
  <c r="H1715" i="5"/>
  <c r="E1768" i="5"/>
  <c r="H1707" i="5"/>
  <c r="F1650" i="5"/>
  <c r="E1749" i="5"/>
  <c r="E1713" i="5"/>
  <c r="E1677" i="5"/>
  <c r="H1643" i="5"/>
  <c r="E1626" i="5"/>
  <c r="F1604" i="5"/>
  <c r="E1766" i="5"/>
  <c r="H1705" i="5"/>
  <c r="H1651" i="5"/>
  <c r="G1631" i="5"/>
  <c r="H1609" i="5"/>
  <c r="E1592" i="5"/>
  <c r="H1575" i="5"/>
  <c r="H1563" i="5"/>
  <c r="H1551" i="5"/>
  <c r="E1715" i="5"/>
  <c r="E1651" i="5"/>
  <c r="H1602" i="5"/>
  <c r="F1569" i="5"/>
  <c r="F1557" i="5"/>
  <c r="G1545" i="5"/>
  <c r="G1533" i="5"/>
  <c r="G1521" i="5"/>
  <c r="E1514" i="5"/>
  <c r="E1508" i="5"/>
  <c r="E1502" i="5"/>
  <c r="E1496" i="5"/>
  <c r="E1490" i="5"/>
  <c r="E1484" i="5"/>
  <c r="E1478" i="5"/>
  <c r="H1726" i="5"/>
  <c r="H1673" i="5"/>
  <c r="H1628" i="5"/>
  <c r="F1601" i="5"/>
  <c r="E1587" i="5"/>
  <c r="F1567" i="5"/>
  <c r="F1555" i="5"/>
  <c r="F1541" i="5"/>
  <c r="F1529" i="5"/>
  <c r="G1517" i="5"/>
  <c r="G1505" i="5"/>
  <c r="G1493" i="5"/>
  <c r="E1691" i="5"/>
  <c r="E1673" i="5"/>
  <c r="E1607" i="5"/>
  <c r="H1593" i="5"/>
  <c r="E1577" i="5"/>
  <c r="G1563" i="5"/>
  <c r="G1551" i="5"/>
  <c r="E1541" i="5"/>
  <c r="E1535" i="5"/>
  <c r="G1786" i="5"/>
  <c r="F1662" i="5"/>
  <c r="H1637" i="5"/>
  <c r="H1629" i="5"/>
  <c r="F1621" i="5"/>
  <c r="G1611" i="5"/>
  <c r="E1600" i="5"/>
  <c r="F1591" i="5"/>
  <c r="H1578" i="5"/>
  <c r="F1564" i="5"/>
  <c r="F1552" i="5"/>
  <c r="G1542" i="5"/>
  <c r="G1530" i="5"/>
  <c r="E1519" i="5"/>
  <c r="E1513" i="5"/>
  <c r="E1507" i="5"/>
  <c r="E1501" i="5"/>
  <c r="E1495" i="5"/>
  <c r="E1489" i="5"/>
  <c r="H1667" i="5"/>
  <c r="G1639" i="5"/>
  <c r="G1627" i="5"/>
  <c r="G1615" i="5"/>
  <c r="G1603" i="5"/>
  <c r="H1583" i="5"/>
  <c r="E1633" i="5"/>
  <c r="E1589" i="5"/>
  <c r="F1573" i="5"/>
  <c r="E1551" i="5"/>
  <c r="F1544" i="5"/>
  <c r="F1532" i="5"/>
  <c r="H1750" i="5"/>
  <c r="H1665" i="5"/>
  <c r="E1636" i="5"/>
  <c r="E1612" i="5"/>
  <c r="G1587" i="5"/>
  <c r="F1578" i="5"/>
  <c r="G1570" i="5"/>
  <c r="G1558" i="5"/>
  <c r="G1546" i="5"/>
  <c r="E1540" i="5"/>
  <c r="E1534" i="5"/>
  <c r="E1528" i="5"/>
  <c r="E1522" i="5"/>
  <c r="F1512" i="5"/>
  <c r="F1500" i="5"/>
  <c r="F1488" i="5"/>
  <c r="F1476" i="5"/>
  <c r="F1464" i="5"/>
  <c r="F1452" i="5"/>
  <c r="F1440" i="5"/>
  <c r="H1433" i="5"/>
  <c r="F1511" i="5"/>
  <c r="F1499" i="5"/>
  <c r="G1485" i="5"/>
  <c r="G1473" i="5"/>
  <c r="G1467" i="5"/>
  <c r="G1461" i="5"/>
  <c r="G1455" i="5"/>
  <c r="G1449" i="5"/>
  <c r="G1443" i="5"/>
  <c r="E1437" i="5"/>
  <c r="G1478" i="5"/>
  <c r="F1465" i="5"/>
  <c r="F1459" i="5"/>
  <c r="F1453" i="5"/>
  <c r="F1447" i="5"/>
  <c r="F1441" i="5"/>
  <c r="F1433" i="5"/>
  <c r="E1485" i="5"/>
  <c r="E1471" i="5"/>
  <c r="E1459" i="5"/>
  <c r="E1447" i="5"/>
  <c r="H1528" i="5"/>
  <c r="G1510" i="5"/>
  <c r="G1498" i="5"/>
  <c r="G1488" i="5"/>
  <c r="E1529" i="5"/>
  <c r="H1472" i="5"/>
  <c r="H1466" i="5"/>
  <c r="H1448" i="5"/>
  <c r="A251" i="4"/>
  <c r="A229" i="4"/>
  <c r="A65" i="4"/>
  <c r="A220" i="4"/>
  <c r="A22" i="4"/>
  <c r="A169" i="4"/>
  <c r="A51" i="4"/>
  <c r="A204" i="4"/>
  <c r="A80" i="4"/>
  <c r="A238" i="4"/>
  <c r="A109" i="4"/>
  <c r="A273" i="4"/>
  <c r="E1621" i="5"/>
  <c r="E1584" i="5"/>
  <c r="G1572" i="5"/>
  <c r="F1550" i="5"/>
  <c r="F1542" i="5"/>
  <c r="F1530" i="5"/>
  <c r="E1745" i="5"/>
  <c r="H1655" i="5"/>
  <c r="E1635" i="5"/>
  <c r="E1611" i="5"/>
  <c r="E1583" i="5"/>
  <c r="F1576" i="5"/>
  <c r="G1569" i="5"/>
  <c r="G1557" i="5"/>
  <c r="H1545" i="5"/>
  <c r="H1539" i="5"/>
  <c r="H1533" i="5"/>
  <c r="H1527" i="5"/>
  <c r="H1521" i="5"/>
  <c r="F1510" i="5"/>
  <c r="F1498" i="5"/>
  <c r="F1486" i="5"/>
  <c r="F1474" i="5"/>
  <c r="F1462" i="5"/>
  <c r="F1450" i="5"/>
  <c r="F1438" i="5"/>
  <c r="H1520" i="5"/>
  <c r="G1508" i="5"/>
  <c r="G1496" i="5"/>
  <c r="G1480" i="5"/>
  <c r="G1472" i="5"/>
  <c r="G1466" i="5"/>
  <c r="G1460" i="5"/>
  <c r="G1454" i="5"/>
  <c r="G1448" i="5"/>
  <c r="G1442" i="5"/>
  <c r="F1436" i="5"/>
  <c r="H1522" i="5"/>
  <c r="H1476" i="5"/>
  <c r="E1470" i="5"/>
  <c r="E1464" i="5"/>
  <c r="E1458" i="5"/>
  <c r="E1452" i="5"/>
  <c r="E1446" i="5"/>
  <c r="E1440" i="5"/>
  <c r="H1526" i="5"/>
  <c r="F1483" i="5"/>
  <c r="E1469" i="5"/>
  <c r="E1457" i="5"/>
  <c r="E1445" i="5"/>
  <c r="E1527" i="5"/>
  <c r="F1509" i="5"/>
  <c r="F1497" i="5"/>
  <c r="G1486" i="5"/>
  <c r="E1521" i="5"/>
  <c r="G1437" i="5"/>
  <c r="E1479" i="5"/>
  <c r="H1471" i="5"/>
  <c r="H1465" i="5"/>
  <c r="H1459" i="5"/>
  <c r="H1453" i="5"/>
  <c r="H1447" i="5"/>
  <c r="H1441" i="5"/>
  <c r="G1435" i="5"/>
  <c r="A245" i="4"/>
  <c r="A209" i="4"/>
  <c r="A173" i="4"/>
  <c r="A137" i="4"/>
  <c r="A265" i="4"/>
  <c r="A222" i="4"/>
  <c r="A178" i="4"/>
  <c r="A135" i="4"/>
  <c r="G1613" i="5"/>
  <c r="H1581" i="5"/>
  <c r="E1563" i="5"/>
  <c r="F1549" i="5"/>
  <c r="F1540" i="5"/>
  <c r="F1528" i="5"/>
  <c r="H1714" i="5"/>
  <c r="F1653" i="5"/>
  <c r="F1625" i="5"/>
  <c r="H1601" i="5"/>
  <c r="H1582" i="5"/>
  <c r="F1574" i="5"/>
  <c r="H1568" i="5"/>
  <c r="H1556" i="5"/>
  <c r="E1544" i="5"/>
  <c r="E1538" i="5"/>
  <c r="E1532" i="5"/>
  <c r="E1526" i="5"/>
  <c r="E1520" i="5"/>
  <c r="F1508" i="5"/>
  <c r="F1496" i="5"/>
  <c r="F1484" i="5"/>
  <c r="F1472" i="5"/>
  <c r="F1460" i="5"/>
  <c r="F1448" i="5"/>
  <c r="H1437" i="5"/>
  <c r="F1519" i="5"/>
  <c r="F1507" i="5"/>
  <c r="F1495" i="5"/>
  <c r="H1478" i="5"/>
  <c r="G1471" i="5"/>
  <c r="G1465" i="5"/>
  <c r="G1459" i="5"/>
  <c r="G1453" i="5"/>
  <c r="G1447" i="5"/>
  <c r="G1441" i="5"/>
  <c r="F1435" i="5"/>
  <c r="F1520" i="5"/>
  <c r="F1475" i="5"/>
  <c r="F1469" i="5"/>
  <c r="F1463" i="5"/>
  <c r="F1457" i="5"/>
  <c r="F1451" i="5"/>
  <c r="F1445" i="5"/>
  <c r="F1439" i="5"/>
  <c r="E1525" i="5"/>
  <c r="G1481" i="5"/>
  <c r="E1467" i="5"/>
  <c r="E1455" i="5"/>
  <c r="E1443" i="5"/>
  <c r="G1518" i="5"/>
  <c r="G1506" i="5"/>
  <c r="G1494" i="5"/>
  <c r="H1484" i="5"/>
  <c r="G1484" i="5"/>
  <c r="H1436" i="5"/>
  <c r="F1477" i="5"/>
  <c r="H1470" i="5"/>
  <c r="H1464" i="5"/>
  <c r="H1458" i="5"/>
  <c r="H1452" i="5"/>
  <c r="H1446" i="5"/>
  <c r="H1440" i="5"/>
  <c r="H1434" i="5"/>
  <c r="A239" i="4"/>
  <c r="A203" i="4"/>
  <c r="A167" i="4"/>
  <c r="A131" i="4"/>
  <c r="F1612" i="5"/>
  <c r="H1580" i="5"/>
  <c r="F1562" i="5"/>
  <c r="G1548" i="5"/>
  <c r="F1538" i="5"/>
  <c r="F1526" i="5"/>
  <c r="E1709" i="5"/>
  <c r="F1651" i="5"/>
  <c r="E1624" i="5"/>
  <c r="E1599" i="5"/>
  <c r="G1581" i="5"/>
  <c r="E1573" i="5"/>
  <c r="E1561" i="5"/>
  <c r="E1549" i="5"/>
  <c r="H1543" i="5"/>
  <c r="H1537" i="5"/>
  <c r="H1531" i="5"/>
  <c r="H1525" i="5"/>
  <c r="F1518" i="5"/>
  <c r="F1506" i="5"/>
  <c r="F1494" i="5"/>
  <c r="F1482" i="5"/>
  <c r="F1470" i="5"/>
  <c r="F1458" i="5"/>
  <c r="F1446" i="5"/>
  <c r="E1436" i="5"/>
  <c r="G1516" i="5"/>
  <c r="G1504" i="5"/>
  <c r="F1491" i="5"/>
  <c r="E1477" i="5"/>
  <c r="G1470" i="5"/>
  <c r="G1464" i="5"/>
  <c r="G1458" i="5"/>
  <c r="G1452" i="5"/>
  <c r="G1446" i="5"/>
  <c r="G1440" i="5"/>
  <c r="G1434" i="5"/>
  <c r="E1487" i="5"/>
  <c r="E1474" i="5"/>
  <c r="E1468" i="5"/>
  <c r="E1462" i="5"/>
  <c r="E1456" i="5"/>
  <c r="E1450" i="5"/>
  <c r="E1444" i="5"/>
  <c r="E1438" i="5"/>
  <c r="F1522" i="5"/>
  <c r="G1476" i="5"/>
  <c r="E1465" i="5"/>
  <c r="E1453" i="5"/>
  <c r="E1441" i="5"/>
  <c r="F1517" i="5"/>
  <c r="F1505" i="5"/>
  <c r="F1493" i="5"/>
  <c r="E1483" i="5"/>
  <c r="H1482" i="5"/>
  <c r="G1491" i="5"/>
  <c r="H1475" i="5"/>
  <c r="H1469" i="5"/>
  <c r="H1463" i="5"/>
  <c r="H1457" i="5"/>
  <c r="H1451" i="5"/>
  <c r="H1445" i="5"/>
  <c r="H1439" i="5"/>
  <c r="A269" i="4"/>
  <c r="A233" i="4"/>
  <c r="A197" i="4"/>
  <c r="A161" i="4"/>
  <c r="A125" i="4"/>
  <c r="A250" i="4"/>
  <c r="A207" i="4"/>
  <c r="A164" i="4"/>
  <c r="A121" i="4"/>
  <c r="A83" i="4"/>
  <c r="A47" i="4"/>
  <c r="A11" i="4"/>
  <c r="A242" i="4"/>
  <c r="A199" i="4"/>
  <c r="E1609" i="5"/>
  <c r="G1576" i="5"/>
  <c r="F1561" i="5"/>
  <c r="G1547" i="5"/>
  <c r="F1536" i="5"/>
  <c r="F1524" i="5"/>
  <c r="E1667" i="5"/>
  <c r="E1646" i="5"/>
  <c r="E1623" i="5"/>
  <c r="F1598" i="5"/>
  <c r="F1580" i="5"/>
  <c r="F1572" i="5"/>
  <c r="F1560" i="5"/>
  <c r="F1548" i="5"/>
  <c r="E1542" i="5"/>
  <c r="E1536" i="5"/>
  <c r="E1530" i="5"/>
  <c r="E1524" i="5"/>
  <c r="F1516" i="5"/>
  <c r="F1504" i="5"/>
  <c r="F1492" i="5"/>
  <c r="F1480" i="5"/>
  <c r="F1468" i="5"/>
  <c r="F1456" i="5"/>
  <c r="F1444" i="5"/>
  <c r="H1435" i="5"/>
  <c r="F1515" i="5"/>
  <c r="F1503" i="5"/>
  <c r="G1490" i="5"/>
  <c r="G1475" i="5"/>
  <c r="G1469" i="5"/>
  <c r="G1463" i="5"/>
  <c r="G1457" i="5"/>
  <c r="G1451" i="5"/>
  <c r="G1445" i="5"/>
  <c r="G1439" i="5"/>
  <c r="G1433" i="5"/>
  <c r="F1485" i="5"/>
  <c r="F1473" i="5"/>
  <c r="F1467" i="5"/>
  <c r="F1461" i="5"/>
  <c r="F1455" i="5"/>
  <c r="F1449" i="5"/>
  <c r="F1443" i="5"/>
  <c r="E1435" i="5"/>
  <c r="G1489" i="5"/>
  <c r="E1475" i="5"/>
  <c r="E1463" i="5"/>
  <c r="E1451" i="5"/>
  <c r="E1439" i="5"/>
  <c r="G1514" i="5"/>
  <c r="G1502" i="5"/>
  <c r="G1492" i="5"/>
  <c r="F1481" i="5"/>
  <c r="E1481" i="5"/>
  <c r="G1487" i="5"/>
  <c r="H1474" i="5"/>
  <c r="H1468" i="5"/>
  <c r="H1462" i="5"/>
  <c r="H1456" i="5"/>
  <c r="H1450" i="5"/>
  <c r="H1444" i="5"/>
  <c r="H1438" i="5"/>
  <c r="A263" i="4"/>
  <c r="A227" i="4"/>
  <c r="A191" i="4"/>
  <c r="A155" i="4"/>
  <c r="A119" i="4"/>
  <c r="A243" i="4"/>
  <c r="A200" i="4"/>
  <c r="A157" i="4"/>
  <c r="A114" i="4"/>
  <c r="A77" i="4"/>
  <c r="A41" i="4"/>
  <c r="A5" i="4"/>
  <c r="A235" i="4"/>
  <c r="A192" i="4"/>
  <c r="A148" i="4"/>
  <c r="A106" i="4"/>
  <c r="A70" i="4"/>
  <c r="A34" i="4"/>
  <c r="A270" i="4"/>
  <c r="A226" i="4"/>
  <c r="A183" i="4"/>
  <c r="A140" i="4"/>
  <c r="A99" i="4"/>
  <c r="A63" i="4"/>
  <c r="A27" i="4"/>
  <c r="A261" i="4"/>
  <c r="A218" i="4"/>
  <c r="A175" i="4"/>
  <c r="A132" i="4"/>
  <c r="A92" i="4"/>
  <c r="A56" i="4"/>
  <c r="A20" i="4"/>
  <c r="A253" i="4"/>
  <c r="A210" i="4"/>
  <c r="A166" i="4"/>
  <c r="A123" i="4"/>
  <c r="A85" i="4"/>
  <c r="A49" i="4"/>
  <c r="A13" i="4"/>
  <c r="A244" i="4"/>
  <c r="A201" i="4"/>
  <c r="A158" i="4"/>
  <c r="A115" i="4"/>
  <c r="A78" i="4"/>
  <c r="A42" i="4"/>
  <c r="A6" i="4"/>
  <c r="F1471" i="5"/>
  <c r="G1477" i="5"/>
  <c r="H1460" i="5"/>
  <c r="H1442" i="5"/>
  <c r="A179" i="4"/>
  <c r="A272" i="4"/>
  <c r="A142" i="4"/>
  <c r="A29" i="4"/>
  <c r="A177" i="4"/>
  <c r="A94" i="4"/>
  <c r="A255" i="4"/>
  <c r="A126" i="4"/>
  <c r="A247" i="4"/>
  <c r="A117" i="4"/>
  <c r="A8" i="4"/>
  <c r="A195" i="4"/>
  <c r="A73" i="4"/>
  <c r="A230" i="4"/>
  <c r="F1599" i="5"/>
  <c r="G1574" i="5"/>
  <c r="G1560" i="5"/>
  <c r="H1546" i="5"/>
  <c r="F1534" i="5"/>
  <c r="G1780" i="5"/>
  <c r="H1666" i="5"/>
  <c r="F1637" i="5"/>
  <c r="F1613" i="5"/>
  <c r="E1588" i="5"/>
  <c r="F1579" i="5"/>
  <c r="F1571" i="5"/>
  <c r="F1559" i="5"/>
  <c r="F1547" i="5"/>
  <c r="H1541" i="5"/>
  <c r="H1535" i="5"/>
  <c r="H1529" i="5"/>
  <c r="H1523" i="5"/>
  <c r="F1514" i="5"/>
  <c r="F1502" i="5"/>
  <c r="F1490" i="5"/>
  <c r="F1478" i="5"/>
  <c r="F1466" i="5"/>
  <c r="F1454" i="5"/>
  <c r="F1442" i="5"/>
  <c r="E1434" i="5"/>
  <c r="G1512" i="5"/>
  <c r="G1500" i="5"/>
  <c r="F1487" i="5"/>
  <c r="G1474" i="5"/>
  <c r="G1468" i="5"/>
  <c r="G1462" i="5"/>
  <c r="G1456" i="5"/>
  <c r="G1450" i="5"/>
  <c r="G1444" i="5"/>
  <c r="G1438" i="5"/>
  <c r="H1524" i="5"/>
  <c r="G1483" i="5"/>
  <c r="E1472" i="5"/>
  <c r="E1466" i="5"/>
  <c r="E1460" i="5"/>
  <c r="E1454" i="5"/>
  <c r="E1448" i="5"/>
  <c r="E1442" i="5"/>
  <c r="F1434" i="5"/>
  <c r="H1486" i="5"/>
  <c r="E1473" i="5"/>
  <c r="E1461" i="5"/>
  <c r="E1449" i="5"/>
  <c r="E1433" i="5"/>
  <c r="F1513" i="5"/>
  <c r="F1501" i="5"/>
  <c r="F1489" i="5"/>
  <c r="G1479" i="5"/>
  <c r="F1479" i="5"/>
  <c r="G1482" i="5"/>
  <c r="H1473" i="5"/>
  <c r="H1467" i="5"/>
  <c r="H1461" i="5"/>
  <c r="H1455" i="5"/>
  <c r="H1449" i="5"/>
  <c r="H1443" i="5"/>
  <c r="F1437" i="5"/>
  <c r="A257" i="4"/>
  <c r="A221" i="4"/>
  <c r="A185" i="4"/>
  <c r="A149" i="4"/>
  <c r="A113" i="4"/>
  <c r="A236" i="4"/>
  <c r="A193" i="4"/>
  <c r="A150" i="4"/>
  <c r="A107" i="4"/>
  <c r="A71" i="4"/>
  <c r="A35" i="4"/>
  <c r="A271" i="4"/>
  <c r="A228" i="4"/>
  <c r="A184" i="4"/>
  <c r="A141" i="4"/>
  <c r="A100" i="4"/>
  <c r="A64" i="4"/>
  <c r="A28" i="4"/>
  <c r="A262" i="4"/>
  <c r="A219" i="4"/>
  <c r="A176" i="4"/>
  <c r="A133" i="4"/>
  <c r="A93" i="4"/>
  <c r="A57" i="4"/>
  <c r="A21" i="4"/>
  <c r="A254" i="4"/>
  <c r="A211" i="4"/>
  <c r="A168" i="4"/>
  <c r="A124" i="4"/>
  <c r="A86" i="4"/>
  <c r="A50" i="4"/>
  <c r="A14" i="4"/>
  <c r="A246" i="4"/>
  <c r="A202" i="4"/>
  <c r="A159" i="4"/>
  <c r="A116" i="4"/>
  <c r="A79" i="4"/>
  <c r="A43" i="4"/>
  <c r="A7" i="4"/>
  <c r="A237" i="4"/>
  <c r="A194" i="4"/>
  <c r="A151" i="4"/>
  <c r="A108" i="4"/>
  <c r="A72" i="4"/>
  <c r="A36" i="4"/>
  <c r="E1523" i="5"/>
  <c r="H1480" i="5"/>
  <c r="H1454" i="5"/>
  <c r="G1436" i="5"/>
  <c r="A215" i="4"/>
  <c r="A143" i="4"/>
  <c r="A186" i="4"/>
  <c r="A101" i="4"/>
  <c r="A264" i="4"/>
  <c r="A134" i="4"/>
  <c r="A58" i="4"/>
  <c r="A212" i="4"/>
  <c r="A87" i="4"/>
  <c r="A15" i="4"/>
  <c r="A160" i="4"/>
  <c r="A44" i="4"/>
  <c r="A152" i="4"/>
  <c r="A37" i="4"/>
  <c r="A187" i="4"/>
  <c r="A258" i="4"/>
  <c r="A59" i="4"/>
  <c r="A213" i="4"/>
  <c r="A120" i="4"/>
  <c r="A46" i="4"/>
  <c r="A241" i="4"/>
  <c r="A154" i="4"/>
  <c r="A75" i="4"/>
  <c r="A3" i="4"/>
  <c r="A189" i="4"/>
  <c r="A104" i="4"/>
  <c r="A32" i="4"/>
  <c r="A224" i="4"/>
  <c r="A138" i="4"/>
  <c r="A61" i="4"/>
  <c r="A259" i="4"/>
  <c r="A172" i="4"/>
  <c r="A102" i="4"/>
  <c r="A54" i="4"/>
  <c r="A214" i="4"/>
  <c r="A53" i="4"/>
  <c r="A206" i="4"/>
  <c r="A112" i="4"/>
  <c r="A40" i="4"/>
  <c r="A234" i="4"/>
  <c r="A147" i="4"/>
  <c r="A69" i="4"/>
  <c r="A268" i="4"/>
  <c r="A182" i="4"/>
  <c r="A98" i="4"/>
  <c r="A26" i="4"/>
  <c r="A217" i="4"/>
  <c r="A130" i="4"/>
  <c r="A55" i="4"/>
  <c r="A252" i="4"/>
  <c r="A165" i="4"/>
  <c r="A96" i="4"/>
  <c r="A48" i="4"/>
  <c r="A171" i="4"/>
  <c r="A23" i="4"/>
  <c r="A170" i="4"/>
  <c r="A88" i="4"/>
  <c r="A16" i="4"/>
  <c r="A205" i="4"/>
  <c r="A118" i="4"/>
  <c r="A45" i="4"/>
  <c r="A240" i="4"/>
  <c r="A153" i="4"/>
  <c r="A74" i="4"/>
  <c r="A2" i="4"/>
  <c r="A188" i="4"/>
  <c r="A103" i="4"/>
  <c r="A31" i="4"/>
  <c r="A223" i="4"/>
  <c r="A90" i="4"/>
  <c r="A17" i="4"/>
  <c r="A163" i="4"/>
  <c r="A82" i="4"/>
  <c r="A198" i="4"/>
  <c r="A39" i="4"/>
  <c r="A146" i="4"/>
  <c r="A267" i="4"/>
  <c r="A97" i="4"/>
  <c r="A136" i="4"/>
  <c r="A24" i="4"/>
  <c r="A95" i="4"/>
  <c r="A256" i="4"/>
  <c r="A156" i="4"/>
  <c r="A76" i="4"/>
  <c r="A4" i="4"/>
  <c r="A190" i="4"/>
  <c r="A105" i="4"/>
  <c r="A33" i="4"/>
  <c r="A225" i="4"/>
  <c r="A139" i="4"/>
  <c r="A62" i="4"/>
  <c r="A260" i="4"/>
  <c r="A174" i="4"/>
  <c r="A91" i="4"/>
  <c r="A19" i="4"/>
  <c r="A208" i="4"/>
  <c r="A129" i="4"/>
  <c r="A66" i="4"/>
  <c r="A18" i="4"/>
  <c r="A89" i="4"/>
  <c r="A249" i="4"/>
  <c r="A127" i="4"/>
  <c r="A52" i="4"/>
  <c r="A248" i="4"/>
  <c r="A162" i="4"/>
  <c r="A81" i="4"/>
  <c r="A9" i="4"/>
  <c r="A196" i="4"/>
  <c r="A110" i="4"/>
  <c r="A38" i="4"/>
  <c r="A231" i="4"/>
  <c r="A145" i="4"/>
  <c r="A67" i="4"/>
  <c r="A266" i="4"/>
  <c r="A180" i="4"/>
  <c r="A122" i="4"/>
  <c r="A60" i="4"/>
  <c r="A12" i="4"/>
  <c r="A144" i="4"/>
  <c r="A30" i="4"/>
  <c r="A128" i="4"/>
  <c r="A10" i="4"/>
  <c r="A111" i="4"/>
  <c r="A232" i="4"/>
  <c r="A68" i="4"/>
  <c r="A181" i="4"/>
  <c r="A25" i="4"/>
  <c r="A216" i="4"/>
  <c r="A84" i="4"/>
  <c r="G1799" i="5" l="1" a="1"/>
  <c r="G1799" i="5" s="1"/>
  <c r="G1798" i="5" a="1"/>
  <c r="G1798" i="5" s="1"/>
  <c r="G1797" i="5" a="1"/>
  <c r="G1797" i="5" s="1"/>
  <c r="D1523" i="5"/>
  <c r="F1799" i="5" a="1"/>
  <c r="F1799" i="5" s="1"/>
  <c r="F1797" i="5" a="1"/>
  <c r="F1797" i="5" s="1"/>
  <c r="C1800" i="5"/>
  <c r="K573" i="7" s="1"/>
  <c r="F1798" i="5" a="1"/>
  <c r="F1798" i="5" s="1"/>
  <c r="C1802" i="5"/>
  <c r="D1798" i="5" a="1"/>
  <c r="D1798" i="5" s="1"/>
  <c r="C1808" i="5"/>
  <c r="A1802" i="5"/>
  <c r="C1805" i="5"/>
  <c r="D1433" i="5"/>
  <c r="A1808" i="5"/>
  <c r="C1797" i="5"/>
  <c r="L573" i="7" s="1"/>
  <c r="D1449" i="5"/>
  <c r="D1461" i="5"/>
  <c r="D1473" i="5"/>
  <c r="D1442" i="5"/>
  <c r="D1448" i="5"/>
  <c r="D1454" i="5"/>
  <c r="D1460" i="5"/>
  <c r="D1466" i="5"/>
  <c r="D1472" i="5"/>
  <c r="D1434" i="5"/>
  <c r="D1588" i="5"/>
  <c r="D1481" i="5"/>
  <c r="D1439" i="5"/>
  <c r="D1451" i="5"/>
  <c r="D1463" i="5"/>
  <c r="D1475" i="5"/>
  <c r="D1435" i="5"/>
  <c r="D1524" i="5"/>
  <c r="D1530" i="5"/>
  <c r="D1536" i="5"/>
  <c r="D1542" i="5"/>
  <c r="D1623" i="5"/>
  <c r="D1646" i="5"/>
  <c r="D1667" i="5"/>
  <c r="D1609" i="5"/>
  <c r="D1483" i="5"/>
  <c r="D1441" i="5"/>
  <c r="D1453" i="5"/>
  <c r="D1465" i="5"/>
  <c r="D1438" i="5"/>
  <c r="D1444" i="5"/>
  <c r="D1450" i="5"/>
  <c r="D1456" i="5"/>
  <c r="D1462" i="5"/>
  <c r="D1468" i="5"/>
  <c r="D1474" i="5"/>
  <c r="D1487" i="5"/>
  <c r="D1477" i="5"/>
  <c r="D1436" i="5"/>
  <c r="D1549" i="5"/>
  <c r="D1561" i="5"/>
  <c r="D1573" i="5"/>
  <c r="D1599" i="5"/>
  <c r="D1624" i="5"/>
  <c r="D1709" i="5"/>
  <c r="D1443" i="5"/>
  <c r="D1455" i="5"/>
  <c r="D1467" i="5"/>
  <c r="D1525" i="5"/>
  <c r="D1520" i="5"/>
  <c r="D1526" i="5"/>
  <c r="D1532" i="5"/>
  <c r="D1538" i="5"/>
  <c r="D1544" i="5"/>
  <c r="D1563" i="5"/>
  <c r="D1479" i="5"/>
  <c r="D1521" i="5"/>
  <c r="D1527" i="5"/>
  <c r="D1445" i="5"/>
  <c r="D1457" i="5"/>
  <c r="D1469" i="5"/>
  <c r="D1440" i="5"/>
  <c r="D1446" i="5"/>
  <c r="D1452" i="5"/>
  <c r="D1458" i="5"/>
  <c r="D1464" i="5"/>
  <c r="D1470" i="5"/>
  <c r="D1583" i="5"/>
  <c r="D1611" i="5"/>
  <c r="D1635" i="5"/>
  <c r="D1745" i="5"/>
  <c r="D1584" i="5"/>
  <c r="D1621" i="5"/>
  <c r="D1529" i="5"/>
  <c r="D1447" i="5"/>
  <c r="D1459" i="5"/>
  <c r="D1471" i="5"/>
  <c r="D1485" i="5"/>
  <c r="D1437" i="5"/>
  <c r="C1809" i="5"/>
  <c r="D1809" i="5"/>
  <c r="C1806" i="5"/>
  <c r="C1807" i="5"/>
  <c r="D1803" i="5"/>
  <c r="D1804" i="5"/>
  <c r="C1804" i="5"/>
  <c r="D1807" i="5"/>
  <c r="C1803" i="5"/>
  <c r="D1810" i="5"/>
  <c r="C1810" i="5"/>
  <c r="D1522" i="5"/>
  <c r="D1528" i="5"/>
  <c r="D1534" i="5"/>
  <c r="D1540" i="5"/>
  <c r="D1612" i="5"/>
  <c r="D1636" i="5"/>
  <c r="D1551" i="5"/>
  <c r="D1589" i="5"/>
  <c r="D1633" i="5"/>
  <c r="D1489" i="5"/>
  <c r="D1495" i="5"/>
  <c r="D1501" i="5"/>
  <c r="D1507" i="5"/>
  <c r="D1513" i="5"/>
  <c r="D1519" i="5"/>
  <c r="D1600" i="5"/>
  <c r="D1535" i="5"/>
  <c r="D1541" i="5"/>
  <c r="D1577" i="5"/>
  <c r="D1607" i="5"/>
  <c r="D1673" i="5"/>
  <c r="D1691" i="5"/>
  <c r="D1587" i="5"/>
  <c r="D1478" i="5"/>
  <c r="D1484" i="5"/>
  <c r="D1490" i="5"/>
  <c r="D1496" i="5"/>
  <c r="D1502" i="5"/>
  <c r="D1508" i="5"/>
  <c r="D1514" i="5"/>
  <c r="D1651" i="5"/>
  <c r="D1715" i="5"/>
  <c r="D1592" i="5"/>
  <c r="D1766" i="5"/>
  <c r="D1626" i="5"/>
  <c r="D1677" i="5"/>
  <c r="D1713" i="5"/>
  <c r="D1749" i="5"/>
  <c r="D1768" i="5"/>
  <c r="D1770" i="5"/>
  <c r="D1581" i="5"/>
  <c r="D1642" i="5"/>
  <c r="D1699" i="5"/>
  <c r="D1735" i="5"/>
  <c r="D1668" i="5"/>
  <c r="D1680" i="5"/>
  <c r="D1692" i="5"/>
  <c r="D1704" i="5"/>
  <c r="D1716" i="5"/>
  <c r="D1728" i="5"/>
  <c r="D1740" i="5"/>
  <c r="D1752" i="5"/>
  <c r="D1765" i="5"/>
  <c r="D1663" i="5"/>
  <c r="Z156" i="10"/>
  <c r="D1703" i="5"/>
  <c r="D1553" i="5"/>
  <c r="D1565" i="5"/>
  <c r="D1632" i="5"/>
  <c r="D1586" i="5"/>
  <c r="D1619" i="5"/>
  <c r="D1757" i="5"/>
  <c r="D1579" i="5"/>
  <c r="D1640" i="5"/>
  <c r="D1658" i="5"/>
  <c r="D1613" i="5"/>
  <c r="D1689" i="5"/>
  <c r="D1725" i="5"/>
  <c r="D1761" i="5"/>
  <c r="D1659" i="5"/>
  <c r="D1629" i="5"/>
  <c r="D1675" i="5"/>
  <c r="D1711" i="5"/>
  <c r="D1747" i="5"/>
  <c r="D1672" i="5"/>
  <c r="D1684" i="5"/>
  <c r="D1696" i="5"/>
  <c r="D1708" i="5"/>
  <c r="D1720" i="5"/>
  <c r="D1732" i="5"/>
  <c r="D1744" i="5"/>
  <c r="D1756" i="5"/>
  <c r="D1773" i="5"/>
  <c r="AG158" i="10"/>
  <c r="AD158" i="10"/>
  <c r="I158" i="10" s="1"/>
  <c r="D1585" i="5"/>
  <c r="A1807" i="5" a="1"/>
  <c r="A1807" i="5" s="1"/>
  <c r="A1803" i="5" a="1"/>
  <c r="A1803" i="5" s="1"/>
  <c r="C1799" i="5" a="1"/>
  <c r="C1799" i="5" s="1"/>
  <c r="A1809" i="5" a="1"/>
  <c r="A1809" i="5" s="1"/>
  <c r="A1806" i="5" a="1"/>
  <c r="A1806" i="5" s="1"/>
  <c r="A1804" i="5" a="1"/>
  <c r="A1804" i="5" s="1"/>
  <c r="A1810" i="5" a="1"/>
  <c r="A1810" i="5" s="1"/>
  <c r="D1610" i="5"/>
  <c r="D1622" i="5"/>
  <c r="D1634" i="5"/>
  <c r="D1649" i="5"/>
  <c r="D1491" i="5"/>
  <c r="D1497" i="5"/>
  <c r="D1503" i="5"/>
  <c r="D1509" i="5"/>
  <c r="D1515" i="5"/>
  <c r="D1643" i="5"/>
  <c r="D1531" i="5"/>
  <c r="D1537" i="5"/>
  <c r="D1543" i="5"/>
  <c r="D1596" i="5"/>
  <c r="D1631" i="5"/>
  <c r="D1679" i="5"/>
  <c r="D1697" i="5"/>
  <c r="D1557" i="5"/>
  <c r="D1569" i="5"/>
  <c r="D1480" i="5"/>
  <c r="D1486" i="5"/>
  <c r="D1492" i="5"/>
  <c r="D1498" i="5"/>
  <c r="D1504" i="5"/>
  <c r="D1510" i="5"/>
  <c r="D1516" i="5"/>
  <c r="D1547" i="5"/>
  <c r="D1559" i="5"/>
  <c r="D1571" i="5"/>
  <c r="D1751" i="5"/>
  <c r="D1556" i="5"/>
  <c r="D1568" i="5"/>
  <c r="D1580" i="5"/>
  <c r="D1614" i="5"/>
  <c r="D1630" i="5"/>
  <c r="D1648" i="5"/>
  <c r="D1775" i="5"/>
  <c r="AC156" i="10"/>
  <c r="AE156" i="10" s="1"/>
  <c r="A156" i="10" s="1"/>
  <c r="AD157" i="10"/>
  <c r="E162" i="10"/>
  <c r="AD155" i="10"/>
  <c r="D1739" i="5"/>
  <c r="D1608" i="5"/>
  <c r="D1645" i="5"/>
  <c r="D1733" i="5"/>
  <c r="D1597" i="5"/>
  <c r="D1727" i="5"/>
  <c r="D1603" i="5"/>
  <c r="D1778" i="5"/>
  <c r="D1637" i="5"/>
  <c r="D1695" i="5"/>
  <c r="D1731" i="5"/>
  <c r="D1780" i="5"/>
  <c r="D1782" i="5"/>
  <c r="D1681" i="5"/>
  <c r="D1717" i="5"/>
  <c r="D1753" i="5"/>
  <c r="D1674" i="5"/>
  <c r="D1686" i="5"/>
  <c r="D1698" i="5"/>
  <c r="D1710" i="5"/>
  <c r="D1722" i="5"/>
  <c r="D1734" i="5"/>
  <c r="D1746" i="5"/>
  <c r="D1758" i="5"/>
  <c r="D1777" i="5"/>
  <c r="A36" i="9"/>
  <c r="AF155" i="10"/>
  <c r="Y158" i="10"/>
  <c r="AD154" i="10"/>
  <c r="Y156" i="10"/>
  <c r="I156" i="10" s="1"/>
  <c r="D1493" i="5"/>
  <c r="D1499" i="5"/>
  <c r="D1505" i="5"/>
  <c r="D1511" i="5"/>
  <c r="D1517" i="5"/>
  <c r="D1595" i="5"/>
  <c r="D1533" i="5"/>
  <c r="D1539" i="5"/>
  <c r="D1545" i="5"/>
  <c r="D1555" i="5"/>
  <c r="D1567" i="5"/>
  <c r="D1685" i="5"/>
  <c r="D1476" i="5"/>
  <c r="D1482" i="5"/>
  <c r="D1488" i="5"/>
  <c r="D1494" i="5"/>
  <c r="D1500" i="5"/>
  <c r="D1506" i="5"/>
  <c r="D1512" i="5"/>
  <c r="D1518" i="5"/>
  <c r="D1598" i="5"/>
  <c r="D1644" i="5"/>
  <c r="D1602" i="5"/>
  <c r="D1671" i="5"/>
  <c r="D1707" i="5"/>
  <c r="D1743" i="5"/>
  <c r="D1618" i="5"/>
  <c r="D1660" i="5"/>
  <c r="D1693" i="5"/>
  <c r="D1729" i="5"/>
  <c r="D1666" i="5"/>
  <c r="D1678" i="5"/>
  <c r="D1690" i="5"/>
  <c r="D1702" i="5"/>
  <c r="D1714" i="5"/>
  <c r="D1726" i="5"/>
  <c r="D1738" i="5"/>
  <c r="D1750" i="5"/>
  <c r="D1762" i="5"/>
  <c r="D1785" i="5"/>
  <c r="Y157" i="10"/>
  <c r="I157" i="10" s="1"/>
  <c r="AC155" i="10"/>
  <c r="AE155" i="10" s="1"/>
  <c r="A155" i="10" s="1"/>
  <c r="AC158" i="10"/>
  <c r="AE158" i="10" s="1"/>
  <c r="A158" i="10" s="1"/>
  <c r="D1662" i="5"/>
  <c r="D1590" i="5"/>
  <c r="D1620" i="5"/>
  <c r="D1575" i="5"/>
  <c r="D1601" i="5"/>
  <c r="D1763" i="5"/>
  <c r="D1721" i="5"/>
  <c r="D1550" i="5"/>
  <c r="D1562" i="5"/>
  <c r="D1574" i="5"/>
  <c r="D1591" i="5"/>
  <c r="D1625" i="5"/>
  <c r="D1641" i="5"/>
  <c r="D1787" i="5"/>
  <c r="AF158" i="10"/>
  <c r="AC154" i="10"/>
  <c r="AE154" i="10" s="1"/>
  <c r="A154" i="10" s="1"/>
  <c r="AC157" i="10"/>
  <c r="AE157" i="10" s="1"/>
  <c r="A157" i="10" s="1"/>
  <c r="D1546" i="5"/>
  <c r="D1552" i="5"/>
  <c r="D1558" i="5"/>
  <c r="D1564" i="5"/>
  <c r="D1570" i="5"/>
  <c r="D1576" i="5"/>
  <c r="D1604" i="5"/>
  <c r="D1615" i="5"/>
  <c r="D1652" i="5"/>
  <c r="D1638" i="5"/>
  <c r="D1647" i="5"/>
  <c r="D1582" i="5"/>
  <c r="D1593" i="5"/>
  <c r="D1767" i="5"/>
  <c r="D1779" i="5"/>
  <c r="D1664" i="5"/>
  <c r="Z155" i="10"/>
  <c r="Y155" i="10"/>
  <c r="Z158" i="10"/>
  <c r="AA158" i="10" s="1"/>
  <c r="C158" i="10" s="1"/>
  <c r="D1616" i="5"/>
  <c r="D1627" i="5"/>
  <c r="D1661" i="5"/>
  <c r="D1683" i="5"/>
  <c r="D1701" i="5"/>
  <c r="D1719" i="5"/>
  <c r="D1737" i="5"/>
  <c r="D1755" i="5"/>
  <c r="D1655" i="5"/>
  <c r="D1594" i="5"/>
  <c r="D1605" i="5"/>
  <c r="D1669" i="5"/>
  <c r="D1687" i="5"/>
  <c r="D1705" i="5"/>
  <c r="D1723" i="5"/>
  <c r="D1741" i="5"/>
  <c r="D1759" i="5"/>
  <c r="D1653" i="5"/>
  <c r="D1670" i="5"/>
  <c r="D1676" i="5"/>
  <c r="D1682" i="5"/>
  <c r="D1688" i="5"/>
  <c r="D1694" i="5"/>
  <c r="D1700" i="5"/>
  <c r="D1706" i="5"/>
  <c r="D1712" i="5"/>
  <c r="D1718" i="5"/>
  <c r="D1724" i="5"/>
  <c r="D1730" i="5"/>
  <c r="D1736" i="5"/>
  <c r="D1742" i="5"/>
  <c r="D1748" i="5"/>
  <c r="D1754" i="5"/>
  <c r="D1760" i="5"/>
  <c r="D1769" i="5"/>
  <c r="D1781" i="5"/>
  <c r="A15" i="9"/>
  <c r="Y154" i="10"/>
  <c r="Z154" i="10"/>
  <c r="Z157" i="10"/>
  <c r="AA157" i="10" s="1"/>
  <c r="C157" i="10" s="1"/>
  <c r="AG155" i="10"/>
  <c r="AF154" i="10"/>
  <c r="AG157" i="10"/>
  <c r="AF157" i="10"/>
  <c r="D1548" i="5"/>
  <c r="D1554" i="5"/>
  <c r="D1560" i="5"/>
  <c r="D1566" i="5"/>
  <c r="D1572" i="5"/>
  <c r="D1578" i="5"/>
  <c r="D1628" i="5"/>
  <c r="D1639" i="5"/>
  <c r="D1772" i="5"/>
  <c r="D1784" i="5"/>
  <c r="D1650" i="5"/>
  <c r="D1657" i="5"/>
  <c r="D1774" i="5"/>
  <c r="D1786" i="5"/>
  <c r="D1764" i="5"/>
  <c r="D1776" i="5"/>
  <c r="D1790" i="5"/>
  <c r="D1606" i="5"/>
  <c r="D1617" i="5"/>
  <c r="D1656" i="5"/>
  <c r="D1654" i="5"/>
  <c r="D1665" i="5"/>
  <c r="D1771" i="5"/>
  <c r="D1783" i="5"/>
  <c r="AD156" i="10"/>
  <c r="AG156" i="10"/>
  <c r="AF156" i="10"/>
  <c r="AG154" i="10"/>
  <c r="S198" i="6"/>
  <c r="U198" i="6"/>
  <c r="V198" i="6" s="1"/>
  <c r="S240" i="6"/>
  <c r="S113" i="6"/>
  <c r="U238" i="6"/>
  <c r="V238" i="6" s="1"/>
  <c r="S127" i="6"/>
  <c r="AE1761" i="5"/>
  <c r="AA1761" i="5"/>
  <c r="AC1761" i="5" s="1"/>
  <c r="AE1725" i="5"/>
  <c r="AA1725" i="5"/>
  <c r="AC1725" i="5" s="1"/>
  <c r="AE1731" i="5"/>
  <c r="AA1731" i="5"/>
  <c r="AC1731" i="5" s="1"/>
  <c r="AE1661" i="5"/>
  <c r="AA1661" i="5"/>
  <c r="AC1661" i="5" s="1"/>
  <c r="AE1649" i="5"/>
  <c r="AA1649" i="5"/>
  <c r="AC1649" i="5" s="1"/>
  <c r="AE1571" i="5"/>
  <c r="AA1571" i="5"/>
  <c r="AC1571" i="5" s="1"/>
  <c r="AE1677" i="5"/>
  <c r="AA1677" i="5"/>
  <c r="AC1677" i="5" s="1"/>
  <c r="AE1511" i="5"/>
  <c r="AA1511" i="5"/>
  <c r="AC1511" i="5" s="1"/>
  <c r="AE1481" i="5"/>
  <c r="AA1481" i="5"/>
  <c r="AC1481" i="5" s="1"/>
  <c r="AE1387" i="5"/>
  <c r="AA1387" i="5"/>
  <c r="AC1387" i="5" s="1"/>
  <c r="AE1267" i="5"/>
  <c r="AA1267" i="5"/>
  <c r="AC1267" i="5" s="1"/>
  <c r="AE1332" i="5"/>
  <c r="AA1332" i="5"/>
  <c r="AC1332" i="5" s="1"/>
  <c r="AE1262" i="5"/>
  <c r="AA1262" i="5"/>
  <c r="AC1262" i="5" s="1"/>
  <c r="AA1358" i="5"/>
  <c r="AC1358" i="5" s="1"/>
  <c r="AE1358" i="5"/>
  <c r="AA1263" i="5"/>
  <c r="AC1263" i="5" s="1"/>
  <c r="AE1263" i="5"/>
  <c r="AE1411" i="5"/>
  <c r="AA1411" i="5"/>
  <c r="AC1411" i="5" s="1"/>
  <c r="AE1298" i="5"/>
  <c r="AA1298" i="5"/>
  <c r="AC1298" i="5" s="1"/>
  <c r="AE1469" i="5"/>
  <c r="AA1469" i="5"/>
  <c r="AC1469" i="5" s="1"/>
  <c r="AE1451" i="5"/>
  <c r="AA1451" i="5"/>
  <c r="AC1451" i="5" s="1"/>
  <c r="AE1425" i="5"/>
  <c r="AA1425" i="5"/>
  <c r="AC1425" i="5" s="1"/>
  <c r="AE1180" i="5"/>
  <c r="AA1180" i="5"/>
  <c r="AC1180" i="5" s="1"/>
  <c r="AE1080" i="5"/>
  <c r="AA1080" i="5"/>
  <c r="AC1080" i="5" s="1"/>
  <c r="AE1060" i="5"/>
  <c r="AA1060" i="5"/>
  <c r="AC1060" i="5" s="1"/>
  <c r="AE1047" i="5"/>
  <c r="AA1047" i="5"/>
  <c r="AC1047" i="5" s="1"/>
  <c r="AE1471" i="5"/>
  <c r="AA1471" i="5"/>
  <c r="AC1471" i="5" s="1"/>
  <c r="AE1235" i="5"/>
  <c r="AA1235" i="5"/>
  <c r="AC1235" i="5" s="1"/>
  <c r="AE1096" i="5"/>
  <c r="AA1096" i="5"/>
  <c r="AC1096" i="5" s="1"/>
  <c r="AA1266" i="5"/>
  <c r="AC1266" i="5" s="1"/>
  <c r="AE1266" i="5"/>
  <c r="AE1144" i="5"/>
  <c r="AA1144" i="5"/>
  <c r="AC1144" i="5" s="1"/>
  <c r="AE1131" i="5"/>
  <c r="AA1131" i="5"/>
  <c r="AC1131" i="5" s="1"/>
  <c r="AA1049" i="5"/>
  <c r="AC1049" i="5" s="1"/>
  <c r="AE1049" i="5"/>
  <c r="AE1004" i="5"/>
  <c r="AA1004" i="5"/>
  <c r="AC1004" i="5" s="1"/>
  <c r="AE951" i="5"/>
  <c r="AA951" i="5"/>
  <c r="AC951" i="5" s="1"/>
  <c r="AE1105" i="5"/>
  <c r="AA1105" i="5"/>
  <c r="AC1105" i="5" s="1"/>
  <c r="AE946" i="5"/>
  <c r="AA946" i="5"/>
  <c r="AC946" i="5" s="1"/>
  <c r="AE1036" i="5"/>
  <c r="AA1036" i="5"/>
  <c r="AC1036" i="5" s="1"/>
  <c r="AE857" i="5"/>
  <c r="AA857" i="5"/>
  <c r="AC857" i="5" s="1"/>
  <c r="Z823" i="5"/>
  <c r="AE823" i="5" s="1"/>
  <c r="AA823" i="5"/>
  <c r="AB823" i="5" s="1"/>
  <c r="AC823" i="5" s="1"/>
  <c r="S823" i="5"/>
  <c r="S746" i="5"/>
  <c r="Z746" i="5"/>
  <c r="AE746" i="5" s="1"/>
  <c r="AA746" i="5"/>
  <c r="AB746" i="5" s="1"/>
  <c r="AC746" i="5" s="1"/>
  <c r="AE1122" i="5"/>
  <c r="AA1122" i="5"/>
  <c r="AC1122" i="5" s="1"/>
  <c r="AE1028" i="5"/>
  <c r="AA1028" i="5"/>
  <c r="AC1028" i="5" s="1"/>
  <c r="AA967" i="5"/>
  <c r="AC967" i="5" s="1"/>
  <c r="AE967" i="5"/>
  <c r="AE1199" i="5"/>
  <c r="AA1199" i="5"/>
  <c r="AC1199" i="5" s="1"/>
  <c r="AE1029" i="5"/>
  <c r="AA1029" i="5"/>
  <c r="AC1029" i="5" s="1"/>
  <c r="AE1188" i="5"/>
  <c r="AA1188" i="5"/>
  <c r="AC1188" i="5" s="1"/>
  <c r="AE1129" i="5"/>
  <c r="AA1129" i="5"/>
  <c r="AC1129" i="5" s="1"/>
  <c r="AE1100" i="5"/>
  <c r="AA1100" i="5"/>
  <c r="AC1100" i="5" s="1"/>
  <c r="AE1020" i="5"/>
  <c r="AA1020" i="5"/>
  <c r="AC1020" i="5" s="1"/>
  <c r="S670" i="5"/>
  <c r="AA670" i="5"/>
  <c r="AB670" i="5" s="1"/>
  <c r="AC670" i="5" s="1"/>
  <c r="Z670" i="5"/>
  <c r="AE670" i="5" s="1"/>
  <c r="S641" i="5"/>
  <c r="AA641" i="5"/>
  <c r="AB641" i="5" s="1"/>
  <c r="AC641" i="5" s="1"/>
  <c r="Z641" i="5"/>
  <c r="AE641" i="5" s="1"/>
  <c r="S563" i="5"/>
  <c r="AA563" i="5"/>
  <c r="AB563" i="5" s="1"/>
  <c r="AC563" i="5" s="1"/>
  <c r="Z563" i="5"/>
  <c r="AE563" i="5" s="1"/>
  <c r="AE1204" i="5"/>
  <c r="AA1204" i="5"/>
  <c r="AC1204" i="5" s="1"/>
  <c r="AE1085" i="5"/>
  <c r="AA1085" i="5"/>
  <c r="AC1085" i="5" s="1"/>
  <c r="AA784" i="5"/>
  <c r="AB784" i="5" s="1"/>
  <c r="AC784" i="5" s="1"/>
  <c r="Z784" i="5"/>
  <c r="AE784" i="5" s="1"/>
  <c r="S784" i="5"/>
  <c r="S621" i="5"/>
  <c r="Z621" i="5"/>
  <c r="AE621" i="5" s="1"/>
  <c r="AA621" i="5"/>
  <c r="AB621" i="5" s="1"/>
  <c r="AC621" i="5" s="1"/>
  <c r="AE1092" i="5"/>
  <c r="AA1092" i="5"/>
  <c r="AC1092" i="5" s="1"/>
  <c r="AE890" i="5"/>
  <c r="AA890" i="5"/>
  <c r="AC890" i="5" s="1"/>
  <c r="AA804" i="5"/>
  <c r="AB804" i="5" s="1"/>
  <c r="AC804" i="5" s="1"/>
  <c r="Z804" i="5"/>
  <c r="AE804" i="5" s="1"/>
  <c r="S804" i="5"/>
  <c r="AA757" i="5"/>
  <c r="AB757" i="5" s="1"/>
  <c r="AC757" i="5" s="1"/>
  <c r="S757" i="5"/>
  <c r="Z757" i="5"/>
  <c r="AE757" i="5" s="1"/>
  <c r="Z597" i="5"/>
  <c r="AE597" i="5" s="1"/>
  <c r="S597" i="5"/>
  <c r="AA597" i="5"/>
  <c r="AB597" i="5" s="1"/>
  <c r="AC597" i="5" s="1"/>
  <c r="AE870" i="5"/>
  <c r="AA870" i="5"/>
  <c r="AC870" i="5" s="1"/>
  <c r="AE860" i="5"/>
  <c r="AA860" i="5"/>
  <c r="AC860" i="5" s="1"/>
  <c r="Z628" i="5"/>
  <c r="AE628" i="5" s="1"/>
  <c r="AA628" i="5"/>
  <c r="AB628" i="5" s="1"/>
  <c r="AC628" i="5" s="1"/>
  <c r="S628" i="5"/>
  <c r="Z532" i="5"/>
  <c r="AE532" i="5" s="1"/>
  <c r="S532" i="5"/>
  <c r="AA532" i="5"/>
  <c r="AB532" i="5" s="1"/>
  <c r="AC532" i="5" s="1"/>
  <c r="S497" i="5"/>
  <c r="AA497" i="5"/>
  <c r="AB497" i="5" s="1"/>
  <c r="AC497" i="5" s="1"/>
  <c r="Z497" i="5"/>
  <c r="AE497" i="5" s="1"/>
  <c r="Z459" i="5"/>
  <c r="AE459" i="5" s="1"/>
  <c r="S459" i="5"/>
  <c r="AA459" i="5"/>
  <c r="AB459" i="5" s="1"/>
  <c r="AC459" i="5" s="1"/>
  <c r="Z273" i="5"/>
  <c r="AE273" i="5" s="1"/>
  <c r="S273" i="5"/>
  <c r="AA273" i="5"/>
  <c r="AB273" i="5" s="1"/>
  <c r="AC273" i="5" s="1"/>
  <c r="Z220" i="5"/>
  <c r="AE220" i="5" s="1"/>
  <c r="S220" i="5"/>
  <c r="AA220" i="5"/>
  <c r="AC220" i="5" s="1"/>
  <c r="Z84" i="5"/>
  <c r="AE84" i="5" s="1"/>
  <c r="S84" i="5"/>
  <c r="AA84" i="5"/>
  <c r="AC84" i="5" s="1"/>
  <c r="S286" i="5"/>
  <c r="AA286" i="5"/>
  <c r="AB286" i="5" s="1"/>
  <c r="AC286" i="5" s="1"/>
  <c r="Z286" i="5"/>
  <c r="AE286" i="5" s="1"/>
  <c r="Z58" i="5"/>
  <c r="AE58" i="5" s="1"/>
  <c r="AA58" i="5"/>
  <c r="AC58" i="5" s="1"/>
  <c r="S58" i="5"/>
  <c r="E89" i="10"/>
  <c r="E105" i="10"/>
  <c r="E72" i="9"/>
  <c r="S239" i="6"/>
  <c r="S171" i="6"/>
  <c r="W116" i="6"/>
  <c r="U171" i="6" s="1"/>
  <c r="S115" i="6"/>
  <c r="AE1755" i="5"/>
  <c r="AA1755" i="5"/>
  <c r="AC1755" i="5" s="1"/>
  <c r="AE1644" i="5"/>
  <c r="AA1644" i="5"/>
  <c r="AC1644" i="5" s="1"/>
  <c r="AE1701" i="5"/>
  <c r="AA1701" i="5"/>
  <c r="AC1701" i="5" s="1"/>
  <c r="AE1499" i="5"/>
  <c r="AA1499" i="5"/>
  <c r="AC1499" i="5" s="1"/>
  <c r="AE1327" i="5"/>
  <c r="AA1327" i="5"/>
  <c r="AC1327" i="5" s="1"/>
  <c r="AE1368" i="5"/>
  <c r="AA1368" i="5"/>
  <c r="AC1368" i="5" s="1"/>
  <c r="AE1323" i="5"/>
  <c r="AA1323" i="5"/>
  <c r="AC1323" i="5" s="1"/>
  <c r="AE1507" i="5"/>
  <c r="AA1507" i="5"/>
  <c r="AC1507" i="5" s="1"/>
  <c r="AE1405" i="5"/>
  <c r="AA1405" i="5"/>
  <c r="AC1405" i="5" s="1"/>
  <c r="AE1359" i="5"/>
  <c r="AA1359" i="5"/>
  <c r="AC1359" i="5" s="1"/>
  <c r="AA1219" i="5"/>
  <c r="AC1219" i="5" s="1"/>
  <c r="AE1219" i="5"/>
  <c r="AA1407" i="5"/>
  <c r="AC1407" i="5" s="1"/>
  <c r="AE1407" i="5"/>
  <c r="AE1057" i="5"/>
  <c r="AA1057" i="5"/>
  <c r="AC1057" i="5" s="1"/>
  <c r="AE1043" i="5"/>
  <c r="AA1043" i="5"/>
  <c r="AC1043" i="5" s="1"/>
  <c r="AE1416" i="5"/>
  <c r="AA1416" i="5"/>
  <c r="AC1416" i="5" s="1"/>
  <c r="AE1172" i="5"/>
  <c r="AA1172" i="5"/>
  <c r="AC1172" i="5" s="1"/>
  <c r="AE1445" i="5"/>
  <c r="AA1445" i="5"/>
  <c r="AC1445" i="5" s="1"/>
  <c r="AA1409" i="5"/>
  <c r="AC1409" i="5" s="1"/>
  <c r="AE1409" i="5"/>
  <c r="AA1353" i="5"/>
  <c r="AB1353" i="5" s="1"/>
  <c r="AC1353" i="5" s="1"/>
  <c r="AE1353" i="5"/>
  <c r="AE1249" i="5"/>
  <c r="AA1249" i="5"/>
  <c r="AC1249" i="5" s="1"/>
  <c r="AE1209" i="5"/>
  <c r="AA1209" i="5"/>
  <c r="AC1209" i="5" s="1"/>
  <c r="AE1142" i="5"/>
  <c r="AA1142" i="5"/>
  <c r="AC1142" i="5" s="1"/>
  <c r="AE1117" i="5"/>
  <c r="AA1117" i="5"/>
  <c r="AC1117" i="5" s="1"/>
  <c r="AA1045" i="5"/>
  <c r="AC1045" i="5" s="1"/>
  <c r="AE1045" i="5"/>
  <c r="AE1427" i="5"/>
  <c r="AA1427" i="5"/>
  <c r="AC1427" i="5" s="1"/>
  <c r="AE1246" i="5"/>
  <c r="AA1246" i="5"/>
  <c r="AC1246" i="5" s="1"/>
  <c r="AE1115" i="5"/>
  <c r="AA1115" i="5"/>
  <c r="AC1115" i="5" s="1"/>
  <c r="AA979" i="5"/>
  <c r="AC979" i="5" s="1"/>
  <c r="AE979" i="5"/>
  <c r="AE1039" i="5"/>
  <c r="AA1039" i="5"/>
  <c r="AC1039" i="5" s="1"/>
  <c r="AE1019" i="5"/>
  <c r="AA1019" i="5"/>
  <c r="AC1019" i="5" s="1"/>
  <c r="AE955" i="5"/>
  <c r="AA955" i="5"/>
  <c r="AC955" i="5" s="1"/>
  <c r="AE1112" i="5"/>
  <c r="AA1112" i="5"/>
  <c r="AC1112" i="5" s="1"/>
  <c r="AE1009" i="5"/>
  <c r="AA1009" i="5"/>
  <c r="AC1009" i="5" s="1"/>
  <c r="AE1123" i="5"/>
  <c r="AA1123" i="5"/>
  <c r="AC1123" i="5" s="1"/>
  <c r="AA990" i="5"/>
  <c r="AC990" i="5" s="1"/>
  <c r="AE990" i="5"/>
  <c r="Z722" i="5"/>
  <c r="AE722" i="5" s="1"/>
  <c r="S722" i="5"/>
  <c r="AA722" i="5"/>
  <c r="AB722" i="5" s="1"/>
  <c r="AC722" i="5" s="1"/>
  <c r="AA609" i="5"/>
  <c r="AB609" i="5" s="1"/>
  <c r="AC609" i="5" s="1"/>
  <c r="S609" i="5"/>
  <c r="Z609" i="5"/>
  <c r="AE609" i="5" s="1"/>
  <c r="S558" i="5"/>
  <c r="Z558" i="5"/>
  <c r="AE558" i="5" s="1"/>
  <c r="AA558" i="5"/>
  <c r="AB558" i="5" s="1"/>
  <c r="AC558" i="5" s="1"/>
  <c r="AE1189" i="5"/>
  <c r="AA1189" i="5"/>
  <c r="AC1189" i="5" s="1"/>
  <c r="AE1042" i="5"/>
  <c r="AA1042" i="5"/>
  <c r="AC1042" i="5" s="1"/>
  <c r="AE1012" i="5"/>
  <c r="AA1012" i="5"/>
  <c r="AC1012" i="5" s="1"/>
  <c r="AE876" i="5"/>
  <c r="AA876" i="5"/>
  <c r="AC876" i="5" s="1"/>
  <c r="Z760" i="5"/>
  <c r="AE760" i="5" s="1"/>
  <c r="AA760" i="5"/>
  <c r="AB760" i="5" s="1"/>
  <c r="AC760" i="5" s="1"/>
  <c r="S760" i="5"/>
  <c r="Z650" i="5"/>
  <c r="AE650" i="5" s="1"/>
  <c r="AA650" i="5"/>
  <c r="AB650" i="5" s="1"/>
  <c r="AC650" i="5" s="1"/>
  <c r="S650" i="5"/>
  <c r="AE1194" i="5"/>
  <c r="AA1194" i="5"/>
  <c r="AC1194" i="5" s="1"/>
  <c r="AE1145" i="5"/>
  <c r="AA1145" i="5"/>
  <c r="AC1145" i="5" s="1"/>
  <c r="AE1066" i="5"/>
  <c r="AA1066" i="5"/>
  <c r="AC1066" i="5" s="1"/>
  <c r="AA1016" i="5"/>
  <c r="AC1016" i="5" s="1"/>
  <c r="AE1016" i="5"/>
  <c r="AE888" i="5"/>
  <c r="AA888" i="5"/>
  <c r="AC888" i="5" s="1"/>
  <c r="S815" i="5"/>
  <c r="Z815" i="5"/>
  <c r="AE815" i="5" s="1"/>
  <c r="AA815" i="5"/>
  <c r="AB815" i="5" s="1"/>
  <c r="AC815" i="5" s="1"/>
  <c r="AA683" i="5"/>
  <c r="AB683" i="5" s="1"/>
  <c r="AC683" i="5" s="1"/>
  <c r="Z683" i="5"/>
  <c r="AE683" i="5" s="1"/>
  <c r="S683" i="5"/>
  <c r="AA646" i="5"/>
  <c r="AB646" i="5" s="1"/>
  <c r="AC646" i="5" s="1"/>
  <c r="Z646" i="5"/>
  <c r="AE646" i="5" s="1"/>
  <c r="S646" i="5"/>
  <c r="AA634" i="5"/>
  <c r="AB634" i="5" s="1"/>
  <c r="AC634" i="5" s="1"/>
  <c r="Z634" i="5"/>
  <c r="AE634" i="5" s="1"/>
  <c r="S634" i="5"/>
  <c r="Z724" i="5"/>
  <c r="AE724" i="5" s="1"/>
  <c r="S724" i="5"/>
  <c r="AA724" i="5"/>
  <c r="AB724" i="5" s="1"/>
  <c r="AC724" i="5" s="1"/>
  <c r="Z707" i="5"/>
  <c r="AE707" i="5" s="1"/>
  <c r="S707" i="5"/>
  <c r="AA707" i="5"/>
  <c r="AB707" i="5" s="1"/>
  <c r="AC707" i="5" s="1"/>
  <c r="AA438" i="5"/>
  <c r="AB438" i="5" s="1"/>
  <c r="AC438" i="5" s="1"/>
  <c r="S438" i="5"/>
  <c r="Z438" i="5"/>
  <c r="AE438" i="5" s="1"/>
  <c r="AA487" i="5"/>
  <c r="AB487" i="5" s="1"/>
  <c r="AC487" i="5" s="1"/>
  <c r="Z487" i="5"/>
  <c r="AE487" i="5" s="1"/>
  <c r="S487" i="5"/>
  <c r="AE886" i="5"/>
  <c r="AA886" i="5"/>
  <c r="AC886" i="5" s="1"/>
  <c r="Z191" i="5"/>
  <c r="AE191" i="5" s="1"/>
  <c r="S191" i="5"/>
  <c r="AA191" i="5"/>
  <c r="AC191" i="5" s="1"/>
  <c r="Z283" i="5"/>
  <c r="AE283" i="5" s="1"/>
  <c r="AA283" i="5"/>
  <c r="AB283" i="5" s="1"/>
  <c r="AC283" i="5" s="1"/>
  <c r="S283" i="5"/>
  <c r="Z202" i="5"/>
  <c r="AE202" i="5" s="1"/>
  <c r="AA202" i="5"/>
  <c r="AC202" i="5" s="1"/>
  <c r="S202" i="5"/>
  <c r="S124" i="5"/>
  <c r="Z124" i="5"/>
  <c r="AE124" i="5" s="1"/>
  <c r="AA124" i="5"/>
  <c r="AC124" i="5" s="1"/>
  <c r="AA320" i="5"/>
  <c r="AB320" i="5" s="1"/>
  <c r="AC320" i="5" s="1"/>
  <c r="S320" i="5"/>
  <c r="Z320" i="5"/>
  <c r="AE320" i="5" s="1"/>
  <c r="Z299" i="5"/>
  <c r="AE299" i="5" s="1"/>
  <c r="AA299" i="5"/>
  <c r="AB299" i="5" s="1"/>
  <c r="AC299" i="5" s="1"/>
  <c r="S299" i="5"/>
  <c r="Z167" i="5"/>
  <c r="AE167" i="5" s="1"/>
  <c r="S167" i="5"/>
  <c r="AA167" i="5"/>
  <c r="AC167" i="5" s="1"/>
  <c r="AA80" i="5"/>
  <c r="AC80" i="5" s="1"/>
  <c r="Z80" i="5"/>
  <c r="AE80" i="5" s="1"/>
  <c r="S80" i="5"/>
  <c r="AA34" i="5"/>
  <c r="S34" i="5"/>
  <c r="Z34" i="5"/>
  <c r="AE34" i="5" s="1"/>
  <c r="Z469" i="5"/>
  <c r="AE469" i="5" s="1"/>
  <c r="AA469" i="5"/>
  <c r="AB469" i="5" s="1"/>
  <c r="AC469" i="5" s="1"/>
  <c r="S469" i="5"/>
  <c r="S316" i="5"/>
  <c r="AA316" i="5"/>
  <c r="AB316" i="5" s="1"/>
  <c r="AC316" i="5" s="1"/>
  <c r="Z316" i="5"/>
  <c r="AE316" i="5" s="1"/>
  <c r="E153" i="10"/>
  <c r="E69" i="10"/>
  <c r="AE1749" i="5"/>
  <c r="AA1749" i="5"/>
  <c r="AC1749" i="5" s="1"/>
  <c r="AE1713" i="5"/>
  <c r="AA1713" i="5"/>
  <c r="AC1713" i="5" s="1"/>
  <c r="AE1671" i="5"/>
  <c r="AA1671" i="5"/>
  <c r="AC1671" i="5" s="1"/>
  <c r="AE1491" i="5"/>
  <c r="AA1491" i="5"/>
  <c r="AC1491" i="5" s="1"/>
  <c r="AE1584" i="5"/>
  <c r="AA1584" i="5"/>
  <c r="AC1584" i="5" s="1"/>
  <c r="AE1314" i="5"/>
  <c r="AA1314" i="5"/>
  <c r="AC1314" i="5" s="1"/>
  <c r="AE1365" i="5"/>
  <c r="AA1365" i="5"/>
  <c r="AC1365" i="5" s="1"/>
  <c r="AE1257" i="5"/>
  <c r="AA1257" i="5"/>
  <c r="AC1257" i="5" s="1"/>
  <c r="AE1559" i="5"/>
  <c r="AA1559" i="5"/>
  <c r="AC1559" i="5" s="1"/>
  <c r="AE1503" i="5"/>
  <c r="AA1503" i="5"/>
  <c r="AC1503" i="5" s="1"/>
  <c r="AA1378" i="5"/>
  <c r="AC1378" i="5" s="1"/>
  <c r="AE1378" i="5"/>
  <c r="AA1342" i="5"/>
  <c r="AC1342" i="5" s="1"/>
  <c r="AE1342" i="5"/>
  <c r="AA1255" i="5"/>
  <c r="AC1255" i="5" s="1"/>
  <c r="AE1255" i="5"/>
  <c r="AE1316" i="5"/>
  <c r="AA1316" i="5"/>
  <c r="AC1316" i="5" s="1"/>
  <c r="AE1237" i="5"/>
  <c r="AA1237" i="5"/>
  <c r="AC1237" i="5" s="1"/>
  <c r="AE1406" i="5"/>
  <c r="AA1406" i="5"/>
  <c r="AC1406" i="5" s="1"/>
  <c r="AE1159" i="5"/>
  <c r="AA1159" i="5"/>
  <c r="AC1159" i="5" s="1"/>
  <c r="AA1376" i="5"/>
  <c r="AC1376" i="5" s="1"/>
  <c r="AE1376" i="5"/>
  <c r="AE1271" i="5"/>
  <c r="AA1271" i="5"/>
  <c r="AC1271" i="5" s="1"/>
  <c r="AE1206" i="5"/>
  <c r="AA1206" i="5"/>
  <c r="AC1206" i="5" s="1"/>
  <c r="AE1443" i="5"/>
  <c r="AA1443" i="5"/>
  <c r="AC1443" i="5" s="1"/>
  <c r="AE1170" i="5"/>
  <c r="AA1170" i="5"/>
  <c r="AC1170" i="5" s="1"/>
  <c r="AE1126" i="5"/>
  <c r="AA1126" i="5"/>
  <c r="AC1126" i="5" s="1"/>
  <c r="AE1461" i="5"/>
  <c r="AA1461" i="5"/>
  <c r="AC1461" i="5" s="1"/>
  <c r="AE1110" i="5"/>
  <c r="AA1110" i="5"/>
  <c r="AC1110" i="5" s="1"/>
  <c r="AE1132" i="5"/>
  <c r="AA1132" i="5"/>
  <c r="AC1132" i="5" s="1"/>
  <c r="AE1088" i="5"/>
  <c r="AA1088" i="5"/>
  <c r="AC1088" i="5" s="1"/>
  <c r="AE1156" i="5"/>
  <c r="AA1156" i="5"/>
  <c r="AC1156" i="5" s="1"/>
  <c r="AE1013" i="5"/>
  <c r="AA1013" i="5"/>
  <c r="AC1013" i="5" s="1"/>
  <c r="AA989" i="5"/>
  <c r="AC989" i="5" s="1"/>
  <c r="AE989" i="5"/>
  <c r="AA712" i="5"/>
  <c r="AB712" i="5" s="1"/>
  <c r="AC712" i="5" s="1"/>
  <c r="S712" i="5"/>
  <c r="Z712" i="5"/>
  <c r="AE712" i="5" s="1"/>
  <c r="AE1185" i="5"/>
  <c r="AA1185" i="5"/>
  <c r="AC1185" i="5" s="1"/>
  <c r="AE1108" i="5"/>
  <c r="AA1108" i="5"/>
  <c r="AC1108" i="5" s="1"/>
  <c r="AE1121" i="5"/>
  <c r="AA1121" i="5"/>
  <c r="AC1121" i="5" s="1"/>
  <c r="AE987" i="5"/>
  <c r="AA987" i="5"/>
  <c r="AC987" i="5" s="1"/>
  <c r="AE927" i="5"/>
  <c r="AA927" i="5"/>
  <c r="AC927" i="5" s="1"/>
  <c r="S708" i="5"/>
  <c r="AA708" i="5"/>
  <c r="AB708" i="5" s="1"/>
  <c r="AC708" i="5" s="1"/>
  <c r="Z708" i="5"/>
  <c r="AE708" i="5" s="1"/>
  <c r="S666" i="5"/>
  <c r="AA666" i="5"/>
  <c r="AB666" i="5" s="1"/>
  <c r="AC666" i="5" s="1"/>
  <c r="Z666" i="5"/>
  <c r="AE666" i="5" s="1"/>
  <c r="Z554" i="5"/>
  <c r="AE554" i="5" s="1"/>
  <c r="S554" i="5"/>
  <c r="AA554" i="5"/>
  <c r="AB554" i="5" s="1"/>
  <c r="AC554" i="5" s="1"/>
  <c r="AE1182" i="5"/>
  <c r="AA1182" i="5"/>
  <c r="AC1182" i="5" s="1"/>
  <c r="AE1111" i="5"/>
  <c r="AA1111" i="5"/>
  <c r="AC1111" i="5" s="1"/>
  <c r="AE1040" i="5"/>
  <c r="AA1040" i="5"/>
  <c r="AC1040" i="5" s="1"/>
  <c r="AA1006" i="5"/>
  <c r="AC1006" i="5" s="1"/>
  <c r="AE1006" i="5"/>
  <c r="AE864" i="5"/>
  <c r="AA864" i="5"/>
  <c r="AC864" i="5" s="1"/>
  <c r="AE1187" i="5"/>
  <c r="AA1187" i="5"/>
  <c r="AC1187" i="5" s="1"/>
  <c r="AE1107" i="5"/>
  <c r="AA1107" i="5"/>
  <c r="AC1107" i="5" s="1"/>
  <c r="AE1059" i="5"/>
  <c r="AA1059" i="5"/>
  <c r="AC1059" i="5" s="1"/>
  <c r="AE1002" i="5"/>
  <c r="AA1002" i="5"/>
  <c r="AC1002" i="5" s="1"/>
  <c r="AA771" i="5"/>
  <c r="AB771" i="5" s="1"/>
  <c r="AC771" i="5" s="1"/>
  <c r="S771" i="5"/>
  <c r="Z771" i="5"/>
  <c r="AE771" i="5" s="1"/>
  <c r="Z613" i="5"/>
  <c r="AE613" i="5" s="1"/>
  <c r="S613" i="5"/>
  <c r="AA613" i="5"/>
  <c r="AB613" i="5" s="1"/>
  <c r="AC613" i="5" s="1"/>
  <c r="AE885" i="5"/>
  <c r="AA885" i="5"/>
  <c r="AC885" i="5" s="1"/>
  <c r="AA662" i="5"/>
  <c r="AB662" i="5" s="1"/>
  <c r="AC662" i="5" s="1"/>
  <c r="Z662" i="5"/>
  <c r="AE662" i="5" s="1"/>
  <c r="S662" i="5"/>
  <c r="Z583" i="5"/>
  <c r="AE583" i="5" s="1"/>
  <c r="AA583" i="5"/>
  <c r="AB583" i="5" s="1"/>
  <c r="AC583" i="5" s="1"/>
  <c r="S583" i="5"/>
  <c r="AE846" i="5"/>
  <c r="AA846" i="5"/>
  <c r="AC846" i="5" s="1"/>
  <c r="S733" i="5"/>
  <c r="AA733" i="5"/>
  <c r="AB733" i="5" s="1"/>
  <c r="AC733" i="5" s="1"/>
  <c r="Z733" i="5"/>
  <c r="AE733" i="5" s="1"/>
  <c r="Z608" i="5"/>
  <c r="AE608" i="5" s="1"/>
  <c r="AA608" i="5"/>
  <c r="AB608" i="5" s="1"/>
  <c r="AC608" i="5" s="1"/>
  <c r="S608" i="5"/>
  <c r="Z528" i="5"/>
  <c r="AE528" i="5" s="1"/>
  <c r="S528" i="5"/>
  <c r="AA528" i="5"/>
  <c r="AB528" i="5" s="1"/>
  <c r="AC528" i="5" s="1"/>
  <c r="AA345" i="5"/>
  <c r="AB345" i="5" s="1"/>
  <c r="AC345" i="5" s="1"/>
  <c r="S345" i="5"/>
  <c r="Z345" i="5"/>
  <c r="AE345" i="5" s="1"/>
  <c r="Z189" i="5"/>
  <c r="AE189" i="5" s="1"/>
  <c r="S189" i="5"/>
  <c r="AA189" i="5"/>
  <c r="AC189" i="5" s="1"/>
  <c r="Z179" i="5"/>
  <c r="AE179" i="5" s="1"/>
  <c r="S179" i="5"/>
  <c r="AA179" i="5"/>
  <c r="AC179" i="5" s="1"/>
  <c r="S367" i="5"/>
  <c r="Z367" i="5"/>
  <c r="AE367" i="5" s="1"/>
  <c r="AA367" i="5"/>
  <c r="AB367" i="5" s="1"/>
  <c r="AC367" i="5" s="1"/>
  <c r="S193" i="5"/>
  <c r="Z193" i="5"/>
  <c r="AE193" i="5" s="1"/>
  <c r="AA193" i="5"/>
  <c r="AC193" i="5" s="1"/>
  <c r="Z107" i="5"/>
  <c r="AE107" i="5" s="1"/>
  <c r="AA107" i="5"/>
  <c r="AC107" i="5" s="1"/>
  <c r="S107" i="5"/>
  <c r="AA378" i="5"/>
  <c r="AB378" i="5" s="1"/>
  <c r="AC378" i="5" s="1"/>
  <c r="S378" i="5"/>
  <c r="Z378" i="5"/>
  <c r="AE378" i="5" s="1"/>
  <c r="Z297" i="5"/>
  <c r="AE297" i="5" s="1"/>
  <c r="AA297" i="5"/>
  <c r="AB297" i="5" s="1"/>
  <c r="AC297" i="5" s="1"/>
  <c r="S297" i="5"/>
  <c r="Z121" i="5"/>
  <c r="AE121" i="5" s="1"/>
  <c r="S121" i="5"/>
  <c r="AA121" i="5"/>
  <c r="AC121" i="5" s="1"/>
  <c r="U225" i="6"/>
  <c r="S225" i="6"/>
  <c r="S11" i="6"/>
  <c r="AE1743" i="5"/>
  <c r="AA1743" i="5"/>
  <c r="AC1743" i="5" s="1"/>
  <c r="AE1707" i="5"/>
  <c r="AA1707" i="5"/>
  <c r="AC1707" i="5" s="1"/>
  <c r="AE1719" i="5"/>
  <c r="AA1719" i="5"/>
  <c r="AC1719" i="5" s="1"/>
  <c r="AE1689" i="5"/>
  <c r="AA1689" i="5"/>
  <c r="AC1689" i="5" s="1"/>
  <c r="AE1695" i="5"/>
  <c r="AA1695" i="5"/>
  <c r="AC1695" i="5" s="1"/>
  <c r="AE1489" i="5"/>
  <c r="AA1489" i="5"/>
  <c r="AC1489" i="5" s="1"/>
  <c r="AE1286" i="5"/>
  <c r="AA1286" i="5"/>
  <c r="AC1286" i="5" s="1"/>
  <c r="AE1362" i="5"/>
  <c r="AA1362" i="5"/>
  <c r="AC1362" i="5" s="1"/>
  <c r="AE1254" i="5"/>
  <c r="AA1254" i="5"/>
  <c r="AC1254" i="5" s="1"/>
  <c r="AA1333" i="5"/>
  <c r="AC1333" i="5" s="1"/>
  <c r="AE1333" i="5"/>
  <c r="AE1208" i="5"/>
  <c r="AA1208" i="5"/>
  <c r="AC1208" i="5" s="1"/>
  <c r="AE1422" i="5"/>
  <c r="AA1422" i="5"/>
  <c r="AC1422" i="5" s="1"/>
  <c r="AE1200" i="5"/>
  <c r="AA1200" i="5"/>
  <c r="AC1200" i="5" s="1"/>
  <c r="AE1073" i="5"/>
  <c r="AA1073" i="5"/>
  <c r="AC1073" i="5" s="1"/>
  <c r="AE1054" i="5"/>
  <c r="AA1054" i="5"/>
  <c r="AC1054" i="5" s="1"/>
  <c r="AE1312" i="5"/>
  <c r="AA1312" i="5"/>
  <c r="AC1312" i="5" s="1"/>
  <c r="AE1215" i="5"/>
  <c r="AA1215" i="5"/>
  <c r="AC1215" i="5" s="1"/>
  <c r="AE1116" i="5"/>
  <c r="AA1116" i="5"/>
  <c r="AC1116" i="5" s="1"/>
  <c r="AA1248" i="5"/>
  <c r="AC1248" i="5" s="1"/>
  <c r="AE1248" i="5"/>
  <c r="AE1307" i="5"/>
  <c r="AA1307" i="5"/>
  <c r="AC1307" i="5" s="1"/>
  <c r="AE1137" i="5"/>
  <c r="AA1137" i="5"/>
  <c r="AC1137" i="5" s="1"/>
  <c r="AE1097" i="5"/>
  <c r="AA1097" i="5"/>
  <c r="AC1097" i="5" s="1"/>
  <c r="AE1031" i="5"/>
  <c r="AA1031" i="5"/>
  <c r="AC1031" i="5" s="1"/>
  <c r="AE1419" i="5"/>
  <c r="AA1419" i="5"/>
  <c r="AC1419" i="5" s="1"/>
  <c r="AE1125" i="5"/>
  <c r="AA1125" i="5"/>
  <c r="AC1125" i="5" s="1"/>
  <c r="AE1103" i="5"/>
  <c r="AA1103" i="5"/>
  <c r="AC1103" i="5" s="1"/>
  <c r="AA999" i="5"/>
  <c r="AC999" i="5" s="1"/>
  <c r="AE999" i="5"/>
  <c r="AA879" i="5"/>
  <c r="AC879" i="5" s="1"/>
  <c r="AE879" i="5"/>
  <c r="S789" i="5"/>
  <c r="Z789" i="5"/>
  <c r="AE789" i="5" s="1"/>
  <c r="AA789" i="5"/>
  <c r="AB789" i="5" s="1"/>
  <c r="AC789" i="5" s="1"/>
  <c r="AA1072" i="5"/>
  <c r="AC1072" i="5" s="1"/>
  <c r="AE1072" i="5"/>
  <c r="AA1033" i="5"/>
  <c r="AC1033" i="5" s="1"/>
  <c r="AE1033" i="5"/>
  <c r="AE986" i="5"/>
  <c r="AA986" i="5"/>
  <c r="AC986" i="5" s="1"/>
  <c r="AE894" i="5"/>
  <c r="AA894" i="5"/>
  <c r="AC894" i="5" s="1"/>
  <c r="AA706" i="5"/>
  <c r="AB706" i="5" s="1"/>
  <c r="AC706" i="5" s="1"/>
  <c r="S706" i="5"/>
  <c r="Z706" i="5"/>
  <c r="AE706" i="5" s="1"/>
  <c r="AA653" i="5"/>
  <c r="AB653" i="5" s="1"/>
  <c r="AC653" i="5" s="1"/>
  <c r="S653" i="5"/>
  <c r="Z653" i="5"/>
  <c r="AE653" i="5" s="1"/>
  <c r="AE1056" i="5"/>
  <c r="AA1056" i="5"/>
  <c r="AC1056" i="5" s="1"/>
  <c r="AA971" i="5"/>
  <c r="AC971" i="5" s="1"/>
  <c r="AE971" i="5"/>
  <c r="AE908" i="5"/>
  <c r="AA908" i="5"/>
  <c r="AC908" i="5" s="1"/>
  <c r="AE1106" i="5"/>
  <c r="AA1106" i="5"/>
  <c r="AC1106" i="5" s="1"/>
  <c r="AA1000" i="5"/>
  <c r="AC1000" i="5" s="1"/>
  <c r="AE1000" i="5"/>
  <c r="AA968" i="5"/>
  <c r="AC968" i="5" s="1"/>
  <c r="AE968" i="5"/>
  <c r="AA795" i="5"/>
  <c r="AB795" i="5" s="1"/>
  <c r="AC795" i="5" s="1"/>
  <c r="Z795" i="5"/>
  <c r="AE795" i="5" s="1"/>
  <c r="S795" i="5"/>
  <c r="Z766" i="5"/>
  <c r="AE766" i="5" s="1"/>
  <c r="AA766" i="5"/>
  <c r="AB766" i="5" s="1"/>
  <c r="AC766" i="5" s="1"/>
  <c r="S766" i="5"/>
  <c r="S698" i="5"/>
  <c r="Z698" i="5"/>
  <c r="AE698" i="5" s="1"/>
  <c r="AA698" i="5"/>
  <c r="AB698" i="5" s="1"/>
  <c r="AC698" i="5" s="1"/>
  <c r="S691" i="5"/>
  <c r="AA691" i="5"/>
  <c r="AB691" i="5" s="1"/>
  <c r="AC691" i="5" s="1"/>
  <c r="Z691" i="5"/>
  <c r="AE691" i="5" s="1"/>
  <c r="S682" i="5"/>
  <c r="AA682" i="5"/>
  <c r="AB682" i="5" s="1"/>
  <c r="AC682" i="5" s="1"/>
  <c r="Z682" i="5"/>
  <c r="AE682" i="5" s="1"/>
  <c r="AE1168" i="5"/>
  <c r="AA1168" i="5"/>
  <c r="AC1168" i="5" s="1"/>
  <c r="AE1065" i="5"/>
  <c r="AA1065" i="5"/>
  <c r="AC1065" i="5" s="1"/>
  <c r="AE1035" i="5"/>
  <c r="AA1035" i="5"/>
  <c r="AC1035" i="5" s="1"/>
  <c r="Z699" i="5"/>
  <c r="AE699" i="5" s="1"/>
  <c r="S699" i="5"/>
  <c r="AA699" i="5"/>
  <c r="AB699" i="5" s="1"/>
  <c r="AC699" i="5" s="1"/>
  <c r="AE1058" i="5"/>
  <c r="AA1058" i="5"/>
  <c r="AC1058" i="5" s="1"/>
  <c r="Z610" i="5"/>
  <c r="AE610" i="5" s="1"/>
  <c r="S610" i="5"/>
  <c r="AA610" i="5"/>
  <c r="AB610" i="5" s="1"/>
  <c r="AC610" i="5" s="1"/>
  <c r="AE872" i="5"/>
  <c r="AA872" i="5"/>
  <c r="AC872" i="5" s="1"/>
  <c r="AE848" i="5"/>
  <c r="AA848" i="5"/>
  <c r="AC848" i="5" s="1"/>
  <c r="AA624" i="5"/>
  <c r="AB624" i="5" s="1"/>
  <c r="AC624" i="5" s="1"/>
  <c r="Z624" i="5"/>
  <c r="AE624" i="5" s="1"/>
  <c r="S624" i="5"/>
  <c r="AA536" i="5"/>
  <c r="AB536" i="5" s="1"/>
  <c r="AC536" i="5" s="1"/>
  <c r="S536" i="5"/>
  <c r="Z536" i="5"/>
  <c r="AE536" i="5" s="1"/>
  <c r="S340" i="5"/>
  <c r="Z340" i="5"/>
  <c r="AE340" i="5" s="1"/>
  <c r="AA340" i="5"/>
  <c r="AB340" i="5" s="1"/>
  <c r="AC340" i="5" s="1"/>
  <c r="Z236" i="5"/>
  <c r="AE236" i="5" s="1"/>
  <c r="S236" i="5"/>
  <c r="AA236" i="5"/>
  <c r="AB236" i="5" s="1"/>
  <c r="AC236" i="5" s="1"/>
  <c r="AA212" i="5"/>
  <c r="AC212" i="5" s="1"/>
  <c r="Z212" i="5"/>
  <c r="AE212" i="5" s="1"/>
  <c r="S212" i="5"/>
  <c r="AA76" i="5"/>
  <c r="AC76" i="5" s="1"/>
  <c r="S76" i="5"/>
  <c r="Z76" i="5"/>
  <c r="AE76" i="5" s="1"/>
  <c r="S312" i="5"/>
  <c r="Z312" i="5"/>
  <c r="AE312" i="5" s="1"/>
  <c r="AA312" i="5"/>
  <c r="AB312" i="5" s="1"/>
  <c r="AC312" i="5" s="1"/>
  <c r="AC229" i="5"/>
  <c r="AE882" i="5"/>
  <c r="AA882" i="5"/>
  <c r="AC882" i="5" s="1"/>
  <c r="AA325" i="5"/>
  <c r="AB325" i="5" s="1"/>
  <c r="AC325" i="5" s="1"/>
  <c r="Z325" i="5"/>
  <c r="AE325" i="5" s="1"/>
  <c r="S325" i="5"/>
  <c r="AA98" i="5"/>
  <c r="AC98" i="5" s="1"/>
  <c r="S98" i="5"/>
  <c r="Z98" i="5"/>
  <c r="AE98" i="5" s="1"/>
  <c r="Z281" i="5"/>
  <c r="AE281" i="5" s="1"/>
  <c r="S281" i="5"/>
  <c r="AA281" i="5"/>
  <c r="AB281" i="5" s="1"/>
  <c r="AC281" i="5" s="1"/>
  <c r="Z51" i="5"/>
  <c r="AE51" i="5" s="1"/>
  <c r="S51" i="5"/>
  <c r="AA51" i="5"/>
  <c r="AC51" i="5" s="1"/>
  <c r="S44" i="6"/>
  <c r="AE1737" i="5"/>
  <c r="AA1737" i="5"/>
  <c r="AC1737" i="5" s="1"/>
  <c r="AE1547" i="5"/>
  <c r="AA1547" i="5"/>
  <c r="AC1547" i="5" s="1"/>
  <c r="AE1410" i="5"/>
  <c r="AA1410" i="5"/>
  <c r="AC1410" i="5" s="1"/>
  <c r="AA1392" i="5"/>
  <c r="AC1392" i="5" s="1"/>
  <c r="AE1392" i="5"/>
  <c r="AE1357" i="5"/>
  <c r="AA1357" i="5"/>
  <c r="AC1357" i="5" s="1"/>
  <c r="AE1303" i="5"/>
  <c r="AA1303" i="5"/>
  <c r="AC1303" i="5" s="1"/>
  <c r="AE1519" i="5"/>
  <c r="AA1519" i="5"/>
  <c r="AB1519" i="5" s="1"/>
  <c r="AE1495" i="5"/>
  <c r="AA1495" i="5"/>
  <c r="AC1495" i="5" s="1"/>
  <c r="AA1366" i="5"/>
  <c r="AC1366" i="5" s="1"/>
  <c r="AE1366" i="5"/>
  <c r="AE1475" i="5"/>
  <c r="AA1475" i="5"/>
  <c r="AC1475" i="5" s="1"/>
  <c r="AE1439" i="5"/>
  <c r="AA1439" i="5"/>
  <c r="AC1439" i="5" s="1"/>
  <c r="AE1202" i="5"/>
  <c r="AA1202" i="5"/>
  <c r="AC1202" i="5" s="1"/>
  <c r="AE1421" i="5"/>
  <c r="AA1421" i="5"/>
  <c r="AC1421" i="5" s="1"/>
  <c r="AE1193" i="5"/>
  <c r="AA1193" i="5"/>
  <c r="AC1193" i="5" s="1"/>
  <c r="AE1051" i="5"/>
  <c r="AA1051" i="5"/>
  <c r="AC1051" i="5" s="1"/>
  <c r="AE1141" i="5"/>
  <c r="AA1141" i="5"/>
  <c r="AC1141" i="5" s="1"/>
  <c r="AE1247" i="5"/>
  <c r="AA1247" i="5"/>
  <c r="AC1247" i="5" s="1"/>
  <c r="AE1164" i="5"/>
  <c r="AA1164" i="5"/>
  <c r="AC1164" i="5" s="1"/>
  <c r="AE1015" i="5"/>
  <c r="AA1015" i="5"/>
  <c r="AC1015" i="5" s="1"/>
  <c r="AE1404" i="5"/>
  <c r="AA1404" i="5"/>
  <c r="AC1404" i="5" s="1"/>
  <c r="AE1348" i="5"/>
  <c r="AA1348" i="5"/>
  <c r="AC1348" i="5" s="1"/>
  <c r="AE1196" i="5"/>
  <c r="AA1196" i="5"/>
  <c r="AC1196" i="5" s="1"/>
  <c r="AA1118" i="5"/>
  <c r="AC1118" i="5" s="1"/>
  <c r="AE1118" i="5"/>
  <c r="AE1181" i="5"/>
  <c r="AA1181" i="5"/>
  <c r="AC1181" i="5" s="1"/>
  <c r="AA914" i="5"/>
  <c r="AC914" i="5" s="1"/>
  <c r="AE914" i="5"/>
  <c r="AE874" i="5"/>
  <c r="AA874" i="5"/>
  <c r="AC874" i="5" s="1"/>
  <c r="AE1099" i="5"/>
  <c r="AA1099" i="5"/>
  <c r="AC1099" i="5" s="1"/>
  <c r="AE1062" i="5"/>
  <c r="AA1062" i="5"/>
  <c r="AC1062" i="5" s="1"/>
  <c r="AE1008" i="5"/>
  <c r="AA1008" i="5"/>
  <c r="AC1008" i="5" s="1"/>
  <c r="AA975" i="5"/>
  <c r="AC975" i="5" s="1"/>
  <c r="AE975" i="5"/>
  <c r="AA855" i="5"/>
  <c r="AC855" i="5" s="1"/>
  <c r="AE855" i="5"/>
  <c r="Z689" i="5"/>
  <c r="AE689" i="5" s="1"/>
  <c r="AA689" i="5"/>
  <c r="AB689" i="5" s="1"/>
  <c r="AC689" i="5" s="1"/>
  <c r="S689" i="5"/>
  <c r="S631" i="5"/>
  <c r="AA631" i="5"/>
  <c r="AB631" i="5" s="1"/>
  <c r="AC631" i="5" s="1"/>
  <c r="Z631" i="5"/>
  <c r="AE631" i="5" s="1"/>
  <c r="AE1017" i="5"/>
  <c r="AA1017" i="5"/>
  <c r="AC1017" i="5" s="1"/>
  <c r="AE900" i="5"/>
  <c r="AA900" i="5"/>
  <c r="AC900" i="5" s="1"/>
  <c r="AE880" i="5"/>
  <c r="AA880" i="5"/>
  <c r="AC880" i="5" s="1"/>
  <c r="Z829" i="5"/>
  <c r="AE829" i="5" s="1"/>
  <c r="S829" i="5"/>
  <c r="AA829" i="5"/>
  <c r="AB829" i="5" s="1"/>
  <c r="AC829" i="5" s="1"/>
  <c r="AA805" i="5"/>
  <c r="AB805" i="5" s="1"/>
  <c r="AC805" i="5" s="1"/>
  <c r="S805" i="5"/>
  <c r="Z805" i="5"/>
  <c r="AE805" i="5" s="1"/>
  <c r="S633" i="5"/>
  <c r="Z633" i="5"/>
  <c r="AE633" i="5" s="1"/>
  <c r="AA633" i="5"/>
  <c r="AB633" i="5" s="1"/>
  <c r="AC633" i="5" s="1"/>
  <c r="S582" i="5"/>
  <c r="Z582" i="5"/>
  <c r="AE582" i="5" s="1"/>
  <c r="AA582" i="5"/>
  <c r="AB582" i="5" s="1"/>
  <c r="AC582" i="5" s="1"/>
  <c r="AE1063" i="5"/>
  <c r="AA1063" i="5"/>
  <c r="AC1063" i="5" s="1"/>
  <c r="AA1032" i="5"/>
  <c r="AC1032" i="5" s="1"/>
  <c r="AE1032" i="5"/>
  <c r="S776" i="5"/>
  <c r="Z776" i="5"/>
  <c r="AE776" i="5" s="1"/>
  <c r="AA776" i="5"/>
  <c r="AB776" i="5" s="1"/>
  <c r="AC776" i="5" s="1"/>
  <c r="AE1130" i="5"/>
  <c r="AA1130" i="5"/>
  <c r="AC1130" i="5" s="1"/>
  <c r="AE1075" i="5"/>
  <c r="AA1075" i="5"/>
  <c r="AC1075" i="5" s="1"/>
  <c r="AE1053" i="5"/>
  <c r="AA1053" i="5"/>
  <c r="AC1053" i="5" s="1"/>
  <c r="AA1023" i="5"/>
  <c r="AC1023" i="5" s="1"/>
  <c r="AE1023" i="5"/>
  <c r="Z821" i="5"/>
  <c r="AE821" i="5" s="1"/>
  <c r="AA821" i="5"/>
  <c r="AB821" i="5" s="1"/>
  <c r="AC821" i="5" s="1"/>
  <c r="S821" i="5"/>
  <c r="AA663" i="5"/>
  <c r="AB663" i="5" s="1"/>
  <c r="AC663" i="5" s="1"/>
  <c r="Z663" i="5"/>
  <c r="AE663" i="5" s="1"/>
  <c r="S663" i="5"/>
  <c r="Z642" i="5"/>
  <c r="AE642" i="5" s="1"/>
  <c r="S642" i="5"/>
  <c r="AA642" i="5"/>
  <c r="AB642" i="5" s="1"/>
  <c r="AC642" i="5" s="1"/>
  <c r="S685" i="5"/>
  <c r="Z685" i="5"/>
  <c r="AE685" i="5" s="1"/>
  <c r="AA685" i="5"/>
  <c r="AB685" i="5" s="1"/>
  <c r="AC685" i="5" s="1"/>
  <c r="AE852" i="5"/>
  <c r="AA852" i="5"/>
  <c r="AC852" i="5" s="1"/>
  <c r="AA194" i="5"/>
  <c r="AC194" i="5" s="1"/>
  <c r="Z194" i="5"/>
  <c r="AE194" i="5" s="1"/>
  <c r="S194" i="5"/>
  <c r="S139" i="5"/>
  <c r="AA139" i="5"/>
  <c r="AC139" i="5" s="1"/>
  <c r="Z139" i="5"/>
  <c r="AE139" i="5" s="1"/>
  <c r="S74" i="5"/>
  <c r="AA74" i="5"/>
  <c r="AC74" i="5" s="1"/>
  <c r="Z74" i="5"/>
  <c r="AE74" i="5" s="1"/>
  <c r="Z153" i="5"/>
  <c r="AE153" i="5" s="1"/>
  <c r="S153" i="5"/>
  <c r="AA153" i="5"/>
  <c r="AC153" i="5" s="1"/>
  <c r="Z231" i="5"/>
  <c r="AE231" i="5" s="1"/>
  <c r="S231" i="5"/>
  <c r="AA231" i="5"/>
  <c r="AB231" i="5" s="1"/>
  <c r="AC231" i="5" s="1"/>
  <c r="S246" i="6"/>
  <c r="AE1683" i="5"/>
  <c r="AA1683" i="5"/>
  <c r="AC1683" i="5" s="1"/>
  <c r="AE1646" i="5"/>
  <c r="AA1646" i="5"/>
  <c r="AC1646" i="5" s="1"/>
  <c r="AE1555" i="5"/>
  <c r="AA1555" i="5"/>
  <c r="AC1555" i="5" s="1"/>
  <c r="AE1485" i="5"/>
  <c r="AA1485" i="5"/>
  <c r="AC1485" i="5" s="1"/>
  <c r="AE1397" i="5"/>
  <c r="AA1397" i="5"/>
  <c r="AC1397" i="5" s="1"/>
  <c r="AE1270" i="5"/>
  <c r="AA1270" i="5"/>
  <c r="AC1270" i="5" s="1"/>
  <c r="AE1424" i="5"/>
  <c r="AA1424" i="5"/>
  <c r="AC1424" i="5" s="1"/>
  <c r="AE1346" i="5"/>
  <c r="AA1346" i="5"/>
  <c r="AC1346" i="5" s="1"/>
  <c r="AE1515" i="5"/>
  <c r="AA1515" i="5"/>
  <c r="AC1515" i="5" s="1"/>
  <c r="AE1413" i="5"/>
  <c r="AA1413" i="5"/>
  <c r="AB1413" i="5" s="1"/>
  <c r="AC1413" i="5" s="1"/>
  <c r="AA1363" i="5"/>
  <c r="AC1363" i="5" s="1"/>
  <c r="AE1363" i="5"/>
  <c r="AA1280" i="5"/>
  <c r="AC1280" i="5" s="1"/>
  <c r="AE1280" i="5"/>
  <c r="AE1186" i="5"/>
  <c r="AA1186" i="5"/>
  <c r="AC1186" i="5" s="1"/>
  <c r="AE1408" i="5"/>
  <c r="AA1408" i="5"/>
  <c r="AC1408" i="5" s="1"/>
  <c r="AE1277" i="5"/>
  <c r="AA1277" i="5"/>
  <c r="AC1277" i="5" s="1"/>
  <c r="AE1264" i="5"/>
  <c r="AA1264" i="5"/>
  <c r="AC1264" i="5" s="1"/>
  <c r="AE1184" i="5"/>
  <c r="AA1184" i="5"/>
  <c r="AC1184" i="5" s="1"/>
  <c r="AE1477" i="5"/>
  <c r="AA1477" i="5"/>
  <c r="AC1477" i="5" s="1"/>
  <c r="AE1351" i="5"/>
  <c r="AA1351" i="5"/>
  <c r="AC1351" i="5" s="1"/>
  <c r="AE1197" i="5"/>
  <c r="AA1197" i="5"/>
  <c r="AC1197" i="5" s="1"/>
  <c r="AE1136" i="5"/>
  <c r="AA1136" i="5"/>
  <c r="AC1136" i="5" s="1"/>
  <c r="AE1102" i="5"/>
  <c r="AA1102" i="5"/>
  <c r="AC1102" i="5" s="1"/>
  <c r="AE1388" i="5"/>
  <c r="AA1388" i="5"/>
  <c r="AC1388" i="5" s="1"/>
  <c r="AA1162" i="5"/>
  <c r="AC1162" i="5" s="1"/>
  <c r="AE1162" i="5"/>
  <c r="AE1163" i="5"/>
  <c r="AA1163" i="5"/>
  <c r="AC1163" i="5" s="1"/>
  <c r="AA1071" i="5"/>
  <c r="AC1071" i="5" s="1"/>
  <c r="AE1071" i="5"/>
  <c r="AE1011" i="5"/>
  <c r="AA1011" i="5"/>
  <c r="AC1011" i="5" s="1"/>
  <c r="AE966" i="5"/>
  <c r="AA966" i="5"/>
  <c r="AC966" i="5" s="1"/>
  <c r="AE1238" i="5"/>
  <c r="AA1238" i="5"/>
  <c r="AC1238" i="5" s="1"/>
  <c r="AE1143" i="5"/>
  <c r="AA1143" i="5"/>
  <c r="AC1143" i="5" s="1"/>
  <c r="AE1069" i="5"/>
  <c r="AA1069" i="5"/>
  <c r="AC1069" i="5" s="1"/>
  <c r="AE953" i="5"/>
  <c r="AA953" i="5"/>
  <c r="AC953" i="5" s="1"/>
  <c r="AA1147" i="5"/>
  <c r="AC1147" i="5" s="1"/>
  <c r="AE1147" i="5"/>
  <c r="AA1050" i="5"/>
  <c r="AC1050" i="5" s="1"/>
  <c r="AE1050" i="5"/>
  <c r="AA1005" i="5"/>
  <c r="AC1005" i="5" s="1"/>
  <c r="AE1005" i="5"/>
  <c r="S623" i="5"/>
  <c r="Z623" i="5"/>
  <c r="AE623" i="5" s="1"/>
  <c r="AA623" i="5"/>
  <c r="AB623" i="5" s="1"/>
  <c r="AC623" i="5" s="1"/>
  <c r="AE1127" i="5"/>
  <c r="AA1127" i="5"/>
  <c r="AC1127" i="5" s="1"/>
  <c r="AA763" i="5"/>
  <c r="AB763" i="5" s="1"/>
  <c r="AC763" i="5" s="1"/>
  <c r="Z763" i="5"/>
  <c r="AE763" i="5" s="1"/>
  <c r="S763" i="5"/>
  <c r="S659" i="5"/>
  <c r="Z659" i="5"/>
  <c r="AE659" i="5" s="1"/>
  <c r="AA659" i="5"/>
  <c r="AB659" i="5" s="1"/>
  <c r="AC659" i="5" s="1"/>
  <c r="Z568" i="5"/>
  <c r="AE568" i="5" s="1"/>
  <c r="S568" i="5"/>
  <c r="AA568" i="5"/>
  <c r="AB568" i="5" s="1"/>
  <c r="AC568" i="5" s="1"/>
  <c r="AE1119" i="5"/>
  <c r="AA1119" i="5"/>
  <c r="AC1119" i="5" s="1"/>
  <c r="AE1087" i="5"/>
  <c r="AA1087" i="5"/>
  <c r="AC1087" i="5" s="1"/>
  <c r="AA1026" i="5"/>
  <c r="AC1026" i="5" s="1"/>
  <c r="AE1026" i="5"/>
  <c r="AA978" i="5"/>
  <c r="AC978" i="5" s="1"/>
  <c r="AE978" i="5"/>
  <c r="AA853" i="5"/>
  <c r="AC853" i="5" s="1"/>
  <c r="AE853" i="5"/>
  <c r="Z686" i="5"/>
  <c r="AE686" i="5" s="1"/>
  <c r="AA686" i="5"/>
  <c r="AB686" i="5" s="1"/>
  <c r="AC686" i="5" s="1"/>
  <c r="S686" i="5"/>
  <c r="Z629" i="5"/>
  <c r="AE629" i="5" s="1"/>
  <c r="AA629" i="5"/>
  <c r="AB629" i="5" s="1"/>
  <c r="AC629" i="5" s="1"/>
  <c r="S629" i="5"/>
  <c r="AE1213" i="5"/>
  <c r="AA1213" i="5"/>
  <c r="AC1213" i="5" s="1"/>
  <c r="AE1052" i="5"/>
  <c r="AA1052" i="5"/>
  <c r="AC1052" i="5" s="1"/>
  <c r="AE934" i="5"/>
  <c r="AA934" i="5"/>
  <c r="AC934" i="5" s="1"/>
  <c r="AE897" i="5"/>
  <c r="AA897" i="5"/>
  <c r="AC897" i="5" s="1"/>
  <c r="Z717" i="5"/>
  <c r="AE717" i="5" s="1"/>
  <c r="S717" i="5"/>
  <c r="AA717" i="5"/>
  <c r="AB717" i="5" s="1"/>
  <c r="AC717" i="5" s="1"/>
  <c r="AA660" i="5"/>
  <c r="AB660" i="5" s="1"/>
  <c r="AC660" i="5" s="1"/>
  <c r="Z660" i="5"/>
  <c r="AE660" i="5" s="1"/>
  <c r="S660" i="5"/>
  <c r="AE854" i="5"/>
  <c r="AA854" i="5"/>
  <c r="AC854" i="5" s="1"/>
  <c r="AE881" i="5"/>
  <c r="AA881" i="5"/>
  <c r="AC881" i="5" s="1"/>
  <c r="Z616" i="5"/>
  <c r="AE616" i="5" s="1"/>
  <c r="S616" i="5"/>
  <c r="AA616" i="5"/>
  <c r="AB616" i="5" s="1"/>
  <c r="AC616" i="5" s="1"/>
  <c r="AA540" i="5"/>
  <c r="AB540" i="5" s="1"/>
  <c r="AC540" i="5" s="1"/>
  <c r="Z540" i="5"/>
  <c r="AE540" i="5" s="1"/>
  <c r="S540" i="5"/>
  <c r="Z476" i="5"/>
  <c r="AE476" i="5" s="1"/>
  <c r="S476" i="5"/>
  <c r="AA476" i="5"/>
  <c r="AB476" i="5" s="1"/>
  <c r="AC476" i="5" s="1"/>
  <c r="AE866" i="5"/>
  <c r="AA866" i="5"/>
  <c r="AC866" i="5" s="1"/>
  <c r="Z184" i="5"/>
  <c r="AE184" i="5" s="1"/>
  <c r="S184" i="5"/>
  <c r="AA184" i="5"/>
  <c r="AC184" i="5" s="1"/>
  <c r="Z526" i="5"/>
  <c r="AE526" i="5" s="1"/>
  <c r="S526" i="5"/>
  <c r="AA526" i="5"/>
  <c r="AB526" i="5" s="1"/>
  <c r="AC526" i="5" s="1"/>
  <c r="Z278" i="5"/>
  <c r="AE278" i="5" s="1"/>
  <c r="S278" i="5"/>
  <c r="AA278" i="5"/>
  <c r="AB278" i="5" s="1"/>
  <c r="AC278" i="5" s="1"/>
  <c r="S86" i="5"/>
  <c r="AA86" i="5"/>
  <c r="AC86" i="5" s="1"/>
  <c r="Z86" i="5"/>
  <c r="AE86" i="5" s="1"/>
  <c r="S306" i="5"/>
  <c r="Z306" i="5"/>
  <c r="AE306" i="5" s="1"/>
  <c r="AA306" i="5"/>
  <c r="AB306" i="5" s="1"/>
  <c r="AC306" i="5" s="1"/>
  <c r="AA292" i="5"/>
  <c r="AB292" i="5" s="1"/>
  <c r="Z292" i="5"/>
  <c r="AE292" i="5" s="1"/>
  <c r="S292" i="5"/>
  <c r="AA227" i="5"/>
  <c r="AC227" i="5" s="1"/>
  <c r="Z227" i="5"/>
  <c r="AE227" i="5" s="1"/>
  <c r="S227" i="5"/>
  <c r="Z155" i="5"/>
  <c r="AE155" i="5" s="1"/>
  <c r="S155" i="5"/>
  <c r="AA155" i="5"/>
  <c r="AC155" i="5" s="1"/>
  <c r="Z143" i="5"/>
  <c r="AE143" i="5" s="1"/>
  <c r="S143" i="5"/>
  <c r="AA143" i="5"/>
  <c r="AC143" i="5" s="1"/>
  <c r="Z109" i="5"/>
  <c r="AE109" i="5" s="1"/>
  <c r="S109" i="5"/>
  <c r="AA109" i="5"/>
  <c r="AC109" i="5" s="1"/>
  <c r="Z390" i="5"/>
  <c r="AE390" i="5" s="1"/>
  <c r="S390" i="5"/>
  <c r="AA390" i="5"/>
  <c r="AB390" i="5" s="1"/>
  <c r="AC390" i="5" s="1"/>
  <c r="AU40" i="9"/>
  <c r="AU38" i="9"/>
  <c r="I68" i="9"/>
  <c r="R310" i="6"/>
  <c r="Q310" i="6"/>
  <c r="S310" i="6" s="1"/>
  <c r="U310" i="6" s="1"/>
  <c r="X310" i="6" s="1"/>
  <c r="R290" i="6"/>
  <c r="Q290" i="6"/>
  <c r="P290" i="6"/>
  <c r="P304" i="6"/>
  <c r="R304" i="6"/>
  <c r="Q304" i="6"/>
  <c r="P286" i="6"/>
  <c r="R286" i="6"/>
  <c r="Q286" i="6"/>
  <c r="P268" i="6"/>
  <c r="R268" i="6"/>
  <c r="Q268" i="6"/>
  <c r="Q289" i="6"/>
  <c r="R289" i="6"/>
  <c r="P289" i="6"/>
  <c r="S289" i="6" s="1"/>
  <c r="U289" i="6" s="1"/>
  <c r="X289" i="6" s="1"/>
  <c r="Q301" i="6"/>
  <c r="P301" i="6"/>
  <c r="R301" i="6"/>
  <c r="R263" i="6"/>
  <c r="Q263" i="6"/>
  <c r="P263" i="6"/>
  <c r="F245" i="6"/>
  <c r="L245" i="6" s="1"/>
  <c r="G245" i="6"/>
  <c r="J245" i="6" s="1"/>
  <c r="F236" i="6"/>
  <c r="L236" i="6" s="1"/>
  <c r="W147" i="7"/>
  <c r="Q283" i="6"/>
  <c r="P283" i="6"/>
  <c r="S283" i="6" s="1"/>
  <c r="R283" i="6"/>
  <c r="I227" i="6"/>
  <c r="H227" i="6" s="1"/>
  <c r="M147" i="6"/>
  <c r="K147" i="6" s="1"/>
  <c r="S147" i="6" s="1"/>
  <c r="I147" i="6"/>
  <c r="H147" i="6" s="1"/>
  <c r="L235" i="6"/>
  <c r="G235" i="6"/>
  <c r="J235" i="6" s="1"/>
  <c r="M205" i="6"/>
  <c r="K205" i="6" s="1"/>
  <c r="S205" i="6" s="1"/>
  <c r="I205" i="6"/>
  <c r="H205" i="6" s="1"/>
  <c r="R253" i="6"/>
  <c r="Q253" i="6"/>
  <c r="S253" i="6" s="1"/>
  <c r="U253" i="6" s="1"/>
  <c r="X253" i="6" s="1"/>
  <c r="P253" i="6"/>
  <c r="N165" i="6"/>
  <c r="P165" i="6"/>
  <c r="O165" i="6"/>
  <c r="M138" i="6"/>
  <c r="K138" i="6" s="1"/>
  <c r="S138" i="6" s="1"/>
  <c r="M207" i="6"/>
  <c r="I145" i="6"/>
  <c r="H145" i="6" s="1"/>
  <c r="I64" i="6"/>
  <c r="H64" i="6" s="1"/>
  <c r="M34" i="6"/>
  <c r="K34" i="6" s="1"/>
  <c r="S34" i="6" s="1"/>
  <c r="M74" i="6"/>
  <c r="K74" i="6" s="1"/>
  <c r="S74" i="6" s="1"/>
  <c r="I74" i="6"/>
  <c r="H74" i="6" s="1"/>
  <c r="G40" i="6"/>
  <c r="J40" i="6" s="1"/>
  <c r="L40" i="6"/>
  <c r="K160" i="6"/>
  <c r="S160" i="6" s="1"/>
  <c r="I189" i="6"/>
  <c r="H189" i="6" s="1"/>
  <c r="I109" i="6"/>
  <c r="H109" i="6" s="1"/>
  <c r="M88" i="6"/>
  <c r="K88" i="6" s="1"/>
  <c r="S88" i="6" s="1"/>
  <c r="P55" i="6"/>
  <c r="K55" i="6" s="1"/>
  <c r="S55" i="6" s="1"/>
  <c r="O55" i="6"/>
  <c r="N55" i="6"/>
  <c r="M215" i="6"/>
  <c r="I215" i="6" s="1"/>
  <c r="H215" i="6" s="1"/>
  <c r="M173" i="6"/>
  <c r="I173" i="6" s="1"/>
  <c r="H173" i="6" s="1"/>
  <c r="M50" i="6"/>
  <c r="K50" i="6" s="1"/>
  <c r="P38" i="6"/>
  <c r="O38" i="6"/>
  <c r="N38" i="6"/>
  <c r="K38" i="6" s="1"/>
  <c r="S38" i="6" s="1"/>
  <c r="M16" i="6"/>
  <c r="K16" i="6" s="1"/>
  <c r="S16" i="6" s="1"/>
  <c r="K154" i="6"/>
  <c r="S154" i="6" s="1"/>
  <c r="K96" i="6"/>
  <c r="S96" i="6" s="1"/>
  <c r="I11" i="6"/>
  <c r="H11" i="6" s="1"/>
  <c r="M13" i="6"/>
  <c r="K13" i="6" s="1"/>
  <c r="S13" i="6" s="1"/>
  <c r="U127" i="6"/>
  <c r="V127" i="6" s="1"/>
  <c r="W247" i="6" s="1"/>
  <c r="R124" i="6"/>
  <c r="S124" i="6" s="1"/>
  <c r="K111" i="6"/>
  <c r="S111" i="6" s="1"/>
  <c r="K57" i="6"/>
  <c r="S57" i="6" s="1"/>
  <c r="M28" i="6"/>
  <c r="K28" i="6" s="1"/>
  <c r="S28" i="6" s="1"/>
  <c r="I67" i="6"/>
  <c r="H67" i="6" s="1"/>
  <c r="I68" i="6"/>
  <c r="H68" i="6" s="1"/>
  <c r="X1784" i="5"/>
  <c r="U1784" i="5" s="1"/>
  <c r="Z1784" i="5" s="1"/>
  <c r="Y1784" i="5"/>
  <c r="X1778" i="5"/>
  <c r="U1778" i="5" s="1"/>
  <c r="Z1778" i="5" s="1"/>
  <c r="Y1778" i="5"/>
  <c r="X1772" i="5"/>
  <c r="U1772" i="5" s="1"/>
  <c r="Y1772" i="5"/>
  <c r="X1766" i="5"/>
  <c r="U1766" i="5" s="1"/>
  <c r="Z1766" i="5" s="1"/>
  <c r="Y1766" i="5"/>
  <c r="R1665" i="5"/>
  <c r="W1665" i="5"/>
  <c r="X1771" i="5"/>
  <c r="U1771" i="5" s="1"/>
  <c r="Y1771" i="5"/>
  <c r="Y1753" i="5"/>
  <c r="X1753" i="5"/>
  <c r="U1753" i="5" s="1"/>
  <c r="Y1735" i="5"/>
  <c r="X1735" i="5"/>
  <c r="U1735" i="5" s="1"/>
  <c r="Y1717" i="5"/>
  <c r="X1717" i="5"/>
  <c r="U1717" i="5" s="1"/>
  <c r="Z1717" i="5" s="1"/>
  <c r="Y1699" i="5"/>
  <c r="X1699" i="5"/>
  <c r="U1699" i="5" s="1"/>
  <c r="Z1699" i="5" s="1"/>
  <c r="Y1681" i="5"/>
  <c r="X1681" i="5"/>
  <c r="U1681" i="5" s="1"/>
  <c r="X1752" i="5"/>
  <c r="U1752" i="5" s="1"/>
  <c r="Y1752" i="5"/>
  <c r="X1740" i="5"/>
  <c r="U1740" i="5" s="1"/>
  <c r="Z1740" i="5" s="1"/>
  <c r="Y1740" i="5"/>
  <c r="X1728" i="5"/>
  <c r="U1728" i="5" s="1"/>
  <c r="Z1728" i="5" s="1"/>
  <c r="Y1728" i="5"/>
  <c r="X1716" i="5"/>
  <c r="U1716" i="5" s="1"/>
  <c r="Y1716" i="5"/>
  <c r="X1704" i="5"/>
  <c r="U1704" i="5" s="1"/>
  <c r="Z1704" i="5" s="1"/>
  <c r="Y1704" i="5"/>
  <c r="X1686" i="5"/>
  <c r="U1686" i="5" s="1"/>
  <c r="Z1686" i="5" s="1"/>
  <c r="Y1686" i="5"/>
  <c r="X1668" i="5"/>
  <c r="U1668" i="5" s="1"/>
  <c r="Y1668" i="5"/>
  <c r="R1651" i="5"/>
  <c r="W1651" i="5"/>
  <c r="X1775" i="5"/>
  <c r="U1775" i="5" s="1"/>
  <c r="Z1775" i="5" s="1"/>
  <c r="Y1775" i="5"/>
  <c r="R1663" i="5"/>
  <c r="W1663" i="5"/>
  <c r="V1657" i="5"/>
  <c r="R1657" i="5"/>
  <c r="V1613" i="5"/>
  <c r="R1613" i="5"/>
  <c r="Y1660" i="5"/>
  <c r="X1660" i="5"/>
  <c r="U1660" i="5" s="1"/>
  <c r="Z1660" i="5" s="1"/>
  <c r="Y1654" i="5"/>
  <c r="X1654" i="5"/>
  <c r="U1654" i="5" s="1"/>
  <c r="Z1654" i="5" s="1"/>
  <c r="R1647" i="5"/>
  <c r="W1647" i="5"/>
  <c r="W1562" i="5"/>
  <c r="R1562" i="5"/>
  <c r="X1754" i="5"/>
  <c r="U1754" i="5" s="1"/>
  <c r="Z1754" i="5" s="1"/>
  <c r="Y1754" i="5"/>
  <c r="R1640" i="5"/>
  <c r="W1640" i="5"/>
  <c r="W1595" i="5"/>
  <c r="R1595" i="5"/>
  <c r="R1603" i="5"/>
  <c r="W1603" i="5"/>
  <c r="Y1566" i="5"/>
  <c r="X1566" i="5"/>
  <c r="U1566" i="5" s="1"/>
  <c r="Z1566" i="5" s="1"/>
  <c r="R1666" i="5"/>
  <c r="W1666" i="5"/>
  <c r="X1700" i="5"/>
  <c r="U1700" i="5" s="1"/>
  <c r="Y1700" i="5"/>
  <c r="X1682" i="5"/>
  <c r="U1682" i="5" s="1"/>
  <c r="Y1682" i="5"/>
  <c r="W1638" i="5"/>
  <c r="R1638" i="5"/>
  <c r="AA1630" i="5"/>
  <c r="AC1630" i="5" s="1"/>
  <c r="Y1620" i="5"/>
  <c r="X1620" i="5"/>
  <c r="U1620" i="5" s="1"/>
  <c r="Y1610" i="5"/>
  <c r="X1610" i="5"/>
  <c r="U1610" i="5" s="1"/>
  <c r="Z1610" i="5" s="1"/>
  <c r="W1602" i="5"/>
  <c r="R1602" i="5"/>
  <c r="W1552" i="5"/>
  <c r="R1552" i="5"/>
  <c r="R1542" i="5"/>
  <c r="W1486" i="5"/>
  <c r="R1486" i="5"/>
  <c r="Y1553" i="5"/>
  <c r="X1553" i="5"/>
  <c r="U1553" i="5" s="1"/>
  <c r="Y1536" i="5"/>
  <c r="X1536" i="5"/>
  <c r="U1536" i="5" s="1"/>
  <c r="Z1536" i="5" s="1"/>
  <c r="AE1536" i="5" s="1"/>
  <c r="W1518" i="5"/>
  <c r="R1518" i="5"/>
  <c r="W1506" i="5"/>
  <c r="R1506" i="5"/>
  <c r="W1494" i="5"/>
  <c r="R1494" i="5"/>
  <c r="W1480" i="5"/>
  <c r="R1480" i="5"/>
  <c r="R1466" i="5"/>
  <c r="W1466" i="5"/>
  <c r="R1454" i="5"/>
  <c r="W1454" i="5"/>
  <c r="Z1414" i="5"/>
  <c r="U1414" i="5"/>
  <c r="Z1390" i="5"/>
  <c r="U1390" i="5"/>
  <c r="R1532" i="5"/>
  <c r="X1490" i="5"/>
  <c r="U1490" i="5" s="1"/>
  <c r="Y1490" i="5"/>
  <c r="Y1565" i="5"/>
  <c r="X1565" i="5"/>
  <c r="U1565" i="5" s="1"/>
  <c r="Z1565" i="5" s="1"/>
  <c r="Y1517" i="5"/>
  <c r="X1517" i="5"/>
  <c r="U1517" i="5" s="1"/>
  <c r="Z1517" i="5" s="1"/>
  <c r="Y1509" i="5"/>
  <c r="X1509" i="5"/>
  <c r="U1509" i="5" s="1"/>
  <c r="Z1509" i="5" s="1"/>
  <c r="Y1501" i="5"/>
  <c r="X1501" i="5"/>
  <c r="U1501" i="5" s="1"/>
  <c r="Z1501" i="5" s="1"/>
  <c r="Y1493" i="5"/>
  <c r="X1493" i="5"/>
  <c r="U1493" i="5" s="1"/>
  <c r="Z1493" i="5" s="1"/>
  <c r="Z1463" i="5"/>
  <c r="AA1347" i="5"/>
  <c r="AC1347" i="5" s="1"/>
  <c r="AE1347" i="5"/>
  <c r="AA1349" i="5"/>
  <c r="AC1349" i="5" s="1"/>
  <c r="AE1138" i="5"/>
  <c r="AA1138" i="5"/>
  <c r="AC1138" i="5" s="1"/>
  <c r="AA1403" i="5"/>
  <c r="AC1403" i="5" s="1"/>
  <c r="AE1403" i="5"/>
  <c r="AA1360" i="5"/>
  <c r="AC1360" i="5" s="1"/>
  <c r="AA1322" i="5"/>
  <c r="AC1322" i="5" s="1"/>
  <c r="AA1302" i="5"/>
  <c r="AC1302" i="5" s="1"/>
  <c r="AE1256" i="5"/>
  <c r="AA1256" i="5"/>
  <c r="AC1256" i="5" s="1"/>
  <c r="AA1167" i="5"/>
  <c r="AC1167" i="5" s="1"/>
  <c r="AE1167" i="5"/>
  <c r="AA1223" i="5"/>
  <c r="AC1223" i="5" s="1"/>
  <c r="AE1370" i="5"/>
  <c r="AA1370" i="5"/>
  <c r="AC1370" i="5" s="1"/>
  <c r="AA1350" i="5"/>
  <c r="AC1350" i="5" s="1"/>
  <c r="AE1350" i="5"/>
  <c r="AA1299" i="5"/>
  <c r="AC1299" i="5" s="1"/>
  <c r="AA1252" i="5"/>
  <c r="AC1252" i="5" s="1"/>
  <c r="AE1171" i="5"/>
  <c r="AA1171" i="5"/>
  <c r="AC1171" i="5" s="1"/>
  <c r="AA1022" i="5"/>
  <c r="AC1022" i="5" s="1"/>
  <c r="AE1022" i="5"/>
  <c r="AA933" i="5"/>
  <c r="AC933" i="5" s="1"/>
  <c r="AE933" i="5"/>
  <c r="AA1034" i="5"/>
  <c r="AC1034" i="5" s="1"/>
  <c r="AE943" i="5"/>
  <c r="AA943" i="5"/>
  <c r="AC943" i="5" s="1"/>
  <c r="AA1003" i="5"/>
  <c r="AC1003" i="5" s="1"/>
  <c r="AA822" i="5"/>
  <c r="AB822" i="5" s="1"/>
  <c r="AC822" i="5" s="1"/>
  <c r="AA716" i="5"/>
  <c r="AB716" i="5" s="1"/>
  <c r="AC716" i="5" s="1"/>
  <c r="AA695" i="5"/>
  <c r="AB695" i="5" s="1"/>
  <c r="AC695" i="5" s="1"/>
  <c r="AA995" i="5"/>
  <c r="AC995" i="5" s="1"/>
  <c r="AA963" i="5"/>
  <c r="AC963" i="5" s="1"/>
  <c r="AA826" i="5"/>
  <c r="AB826" i="5" s="1"/>
  <c r="AC826" i="5" s="1"/>
  <c r="S787" i="5"/>
  <c r="AA1160" i="5"/>
  <c r="AC1160" i="5" s="1"/>
  <c r="AA1007" i="5"/>
  <c r="AC1007" i="5" s="1"/>
  <c r="S838" i="5"/>
  <c r="U830" i="5"/>
  <c r="AA830" i="5" s="1"/>
  <c r="AB830" i="5" s="1"/>
  <c r="AC830" i="5" s="1"/>
  <c r="S830" i="5"/>
  <c r="AA813" i="5"/>
  <c r="AB813" i="5" s="1"/>
  <c r="AC813" i="5" s="1"/>
  <c r="U775" i="5"/>
  <c r="Z775" i="5"/>
  <c r="AE775" i="5" s="1"/>
  <c r="S775" i="5"/>
  <c r="AA675" i="5"/>
  <c r="AB675" i="5" s="1"/>
  <c r="AC675" i="5" s="1"/>
  <c r="U675" i="5"/>
  <c r="Z675" i="5" s="1"/>
  <c r="AE675" i="5" s="1"/>
  <c r="U638" i="5"/>
  <c r="Z638" i="5" s="1"/>
  <c r="AE638" i="5" s="1"/>
  <c r="AA1084" i="5"/>
  <c r="AC1084" i="5" s="1"/>
  <c r="AA1030" i="5"/>
  <c r="AC1030" i="5" s="1"/>
  <c r="AA1091" i="5"/>
  <c r="AC1091" i="5" s="1"/>
  <c r="Z818" i="5"/>
  <c r="AE818" i="5" s="1"/>
  <c r="AA810" i="5"/>
  <c r="AB810" i="5" s="1"/>
  <c r="AC810" i="5" s="1"/>
  <c r="U761" i="5"/>
  <c r="AA761" i="5" s="1"/>
  <c r="AB761" i="5" s="1"/>
  <c r="AC761" i="5" s="1"/>
  <c r="Z793" i="5"/>
  <c r="AE793" i="5" s="1"/>
  <c r="Z758" i="5"/>
  <c r="AE758" i="5" s="1"/>
  <c r="S694" i="5"/>
  <c r="AA656" i="5"/>
  <c r="AB656" i="5" s="1"/>
  <c r="AC656" i="5" s="1"/>
  <c r="S644" i="5"/>
  <c r="U618" i="5"/>
  <c r="Z618" i="5" s="1"/>
  <c r="AE618" i="5" s="1"/>
  <c r="U593" i="5"/>
  <c r="Z593" i="5" s="1"/>
  <c r="AE593" i="5" s="1"/>
  <c r="S593" i="5"/>
  <c r="S586" i="5"/>
  <c r="S727" i="5"/>
  <c r="Z727" i="5"/>
  <c r="AE727" i="5" s="1"/>
  <c r="U727" i="5"/>
  <c r="AA727" i="5" s="1"/>
  <c r="AB727" i="5" s="1"/>
  <c r="AC727" i="5" s="1"/>
  <c r="S681" i="5"/>
  <c r="AA596" i="5"/>
  <c r="AB596" i="5" s="1"/>
  <c r="AC596" i="5" s="1"/>
  <c r="Z538" i="5"/>
  <c r="AE538" i="5" s="1"/>
  <c r="S508" i="5"/>
  <c r="Z812" i="5"/>
  <c r="AE812" i="5" s="1"/>
  <c r="Z787" i="5"/>
  <c r="AE787" i="5" s="1"/>
  <c r="U711" i="5"/>
  <c r="AA711" i="5" s="1"/>
  <c r="AB711" i="5" s="1"/>
  <c r="AC711" i="5" s="1"/>
  <c r="Z711" i="5"/>
  <c r="AE711" i="5" s="1"/>
  <c r="S711" i="5"/>
  <c r="S680" i="5"/>
  <c r="S620" i="5"/>
  <c r="S599" i="5"/>
  <c r="U599" i="5"/>
  <c r="Z599" i="5" s="1"/>
  <c r="AE599" i="5" s="1"/>
  <c r="U572" i="5"/>
  <c r="AA572" i="5" s="1"/>
  <c r="AB572" i="5" s="1"/>
  <c r="AC572" i="5" s="1"/>
  <c r="Z790" i="5"/>
  <c r="AE790" i="5" s="1"/>
  <c r="AA709" i="5"/>
  <c r="AB709" i="5" s="1"/>
  <c r="AC709" i="5" s="1"/>
  <c r="Z669" i="5"/>
  <c r="AE669" i="5" s="1"/>
  <c r="AA640" i="5"/>
  <c r="AB640" i="5" s="1"/>
  <c r="AC640" i="5" s="1"/>
  <c r="Z632" i="5"/>
  <c r="AE632" i="5" s="1"/>
  <c r="AA604" i="5"/>
  <c r="AB604" i="5" s="1"/>
  <c r="AC604" i="5" s="1"/>
  <c r="Z573" i="5"/>
  <c r="AE573" i="5" s="1"/>
  <c r="AA550" i="5"/>
  <c r="AB550" i="5" s="1"/>
  <c r="AC550" i="5" s="1"/>
  <c r="AA861" i="5"/>
  <c r="AC861" i="5" s="1"/>
  <c r="AA781" i="5"/>
  <c r="AB781" i="5" s="1"/>
  <c r="AC781" i="5" s="1"/>
  <c r="S702" i="5"/>
  <c r="U684" i="5"/>
  <c r="AA684" i="5"/>
  <c r="AB684" i="5" s="1"/>
  <c r="AC684" i="5" s="1"/>
  <c r="Z684" i="5"/>
  <c r="AE684" i="5" s="1"/>
  <c r="S684" i="5"/>
  <c r="S673" i="5"/>
  <c r="S640" i="5"/>
  <c r="AA615" i="5"/>
  <c r="AB615" i="5" s="1"/>
  <c r="AC615" i="5" s="1"/>
  <c r="Z604" i="5"/>
  <c r="AE604" i="5" s="1"/>
  <c r="S598" i="5"/>
  <c r="S519" i="5"/>
  <c r="Z496" i="5"/>
  <c r="AE496" i="5" s="1"/>
  <c r="U473" i="5"/>
  <c r="Z473" i="5" s="1"/>
  <c r="AE473" i="5" s="1"/>
  <c r="S473" i="5"/>
  <c r="AA473" i="5"/>
  <c r="AB473" i="5" s="1"/>
  <c r="AC473" i="5" s="1"/>
  <c r="Z444" i="5"/>
  <c r="AE444" i="5" s="1"/>
  <c r="AA408" i="5"/>
  <c r="AB408" i="5" s="1"/>
  <c r="AC408" i="5" s="1"/>
  <c r="S690" i="5"/>
  <c r="AA509" i="5"/>
  <c r="AB509" i="5" s="1"/>
  <c r="AC509" i="5" s="1"/>
  <c r="AA489" i="5"/>
  <c r="AB489" i="5" s="1"/>
  <c r="AC489" i="5" s="1"/>
  <c r="S421" i="5"/>
  <c r="S285" i="5"/>
  <c r="S261" i="5"/>
  <c r="Z596" i="5"/>
  <c r="AE596" i="5" s="1"/>
  <c r="AA556" i="5"/>
  <c r="AB556" i="5" s="1"/>
  <c r="AC556" i="5" s="1"/>
  <c r="S489" i="5"/>
  <c r="U455" i="5"/>
  <c r="AA455" i="5" s="1"/>
  <c r="AB455" i="5" s="1"/>
  <c r="AC455" i="5" s="1"/>
  <c r="Z455" i="5"/>
  <c r="AE455" i="5" s="1"/>
  <c r="AA444" i="5"/>
  <c r="AB444" i="5" s="1"/>
  <c r="AC444" i="5" s="1"/>
  <c r="Z434" i="5"/>
  <c r="AE434" i="5" s="1"/>
  <c r="AA396" i="5"/>
  <c r="AB396" i="5" s="1"/>
  <c r="AC396" i="5" s="1"/>
  <c r="Z294" i="5"/>
  <c r="AE294" i="5" s="1"/>
  <c r="Z268" i="5"/>
  <c r="AE268" i="5" s="1"/>
  <c r="Z241" i="5"/>
  <c r="AE241" i="5" s="1"/>
  <c r="S233" i="5"/>
  <c r="Z477" i="5"/>
  <c r="AE477" i="5" s="1"/>
  <c r="S423" i="5"/>
  <c r="S404" i="5"/>
  <c r="AA383" i="5"/>
  <c r="AB383" i="5" s="1"/>
  <c r="AC383" i="5" s="1"/>
  <c r="Z317" i="5"/>
  <c r="AE317" i="5" s="1"/>
  <c r="S309" i="5"/>
  <c r="AA298" i="5"/>
  <c r="AB298" i="5" s="1"/>
  <c r="AC298" i="5" s="1"/>
  <c r="Z259" i="5"/>
  <c r="AE259" i="5" s="1"/>
  <c r="AA259" i="5"/>
  <c r="AB259" i="5" s="1"/>
  <c r="AC259" i="5" s="1"/>
  <c r="S259" i="5"/>
  <c r="Z559" i="5"/>
  <c r="AE559" i="5" s="1"/>
  <c r="S504" i="5"/>
  <c r="Z485" i="5"/>
  <c r="AE485" i="5" s="1"/>
  <c r="AA477" i="5"/>
  <c r="AB477" i="5" s="1"/>
  <c r="AC477" i="5" s="1"/>
  <c r="S474" i="5"/>
  <c r="AA436" i="5"/>
  <c r="AB436" i="5" s="1"/>
  <c r="AC436" i="5" s="1"/>
  <c r="AA429" i="5"/>
  <c r="AB429" i="5" s="1"/>
  <c r="AC429" i="5" s="1"/>
  <c r="AA399" i="5"/>
  <c r="AB399" i="5" s="1"/>
  <c r="AC399" i="5" s="1"/>
  <c r="AA181" i="5"/>
  <c r="AC181" i="5" s="1"/>
  <c r="Z521" i="5"/>
  <c r="AE521" i="5" s="1"/>
  <c r="S521" i="5"/>
  <c r="Z506" i="5"/>
  <c r="AE506" i="5" s="1"/>
  <c r="S499" i="5"/>
  <c r="Z499" i="5"/>
  <c r="AE499" i="5" s="1"/>
  <c r="S481" i="5"/>
  <c r="Z457" i="5"/>
  <c r="AE457" i="5" s="1"/>
  <c r="Z420" i="5"/>
  <c r="AE420" i="5" s="1"/>
  <c r="S394" i="5"/>
  <c r="U370" i="5"/>
  <c r="S370" i="5" s="1"/>
  <c r="AA332" i="5"/>
  <c r="AB332" i="5" s="1"/>
  <c r="AC332" i="5" s="1"/>
  <c r="AA151" i="5"/>
  <c r="AC151" i="5" s="1"/>
  <c r="Z677" i="5"/>
  <c r="AE677" i="5" s="1"/>
  <c r="AA579" i="5"/>
  <c r="AB579" i="5" s="1"/>
  <c r="AC579" i="5" s="1"/>
  <c r="U565" i="5"/>
  <c r="S565" i="5" s="1"/>
  <c r="AA395" i="5"/>
  <c r="AB395" i="5" s="1"/>
  <c r="AC395" i="5" s="1"/>
  <c r="Z380" i="5"/>
  <c r="AE380" i="5" s="1"/>
  <c r="Z333" i="5"/>
  <c r="AE333" i="5" s="1"/>
  <c r="S324" i="5"/>
  <c r="U277" i="5"/>
  <c r="AA277" i="5" s="1"/>
  <c r="AB277" i="5" s="1"/>
  <c r="AC277" i="5" s="1"/>
  <c r="S277" i="5"/>
  <c r="Z240" i="5"/>
  <c r="AE240" i="5" s="1"/>
  <c r="S222" i="5"/>
  <c r="AA216" i="5"/>
  <c r="AC216" i="5" s="1"/>
  <c r="AA176" i="5"/>
  <c r="AC176" i="5" s="1"/>
  <c r="AA162" i="5"/>
  <c r="AC162" i="5" s="1"/>
  <c r="S102" i="5"/>
  <c r="S81" i="5"/>
  <c r="Z81" i="5"/>
  <c r="AE81" i="5" s="1"/>
  <c r="U63" i="5"/>
  <c r="S63" i="5" s="1"/>
  <c r="AA63" i="5"/>
  <c r="AC63" i="5" s="1"/>
  <c r="S38" i="5"/>
  <c r="Z38" i="5"/>
  <c r="AE38" i="5" s="1"/>
  <c r="U478" i="5"/>
  <c r="AA478" i="5" s="1"/>
  <c r="AB478" i="5" s="1"/>
  <c r="AC478" i="5" s="1"/>
  <c r="AA353" i="5"/>
  <c r="AB353" i="5" s="1"/>
  <c r="AC353" i="5" s="1"/>
  <c r="S330" i="5"/>
  <c r="S310" i="5"/>
  <c r="Z303" i="5"/>
  <c r="AE303" i="5" s="1"/>
  <c r="Z168" i="5"/>
  <c r="AE168" i="5" s="1"/>
  <c r="S168" i="5"/>
  <c r="U168" i="5"/>
  <c r="AA168" i="5" s="1"/>
  <c r="AC168" i="5" s="1"/>
  <c r="AA150" i="5"/>
  <c r="AC150" i="5" s="1"/>
  <c r="AA137" i="5"/>
  <c r="AC137" i="5" s="1"/>
  <c r="Z131" i="5"/>
  <c r="AE131" i="5" s="1"/>
  <c r="S123" i="5"/>
  <c r="S88" i="5"/>
  <c r="S68" i="5"/>
  <c r="AA52" i="5"/>
  <c r="AC52" i="5" s="1"/>
  <c r="Z468" i="5"/>
  <c r="AE468" i="5" s="1"/>
  <c r="Z409" i="5"/>
  <c r="AE409" i="5" s="1"/>
  <c r="AA376" i="5"/>
  <c r="AB376" i="5" s="1"/>
  <c r="AC376" i="5" s="1"/>
  <c r="Z329" i="5"/>
  <c r="AE329" i="5" s="1"/>
  <c r="Z301" i="5"/>
  <c r="AE301" i="5" s="1"/>
  <c r="S289" i="5"/>
  <c r="S284" i="5"/>
  <c r="U253" i="5"/>
  <c r="Z253" i="5" s="1"/>
  <c r="AE253" i="5" s="1"/>
  <c r="U185" i="5"/>
  <c r="AA185" i="5" s="1"/>
  <c r="AC185" i="5" s="1"/>
  <c r="Z165" i="5"/>
  <c r="AE165" i="5" s="1"/>
  <c r="S158" i="5"/>
  <c r="AA129" i="5"/>
  <c r="AC129" i="5" s="1"/>
  <c r="U55" i="5"/>
  <c r="Z55" i="5" s="1"/>
  <c r="AE55" i="5" s="1"/>
  <c r="AA31" i="5"/>
  <c r="AC31" i="5" s="1"/>
  <c r="Z310" i="5"/>
  <c r="AE310" i="5" s="1"/>
  <c r="S295" i="5"/>
  <c r="Z204" i="5"/>
  <c r="AE204" i="5" s="1"/>
  <c r="Z188" i="5"/>
  <c r="AE188" i="5" s="1"/>
  <c r="AA169" i="5"/>
  <c r="AC169" i="5" s="1"/>
  <c r="Z120" i="5"/>
  <c r="AE120" i="5" s="1"/>
  <c r="Z29" i="5"/>
  <c r="AE29" i="5" s="1"/>
  <c r="Z17" i="5"/>
  <c r="AE17" i="5" s="1"/>
  <c r="Z11" i="5"/>
  <c r="AE11" i="5" s="1"/>
  <c r="Z5" i="5"/>
  <c r="AE5" i="5" s="1"/>
  <c r="S428" i="5"/>
  <c r="AA420" i="5"/>
  <c r="AB420" i="5" s="1"/>
  <c r="AC420" i="5" s="1"/>
  <c r="AA355" i="5"/>
  <c r="AB355" i="5" s="1"/>
  <c r="AC355" i="5" s="1"/>
  <c r="S264" i="5"/>
  <c r="AA246" i="5"/>
  <c r="AB246" i="5" s="1"/>
  <c r="AC246" i="5" s="1"/>
  <c r="Z97" i="5"/>
  <c r="AE97" i="5" s="1"/>
  <c r="U97" i="5"/>
  <c r="AA97" i="5" s="1"/>
  <c r="AC97" i="5" s="1"/>
  <c r="AA43" i="5"/>
  <c r="AC43" i="5" s="1"/>
  <c r="AA11" i="5"/>
  <c r="AC11" i="5" s="1"/>
  <c r="Z392" i="5"/>
  <c r="AE392" i="5" s="1"/>
  <c r="Z276" i="5"/>
  <c r="AE276" i="5" s="1"/>
  <c r="AA262" i="5"/>
  <c r="AB262" i="5" s="1"/>
  <c r="AC262" i="5" s="1"/>
  <c r="AA252" i="5"/>
  <c r="AB252" i="5" s="1"/>
  <c r="AC252" i="5" s="1"/>
  <c r="Z199" i="5"/>
  <c r="AE199" i="5" s="1"/>
  <c r="S181" i="5"/>
  <c r="AA166" i="5"/>
  <c r="AC166" i="5" s="1"/>
  <c r="Z166" i="5"/>
  <c r="AE166" i="5" s="1"/>
  <c r="U166" i="5"/>
  <c r="S166" i="5" s="1"/>
  <c r="S148" i="5"/>
  <c r="S116" i="5"/>
  <c r="AA37" i="5"/>
  <c r="AC37" i="5" s="1"/>
  <c r="Z21" i="5"/>
  <c r="AE21" i="5" s="1"/>
  <c r="U21" i="5"/>
  <c r="AA21" i="5" s="1"/>
  <c r="AC21" i="5" s="1"/>
  <c r="Z3" i="5"/>
  <c r="AE3" i="5" s="1"/>
  <c r="S3" i="5"/>
  <c r="U3" i="5"/>
  <c r="AA3" i="5" s="1"/>
  <c r="AC3" i="5" s="1"/>
  <c r="B1012" i="2"/>
  <c r="D1021" i="2" s="1"/>
  <c r="M1040" i="2"/>
  <c r="M1043" i="2" s="1"/>
  <c r="Z45" i="5"/>
  <c r="AE45" i="5" s="1"/>
  <c r="Z68" i="5"/>
  <c r="AE68" i="5" s="1"/>
  <c r="S30" i="5"/>
  <c r="S12" i="5"/>
  <c r="Z353" i="5"/>
  <c r="AE353" i="5" s="1"/>
  <c r="AA66" i="5"/>
  <c r="AC66" i="5" s="1"/>
  <c r="AA119" i="5"/>
  <c r="AC119" i="5" s="1"/>
  <c r="S13" i="5"/>
  <c r="H158" i="10"/>
  <c r="J158" i="10"/>
  <c r="R323" i="6"/>
  <c r="Q323" i="6"/>
  <c r="R284" i="6"/>
  <c r="S284" i="6" s="1"/>
  <c r="U284" i="6" s="1"/>
  <c r="X284" i="6" s="1"/>
  <c r="Q284" i="6"/>
  <c r="P284" i="6"/>
  <c r="N573" i="7"/>
  <c r="F247" i="6"/>
  <c r="L247" i="6" s="1"/>
  <c r="G247" i="6"/>
  <c r="J247" i="6" s="1"/>
  <c r="P282" i="6"/>
  <c r="Q282" i="6"/>
  <c r="R282" i="6"/>
  <c r="R299" i="6"/>
  <c r="P299" i="6"/>
  <c r="S299" i="6" s="1"/>
  <c r="U299" i="6" s="1"/>
  <c r="X299" i="6" s="1"/>
  <c r="Q299" i="6"/>
  <c r="M244" i="6"/>
  <c r="P300" i="6"/>
  <c r="Q300" i="6"/>
  <c r="R300" i="6"/>
  <c r="U287" i="6"/>
  <c r="X287" i="6" s="1"/>
  <c r="M202" i="6"/>
  <c r="K202" i="6" s="1"/>
  <c r="S202" i="6" s="1"/>
  <c r="O177" i="6"/>
  <c r="N177" i="6"/>
  <c r="P177" i="6"/>
  <c r="K177" i="6" s="1"/>
  <c r="S177" i="6" s="1"/>
  <c r="P161" i="6"/>
  <c r="N161" i="6"/>
  <c r="I161" i="6" s="1"/>
  <c r="H161" i="6" s="1"/>
  <c r="O161" i="6"/>
  <c r="K219" i="6"/>
  <c r="S219" i="6" s="1"/>
  <c r="K182" i="6"/>
  <c r="S182" i="6" s="1"/>
  <c r="F132" i="6"/>
  <c r="M132" i="6"/>
  <c r="I132" i="6" s="1"/>
  <c r="H132" i="6" s="1"/>
  <c r="M93" i="6"/>
  <c r="K93" i="6" s="1"/>
  <c r="I93" i="6"/>
  <c r="H93" i="6" s="1"/>
  <c r="G207" i="6"/>
  <c r="J207" i="6" s="1"/>
  <c r="K135" i="6"/>
  <c r="S135" i="6" s="1"/>
  <c r="M48" i="6"/>
  <c r="K48" i="6" s="1"/>
  <c r="S48" i="6" s="1"/>
  <c r="I48" i="6"/>
  <c r="H48" i="6" s="1"/>
  <c r="M197" i="6"/>
  <c r="I197" i="6" s="1"/>
  <c r="H197" i="6" s="1"/>
  <c r="I148" i="6"/>
  <c r="H148" i="6" s="1"/>
  <c r="M86" i="6"/>
  <c r="K86" i="6" s="1"/>
  <c r="S86" i="6" s="1"/>
  <c r="K228" i="6"/>
  <c r="R228" i="6" s="1"/>
  <c r="I167" i="6"/>
  <c r="H167" i="6" s="1"/>
  <c r="K136" i="6"/>
  <c r="S136" i="6" s="1"/>
  <c r="I87" i="6"/>
  <c r="H87" i="6" s="1"/>
  <c r="I54" i="6"/>
  <c r="H54" i="6" s="1"/>
  <c r="M54" i="6"/>
  <c r="K54" i="6" s="1"/>
  <c r="S54" i="6" s="1"/>
  <c r="P204" i="6"/>
  <c r="O204" i="6"/>
  <c r="N204" i="6"/>
  <c r="K204" i="6" s="1"/>
  <c r="S204" i="6" s="1"/>
  <c r="I106" i="6"/>
  <c r="H106" i="6" s="1"/>
  <c r="M106" i="6"/>
  <c r="K106" i="6" s="1"/>
  <c r="S106" i="6" s="1"/>
  <c r="O215" i="6"/>
  <c r="P215" i="6"/>
  <c r="N215" i="6"/>
  <c r="O173" i="6"/>
  <c r="P173" i="6"/>
  <c r="N173" i="6"/>
  <c r="M134" i="6"/>
  <c r="F134" i="6"/>
  <c r="I134" i="6"/>
  <c r="H134" i="6" s="1"/>
  <c r="P49" i="6"/>
  <c r="K49" i="6" s="1"/>
  <c r="S49" i="6" s="1"/>
  <c r="O49" i="6"/>
  <c r="N49" i="6"/>
  <c r="I30" i="6"/>
  <c r="H30" i="6" s="1"/>
  <c r="M30" i="6"/>
  <c r="K30" i="6" s="1"/>
  <c r="S30" i="6" s="1"/>
  <c r="P14" i="6"/>
  <c r="N14" i="6"/>
  <c r="I14" i="6" s="1"/>
  <c r="H14" i="6" s="1"/>
  <c r="O14" i="6"/>
  <c r="K132" i="6"/>
  <c r="S132" i="6" s="1"/>
  <c r="K83" i="6"/>
  <c r="S83" i="6" s="1"/>
  <c r="K210" i="6"/>
  <c r="S210" i="6" s="1"/>
  <c r="I79" i="6"/>
  <c r="H79" i="6" s="1"/>
  <c r="K102" i="6"/>
  <c r="S102" i="6" s="1"/>
  <c r="I56" i="6"/>
  <c r="H56" i="6" s="1"/>
  <c r="I62" i="6"/>
  <c r="H62" i="6" s="1"/>
  <c r="AA1779" i="5"/>
  <c r="AC1779" i="5" s="1"/>
  <c r="AA1767" i="5"/>
  <c r="AC1767" i="5" s="1"/>
  <c r="Y1757" i="5"/>
  <c r="X1757" i="5"/>
  <c r="U1757" i="5" s="1"/>
  <c r="Z1757" i="5" s="1"/>
  <c r="Y1745" i="5"/>
  <c r="X1745" i="5"/>
  <c r="U1745" i="5" s="1"/>
  <c r="Y1733" i="5"/>
  <c r="X1733" i="5"/>
  <c r="U1733" i="5" s="1"/>
  <c r="Z1733" i="5" s="1"/>
  <c r="Y1721" i="5"/>
  <c r="X1721" i="5"/>
  <c r="U1721" i="5" s="1"/>
  <c r="Z1721" i="5" s="1"/>
  <c r="Y1709" i="5"/>
  <c r="X1709" i="5"/>
  <c r="U1709" i="5" s="1"/>
  <c r="Y1697" i="5"/>
  <c r="X1697" i="5"/>
  <c r="U1697" i="5" s="1"/>
  <c r="Z1697" i="5" s="1"/>
  <c r="Y1679" i="5"/>
  <c r="X1679" i="5"/>
  <c r="U1679" i="5" s="1"/>
  <c r="Z1679" i="5" s="1"/>
  <c r="W1662" i="5"/>
  <c r="R1662" i="5"/>
  <c r="Y1653" i="5"/>
  <c r="X1653" i="5"/>
  <c r="U1653" i="5" s="1"/>
  <c r="Z1653" i="5" s="1"/>
  <c r="W1612" i="5"/>
  <c r="R1612" i="5"/>
  <c r="X1712" i="5"/>
  <c r="U1712" i="5" s="1"/>
  <c r="Z1712" i="5" s="1"/>
  <c r="Y1712" i="5"/>
  <c r="W1596" i="5"/>
  <c r="R1596" i="5"/>
  <c r="R1591" i="5"/>
  <c r="W1591" i="5"/>
  <c r="W1619" i="5"/>
  <c r="R1619" i="5"/>
  <c r="R1594" i="5"/>
  <c r="W1594" i="5"/>
  <c r="Y1570" i="5"/>
  <c r="X1570" i="5"/>
  <c r="U1570" i="5" s="1"/>
  <c r="Y1558" i="5"/>
  <c r="X1558" i="5"/>
  <c r="U1558" i="5" s="1"/>
  <c r="Z1558" i="5" s="1"/>
  <c r="AE1558" i="5" s="1"/>
  <c r="Y1546" i="5"/>
  <c r="X1546" i="5"/>
  <c r="U1546" i="5" s="1"/>
  <c r="Z1546" i="5" s="1"/>
  <c r="AE1546" i="5" s="1"/>
  <c r="R1579" i="5"/>
  <c r="W1579" i="5"/>
  <c r="W1576" i="5"/>
  <c r="R1576" i="5"/>
  <c r="Y1554" i="5"/>
  <c r="X1554" i="5"/>
  <c r="U1554" i="5" s="1"/>
  <c r="Z1554" i="5" s="1"/>
  <c r="R1543" i="5"/>
  <c r="W1543" i="5"/>
  <c r="R1537" i="5"/>
  <c r="W1537" i="5"/>
  <c r="R1531" i="5"/>
  <c r="W1531" i="5"/>
  <c r="R1525" i="5"/>
  <c r="W1525" i="5"/>
  <c r="X1736" i="5"/>
  <c r="U1736" i="5" s="1"/>
  <c r="Z1736" i="5" s="1"/>
  <c r="Y1736" i="5"/>
  <c r="Z1618" i="5"/>
  <c r="W1564" i="5"/>
  <c r="R1564" i="5"/>
  <c r="Y1436" i="5"/>
  <c r="X1436" i="5"/>
  <c r="U1436" i="5" s="1"/>
  <c r="Z1436" i="5" s="1"/>
  <c r="AE1436" i="5" s="1"/>
  <c r="R1616" i="5"/>
  <c r="R1464" i="5"/>
  <c r="W1464" i="5"/>
  <c r="R1452" i="5"/>
  <c r="W1452" i="5"/>
  <c r="W1516" i="5"/>
  <c r="R1516" i="5"/>
  <c r="W1508" i="5"/>
  <c r="R1508" i="5"/>
  <c r="W1500" i="5"/>
  <c r="R1500" i="5"/>
  <c r="Z1473" i="5"/>
  <c r="AA1374" i="5"/>
  <c r="AC1374" i="5" s="1"/>
  <c r="AE1374" i="5"/>
  <c r="AA1313" i="5"/>
  <c r="AC1313" i="5" s="1"/>
  <c r="AE1313" i="5"/>
  <c r="AE1234" i="5"/>
  <c r="AA1234" i="5"/>
  <c r="AC1234" i="5" s="1"/>
  <c r="AA1361" i="5"/>
  <c r="AC1361" i="5" s="1"/>
  <c r="AE1276" i="5"/>
  <c r="AA1276" i="5"/>
  <c r="AC1276" i="5" s="1"/>
  <c r="AA1268" i="5"/>
  <c r="AC1268" i="5" s="1"/>
  <c r="AE1221" i="5"/>
  <c r="AA1221" i="5"/>
  <c r="AC1221" i="5" s="1"/>
  <c r="AA1356" i="5"/>
  <c r="AC1356" i="5" s="1"/>
  <c r="AA1338" i="5"/>
  <c r="AC1338" i="5" s="1"/>
  <c r="AE1338" i="5"/>
  <c r="X1442" i="5"/>
  <c r="U1442" i="5" s="1"/>
  <c r="Y1442" i="5"/>
  <c r="AA1352" i="5"/>
  <c r="AB1352" i="5" s="1"/>
  <c r="AA1320" i="5"/>
  <c r="AC1320" i="5" s="1"/>
  <c r="AA1300" i="5"/>
  <c r="AC1300" i="5" s="1"/>
  <c r="AA1242" i="5"/>
  <c r="AC1242" i="5" s="1"/>
  <c r="AA1437" i="5"/>
  <c r="AC1437" i="5" s="1"/>
  <c r="AA1250" i="5"/>
  <c r="AC1250" i="5" s="1"/>
  <c r="AA1205" i="5"/>
  <c r="AC1205" i="5" s="1"/>
  <c r="AA1068" i="5"/>
  <c r="AC1068" i="5" s="1"/>
  <c r="AE1068" i="5"/>
  <c r="AA926" i="5"/>
  <c r="AC926" i="5" s="1"/>
  <c r="AE926" i="5"/>
  <c r="AA1074" i="5"/>
  <c r="AC1074" i="5" s="1"/>
  <c r="AA1046" i="5"/>
  <c r="AC1046" i="5" s="1"/>
  <c r="AA956" i="5"/>
  <c r="AC956" i="5" s="1"/>
  <c r="AA837" i="5"/>
  <c r="AB837" i="5" s="1"/>
  <c r="AC837" i="5" s="1"/>
  <c r="S816" i="5"/>
  <c r="U816" i="5"/>
  <c r="Z816" i="5" s="1"/>
  <c r="AE816" i="5" s="1"/>
  <c r="S774" i="5"/>
  <c r="S718" i="5"/>
  <c r="U718" i="5"/>
  <c r="AA718" i="5" s="1"/>
  <c r="AB718" i="5" s="1"/>
  <c r="AC718" i="5" s="1"/>
  <c r="Z718" i="5"/>
  <c r="AE718" i="5" s="1"/>
  <c r="AA1173" i="5"/>
  <c r="AC1173" i="5" s="1"/>
  <c r="AE996" i="5"/>
  <c r="AA996" i="5"/>
  <c r="AC996" i="5" s="1"/>
  <c r="Z645" i="5"/>
  <c r="AE645" i="5" s="1"/>
  <c r="AA1077" i="5"/>
  <c r="AC1077" i="5" s="1"/>
  <c r="AA993" i="5"/>
  <c r="AC993" i="5" s="1"/>
  <c r="AE993" i="5"/>
  <c r="AA944" i="5"/>
  <c r="AC944" i="5" s="1"/>
  <c r="AA1158" i="5"/>
  <c r="AC1158" i="5" s="1"/>
  <c r="AA1090" i="5"/>
  <c r="AC1090" i="5" s="1"/>
  <c r="AA970" i="5"/>
  <c r="AC970" i="5" s="1"/>
  <c r="AA961" i="5"/>
  <c r="AC961" i="5" s="1"/>
  <c r="U871" i="5"/>
  <c r="Z871" i="5" s="1"/>
  <c r="U796" i="5"/>
  <c r="AA796" i="5" s="1"/>
  <c r="AB796" i="5" s="1"/>
  <c r="AC796" i="5" s="1"/>
  <c r="U739" i="5"/>
  <c r="AA739" i="5" s="1"/>
  <c r="AB739" i="5" s="1"/>
  <c r="AC739" i="5" s="1"/>
  <c r="AA1078" i="5"/>
  <c r="AC1078" i="5" s="1"/>
  <c r="AE960" i="5"/>
  <c r="AA960" i="5"/>
  <c r="AC960" i="5" s="1"/>
  <c r="AA922" i="5"/>
  <c r="AC922" i="5" s="1"/>
  <c r="S842" i="5"/>
  <c r="U842" i="5"/>
  <c r="AA842" i="5" s="1"/>
  <c r="AB842" i="5" s="1"/>
  <c r="AC842" i="5" s="1"/>
  <c r="Z781" i="5"/>
  <c r="AE781" i="5" s="1"/>
  <c r="Z770" i="5"/>
  <c r="AE770" i="5" s="1"/>
  <c r="U770" i="5"/>
  <c r="AA770" i="5" s="1"/>
  <c r="AB770" i="5" s="1"/>
  <c r="AC770" i="5" s="1"/>
  <c r="AA1133" i="5"/>
  <c r="AC1133" i="5" s="1"/>
  <c r="U974" i="5"/>
  <c r="Z974" i="5" s="1"/>
  <c r="S810" i="5"/>
  <c r="U800" i="5"/>
  <c r="AA800" i="5" s="1"/>
  <c r="AB800" i="5" s="1"/>
  <c r="AC800" i="5" s="1"/>
  <c r="AA676" i="5"/>
  <c r="AB676" i="5" s="1"/>
  <c r="AC676" i="5" s="1"/>
  <c r="AA644" i="5"/>
  <c r="AB644" i="5" s="1"/>
  <c r="AC644" i="5" s="1"/>
  <c r="AA601" i="5"/>
  <c r="AB601" i="5" s="1"/>
  <c r="AC601" i="5" s="1"/>
  <c r="Z601" i="5"/>
  <c r="AE601" i="5" s="1"/>
  <c r="S601" i="5"/>
  <c r="AA891" i="5"/>
  <c r="AC891" i="5" s="1"/>
  <c r="AA845" i="5"/>
  <c r="AC845" i="5" s="1"/>
  <c r="U736" i="5"/>
  <c r="Z736" i="5" s="1"/>
  <c r="AE736" i="5" s="1"/>
  <c r="S713" i="5"/>
  <c r="Z694" i="5"/>
  <c r="AE694" i="5" s="1"/>
  <c r="AA475" i="5"/>
  <c r="AB475" i="5" s="1"/>
  <c r="AC475" i="5" s="1"/>
  <c r="S475" i="5"/>
  <c r="AA868" i="5"/>
  <c r="AC868" i="5" s="1"/>
  <c r="Z745" i="5"/>
  <c r="AE745" i="5" s="1"/>
  <c r="Z681" i="5"/>
  <c r="AE681" i="5" s="1"/>
  <c r="Z549" i="5"/>
  <c r="AE549" i="5" s="1"/>
  <c r="S534" i="5"/>
  <c r="S812" i="5"/>
  <c r="U719" i="5"/>
  <c r="Z719" i="5" s="1"/>
  <c r="AE719" i="5" s="1"/>
  <c r="AA667" i="5"/>
  <c r="AB667" i="5" s="1"/>
  <c r="AC667" i="5" s="1"/>
  <c r="Z620" i="5"/>
  <c r="AE620" i="5" s="1"/>
  <c r="AA607" i="5"/>
  <c r="AB607" i="5" s="1"/>
  <c r="AC607" i="5" s="1"/>
  <c r="S569" i="5"/>
  <c r="AA530" i="5"/>
  <c r="AB530" i="5" s="1"/>
  <c r="AC530" i="5" s="1"/>
  <c r="AA889" i="5"/>
  <c r="AC889" i="5" s="1"/>
  <c r="AA849" i="5"/>
  <c r="AC849" i="5" s="1"/>
  <c r="S790" i="5"/>
  <c r="Z737" i="5"/>
  <c r="AE737" i="5" s="1"/>
  <c r="U619" i="5"/>
  <c r="AA619" i="5"/>
  <c r="AB619" i="5" s="1"/>
  <c r="AC619" i="5" s="1"/>
  <c r="Z619" i="5"/>
  <c r="AE619" i="5" s="1"/>
  <c r="S619" i="5"/>
  <c r="AA517" i="5"/>
  <c r="AB517" i="5" s="1"/>
  <c r="AC517" i="5" s="1"/>
  <c r="Z778" i="5"/>
  <c r="AE778" i="5" s="1"/>
  <c r="S735" i="5"/>
  <c r="Z735" i="5"/>
  <c r="AE735" i="5" s="1"/>
  <c r="Z702" i="5"/>
  <c r="AE702" i="5" s="1"/>
  <c r="Z673" i="5"/>
  <c r="AE673" i="5" s="1"/>
  <c r="AA602" i="5"/>
  <c r="AB602" i="5" s="1"/>
  <c r="AC602" i="5" s="1"/>
  <c r="Z602" i="5"/>
  <c r="AE602" i="5" s="1"/>
  <c r="U602" i="5"/>
  <c r="S602" i="5" s="1"/>
  <c r="AA594" i="5"/>
  <c r="AB594" i="5" s="1"/>
  <c r="AC594" i="5" s="1"/>
  <c r="Z594" i="5"/>
  <c r="AE594" i="5" s="1"/>
  <c r="S594" i="5"/>
  <c r="Z576" i="5"/>
  <c r="AE576" i="5" s="1"/>
  <c r="U576" i="5"/>
  <c r="AA576" i="5" s="1"/>
  <c r="AB576" i="5" s="1"/>
  <c r="AC576" i="5" s="1"/>
  <c r="S576" i="5"/>
  <c r="AA551" i="5"/>
  <c r="AB551" i="5" s="1"/>
  <c r="AC551" i="5" s="1"/>
  <c r="U551" i="5"/>
  <c r="S551" i="5" s="1"/>
  <c r="Z551" i="5"/>
  <c r="AE551" i="5" s="1"/>
  <c r="U443" i="5"/>
  <c r="AA443" i="5" s="1"/>
  <c r="AB443" i="5" s="1"/>
  <c r="AC443" i="5" s="1"/>
  <c r="AA424" i="5"/>
  <c r="AB424" i="5" s="1"/>
  <c r="AC424" i="5" s="1"/>
  <c r="Z690" i="5"/>
  <c r="AE690" i="5" s="1"/>
  <c r="S541" i="5"/>
  <c r="Z530" i="5"/>
  <c r="AE530" i="5" s="1"/>
  <c r="AA481" i="5"/>
  <c r="AB481" i="5" s="1"/>
  <c r="AC481" i="5" s="1"/>
  <c r="Z285" i="5"/>
  <c r="AE285" i="5" s="1"/>
  <c r="Z261" i="5"/>
  <c r="AE261" i="5" s="1"/>
  <c r="S637" i="5"/>
  <c r="S556" i="5"/>
  <c r="Z517" i="5"/>
  <c r="AE517" i="5" s="1"/>
  <c r="U433" i="5"/>
  <c r="AA433" i="5" s="1"/>
  <c r="AB433" i="5" s="1"/>
  <c r="AC433" i="5" s="1"/>
  <c r="S385" i="5"/>
  <c r="S365" i="5"/>
  <c r="S355" i="5"/>
  <c r="Z327" i="5"/>
  <c r="AE327" i="5" s="1"/>
  <c r="S327" i="5"/>
  <c r="Z298" i="5"/>
  <c r="AE298" i="5" s="1"/>
  <c r="S251" i="5"/>
  <c r="Z229" i="5"/>
  <c r="AE229" i="5" s="1"/>
  <c r="S215" i="5"/>
  <c r="S197" i="5"/>
  <c r="U585" i="5"/>
  <c r="AA585" i="5" s="1"/>
  <c r="AB585" i="5" s="1"/>
  <c r="AC585" i="5" s="1"/>
  <c r="Z472" i="5"/>
  <c r="AE472" i="5" s="1"/>
  <c r="S427" i="5"/>
  <c r="Z423" i="5"/>
  <c r="AE423" i="5" s="1"/>
  <c r="AA403" i="5"/>
  <c r="AB403" i="5" s="1"/>
  <c r="AC403" i="5" s="1"/>
  <c r="Z272" i="5"/>
  <c r="AE272" i="5" s="1"/>
  <c r="AA559" i="5"/>
  <c r="AB559" i="5" s="1"/>
  <c r="AC559" i="5" s="1"/>
  <c r="Z504" i="5"/>
  <c r="AE504" i="5" s="1"/>
  <c r="S488" i="5"/>
  <c r="Z474" i="5"/>
  <c r="AE474" i="5" s="1"/>
  <c r="AA373" i="5"/>
  <c r="AB373" i="5" s="1"/>
  <c r="AC373" i="5" s="1"/>
  <c r="Z612" i="5"/>
  <c r="AE612" i="5" s="1"/>
  <c r="AA535" i="5"/>
  <c r="AB535" i="5" s="1"/>
  <c r="AC535" i="5" s="1"/>
  <c r="AA519" i="5"/>
  <c r="AB519" i="5" s="1"/>
  <c r="AC519" i="5" s="1"/>
  <c r="S506" i="5"/>
  <c r="U431" i="5"/>
  <c r="S431" i="5"/>
  <c r="Z431" i="5"/>
  <c r="AE431" i="5" s="1"/>
  <c r="U419" i="5"/>
  <c r="S419" i="5" s="1"/>
  <c r="S412" i="5"/>
  <c r="AA369" i="5"/>
  <c r="AB369" i="5" s="1"/>
  <c r="AC369" i="5" s="1"/>
  <c r="U338" i="5"/>
  <c r="Z338" i="5" s="1"/>
  <c r="AE338" i="5" s="1"/>
  <c r="S338" i="5"/>
  <c r="S258" i="5"/>
  <c r="Z258" i="5"/>
  <c r="AE258" i="5" s="1"/>
  <c r="AA225" i="5"/>
  <c r="AC225" i="5" s="1"/>
  <c r="AA71" i="5"/>
  <c r="AC71" i="5" s="1"/>
  <c r="AA593" i="5"/>
  <c r="AB593" i="5" s="1"/>
  <c r="AC593" i="5" s="1"/>
  <c r="Z574" i="5"/>
  <c r="AE574" i="5" s="1"/>
  <c r="Z470" i="5"/>
  <c r="AE470" i="5" s="1"/>
  <c r="U470" i="5"/>
  <c r="AA470" i="5" s="1"/>
  <c r="AB470" i="5" s="1"/>
  <c r="AC470" i="5" s="1"/>
  <c r="S439" i="5"/>
  <c r="U346" i="5"/>
  <c r="S346" i="5" s="1"/>
  <c r="S333" i="5"/>
  <c r="U311" i="5"/>
  <c r="AA311" i="5" s="1"/>
  <c r="AB311" i="5" s="1"/>
  <c r="AC311" i="5" s="1"/>
  <c r="AA289" i="5"/>
  <c r="AB289" i="5" s="1"/>
  <c r="AC289" i="5" s="1"/>
  <c r="U200" i="5"/>
  <c r="Z200" i="5" s="1"/>
  <c r="AE200" i="5" s="1"/>
  <c r="S141" i="5"/>
  <c r="Z141" i="5"/>
  <c r="AE141" i="5" s="1"/>
  <c r="Z96" i="5"/>
  <c r="AE96" i="5" s="1"/>
  <c r="S96" i="5"/>
  <c r="Z71" i="5"/>
  <c r="AE71" i="5" s="1"/>
  <c r="S60" i="5"/>
  <c r="U465" i="5"/>
  <c r="AA465" i="5" s="1"/>
  <c r="AB465" i="5" s="1"/>
  <c r="AC465" i="5" s="1"/>
  <c r="Z441" i="5"/>
  <c r="AE441" i="5" s="1"/>
  <c r="S303" i="5"/>
  <c r="S196" i="5"/>
  <c r="S154" i="5"/>
  <c r="U154" i="5"/>
  <c r="AA154" i="5" s="1"/>
  <c r="AC154" i="5" s="1"/>
  <c r="S100" i="5"/>
  <c r="S66" i="5"/>
  <c r="U463" i="5"/>
  <c r="AA463" i="5" s="1"/>
  <c r="AB463" i="5" s="1"/>
  <c r="AC463" i="5" s="1"/>
  <c r="Z463" i="5"/>
  <c r="AE463" i="5" s="1"/>
  <c r="S463" i="5"/>
  <c r="U456" i="5"/>
  <c r="Z456" i="5" s="1"/>
  <c r="AE456" i="5" s="1"/>
  <c r="Z398" i="5"/>
  <c r="AE398" i="5" s="1"/>
  <c r="Z354" i="5"/>
  <c r="AE354" i="5" s="1"/>
  <c r="U354" i="5"/>
  <c r="S354" i="5" s="1"/>
  <c r="AA354" i="5"/>
  <c r="AB354" i="5" s="1"/>
  <c r="AC354" i="5" s="1"/>
  <c r="S334" i="5"/>
  <c r="Z284" i="5"/>
  <c r="AE284" i="5" s="1"/>
  <c r="Z249" i="5"/>
  <c r="AE249" i="5" s="1"/>
  <c r="S176" i="5"/>
  <c r="S162" i="5"/>
  <c r="Z151" i="5"/>
  <c r="AE151" i="5" s="1"/>
  <c r="S61" i="5"/>
  <c r="U520" i="5"/>
  <c r="AA520" i="5"/>
  <c r="AB520" i="5" s="1"/>
  <c r="AC520" i="5" s="1"/>
  <c r="S520" i="5"/>
  <c r="Z520" i="5"/>
  <c r="AE520" i="5" s="1"/>
  <c r="AA431" i="5"/>
  <c r="AB431" i="5" s="1"/>
  <c r="AC431" i="5" s="1"/>
  <c r="S372" i="5"/>
  <c r="S360" i="5"/>
  <c r="Z341" i="5"/>
  <c r="AE341" i="5" s="1"/>
  <c r="U341" i="5"/>
  <c r="S341" i="5" s="1"/>
  <c r="Z295" i="5"/>
  <c r="AE295" i="5" s="1"/>
  <c r="S204" i="5"/>
  <c r="S161" i="5"/>
  <c r="Z147" i="5"/>
  <c r="AE147" i="5" s="1"/>
  <c r="U122" i="5"/>
  <c r="Z122" i="5" s="1"/>
  <c r="AE122" i="5" s="1"/>
  <c r="S110" i="5"/>
  <c r="U110" i="5"/>
  <c r="AA110" i="5" s="1"/>
  <c r="AC110" i="5" s="1"/>
  <c r="S56" i="5"/>
  <c r="U46" i="5"/>
  <c r="AA46" i="5"/>
  <c r="AC46" i="5" s="1"/>
  <c r="S46" i="5"/>
  <c r="Z46" i="5"/>
  <c r="AE46" i="5" s="1"/>
  <c r="AA39" i="5"/>
  <c r="AC39" i="5" s="1"/>
  <c r="U33" i="5"/>
  <c r="AA33" i="5" s="1"/>
  <c r="S33" i="5"/>
  <c r="S348" i="5"/>
  <c r="U293" i="5"/>
  <c r="S293" i="5" s="1"/>
  <c r="AA293" i="5"/>
  <c r="AB293" i="5" s="1"/>
  <c r="AC293" i="5" s="1"/>
  <c r="AA264" i="5"/>
  <c r="AB264" i="5" s="1"/>
  <c r="AC264" i="5" s="1"/>
  <c r="Z210" i="5"/>
  <c r="AE210" i="5" s="1"/>
  <c r="S195" i="5"/>
  <c r="AA102" i="5"/>
  <c r="AC102" i="5" s="1"/>
  <c r="AA96" i="5"/>
  <c r="AC96" i="5" s="1"/>
  <c r="S62" i="5"/>
  <c r="AA38" i="5"/>
  <c r="AC38" i="5" s="1"/>
  <c r="Z437" i="5"/>
  <c r="AE437" i="5" s="1"/>
  <c r="U382" i="5"/>
  <c r="AA382" i="5" s="1"/>
  <c r="AB382" i="5" s="1"/>
  <c r="AC382" i="5" s="1"/>
  <c r="AA322" i="5"/>
  <c r="AB322" i="5" s="1"/>
  <c r="AC322" i="5" s="1"/>
  <c r="S318" i="5"/>
  <c r="Z318" i="5"/>
  <c r="AE318" i="5" s="1"/>
  <c r="Z244" i="5"/>
  <c r="AE244" i="5" s="1"/>
  <c r="S214" i="5"/>
  <c r="AA172" i="5"/>
  <c r="AC172" i="5" s="1"/>
  <c r="S140" i="5"/>
  <c r="AA131" i="5"/>
  <c r="AC131" i="5" s="1"/>
  <c r="AA88" i="5"/>
  <c r="AC88" i="5" s="1"/>
  <c r="S67" i="5"/>
  <c r="S37" i="5"/>
  <c r="AA425" i="5"/>
  <c r="AB425" i="5" s="1"/>
  <c r="AC425" i="5" s="1"/>
  <c r="AA89" i="5"/>
  <c r="AC89" i="5" s="1"/>
  <c r="AA132" i="5"/>
  <c r="AC132" i="5" s="1"/>
  <c r="S25" i="5"/>
  <c r="S7" i="5"/>
  <c r="AA218" i="5"/>
  <c r="AC218" i="5" s="1"/>
  <c r="Z94" i="5"/>
  <c r="AE94" i="5" s="1"/>
  <c r="AA60" i="5"/>
  <c r="AC60" i="5" s="1"/>
  <c r="S342" i="5"/>
  <c r="Z13" i="5"/>
  <c r="AE13" i="5" s="1"/>
  <c r="E13" i="10"/>
  <c r="R292" i="6"/>
  <c r="P292" i="6"/>
  <c r="Q292" i="6"/>
  <c r="R272" i="6"/>
  <c r="Q272" i="6"/>
  <c r="P272" i="6"/>
  <c r="O278" i="6"/>
  <c r="S263" i="6"/>
  <c r="R317" i="6"/>
  <c r="S317" i="6" s="1"/>
  <c r="U317" i="6" s="1"/>
  <c r="X317" i="6" s="1"/>
  <c r="Q317" i="6"/>
  <c r="O206" i="6"/>
  <c r="N206" i="6"/>
  <c r="P206" i="6"/>
  <c r="I165" i="6"/>
  <c r="H165" i="6" s="1"/>
  <c r="M165" i="6"/>
  <c r="K165" i="6" s="1"/>
  <c r="R165" i="6" s="1"/>
  <c r="M191" i="6"/>
  <c r="I191" i="6" s="1"/>
  <c r="H191" i="6" s="1"/>
  <c r="M37" i="6"/>
  <c r="K37" i="6" s="1"/>
  <c r="S37" i="6" s="1"/>
  <c r="I37" i="6"/>
  <c r="H37" i="6" s="1"/>
  <c r="M77" i="6"/>
  <c r="K77" i="6" s="1"/>
  <c r="S77" i="6" s="1"/>
  <c r="O203" i="6"/>
  <c r="N203" i="6"/>
  <c r="P203" i="6"/>
  <c r="M149" i="6"/>
  <c r="K149" i="6" s="1"/>
  <c r="S149" i="6" s="1"/>
  <c r="O92" i="6"/>
  <c r="K92" i="6"/>
  <c r="S92" i="6" s="1"/>
  <c r="P92" i="6"/>
  <c r="N92" i="6"/>
  <c r="K179" i="6"/>
  <c r="S179" i="6" s="1"/>
  <c r="P21" i="6"/>
  <c r="O21" i="6"/>
  <c r="N21" i="6"/>
  <c r="I21" i="6" s="1"/>
  <c r="H21" i="6" s="1"/>
  <c r="S27" i="6"/>
  <c r="W1810" i="5"/>
  <c r="AC1808" i="5"/>
  <c r="AC1810" i="5" s="1"/>
  <c r="E83" i="10"/>
  <c r="E8" i="10"/>
  <c r="AK35" i="9"/>
  <c r="AN36" i="9"/>
  <c r="BG39" i="9"/>
  <c r="E34" i="10"/>
  <c r="P35" i="9"/>
  <c r="AX39" i="9"/>
  <c r="S36" i="9"/>
  <c r="B76" i="9"/>
  <c r="C77" i="9" s="1"/>
  <c r="E67" i="9"/>
  <c r="I67" i="9" s="1"/>
  <c r="E26" i="10"/>
  <c r="E62" i="9"/>
  <c r="I62" i="9" s="1"/>
  <c r="R308" i="6"/>
  <c r="Q308" i="6"/>
  <c r="O296" i="6"/>
  <c r="R302" i="6"/>
  <c r="Q302" i="6"/>
  <c r="P302" i="6"/>
  <c r="S302" i="6" s="1"/>
  <c r="U302" i="6" s="1"/>
  <c r="X302" i="6" s="1"/>
  <c r="R266" i="6"/>
  <c r="Q266" i="6"/>
  <c r="P266" i="6"/>
  <c r="S266" i="6" s="1"/>
  <c r="U266" i="6" s="1"/>
  <c r="X266" i="6" s="1"/>
  <c r="R278" i="6"/>
  <c r="Q278" i="6"/>
  <c r="P278" i="6"/>
  <c r="S267" i="6"/>
  <c r="U267" i="6" s="1"/>
  <c r="X267" i="6" s="1"/>
  <c r="K234" i="6"/>
  <c r="R234" i="6" s="1"/>
  <c r="E122" i="10"/>
  <c r="E144" i="10"/>
  <c r="E94" i="10"/>
  <c r="E55" i="10"/>
  <c r="AU36" i="9"/>
  <c r="I37" i="9" s="1"/>
  <c r="E29" i="10"/>
  <c r="E68" i="10"/>
  <c r="BA40" i="9"/>
  <c r="BA38" i="9"/>
  <c r="I61" i="9"/>
  <c r="BD19" i="9"/>
  <c r="BD17" i="9"/>
  <c r="H289" i="8"/>
  <c r="H286" i="8"/>
  <c r="H278" i="8"/>
  <c r="H276" i="8"/>
  <c r="H274" i="8"/>
  <c r="H272" i="8"/>
  <c r="H283" i="8"/>
  <c r="H280" i="8"/>
  <c r="H288" i="8"/>
  <c r="H285" i="8"/>
  <c r="H291" i="8"/>
  <c r="H282" i="8"/>
  <c r="H279" i="8"/>
  <c r="H277" i="8"/>
  <c r="H275" i="8"/>
  <c r="H273" i="8"/>
  <c r="H290" i="8"/>
  <c r="H287" i="8"/>
  <c r="H284" i="8"/>
  <c r="H281" i="8"/>
  <c r="BG15" i="9"/>
  <c r="AK16" i="9" s="1"/>
  <c r="BG17" i="9"/>
  <c r="BG19" i="9"/>
  <c r="F1210" i="7"/>
  <c r="T566" i="7"/>
  <c r="D1014" i="2" s="1"/>
  <c r="D1015" i="2" s="1"/>
  <c r="R256" i="6"/>
  <c r="Q256" i="6"/>
  <c r="P256" i="6"/>
  <c r="W335" i="7"/>
  <c r="R320" i="6"/>
  <c r="Q320" i="6"/>
  <c r="S320" i="6" s="1"/>
  <c r="U320" i="6" s="1"/>
  <c r="X320" i="6" s="1"/>
  <c r="U283" i="6"/>
  <c r="X283" i="6" s="1"/>
  <c r="B1021" i="2"/>
  <c r="E1008" i="2"/>
  <c r="F1008" i="2" s="1" a="1"/>
  <c r="F1008" i="2" s="1"/>
  <c r="R296" i="6"/>
  <c r="Q296" i="6"/>
  <c r="P296" i="6"/>
  <c r="S303" i="6"/>
  <c r="U303" i="6" s="1"/>
  <c r="X303" i="6" s="1"/>
  <c r="R293" i="6"/>
  <c r="P293" i="6"/>
  <c r="S293" i="6" s="1"/>
  <c r="U293" i="6" s="1"/>
  <c r="X293" i="6" s="1"/>
  <c r="Q293" i="6"/>
  <c r="R281" i="6"/>
  <c r="P281" i="6"/>
  <c r="S281" i="6" s="1"/>
  <c r="U281" i="6" s="1"/>
  <c r="X281" i="6" s="1"/>
  <c r="Q281" i="6"/>
  <c r="S282" i="6"/>
  <c r="U282" i="6" s="1"/>
  <c r="X282" i="6" s="1"/>
  <c r="R275" i="6"/>
  <c r="P275" i="6"/>
  <c r="S275" i="6" s="1"/>
  <c r="U275" i="6" s="1"/>
  <c r="X275" i="6" s="1"/>
  <c r="Q275" i="6"/>
  <c r="S261" i="6"/>
  <c r="U261" i="6" s="1"/>
  <c r="X261" i="6" s="1"/>
  <c r="K163" i="6"/>
  <c r="S163" i="6" s="1"/>
  <c r="G249" i="6"/>
  <c r="J249" i="6" s="1"/>
  <c r="M243" i="6"/>
  <c r="I243" i="6" s="1"/>
  <c r="H243" i="6" s="1"/>
  <c r="K231" i="6"/>
  <c r="S231" i="6" s="1"/>
  <c r="M159" i="6"/>
  <c r="K159" i="6" s="1"/>
  <c r="S159" i="6" s="1"/>
  <c r="I159" i="6"/>
  <c r="H159" i="6" s="1"/>
  <c r="S300" i="6"/>
  <c r="U300" i="6" s="1"/>
  <c r="X300" i="6" s="1"/>
  <c r="S262" i="6"/>
  <c r="U262" i="6" s="1"/>
  <c r="X262" i="6" s="1"/>
  <c r="M199" i="6"/>
  <c r="K199" i="6" s="1"/>
  <c r="S199" i="6" s="1"/>
  <c r="I172" i="6"/>
  <c r="H172" i="6" s="1"/>
  <c r="M155" i="6"/>
  <c r="K155" i="6" s="1"/>
  <c r="S155" i="6" s="1"/>
  <c r="K91" i="6"/>
  <c r="S91" i="6" s="1"/>
  <c r="I70" i="6"/>
  <c r="H70" i="6" s="1"/>
  <c r="M158" i="6"/>
  <c r="K158" i="6" s="1"/>
  <c r="S158" i="6" s="1"/>
  <c r="I158" i="6"/>
  <c r="H158" i="6" s="1"/>
  <c r="K141" i="6"/>
  <c r="S141" i="6" s="1"/>
  <c r="K118" i="6"/>
  <c r="R118" i="6" s="1"/>
  <c r="G47" i="6"/>
  <c r="J47" i="6" s="1"/>
  <c r="P197" i="6"/>
  <c r="N197" i="6"/>
  <c r="O197" i="6"/>
  <c r="K197" i="6" s="1"/>
  <c r="S197" i="6" s="1"/>
  <c r="M85" i="6"/>
  <c r="K85" i="6" s="1"/>
  <c r="S85" i="6" s="1"/>
  <c r="I85" i="6"/>
  <c r="H85" i="6" s="1"/>
  <c r="M65" i="6"/>
  <c r="K65" i="6" s="1"/>
  <c r="S65" i="6" s="1"/>
  <c r="M188" i="6"/>
  <c r="M52" i="6"/>
  <c r="K52" i="6" s="1"/>
  <c r="S52" i="6" s="1"/>
  <c r="M204" i="6"/>
  <c r="I204" i="6" s="1"/>
  <c r="H204" i="6" s="1"/>
  <c r="I123" i="6"/>
  <c r="H123" i="6" s="1"/>
  <c r="M105" i="6"/>
  <c r="K105" i="6" s="1"/>
  <c r="I105" i="6"/>
  <c r="H105" i="6" s="1"/>
  <c r="O82" i="6"/>
  <c r="P82" i="6"/>
  <c r="N82" i="6"/>
  <c r="K82" i="6" s="1"/>
  <c r="S82" i="6" s="1"/>
  <c r="I183" i="6"/>
  <c r="H183" i="6" s="1"/>
  <c r="M126" i="6"/>
  <c r="K126" i="6" s="1"/>
  <c r="R126" i="6" s="1"/>
  <c r="S126" i="6" s="1"/>
  <c r="I126" i="6"/>
  <c r="H126" i="6" s="1"/>
  <c r="P46" i="6"/>
  <c r="O46" i="6"/>
  <c r="N46" i="6"/>
  <c r="K46" i="6" s="1"/>
  <c r="P29" i="6"/>
  <c r="K29" i="6" s="1"/>
  <c r="S29" i="6" s="1"/>
  <c r="O29" i="6"/>
  <c r="N29" i="6"/>
  <c r="I110" i="6"/>
  <c r="H110" i="6" s="1"/>
  <c r="K94" i="6"/>
  <c r="S94" i="6" s="1"/>
  <c r="M43" i="6"/>
  <c r="I43" i="6" s="1"/>
  <c r="H43" i="6" s="1"/>
  <c r="G15" i="6"/>
  <c r="J15" i="6" s="1"/>
  <c r="I89" i="6"/>
  <c r="H89" i="6" s="1"/>
  <c r="K20" i="6"/>
  <c r="S20" i="6" s="1"/>
  <c r="K36" i="6"/>
  <c r="S36" i="6" s="1"/>
  <c r="X1782" i="5"/>
  <c r="U1782" i="5" s="1"/>
  <c r="Y1782" i="5"/>
  <c r="X1776" i="5"/>
  <c r="U1776" i="5" s="1"/>
  <c r="Y1776" i="5"/>
  <c r="X1770" i="5"/>
  <c r="U1770" i="5" s="1"/>
  <c r="Z1770" i="5" s="1"/>
  <c r="Y1770" i="5"/>
  <c r="X1764" i="5"/>
  <c r="U1764" i="5" s="1"/>
  <c r="Y1764" i="5"/>
  <c r="R1762" i="5"/>
  <c r="W1762" i="5"/>
  <c r="R1750" i="5"/>
  <c r="W1750" i="5"/>
  <c r="R1738" i="5"/>
  <c r="W1738" i="5"/>
  <c r="R1726" i="5"/>
  <c r="W1726" i="5"/>
  <c r="R1714" i="5"/>
  <c r="W1714" i="5"/>
  <c r="R1702" i="5"/>
  <c r="W1702" i="5"/>
  <c r="X1783" i="5"/>
  <c r="U1783" i="5" s="1"/>
  <c r="Y1783" i="5"/>
  <c r="X1765" i="5"/>
  <c r="U1765" i="5" s="1"/>
  <c r="Y1765" i="5"/>
  <c r="Y1747" i="5"/>
  <c r="X1747" i="5"/>
  <c r="U1747" i="5" s="1"/>
  <c r="Y1729" i="5"/>
  <c r="X1729" i="5"/>
  <c r="U1729" i="5" s="1"/>
  <c r="Z1729" i="5" s="1"/>
  <c r="Y1711" i="5"/>
  <c r="X1711" i="5"/>
  <c r="U1711" i="5" s="1"/>
  <c r="Z1711" i="5" s="1"/>
  <c r="Y1693" i="5"/>
  <c r="X1693" i="5"/>
  <c r="U1693" i="5" s="1"/>
  <c r="Y1675" i="5"/>
  <c r="X1675" i="5"/>
  <c r="U1675" i="5" s="1"/>
  <c r="Z1675" i="5" s="1"/>
  <c r="X1692" i="5"/>
  <c r="U1692" i="5" s="1"/>
  <c r="Y1692" i="5"/>
  <c r="X1674" i="5"/>
  <c r="U1674" i="5" s="1"/>
  <c r="Z1674" i="5" s="1"/>
  <c r="Y1674" i="5"/>
  <c r="X1787" i="5"/>
  <c r="U1787" i="5" s="1"/>
  <c r="Y1787" i="5"/>
  <c r="X1769" i="5"/>
  <c r="U1769" i="5" s="1"/>
  <c r="Y1769" i="5"/>
  <c r="V1637" i="5"/>
  <c r="R1637" i="5"/>
  <c r="V1601" i="5"/>
  <c r="R1601" i="5"/>
  <c r="Y1633" i="5"/>
  <c r="X1633" i="5"/>
  <c r="U1633" i="5" s="1"/>
  <c r="Z1633" i="5" s="1"/>
  <c r="R1696" i="5"/>
  <c r="W1696" i="5"/>
  <c r="R1684" i="5"/>
  <c r="W1684" i="5"/>
  <c r="R1672" i="5"/>
  <c r="W1672" i="5"/>
  <c r="R1629" i="5"/>
  <c r="W1629" i="5"/>
  <c r="R1617" i="5"/>
  <c r="W1617" i="5"/>
  <c r="R1583" i="5"/>
  <c r="W1583" i="5"/>
  <c r="AA1536" i="5"/>
  <c r="AC1536" i="5" s="1"/>
  <c r="X1706" i="5"/>
  <c r="U1706" i="5" s="1"/>
  <c r="Y1706" i="5"/>
  <c r="X1688" i="5"/>
  <c r="U1688" i="5" s="1"/>
  <c r="Z1688" i="5" s="1"/>
  <c r="Y1688" i="5"/>
  <c r="X1670" i="5"/>
  <c r="U1670" i="5" s="1"/>
  <c r="Y1670" i="5"/>
  <c r="Y1634" i="5"/>
  <c r="X1634" i="5"/>
  <c r="U1634" i="5" s="1"/>
  <c r="Z1634" i="5" s="1"/>
  <c r="W1626" i="5"/>
  <c r="R1626" i="5"/>
  <c r="Y1608" i="5"/>
  <c r="X1608" i="5"/>
  <c r="U1608" i="5" s="1"/>
  <c r="V1597" i="5"/>
  <c r="R1597" i="5"/>
  <c r="R1577" i="5"/>
  <c r="W1577" i="5"/>
  <c r="R1540" i="5"/>
  <c r="AA1465" i="5"/>
  <c r="AC1465" i="5" s="1"/>
  <c r="AA1453" i="5"/>
  <c r="AC1453" i="5" s="1"/>
  <c r="AA1441" i="5"/>
  <c r="AC1441" i="5" s="1"/>
  <c r="R1585" i="5"/>
  <c r="W1492" i="5"/>
  <c r="R1492" i="5"/>
  <c r="W1514" i="5"/>
  <c r="R1514" i="5"/>
  <c r="W1502" i="5"/>
  <c r="R1502" i="5"/>
  <c r="AA1369" i="5"/>
  <c r="AC1369" i="5" s="1"/>
  <c r="AE1369" i="5"/>
  <c r="R1521" i="5"/>
  <c r="W1521" i="5"/>
  <c r="R1474" i="5"/>
  <c r="W1474" i="5"/>
  <c r="R1462" i="5"/>
  <c r="W1462" i="5"/>
  <c r="AE1386" i="5"/>
  <c r="AA1386" i="5"/>
  <c r="AC1386" i="5" s="1"/>
  <c r="AA1567" i="5"/>
  <c r="AC1567" i="5" s="1"/>
  <c r="R1604" i="5"/>
  <c r="R1530" i="5"/>
  <c r="X1479" i="5"/>
  <c r="U1479" i="5" s="1"/>
  <c r="Y1479" i="5"/>
  <c r="Z1459" i="5"/>
  <c r="Z1447" i="5"/>
  <c r="Z1426" i="5"/>
  <c r="U1426" i="5"/>
  <c r="AA1340" i="5"/>
  <c r="AC1340" i="5" s="1"/>
  <c r="AE1340" i="5"/>
  <c r="AE1232" i="5"/>
  <c r="AA1232" i="5"/>
  <c r="AC1232" i="5" s="1"/>
  <c r="X1448" i="5"/>
  <c r="U1448" i="5" s="1"/>
  <c r="Z1448" i="5" s="1"/>
  <c r="Y1448" i="5"/>
  <c r="Z1226" i="5"/>
  <c r="AA1423" i="5"/>
  <c r="AC1423" i="5" s="1"/>
  <c r="AE1274" i="5"/>
  <c r="AA1274" i="5"/>
  <c r="AC1274" i="5" s="1"/>
  <c r="AA1214" i="5"/>
  <c r="AC1214" i="5" s="1"/>
  <c r="X1440" i="5"/>
  <c r="U1440" i="5" s="1"/>
  <c r="Y1440" i="5"/>
  <c r="AE1415" i="5"/>
  <c r="AA1415" i="5"/>
  <c r="AC1415" i="5" s="1"/>
  <c r="AA1354" i="5"/>
  <c r="AC1354" i="5" s="1"/>
  <c r="AA1318" i="5"/>
  <c r="AC1318" i="5" s="1"/>
  <c r="AA1253" i="5"/>
  <c r="AC1253" i="5" s="1"/>
  <c r="AA1310" i="5"/>
  <c r="AC1310" i="5" s="1"/>
  <c r="AE1296" i="5"/>
  <c r="AA1296" i="5"/>
  <c r="AC1296" i="5" s="1"/>
  <c r="AA921" i="5"/>
  <c r="AC921" i="5" s="1"/>
  <c r="AE921" i="5"/>
  <c r="AE952" i="5"/>
  <c r="AA952" i="5"/>
  <c r="AC952" i="5" s="1"/>
  <c r="AA1166" i="5"/>
  <c r="AC1166" i="5" s="1"/>
  <c r="AA1098" i="5"/>
  <c r="AC1098" i="5" s="1"/>
  <c r="AA1067" i="5"/>
  <c r="AC1067" i="5" s="1"/>
  <c r="AA1018" i="5"/>
  <c r="AC1018" i="5" s="1"/>
  <c r="AA984" i="5"/>
  <c r="AC984" i="5" s="1"/>
  <c r="AA965" i="5"/>
  <c r="AC965" i="5" s="1"/>
  <c r="AA816" i="5"/>
  <c r="AB816" i="5" s="1"/>
  <c r="AC816" i="5" s="1"/>
  <c r="AA755" i="5"/>
  <c r="AB755" i="5" s="1"/>
  <c r="AC755" i="5" s="1"/>
  <c r="S740" i="5"/>
  <c r="AA1139" i="5"/>
  <c r="AC1139" i="5" s="1"/>
  <c r="AA1128" i="5"/>
  <c r="AC1128" i="5" s="1"/>
  <c r="AA1109" i="5"/>
  <c r="AC1109" i="5" s="1"/>
  <c r="AA992" i="5"/>
  <c r="AC992" i="5" s="1"/>
  <c r="AA957" i="5"/>
  <c r="AC957" i="5" s="1"/>
  <c r="AE919" i="5"/>
  <c r="AA919" i="5"/>
  <c r="AC919" i="5" s="1"/>
  <c r="AE907" i="5"/>
  <c r="AA907" i="5"/>
  <c r="AC907" i="5" s="1"/>
  <c r="U780" i="5"/>
  <c r="AA780" i="5" s="1"/>
  <c r="AB780" i="5" s="1"/>
  <c r="AC780" i="5" s="1"/>
  <c r="S738" i="5"/>
  <c r="Z738" i="5"/>
  <c r="AE738" i="5" s="1"/>
  <c r="AA672" i="5"/>
  <c r="AB672" i="5" s="1"/>
  <c r="AC672" i="5" s="1"/>
  <c r="U672" i="5"/>
  <c r="Z672" i="5" s="1"/>
  <c r="AE672" i="5" s="1"/>
  <c r="U626" i="5"/>
  <c r="AA626" i="5" s="1"/>
  <c r="AB626" i="5" s="1"/>
  <c r="AC626" i="5" s="1"/>
  <c r="AA1124" i="5"/>
  <c r="AC1124" i="5" s="1"/>
  <c r="AA1010" i="5"/>
  <c r="AC1010" i="5" s="1"/>
  <c r="AA920" i="5"/>
  <c r="AC920" i="5" s="1"/>
  <c r="Z838" i="5"/>
  <c r="AE838" i="5" s="1"/>
  <c r="U819" i="5"/>
  <c r="Z819" i="5" s="1"/>
  <c r="AE819" i="5" s="1"/>
  <c r="U806" i="5"/>
  <c r="AA806" i="5" s="1"/>
  <c r="AB806" i="5" s="1"/>
  <c r="AC806" i="5" s="1"/>
  <c r="S806" i="5"/>
  <c r="S793" i="5"/>
  <c r="U777" i="5"/>
  <c r="Z777" i="5" s="1"/>
  <c r="AE777" i="5" s="1"/>
  <c r="AA617" i="5"/>
  <c r="AB617" i="5" s="1"/>
  <c r="AC617" i="5" s="1"/>
  <c r="AA1114" i="5"/>
  <c r="AC1114" i="5" s="1"/>
  <c r="AA1064" i="5"/>
  <c r="AC1064" i="5" s="1"/>
  <c r="AA1041" i="5"/>
  <c r="AC1041" i="5" s="1"/>
  <c r="AA1014" i="5"/>
  <c r="AC1014" i="5" s="1"/>
  <c r="AE959" i="5"/>
  <c r="AA959" i="5"/>
  <c r="AC959" i="5" s="1"/>
  <c r="AA930" i="5"/>
  <c r="AC930" i="5" s="1"/>
  <c r="U858" i="5"/>
  <c r="Z858" i="5"/>
  <c r="S837" i="5"/>
  <c r="Z817" i="5"/>
  <c r="AE817" i="5" s="1"/>
  <c r="U817" i="5"/>
  <c r="AA817" i="5" s="1"/>
  <c r="AB817" i="5" s="1"/>
  <c r="AC817" i="5" s="1"/>
  <c r="AA775" i="5"/>
  <c r="AB775" i="5" s="1"/>
  <c r="AC775" i="5" s="1"/>
  <c r="S750" i="5"/>
  <c r="U750" i="5"/>
  <c r="AA750" i="5" s="1"/>
  <c r="AB750" i="5" s="1"/>
  <c r="AC750" i="5" s="1"/>
  <c r="AA887" i="5"/>
  <c r="AC887" i="5" s="1"/>
  <c r="S617" i="5"/>
  <c r="Z525" i="5"/>
  <c r="AE525" i="5" s="1"/>
  <c r="S525" i="5"/>
  <c r="U589" i="5"/>
  <c r="AA589" i="5" s="1"/>
  <c r="AB589" i="5" s="1"/>
  <c r="AC589" i="5" s="1"/>
  <c r="U567" i="5"/>
  <c r="AA567" i="5" s="1"/>
  <c r="AB567" i="5" s="1"/>
  <c r="AC567" i="5" s="1"/>
  <c r="Z547" i="5"/>
  <c r="AE547" i="5" s="1"/>
  <c r="Z534" i="5"/>
  <c r="AE534" i="5" s="1"/>
  <c r="Z709" i="5"/>
  <c r="AE709" i="5" s="1"/>
  <c r="U664" i="5"/>
  <c r="AA664" i="5" s="1"/>
  <c r="AB664" i="5" s="1"/>
  <c r="AC664" i="5" s="1"/>
  <c r="S664" i="5"/>
  <c r="S606" i="5"/>
  <c r="S514" i="5"/>
  <c r="Z514" i="5"/>
  <c r="AE514" i="5" s="1"/>
  <c r="Z731" i="5"/>
  <c r="AE731" i="5" s="1"/>
  <c r="U731" i="5"/>
  <c r="AA731" i="5" s="1"/>
  <c r="AB731" i="5" s="1"/>
  <c r="AC731" i="5" s="1"/>
  <c r="U679" i="5"/>
  <c r="AA679" i="5" s="1"/>
  <c r="AB679" i="5" s="1"/>
  <c r="AC679" i="5" s="1"/>
  <c r="AA636" i="5"/>
  <c r="AB636" i="5" s="1"/>
  <c r="AC636" i="5" s="1"/>
  <c r="U591" i="5"/>
  <c r="Z591" i="5" s="1"/>
  <c r="AE591" i="5" s="1"/>
  <c r="S591" i="5"/>
  <c r="U557" i="5"/>
  <c r="AA557" i="5" s="1"/>
  <c r="AB557" i="5" s="1"/>
  <c r="AC557" i="5" s="1"/>
  <c r="AA548" i="5"/>
  <c r="AB548" i="5" s="1"/>
  <c r="AC548" i="5" s="1"/>
  <c r="AA441" i="5"/>
  <c r="AB441" i="5" s="1"/>
  <c r="AC441" i="5" s="1"/>
  <c r="Z541" i="5"/>
  <c r="AE541" i="5" s="1"/>
  <c r="S524" i="5"/>
  <c r="AA249" i="5"/>
  <c r="AB249" i="5" s="1"/>
  <c r="AC249" i="5" s="1"/>
  <c r="U592" i="5"/>
  <c r="AA592" i="5" s="1"/>
  <c r="AB592" i="5" s="1"/>
  <c r="AC592" i="5" s="1"/>
  <c r="Z592" i="5"/>
  <c r="AE592" i="5" s="1"/>
  <c r="S592" i="5"/>
  <c r="U515" i="5"/>
  <c r="AA515" i="5"/>
  <c r="AB515" i="5" s="1"/>
  <c r="AC515" i="5" s="1"/>
  <c r="Z515" i="5"/>
  <c r="AE515" i="5" s="1"/>
  <c r="S515" i="5"/>
  <c r="S445" i="5"/>
  <c r="U418" i="5"/>
  <c r="Z418" i="5"/>
  <c r="AE418" i="5" s="1"/>
  <c r="S418" i="5"/>
  <c r="Z385" i="5"/>
  <c r="AE385" i="5" s="1"/>
  <c r="S323" i="5"/>
  <c r="S307" i="5"/>
  <c r="S290" i="5"/>
  <c r="S229" i="5"/>
  <c r="S472" i="5"/>
  <c r="S505" i="5"/>
  <c r="Z488" i="5"/>
  <c r="AE488" i="5" s="1"/>
  <c r="Z484" i="5"/>
  <c r="AE484" i="5" s="1"/>
  <c r="U484" i="5"/>
  <c r="AA484" i="5" s="1"/>
  <c r="AB484" i="5" s="1"/>
  <c r="AC484" i="5" s="1"/>
  <c r="S484" i="5"/>
  <c r="AA434" i="5"/>
  <c r="AB434" i="5" s="1"/>
  <c r="AC434" i="5" s="1"/>
  <c r="AA404" i="5"/>
  <c r="AB404" i="5" s="1"/>
  <c r="AC404" i="5" s="1"/>
  <c r="Z363" i="5"/>
  <c r="AE363" i="5" s="1"/>
  <c r="AA248" i="5"/>
  <c r="AB248" i="5" s="1"/>
  <c r="AC248" i="5" s="1"/>
  <c r="AA239" i="5"/>
  <c r="AB239" i="5" s="1"/>
  <c r="AC239" i="5" s="1"/>
  <c r="Z535" i="5"/>
  <c r="AE535" i="5" s="1"/>
  <c r="S457" i="5"/>
  <c r="AA418" i="5"/>
  <c r="AB418" i="5" s="1"/>
  <c r="AC418" i="5" s="1"/>
  <c r="U411" i="5"/>
  <c r="AA411" i="5" s="1"/>
  <c r="AB411" i="5" s="1"/>
  <c r="AC411" i="5" s="1"/>
  <c r="S411" i="5"/>
  <c r="S387" i="5"/>
  <c r="S369" i="5"/>
  <c r="Z308" i="5"/>
  <c r="AE308" i="5" s="1"/>
  <c r="AA91" i="5"/>
  <c r="AC91" i="5" s="1"/>
  <c r="S70" i="5"/>
  <c r="Z749" i="5"/>
  <c r="AE749" i="5" s="1"/>
  <c r="S363" i="5"/>
  <c r="U339" i="5"/>
  <c r="AA339" i="5" s="1"/>
  <c r="AB339" i="5" s="1"/>
  <c r="AC339" i="5" s="1"/>
  <c r="Z271" i="5"/>
  <c r="AE271" i="5" s="1"/>
  <c r="S271" i="5"/>
  <c r="S238" i="5"/>
  <c r="U234" i="5"/>
  <c r="AA234" i="5" s="1"/>
  <c r="AB234" i="5" s="1"/>
  <c r="AC234" i="5" s="1"/>
  <c r="Z234" i="5"/>
  <c r="AE234" i="5" s="1"/>
  <c r="AA161" i="5"/>
  <c r="AC161" i="5" s="1"/>
  <c r="S75" i="5"/>
  <c r="U54" i="5"/>
  <c r="AA54" i="5" s="1"/>
  <c r="AC54" i="5" s="1"/>
  <c r="S54" i="5"/>
  <c r="Z54" i="5"/>
  <c r="AE54" i="5" s="1"/>
  <c r="U35" i="5"/>
  <c r="AA35" i="5" s="1"/>
  <c r="AC35" i="5" s="1"/>
  <c r="AA336" i="5"/>
  <c r="AB336" i="5" s="1"/>
  <c r="AC336" i="5" s="1"/>
  <c r="Z172" i="5"/>
  <c r="AE172" i="5" s="1"/>
  <c r="Z158" i="5"/>
  <c r="AE158" i="5" s="1"/>
  <c r="Z142" i="5"/>
  <c r="AE142" i="5" s="1"/>
  <c r="U142" i="5"/>
  <c r="S142" i="5" s="1"/>
  <c r="S133" i="5"/>
  <c r="U108" i="5"/>
  <c r="AA108" i="5" s="1"/>
  <c r="AC108" i="5" s="1"/>
  <c r="S50" i="5"/>
  <c r="Z383" i="5"/>
  <c r="AE383" i="5" s="1"/>
  <c r="AA334" i="5"/>
  <c r="AB334" i="5" s="1"/>
  <c r="AC334" i="5" s="1"/>
  <c r="Z209" i="5"/>
  <c r="AE209" i="5" s="1"/>
  <c r="Z61" i="5"/>
  <c r="AE61" i="5" s="1"/>
  <c r="AA358" i="5"/>
  <c r="AB358" i="5" s="1"/>
  <c r="AC358" i="5" s="1"/>
  <c r="S336" i="5"/>
  <c r="Z228" i="5"/>
  <c r="AE228" i="5" s="1"/>
  <c r="S221" i="5"/>
  <c r="S211" i="5"/>
  <c r="S125" i="5"/>
  <c r="Z72" i="5"/>
  <c r="AE72" i="5" s="1"/>
  <c r="S72" i="5"/>
  <c r="U72" i="5"/>
  <c r="AA72" i="5"/>
  <c r="AC72" i="5" s="1"/>
  <c r="S39" i="5"/>
  <c r="Z464" i="5"/>
  <c r="AE464" i="5" s="1"/>
  <c r="S426" i="5"/>
  <c r="AA348" i="5"/>
  <c r="AB348" i="5" s="1"/>
  <c r="AC348" i="5" s="1"/>
  <c r="Z305" i="5"/>
  <c r="AE305" i="5" s="1"/>
  <c r="S85" i="5"/>
  <c r="U480" i="5"/>
  <c r="AA480" i="5" s="1"/>
  <c r="AB480" i="5" s="1"/>
  <c r="AC480" i="5" s="1"/>
  <c r="U400" i="5"/>
  <c r="AA400" i="5" s="1"/>
  <c r="AB400" i="5" s="1"/>
  <c r="AC400" i="5" s="1"/>
  <c r="Z252" i="5"/>
  <c r="AE252" i="5" s="1"/>
  <c r="S244" i="5"/>
  <c r="S235" i="5"/>
  <c r="S208" i="5"/>
  <c r="U180" i="5"/>
  <c r="AA180" i="5"/>
  <c r="AC180" i="5" s="1"/>
  <c r="Z180" i="5"/>
  <c r="AE180" i="5" s="1"/>
  <c r="S180" i="5"/>
  <c r="S169" i="5"/>
  <c r="U152" i="5"/>
  <c r="AA152" i="5" s="1"/>
  <c r="AC152" i="5" s="1"/>
  <c r="Z146" i="5"/>
  <c r="AE146" i="5" s="1"/>
  <c r="S146" i="5"/>
  <c r="AA146" i="5"/>
  <c r="AC146" i="5" s="1"/>
  <c r="U146" i="5"/>
  <c r="Z140" i="5"/>
  <c r="AE140" i="5" s="1"/>
  <c r="Z27" i="5"/>
  <c r="AE27" i="5" s="1"/>
  <c r="U27" i="5"/>
  <c r="S27" i="5" s="1"/>
  <c r="Z9" i="5"/>
  <c r="AE9" i="5" s="1"/>
  <c r="U9" i="5"/>
  <c r="S9" i="5" s="1"/>
  <c r="B108" i="3"/>
  <c r="AA25" i="5"/>
  <c r="AC25" i="5" s="1"/>
  <c r="AA210" i="5"/>
  <c r="AC210" i="5" s="1"/>
  <c r="Z103" i="5"/>
  <c r="AE103" i="5" s="1"/>
  <c r="Z7" i="5"/>
  <c r="AE7" i="5" s="1"/>
  <c r="AA215" i="5"/>
  <c r="AC215" i="5" s="1"/>
  <c r="AA254" i="5"/>
  <c r="AB254" i="5" s="1"/>
  <c r="AC254" i="5" s="1"/>
  <c r="S91" i="5"/>
  <c r="AA27" i="5"/>
  <c r="AC27" i="5" s="1"/>
  <c r="AA9" i="5"/>
  <c r="AC9" i="5" s="1"/>
  <c r="E130" i="10"/>
  <c r="E119" i="10"/>
  <c r="E37" i="10"/>
  <c r="E61" i="9"/>
  <c r="R314" i="6"/>
  <c r="Q314" i="6"/>
  <c r="U323" i="6"/>
  <c r="X323" i="6" s="1"/>
  <c r="F233" i="6"/>
  <c r="L233" i="6" s="1"/>
  <c r="F216" i="6"/>
  <c r="L216" i="6" s="1"/>
  <c r="Q318" i="6"/>
  <c r="S318" i="6" s="1"/>
  <c r="U318" i="6" s="1"/>
  <c r="X318" i="6" s="1"/>
  <c r="R318" i="6"/>
  <c r="B15" i="9"/>
  <c r="AR16" i="9"/>
  <c r="C16" i="9" s="1"/>
  <c r="E14" i="9"/>
  <c r="E23" i="10"/>
  <c r="E143" i="10"/>
  <c r="E120" i="10"/>
  <c r="E147" i="10"/>
  <c r="E135" i="10"/>
  <c r="E121" i="10"/>
  <c r="E136" i="10"/>
  <c r="E74" i="10"/>
  <c r="E40" i="10"/>
  <c r="E31" i="10"/>
  <c r="E59" i="10"/>
  <c r="E32" i="10"/>
  <c r="E17" i="10"/>
  <c r="E75" i="10"/>
  <c r="E70" i="9"/>
  <c r="I70" i="9" s="1"/>
  <c r="AU19" i="9"/>
  <c r="AU17" i="9"/>
  <c r="I58" i="9"/>
  <c r="E295" i="8"/>
  <c r="D297" i="8"/>
  <c r="D302" i="8" s="1"/>
  <c r="E308" i="8" s="1"/>
  <c r="D308" i="8" s="1"/>
  <c r="S323" i="6"/>
  <c r="R254" i="6"/>
  <c r="Q254" i="6"/>
  <c r="P254" i="6"/>
  <c r="S254" i="6" s="1"/>
  <c r="U254" i="6" s="1"/>
  <c r="X254" i="6" s="1"/>
  <c r="O314" i="6"/>
  <c r="S298" i="6"/>
  <c r="O260" i="6"/>
  <c r="Q319" i="6"/>
  <c r="S319" i="6" s="1"/>
  <c r="U319" i="6" s="1"/>
  <c r="X319" i="6" s="1"/>
  <c r="R319" i="6"/>
  <c r="P264" i="6"/>
  <c r="Q264" i="6"/>
  <c r="R264" i="6"/>
  <c r="R311" i="6"/>
  <c r="Q311" i="6"/>
  <c r="S311" i="6" s="1"/>
  <c r="U311" i="6" s="1"/>
  <c r="X311" i="6" s="1"/>
  <c r="Q306" i="6"/>
  <c r="S306" i="6" s="1"/>
  <c r="U306" i="6" s="1"/>
  <c r="X306" i="6" s="1"/>
  <c r="R306" i="6"/>
  <c r="O257" i="6"/>
  <c r="N243" i="6"/>
  <c r="P243" i="6"/>
  <c r="O243" i="6"/>
  <c r="I212" i="6"/>
  <c r="H212" i="6" s="1"/>
  <c r="M211" i="6"/>
  <c r="K211" i="6" s="1"/>
  <c r="R211" i="6" s="1"/>
  <c r="M156" i="6"/>
  <c r="K156" i="6" s="1"/>
  <c r="S156" i="6" s="1"/>
  <c r="I156" i="6"/>
  <c r="H156" i="6" s="1"/>
  <c r="S241" i="6"/>
  <c r="U241" i="6"/>
  <c r="V241" i="6" s="1"/>
  <c r="I196" i="6"/>
  <c r="H196" i="6" s="1"/>
  <c r="M196" i="6"/>
  <c r="K196" i="6" s="1"/>
  <c r="S196" i="6" s="1"/>
  <c r="I220" i="6"/>
  <c r="H220" i="6" s="1"/>
  <c r="M143" i="6"/>
  <c r="K143" i="6" s="1"/>
  <c r="S143" i="6" s="1"/>
  <c r="K69" i="6"/>
  <c r="S69" i="6" s="1"/>
  <c r="P201" i="6"/>
  <c r="O201" i="6"/>
  <c r="N201" i="6"/>
  <c r="M45" i="6"/>
  <c r="K45" i="6" s="1"/>
  <c r="S45" i="6" s="1"/>
  <c r="I45" i="6"/>
  <c r="H45" i="6" s="1"/>
  <c r="N187" i="6"/>
  <c r="P187" i="6"/>
  <c r="O187" i="6"/>
  <c r="K144" i="6"/>
  <c r="S144" i="6" s="1"/>
  <c r="M84" i="6"/>
  <c r="K84" i="6" s="1"/>
  <c r="S84" i="6" s="1"/>
  <c r="I84" i="6"/>
  <c r="H84" i="6" s="1"/>
  <c r="P188" i="6"/>
  <c r="O188" i="6"/>
  <c r="I188" i="6" s="1"/>
  <c r="H188" i="6" s="1"/>
  <c r="N188" i="6"/>
  <c r="K188" i="6" s="1"/>
  <c r="S188" i="6" s="1"/>
  <c r="M35" i="6"/>
  <c r="K35" i="6" s="1"/>
  <c r="S35" i="6" s="1"/>
  <c r="M104" i="6"/>
  <c r="K104" i="6" s="1"/>
  <c r="P72" i="6"/>
  <c r="O72" i="6"/>
  <c r="N72" i="6"/>
  <c r="M200" i="6"/>
  <c r="I200" i="6" s="1"/>
  <c r="H200" i="6" s="1"/>
  <c r="I125" i="6"/>
  <c r="H125" i="6" s="1"/>
  <c r="M125" i="6"/>
  <c r="K125" i="6" s="1"/>
  <c r="R125" i="6" s="1"/>
  <c r="S125" i="6" s="1"/>
  <c r="O43" i="6"/>
  <c r="N43" i="6"/>
  <c r="P43" i="6"/>
  <c r="I24" i="6"/>
  <c r="H24" i="6" s="1"/>
  <c r="M24" i="6"/>
  <c r="K24" i="6" s="1"/>
  <c r="S24" i="6" s="1"/>
  <c r="P7" i="6"/>
  <c r="N7" i="6"/>
  <c r="I7" i="6" s="1"/>
  <c r="H7" i="6" s="1"/>
  <c r="O7" i="6"/>
  <c r="I115" i="6"/>
  <c r="H115" i="6" s="1"/>
  <c r="K19" i="6"/>
  <c r="S19" i="6" s="1"/>
  <c r="M3" i="6"/>
  <c r="K3" i="6" s="1"/>
  <c r="S3" i="6" s="1"/>
  <c r="F3" i="6"/>
  <c r="X1758" i="5"/>
  <c r="U1758" i="5" s="1"/>
  <c r="Z1758" i="5" s="1"/>
  <c r="Y1758" i="5"/>
  <c r="X1746" i="5"/>
  <c r="U1746" i="5" s="1"/>
  <c r="Y1746" i="5"/>
  <c r="X1734" i="5"/>
  <c r="U1734" i="5" s="1"/>
  <c r="Y1734" i="5"/>
  <c r="X1722" i="5"/>
  <c r="U1722" i="5" s="1"/>
  <c r="Z1722" i="5" s="1"/>
  <c r="Y1722" i="5"/>
  <c r="X1710" i="5"/>
  <c r="U1710" i="5" s="1"/>
  <c r="Y1710" i="5"/>
  <c r="Y1691" i="5"/>
  <c r="X1691" i="5"/>
  <c r="U1691" i="5" s="1"/>
  <c r="Z1691" i="5" s="1"/>
  <c r="Y1673" i="5"/>
  <c r="X1673" i="5"/>
  <c r="U1673" i="5" s="1"/>
  <c r="W1636" i="5"/>
  <c r="R1636" i="5"/>
  <c r="W1600" i="5"/>
  <c r="R1600" i="5"/>
  <c r="X1748" i="5"/>
  <c r="U1748" i="5" s="1"/>
  <c r="Y1748" i="5"/>
  <c r="Y1621" i="5"/>
  <c r="X1621" i="5"/>
  <c r="U1621" i="5" s="1"/>
  <c r="W1590" i="5"/>
  <c r="R1590" i="5"/>
  <c r="W1550" i="5"/>
  <c r="R1550" i="5"/>
  <c r="W1631" i="5"/>
  <c r="R1631" i="5"/>
  <c r="Y1598" i="5"/>
  <c r="X1598" i="5"/>
  <c r="U1598" i="5" s="1"/>
  <c r="Z1598" i="5" s="1"/>
  <c r="R1593" i="5"/>
  <c r="W1593" i="5"/>
  <c r="X1724" i="5"/>
  <c r="U1724" i="5" s="1"/>
  <c r="Z1724" i="5" s="1"/>
  <c r="Y1724" i="5"/>
  <c r="R1605" i="5"/>
  <c r="W1605" i="5"/>
  <c r="W1578" i="5"/>
  <c r="R1578" i="5"/>
  <c r="X1730" i="5"/>
  <c r="U1730" i="5" s="1"/>
  <c r="Z1730" i="5" s="1"/>
  <c r="Y1730" i="5"/>
  <c r="Y1586" i="5"/>
  <c r="X1586" i="5"/>
  <c r="U1586" i="5" s="1"/>
  <c r="Z1586" i="5" s="1"/>
  <c r="R1582" i="5"/>
  <c r="W1582" i="5"/>
  <c r="R1569" i="5"/>
  <c r="W1569" i="5"/>
  <c r="R1541" i="5"/>
  <c r="W1541" i="5"/>
  <c r="R1535" i="5"/>
  <c r="W1535" i="5"/>
  <c r="R1529" i="5"/>
  <c r="W1529" i="5"/>
  <c r="R1523" i="5"/>
  <c r="W1523" i="5"/>
  <c r="Y1658" i="5"/>
  <c r="X1658" i="5"/>
  <c r="U1658" i="5" s="1"/>
  <c r="Z1658" i="5" s="1"/>
  <c r="Y1648" i="5"/>
  <c r="X1648" i="5"/>
  <c r="U1648" i="5" s="1"/>
  <c r="Z1648" i="5" s="1"/>
  <c r="AA1642" i="5"/>
  <c r="AC1642" i="5" s="1"/>
  <c r="Z1606" i="5"/>
  <c r="R1575" i="5"/>
  <c r="W1575" i="5"/>
  <c r="Y1538" i="5"/>
  <c r="X1538" i="5"/>
  <c r="U1538" i="5" s="1"/>
  <c r="Y1526" i="5"/>
  <c r="X1526" i="5"/>
  <c r="U1526" i="5" s="1"/>
  <c r="Z1526" i="5" s="1"/>
  <c r="AE1526" i="5" s="1"/>
  <c r="W1488" i="5"/>
  <c r="R1488" i="5"/>
  <c r="Y1483" i="5"/>
  <c r="X1483" i="5"/>
  <c r="U1483" i="5" s="1"/>
  <c r="R1472" i="5"/>
  <c r="W1472" i="5"/>
  <c r="R1460" i="5"/>
  <c r="W1460" i="5"/>
  <c r="R1435" i="5"/>
  <c r="W1435" i="5"/>
  <c r="R1628" i="5"/>
  <c r="Y1513" i="5"/>
  <c r="X1513" i="5"/>
  <c r="U1513" i="5" s="1"/>
  <c r="Y1505" i="5"/>
  <c r="X1505" i="5"/>
  <c r="U1505" i="5" s="1"/>
  <c r="Z1505" i="5" s="1"/>
  <c r="Y1497" i="5"/>
  <c r="X1497" i="5"/>
  <c r="U1497" i="5" s="1"/>
  <c r="Z1497" i="5" s="1"/>
  <c r="Z1457" i="5"/>
  <c r="AA1304" i="5"/>
  <c r="AC1304" i="5" s="1"/>
  <c r="AE1304" i="5"/>
  <c r="AE1230" i="5"/>
  <c r="AA1230" i="5"/>
  <c r="AC1230" i="5" s="1"/>
  <c r="AA1373" i="5"/>
  <c r="AC1373" i="5" s="1"/>
  <c r="AE1343" i="5"/>
  <c r="AA1343" i="5"/>
  <c r="AC1343" i="5" s="1"/>
  <c r="AA1154" i="5"/>
  <c r="AC1154" i="5" s="1"/>
  <c r="Z1207" i="5"/>
  <c r="U1207" i="5"/>
  <c r="U1157" i="5"/>
  <c r="Z1157" i="5" s="1"/>
  <c r="AA1272" i="5"/>
  <c r="AC1272" i="5" s="1"/>
  <c r="AA1203" i="5"/>
  <c r="AC1203" i="5" s="1"/>
  <c r="AA1433" i="5"/>
  <c r="AC1433" i="5" s="1"/>
  <c r="AA1251" i="5"/>
  <c r="AC1251" i="5" s="1"/>
  <c r="U1190" i="5"/>
  <c r="Z1190" i="5" s="1"/>
  <c r="AE1140" i="5"/>
  <c r="AA1140" i="5"/>
  <c r="AC1140" i="5" s="1"/>
  <c r="AA1412" i="5"/>
  <c r="AC1412" i="5" s="1"/>
  <c r="AA1308" i="5"/>
  <c r="AC1308" i="5" s="1"/>
  <c r="AA1225" i="5"/>
  <c r="AC1225" i="5" s="1"/>
  <c r="AE1165" i="5"/>
  <c r="AA1165" i="5"/>
  <c r="AC1165" i="5" s="1"/>
  <c r="AA942" i="5"/>
  <c r="AC942" i="5" s="1"/>
  <c r="AE942" i="5"/>
  <c r="AA1161" i="5"/>
  <c r="AC1161" i="5" s="1"/>
  <c r="AA915" i="5"/>
  <c r="AC915" i="5" s="1"/>
  <c r="Z832" i="5"/>
  <c r="AE832" i="5" s="1"/>
  <c r="Z813" i="5"/>
  <c r="AE813" i="5" s="1"/>
  <c r="S772" i="5"/>
  <c r="U772" i="5"/>
  <c r="AA772" i="5" s="1"/>
  <c r="AB772" i="5" s="1"/>
  <c r="AC772" i="5" s="1"/>
  <c r="AA1048" i="5"/>
  <c r="AC1048" i="5" s="1"/>
  <c r="AA994" i="5"/>
  <c r="AC994" i="5" s="1"/>
  <c r="AA936" i="5"/>
  <c r="AC936" i="5" s="1"/>
  <c r="AE936" i="5"/>
  <c r="S832" i="5"/>
  <c r="S755" i="5"/>
  <c r="AA637" i="5"/>
  <c r="AB637" i="5" s="1"/>
  <c r="AC637" i="5" s="1"/>
  <c r="AA1021" i="5"/>
  <c r="AC1021" i="5" s="1"/>
  <c r="AA947" i="5"/>
  <c r="AC947" i="5" s="1"/>
  <c r="AA929" i="5"/>
  <c r="AC929" i="5" s="1"/>
  <c r="AA917" i="5"/>
  <c r="AC917" i="5" s="1"/>
  <c r="AE917" i="5"/>
  <c r="U865" i="5"/>
  <c r="Z865" i="5" s="1"/>
  <c r="Z794" i="5"/>
  <c r="AE794" i="5" s="1"/>
  <c r="S779" i="5"/>
  <c r="Z779" i="5"/>
  <c r="AE779" i="5" s="1"/>
  <c r="U773" i="5"/>
  <c r="Z773" i="5" s="1"/>
  <c r="AE773" i="5" s="1"/>
  <c r="AA773" i="5"/>
  <c r="AB773" i="5" s="1"/>
  <c r="AC773" i="5" s="1"/>
  <c r="S773" i="5"/>
  <c r="U754" i="5"/>
  <c r="AA754" i="5"/>
  <c r="AB754" i="5" s="1"/>
  <c r="AC754" i="5" s="1"/>
  <c r="Z754" i="5"/>
  <c r="AE754" i="5" s="1"/>
  <c r="S754" i="5"/>
  <c r="U723" i="5"/>
  <c r="AA723" i="5" s="1"/>
  <c r="AB723" i="5" s="1"/>
  <c r="AC723" i="5" s="1"/>
  <c r="Z704" i="5"/>
  <c r="AE704" i="5" s="1"/>
  <c r="U704" i="5"/>
  <c r="S704" i="5" s="1"/>
  <c r="S696" i="5"/>
  <c r="U696" i="5"/>
  <c r="AA696" i="5" s="1"/>
  <c r="AB696" i="5" s="1"/>
  <c r="AC696" i="5" s="1"/>
  <c r="U785" i="5"/>
  <c r="AA785" i="5" s="1"/>
  <c r="AB785" i="5" s="1"/>
  <c r="AC785" i="5" s="1"/>
  <c r="Z785" i="5"/>
  <c r="AE785" i="5" s="1"/>
  <c r="AA1086" i="5"/>
  <c r="AC1086" i="5" s="1"/>
  <c r="AA1037" i="5"/>
  <c r="AC1037" i="5" s="1"/>
  <c r="U982" i="5"/>
  <c r="Z982" i="5"/>
  <c r="AA958" i="5"/>
  <c r="AC958" i="5" s="1"/>
  <c r="AA923" i="5"/>
  <c r="AC923" i="5" s="1"/>
  <c r="U869" i="5"/>
  <c r="Z869" i="5"/>
  <c r="Z730" i="5"/>
  <c r="AE730" i="5" s="1"/>
  <c r="S730" i="5"/>
  <c r="Z625" i="5"/>
  <c r="AE625" i="5" s="1"/>
  <c r="S625" i="5"/>
  <c r="AA856" i="5"/>
  <c r="AC856" i="5" s="1"/>
  <c r="Z692" i="5"/>
  <c r="AE692" i="5" s="1"/>
  <c r="U635" i="5"/>
  <c r="S635" i="5" s="1"/>
  <c r="AA635" i="5"/>
  <c r="AB635" i="5" s="1"/>
  <c r="AC635" i="5" s="1"/>
  <c r="Z635" i="5"/>
  <c r="AE635" i="5" s="1"/>
  <c r="AA588" i="5"/>
  <c r="AB588" i="5" s="1"/>
  <c r="AC588" i="5" s="1"/>
  <c r="Z570" i="5"/>
  <c r="AE570" i="5" s="1"/>
  <c r="U570" i="5"/>
  <c r="S570" i="5"/>
  <c r="AA570" i="5"/>
  <c r="AB570" i="5" s="1"/>
  <c r="AC570" i="5" s="1"/>
  <c r="Z503" i="5"/>
  <c r="AE503" i="5" s="1"/>
  <c r="U503" i="5"/>
  <c r="AA503" i="5" s="1"/>
  <c r="AB503" i="5" s="1"/>
  <c r="AC503" i="5" s="1"/>
  <c r="AA862" i="5"/>
  <c r="AC862" i="5" s="1"/>
  <c r="AA688" i="5"/>
  <c r="AB688" i="5" s="1"/>
  <c r="AC688" i="5" s="1"/>
  <c r="U688" i="5"/>
  <c r="Z688" i="5"/>
  <c r="AE688" i="5" s="1"/>
  <c r="S688" i="5"/>
  <c r="Z648" i="5"/>
  <c r="AE648" i="5" s="1"/>
  <c r="AA586" i="5"/>
  <c r="AB586" i="5" s="1"/>
  <c r="AC586" i="5" s="1"/>
  <c r="AA564" i="5"/>
  <c r="AB564" i="5" s="1"/>
  <c r="AC564" i="5" s="1"/>
  <c r="AA486" i="5"/>
  <c r="AB486" i="5" s="1"/>
  <c r="AC486" i="5" s="1"/>
  <c r="S818" i="5"/>
  <c r="S792" i="5"/>
  <c r="S716" i="5"/>
  <c r="U647" i="5"/>
  <c r="Z647" i="5" s="1"/>
  <c r="AE647" i="5" s="1"/>
  <c r="AA647" i="5"/>
  <c r="AB647" i="5" s="1"/>
  <c r="AC647" i="5" s="1"/>
  <c r="Z577" i="5"/>
  <c r="AE577" i="5" s="1"/>
  <c r="S577" i="5"/>
  <c r="AA577" i="5"/>
  <c r="AB577" i="5" s="1"/>
  <c r="AC577" i="5" s="1"/>
  <c r="S460" i="5"/>
  <c r="S834" i="5"/>
  <c r="AA655" i="5"/>
  <c r="AB655" i="5" s="1"/>
  <c r="AC655" i="5" s="1"/>
  <c r="AA580" i="5"/>
  <c r="AB580" i="5" s="1"/>
  <c r="AC580" i="5" s="1"/>
  <c r="S826" i="5"/>
  <c r="S802" i="5"/>
  <c r="AA774" i="5"/>
  <c r="AB774" i="5" s="1"/>
  <c r="AC774" i="5" s="1"/>
  <c r="U705" i="5"/>
  <c r="AA705" i="5" s="1"/>
  <c r="AB705" i="5" s="1"/>
  <c r="AC705" i="5" s="1"/>
  <c r="Z705" i="5"/>
  <c r="AE705" i="5" s="1"/>
  <c r="S705" i="5"/>
  <c r="S676" i="5"/>
  <c r="Z671" i="5"/>
  <c r="AE671" i="5" s="1"/>
  <c r="Z545" i="5"/>
  <c r="AE545" i="5" s="1"/>
  <c r="S545" i="5"/>
  <c r="AA498" i="5"/>
  <c r="AB498" i="5" s="1"/>
  <c r="AC498" i="5" s="1"/>
  <c r="S498" i="5"/>
  <c r="AA491" i="5"/>
  <c r="AB491" i="5" s="1"/>
  <c r="AC491" i="5" s="1"/>
  <c r="S491" i="5"/>
  <c r="U452" i="5"/>
  <c r="AA452" i="5" s="1"/>
  <c r="AB452" i="5" s="1"/>
  <c r="AC452" i="5" s="1"/>
  <c r="AA398" i="5"/>
  <c r="AB398" i="5" s="1"/>
  <c r="AC398" i="5" s="1"/>
  <c r="AA350" i="5"/>
  <c r="AB350" i="5" s="1"/>
  <c r="AC350" i="5" s="1"/>
  <c r="Z350" i="5"/>
  <c r="AE350" i="5" s="1"/>
  <c r="S350" i="5"/>
  <c r="U701" i="5"/>
  <c r="AA701" i="5"/>
  <c r="AB701" i="5" s="1"/>
  <c r="AC701" i="5" s="1"/>
  <c r="Z701" i="5"/>
  <c r="AE701" i="5" s="1"/>
  <c r="S701" i="5"/>
  <c r="Z590" i="5"/>
  <c r="AE590" i="5" s="1"/>
  <c r="U467" i="5"/>
  <c r="AA467" i="5" s="1"/>
  <c r="AB467" i="5" s="1"/>
  <c r="AC467" i="5" s="1"/>
  <c r="S467" i="5"/>
  <c r="Z445" i="5"/>
  <c r="AE445" i="5" s="1"/>
  <c r="Z440" i="5"/>
  <c r="AE440" i="5" s="1"/>
  <c r="Z416" i="5"/>
  <c r="AE416" i="5" s="1"/>
  <c r="U416" i="5"/>
  <c r="AA416" i="5" s="1"/>
  <c r="AB416" i="5" s="1"/>
  <c r="AC416" i="5" s="1"/>
  <c r="AA266" i="5"/>
  <c r="AB266" i="5" s="1"/>
  <c r="AC266" i="5" s="1"/>
  <c r="Z237" i="5"/>
  <c r="AE237" i="5" s="1"/>
  <c r="AA427" i="5"/>
  <c r="AB427" i="5" s="1"/>
  <c r="AC427" i="5" s="1"/>
  <c r="Z290" i="5"/>
  <c r="AE290" i="5" s="1"/>
  <c r="U527" i="5"/>
  <c r="AA527" i="5"/>
  <c r="AB527" i="5" s="1"/>
  <c r="AC527" i="5" s="1"/>
  <c r="Z527" i="5"/>
  <c r="AE527" i="5" s="1"/>
  <c r="S527" i="5"/>
  <c r="AA492" i="5"/>
  <c r="AB492" i="5" s="1"/>
  <c r="AC492" i="5" s="1"/>
  <c r="AA483" i="5"/>
  <c r="AB483" i="5" s="1"/>
  <c r="AC483" i="5" s="1"/>
  <c r="U391" i="5"/>
  <c r="Z391" i="5"/>
  <c r="AE391" i="5" s="1"/>
  <c r="S391" i="5"/>
  <c r="AA391" i="5"/>
  <c r="AB391" i="5" s="1"/>
  <c r="AC391" i="5" s="1"/>
  <c r="U343" i="5"/>
  <c r="Z343" i="5" s="1"/>
  <c r="AE343" i="5" s="1"/>
  <c r="S343" i="5"/>
  <c r="S275" i="5"/>
  <c r="Z275" i="5"/>
  <c r="AE275" i="5" s="1"/>
  <c r="U255" i="5"/>
  <c r="AA255" i="5" s="1"/>
  <c r="AB255" i="5" s="1"/>
  <c r="AC255" i="5" s="1"/>
  <c r="Z255" i="5"/>
  <c r="AE255" i="5" s="1"/>
  <c r="S255" i="5"/>
  <c r="AA735" i="5"/>
  <c r="AB735" i="5" s="1"/>
  <c r="AC735" i="5" s="1"/>
  <c r="U562" i="5"/>
  <c r="AA562" i="5" s="1"/>
  <c r="AB562" i="5" s="1"/>
  <c r="AC562" i="5" s="1"/>
  <c r="U417" i="5"/>
  <c r="AA417" i="5" s="1"/>
  <c r="AB417" i="5" s="1"/>
  <c r="AC417" i="5" s="1"/>
  <c r="Z417" i="5"/>
  <c r="AE417" i="5" s="1"/>
  <c r="S375" i="5"/>
  <c r="U368" i="5"/>
  <c r="AA368" i="5" s="1"/>
  <c r="AB368" i="5" s="1"/>
  <c r="AC368" i="5" s="1"/>
  <c r="S308" i="5"/>
  <c r="AA232" i="5"/>
  <c r="AB232" i="5" s="1"/>
  <c r="AC232" i="5" s="1"/>
  <c r="AA116" i="5"/>
  <c r="AC116" i="5" s="1"/>
  <c r="AA78" i="5"/>
  <c r="AC78" i="5" s="1"/>
  <c r="AA863" i="5"/>
  <c r="AC863" i="5" s="1"/>
  <c r="S794" i="5"/>
  <c r="Z579" i="5"/>
  <c r="AE579" i="5" s="1"/>
  <c r="AA464" i="5"/>
  <c r="AB464" i="5" s="1"/>
  <c r="AC464" i="5" s="1"/>
  <c r="Z238" i="5"/>
  <c r="AE238" i="5" s="1"/>
  <c r="S216" i="5"/>
  <c r="S201" i="5"/>
  <c r="AA160" i="5"/>
  <c r="AC160" i="5" s="1"/>
  <c r="AA113" i="5"/>
  <c r="AC113" i="5" s="1"/>
  <c r="S105" i="5"/>
  <c r="AA105" i="5"/>
  <c r="AC105" i="5" s="1"/>
  <c r="Z99" i="5"/>
  <c r="AE99" i="5" s="1"/>
  <c r="U99" i="5"/>
  <c r="S99" i="5" s="1"/>
  <c r="Z75" i="5"/>
  <c r="AE75" i="5" s="1"/>
  <c r="U59" i="5"/>
  <c r="AA59" i="5" s="1"/>
  <c r="AC59" i="5" s="1"/>
  <c r="Z330" i="5"/>
  <c r="AE330" i="5" s="1"/>
  <c r="Z157" i="5"/>
  <c r="AE157" i="5" s="1"/>
  <c r="Z133" i="5"/>
  <c r="AE133" i="5" s="1"/>
  <c r="AA114" i="5"/>
  <c r="AC114" i="5" s="1"/>
  <c r="S92" i="5"/>
  <c r="U92" i="5"/>
  <c r="AA92" i="5" s="1"/>
  <c r="AC92" i="5" s="1"/>
  <c r="Z62" i="5"/>
  <c r="AE62" i="5" s="1"/>
  <c r="Z57" i="5"/>
  <c r="AE57" i="5" s="1"/>
  <c r="U57" i="5"/>
  <c r="AA57" i="5" s="1"/>
  <c r="AC57" i="5" s="1"/>
  <c r="U44" i="5"/>
  <c r="AA44" i="5" s="1"/>
  <c r="AC44" i="5" s="1"/>
  <c r="U344" i="5"/>
  <c r="AA344" i="5" s="1"/>
  <c r="AB344" i="5" s="1"/>
  <c r="AC344" i="5" s="1"/>
  <c r="Z344" i="5"/>
  <c r="AE344" i="5" s="1"/>
  <c r="AA323" i="5"/>
  <c r="AB323" i="5" s="1"/>
  <c r="AC323" i="5" s="1"/>
  <c r="S232" i="5"/>
  <c r="Z186" i="5"/>
  <c r="AE186" i="5" s="1"/>
  <c r="U101" i="5"/>
  <c r="Z101" i="5" s="1"/>
  <c r="AE101" i="5" s="1"/>
  <c r="S89" i="5"/>
  <c r="U513" i="5"/>
  <c r="AA513" i="5" s="1"/>
  <c r="AB513" i="5" s="1"/>
  <c r="AC513" i="5" s="1"/>
  <c r="Z513" i="5"/>
  <c r="AE513" i="5" s="1"/>
  <c r="S358" i="5"/>
  <c r="Z211" i="5"/>
  <c r="AE211" i="5" s="1"/>
  <c r="S164" i="5"/>
  <c r="S150" i="5"/>
  <c r="S138" i="5"/>
  <c r="S134" i="5"/>
  <c r="Z125" i="5"/>
  <c r="AE125" i="5" s="1"/>
  <c r="S118" i="5"/>
  <c r="S496" i="5"/>
  <c r="AA419" i="5"/>
  <c r="AB419" i="5" s="1"/>
  <c r="AC419" i="5" s="1"/>
  <c r="AA192" i="5"/>
  <c r="AC192" i="5" s="1"/>
  <c r="U192" i="5"/>
  <c r="Z192" i="5"/>
  <c r="AE192" i="5" s="1"/>
  <c r="S192" i="5"/>
  <c r="AA29" i="5"/>
  <c r="AC29" i="5" s="1"/>
  <c r="AA432" i="5"/>
  <c r="AB432" i="5" s="1"/>
  <c r="AC432" i="5" s="1"/>
  <c r="Z361" i="5"/>
  <c r="AE361" i="5" s="1"/>
  <c r="U361" i="5"/>
  <c r="S361" i="5"/>
  <c r="AA361" i="5"/>
  <c r="AB361" i="5" s="1"/>
  <c r="AC361" i="5" s="1"/>
  <c r="AA346" i="5"/>
  <c r="AB346" i="5" s="1"/>
  <c r="AC346" i="5" s="1"/>
  <c r="Z208" i="5"/>
  <c r="AE208" i="5" s="1"/>
  <c r="Z177" i="5"/>
  <c r="AE177" i="5" s="1"/>
  <c r="AA157" i="5"/>
  <c r="AC157" i="5" s="1"/>
  <c r="S127" i="5"/>
  <c r="U127" i="5"/>
  <c r="AA127" i="5" s="1"/>
  <c r="AC127" i="5" s="1"/>
  <c r="Z78" i="5"/>
  <c r="AE78" i="5" s="1"/>
  <c r="AA69" i="5"/>
  <c r="AC69" i="5" s="1"/>
  <c r="U69" i="5"/>
  <c r="Z69" i="5" s="1"/>
  <c r="AE69" i="5" s="1"/>
  <c r="S24" i="5"/>
  <c r="S6" i="5"/>
  <c r="E132" i="10"/>
  <c r="E47" i="10"/>
  <c r="F43" i="9"/>
  <c r="AR40" i="9"/>
  <c r="AR38" i="9"/>
  <c r="AR18" i="9"/>
  <c r="E15" i="9"/>
  <c r="B14" i="9"/>
  <c r="F237" i="6"/>
  <c r="L237" i="6" s="1"/>
  <c r="U263" i="6"/>
  <c r="X263" i="6" s="1"/>
  <c r="Q271" i="6"/>
  <c r="R271" i="6"/>
  <c r="P271" i="6"/>
  <c r="S271" i="6" s="1"/>
  <c r="U271" i="6" s="1"/>
  <c r="X271" i="6" s="1"/>
  <c r="M150" i="6"/>
  <c r="K150" i="6" s="1"/>
  <c r="S150" i="6" s="1"/>
  <c r="I150" i="6"/>
  <c r="H150" i="6" s="1"/>
  <c r="N218" i="6"/>
  <c r="I218" i="6" s="1"/>
  <c r="H218" i="6" s="1"/>
  <c r="P218" i="6"/>
  <c r="O218" i="6"/>
  <c r="N217" i="6"/>
  <c r="K217" i="6" s="1"/>
  <c r="R217" i="6" s="1"/>
  <c r="P217" i="6"/>
  <c r="O217" i="6"/>
  <c r="M152" i="6"/>
  <c r="K152" i="6" s="1"/>
  <c r="S152" i="6" s="1"/>
  <c r="I152" i="6"/>
  <c r="H152" i="6" s="1"/>
  <c r="M47" i="6"/>
  <c r="I26" i="6"/>
  <c r="H26" i="6" s="1"/>
  <c r="M26" i="6"/>
  <c r="K26" i="6" s="1"/>
  <c r="S26" i="6" s="1"/>
  <c r="M214" i="6"/>
  <c r="K214" i="6" s="1"/>
  <c r="S214" i="6" s="1"/>
  <c r="M137" i="6"/>
  <c r="K137" i="6" s="1"/>
  <c r="S137" i="6" s="1"/>
  <c r="I137" i="6"/>
  <c r="H137" i="6" s="1"/>
  <c r="M60" i="6"/>
  <c r="K60" i="6" s="1"/>
  <c r="S60" i="6" s="1"/>
  <c r="M53" i="6"/>
  <c r="K53" i="6" s="1"/>
  <c r="M39" i="6"/>
  <c r="K39" i="6" s="1"/>
  <c r="S39" i="6" s="1"/>
  <c r="E148" i="10"/>
  <c r="E84" i="10"/>
  <c r="E71" i="10"/>
  <c r="E123" i="10"/>
  <c r="E142" i="10"/>
  <c r="E118" i="10"/>
  <c r="E107" i="10"/>
  <c r="E49" i="10"/>
  <c r="E16" i="10"/>
  <c r="E73" i="10"/>
  <c r="AX19" i="9"/>
  <c r="AX17" i="9"/>
  <c r="E53" i="10"/>
  <c r="W14" i="9"/>
  <c r="BA18" i="9"/>
  <c r="Z15" i="9"/>
  <c r="P36" i="9"/>
  <c r="F44" i="9" s="1"/>
  <c r="S35" i="9"/>
  <c r="AX37" i="9"/>
  <c r="Q37" i="9" s="1"/>
  <c r="I71" i="9"/>
  <c r="BD40" i="9"/>
  <c r="BD38" i="9"/>
  <c r="W15" i="9"/>
  <c r="BA16" i="9"/>
  <c r="X16" i="9" s="1"/>
  <c r="Z14" i="9"/>
  <c r="E59" i="9"/>
  <c r="I59" i="9" s="1"/>
  <c r="O569" i="7"/>
  <c r="R274" i="6"/>
  <c r="P274" i="6"/>
  <c r="Q274" i="6"/>
  <c r="I246" i="6"/>
  <c r="H246" i="6" s="1"/>
  <c r="U298" i="6"/>
  <c r="X298" i="6" s="1"/>
  <c r="R260" i="6"/>
  <c r="Q260" i="6"/>
  <c r="P260" i="6"/>
  <c r="P288" i="6"/>
  <c r="S288" i="6" s="1"/>
  <c r="U288" i="6" s="1"/>
  <c r="X288" i="6" s="1"/>
  <c r="Q288" i="6"/>
  <c r="R288" i="6"/>
  <c r="S264" i="6"/>
  <c r="U264" i="6" s="1"/>
  <c r="X264" i="6" s="1"/>
  <c r="F232" i="6"/>
  <c r="L232" i="6" s="1"/>
  <c r="F226" i="6"/>
  <c r="L226" i="6" s="1"/>
  <c r="Q307" i="6"/>
  <c r="S307" i="6" s="1"/>
  <c r="U307" i="6" s="1"/>
  <c r="X307" i="6" s="1"/>
  <c r="R307" i="6"/>
  <c r="S285" i="6"/>
  <c r="U285" i="6" s="1"/>
  <c r="X285" i="6" s="1"/>
  <c r="P270" i="6"/>
  <c r="S270" i="6" s="1"/>
  <c r="U270" i="6" s="1"/>
  <c r="X270" i="6" s="1"/>
  <c r="Q270" i="6"/>
  <c r="R270" i="6"/>
  <c r="U242" i="6"/>
  <c r="S242" i="6"/>
  <c r="R257" i="6"/>
  <c r="P257" i="6"/>
  <c r="Q257" i="6"/>
  <c r="S290" i="6"/>
  <c r="U290" i="6" s="1"/>
  <c r="X290" i="6" s="1"/>
  <c r="K230" i="6"/>
  <c r="R230" i="6" s="1"/>
  <c r="U265" i="6"/>
  <c r="X265" i="6" s="1"/>
  <c r="M153" i="6"/>
  <c r="K153" i="6" s="1"/>
  <c r="S153" i="6" s="1"/>
  <c r="G244" i="6"/>
  <c r="J244" i="6" s="1"/>
  <c r="I193" i="6"/>
  <c r="H193" i="6" s="1"/>
  <c r="M193" i="6"/>
  <c r="K193" i="6" s="1"/>
  <c r="S193" i="6" s="1"/>
  <c r="O169" i="6"/>
  <c r="K169" i="6"/>
  <c r="S169" i="6" s="1"/>
  <c r="P169" i="6"/>
  <c r="N169" i="6"/>
  <c r="I169" i="6" s="1"/>
  <c r="H169" i="6" s="1"/>
  <c r="K222" i="6"/>
  <c r="S222" i="6" s="1"/>
  <c r="M206" i="6"/>
  <c r="K206" i="6" s="1"/>
  <c r="S206" i="6" s="1"/>
  <c r="K134" i="6"/>
  <c r="S134" i="6" s="1"/>
  <c r="M201" i="6"/>
  <c r="I201" i="6" s="1"/>
  <c r="H201" i="6" s="1"/>
  <c r="P191" i="6"/>
  <c r="O191" i="6"/>
  <c r="N191" i="6"/>
  <c r="K191" i="6" s="1"/>
  <c r="S191" i="6" s="1"/>
  <c r="M41" i="6"/>
  <c r="K41" i="6" s="1"/>
  <c r="S41" i="6" s="1"/>
  <c r="I41" i="6"/>
  <c r="H41" i="6" s="1"/>
  <c r="I187" i="6"/>
  <c r="H187" i="6" s="1"/>
  <c r="M187" i="6"/>
  <c r="K187" i="6" s="1"/>
  <c r="S187" i="6" s="1"/>
  <c r="M58" i="6"/>
  <c r="K58" i="6" s="1"/>
  <c r="S58" i="6" s="1"/>
  <c r="M203" i="6"/>
  <c r="I203" i="6" s="1"/>
  <c r="H203" i="6" s="1"/>
  <c r="I107" i="6"/>
  <c r="H107" i="6" s="1"/>
  <c r="M32" i="6"/>
  <c r="K32" i="6" s="1"/>
  <c r="S32" i="6" s="1"/>
  <c r="N214" i="6"/>
  <c r="P214" i="6"/>
  <c r="O214" i="6"/>
  <c r="M140" i="6"/>
  <c r="K140" i="6" s="1"/>
  <c r="S140" i="6" s="1"/>
  <c r="I140" i="6"/>
  <c r="H140" i="6" s="1"/>
  <c r="I114" i="6"/>
  <c r="H114" i="6" s="1"/>
  <c r="M114" i="6"/>
  <c r="K114" i="6" s="1"/>
  <c r="O200" i="6"/>
  <c r="N200" i="6"/>
  <c r="K200" i="6" s="1"/>
  <c r="S200" i="6" s="1"/>
  <c r="P200" i="6"/>
  <c r="M146" i="6"/>
  <c r="K146" i="6" s="1"/>
  <c r="S146" i="6" s="1"/>
  <c r="P42" i="6"/>
  <c r="K42" i="6" s="1"/>
  <c r="S42" i="6" s="1"/>
  <c r="O42" i="6"/>
  <c r="N42" i="6"/>
  <c r="I42" i="6" s="1"/>
  <c r="H42" i="6" s="1"/>
  <c r="P23" i="6"/>
  <c r="O23" i="6"/>
  <c r="N23" i="6"/>
  <c r="I23" i="6" s="1"/>
  <c r="H23" i="6" s="1"/>
  <c r="K23" i="6"/>
  <c r="S23" i="6" s="1"/>
  <c r="I129" i="6"/>
  <c r="H129" i="6" s="1"/>
  <c r="K33" i="6"/>
  <c r="I18" i="6"/>
  <c r="H18" i="6" s="1"/>
  <c r="M18" i="6"/>
  <c r="K18" i="6" s="1"/>
  <c r="S18" i="6" s="1"/>
  <c r="K133" i="6"/>
  <c r="S133" i="6" s="1"/>
  <c r="M15" i="6"/>
  <c r="M9" i="6"/>
  <c r="K9" i="6" s="1"/>
  <c r="S9" i="6" s="1"/>
  <c r="X1786" i="5"/>
  <c r="U1786" i="5" s="1"/>
  <c r="Y1786" i="5"/>
  <c r="X1780" i="5"/>
  <c r="U1780" i="5" s="1"/>
  <c r="Z1780" i="5" s="1"/>
  <c r="Y1780" i="5"/>
  <c r="X1774" i="5"/>
  <c r="U1774" i="5" s="1"/>
  <c r="Y1774" i="5"/>
  <c r="X1768" i="5"/>
  <c r="U1768" i="5" s="1"/>
  <c r="Y1768" i="5"/>
  <c r="AA1785" i="5"/>
  <c r="AC1785" i="5" s="1"/>
  <c r="AA1773" i="5"/>
  <c r="AC1773" i="5" s="1"/>
  <c r="R1667" i="5"/>
  <c r="W1667" i="5"/>
  <c r="X1777" i="5"/>
  <c r="U1777" i="5" s="1"/>
  <c r="Y1777" i="5"/>
  <c r="Y1759" i="5"/>
  <c r="X1759" i="5"/>
  <c r="U1759" i="5" s="1"/>
  <c r="Z1759" i="5" s="1"/>
  <c r="Y1741" i="5"/>
  <c r="X1741" i="5"/>
  <c r="U1741" i="5" s="1"/>
  <c r="Y1723" i="5"/>
  <c r="X1723" i="5"/>
  <c r="U1723" i="5" s="1"/>
  <c r="Z1723" i="5" s="1"/>
  <c r="Y1705" i="5"/>
  <c r="X1705" i="5"/>
  <c r="U1705" i="5" s="1"/>
  <c r="Z1705" i="5" s="1"/>
  <c r="Y1687" i="5"/>
  <c r="X1687" i="5"/>
  <c r="U1687" i="5" s="1"/>
  <c r="Y1669" i="5"/>
  <c r="X1669" i="5"/>
  <c r="U1669" i="5" s="1"/>
  <c r="Z1669" i="5" s="1"/>
  <c r="X1698" i="5"/>
  <c r="U1698" i="5" s="1"/>
  <c r="Y1698" i="5"/>
  <c r="X1680" i="5"/>
  <c r="U1680" i="5" s="1"/>
  <c r="Z1680" i="5" s="1"/>
  <c r="Y1680" i="5"/>
  <c r="X1781" i="5"/>
  <c r="U1781" i="5" s="1"/>
  <c r="Y1781" i="5"/>
  <c r="X1763" i="5"/>
  <c r="U1763" i="5" s="1"/>
  <c r="Y1763" i="5"/>
  <c r="Y1751" i="5"/>
  <c r="X1751" i="5"/>
  <c r="U1751" i="5" s="1"/>
  <c r="Y1739" i="5"/>
  <c r="X1739" i="5"/>
  <c r="U1739" i="5" s="1"/>
  <c r="Z1739" i="5" s="1"/>
  <c r="Y1727" i="5"/>
  <c r="X1727" i="5"/>
  <c r="U1727" i="5" s="1"/>
  <c r="Z1727" i="5" s="1"/>
  <c r="Y1715" i="5"/>
  <c r="X1715" i="5"/>
  <c r="U1715" i="5" s="1"/>
  <c r="Y1703" i="5"/>
  <c r="X1703" i="5"/>
  <c r="U1703" i="5" s="1"/>
  <c r="Z1703" i="5" s="1"/>
  <c r="V1659" i="5"/>
  <c r="R1659" i="5"/>
  <c r="V1625" i="5"/>
  <c r="R1625" i="5"/>
  <c r="V1589" i="5"/>
  <c r="R1589" i="5"/>
  <c r="Y1656" i="5"/>
  <c r="X1656" i="5"/>
  <c r="U1656" i="5" s="1"/>
  <c r="Z1656" i="5" s="1"/>
  <c r="Y1643" i="5"/>
  <c r="X1643" i="5"/>
  <c r="U1643" i="5" s="1"/>
  <c r="Z1643" i="5" s="1"/>
  <c r="AE1643" i="5" s="1"/>
  <c r="Y1609" i="5"/>
  <c r="X1609" i="5"/>
  <c r="U1609" i="5" s="1"/>
  <c r="AA1546" i="5"/>
  <c r="AC1546" i="5" s="1"/>
  <c r="X1718" i="5"/>
  <c r="U1718" i="5" s="1"/>
  <c r="Y1718" i="5"/>
  <c r="W1573" i="5"/>
  <c r="R1573" i="5"/>
  <c r="W1561" i="5"/>
  <c r="R1561" i="5"/>
  <c r="W1549" i="5"/>
  <c r="R1549" i="5"/>
  <c r="W1574" i="5"/>
  <c r="R1574" i="5"/>
  <c r="W1568" i="5"/>
  <c r="R1568" i="5"/>
  <c r="R1557" i="5"/>
  <c r="W1557" i="5"/>
  <c r="X1742" i="5"/>
  <c r="U1742" i="5" s="1"/>
  <c r="Y1742" i="5"/>
  <c r="X1694" i="5"/>
  <c r="U1694" i="5" s="1"/>
  <c r="Z1694" i="5" s="1"/>
  <c r="Y1694" i="5"/>
  <c r="X1676" i="5"/>
  <c r="U1676" i="5" s="1"/>
  <c r="Y1676" i="5"/>
  <c r="Y1664" i="5"/>
  <c r="X1664" i="5"/>
  <c r="U1664" i="5" s="1"/>
  <c r="Z1664" i="5" s="1"/>
  <c r="AE1664" i="5" s="1"/>
  <c r="W1650" i="5"/>
  <c r="R1650" i="5"/>
  <c r="Y1632" i="5"/>
  <c r="X1632" i="5"/>
  <c r="U1632" i="5" s="1"/>
  <c r="Z1632" i="5" s="1"/>
  <c r="Y1622" i="5"/>
  <c r="X1622" i="5"/>
  <c r="U1622" i="5" s="1"/>
  <c r="Z1622" i="5" s="1"/>
  <c r="W1614" i="5"/>
  <c r="R1614" i="5"/>
  <c r="Y1563" i="5"/>
  <c r="X1563" i="5"/>
  <c r="U1563" i="5" s="1"/>
  <c r="R1544" i="5"/>
  <c r="Y1524" i="5"/>
  <c r="X1524" i="5"/>
  <c r="U1524" i="5" s="1"/>
  <c r="AA1436" i="5"/>
  <c r="AC1436" i="5" s="1"/>
  <c r="Y1528" i="5"/>
  <c r="X1528" i="5"/>
  <c r="U1528" i="5" s="1"/>
  <c r="Z1528" i="5" s="1"/>
  <c r="AE1528" i="5" s="1"/>
  <c r="W1510" i="5"/>
  <c r="R1510" i="5"/>
  <c r="W1498" i="5"/>
  <c r="R1498" i="5"/>
  <c r="Y1551" i="5"/>
  <c r="X1551" i="5"/>
  <c r="U1551" i="5" s="1"/>
  <c r="Z1551" i="5" s="1"/>
  <c r="AE1551" i="5" s="1"/>
  <c r="R1534" i="5"/>
  <c r="R1470" i="5"/>
  <c r="W1470" i="5"/>
  <c r="R1458" i="5"/>
  <c r="W1458" i="5"/>
  <c r="W1434" i="5"/>
  <c r="R1434" i="5"/>
  <c r="X1478" i="5"/>
  <c r="U1478" i="5" s="1"/>
  <c r="Y1478" i="5"/>
  <c r="W1512" i="5"/>
  <c r="R1512" i="5"/>
  <c r="W1504" i="5"/>
  <c r="R1504" i="5"/>
  <c r="W1496" i="5"/>
  <c r="R1496" i="5"/>
  <c r="W1476" i="5"/>
  <c r="R1476" i="5"/>
  <c r="Z1467" i="5"/>
  <c r="Z1455" i="5"/>
  <c r="AA1326" i="5"/>
  <c r="AC1326" i="5" s="1"/>
  <c r="AE1326" i="5"/>
  <c r="AE1228" i="5"/>
  <c r="AA1228" i="5"/>
  <c r="AC1228" i="5" s="1"/>
  <c r="AE1294" i="5"/>
  <c r="AA1294" i="5"/>
  <c r="AC1294" i="5" s="1"/>
  <c r="X1450" i="5"/>
  <c r="U1450" i="5" s="1"/>
  <c r="Y1450" i="5"/>
  <c r="X1438" i="5"/>
  <c r="U1438" i="5" s="1"/>
  <c r="Z1438" i="5" s="1"/>
  <c r="Y1438" i="5"/>
  <c r="AA1240" i="5"/>
  <c r="AC1240" i="5" s="1"/>
  <c r="AA1265" i="5"/>
  <c r="AC1265" i="5" s="1"/>
  <c r="AE1244" i="5"/>
  <c r="AA1244" i="5"/>
  <c r="AC1244" i="5" s="1"/>
  <c r="AA1341" i="5"/>
  <c r="AC1341" i="5" s="1"/>
  <c r="X1444" i="5"/>
  <c r="U1444" i="5" s="1"/>
  <c r="Y1444" i="5"/>
  <c r="AA1355" i="5"/>
  <c r="AC1355" i="5" s="1"/>
  <c r="AE1095" i="5"/>
  <c r="AA1095" i="5"/>
  <c r="AC1095" i="5" s="1"/>
  <c r="X1446" i="5"/>
  <c r="U1446" i="5" s="1"/>
  <c r="Z1446" i="5" s="1"/>
  <c r="Y1446" i="5"/>
  <c r="AE1212" i="5"/>
  <c r="AA1212" i="5"/>
  <c r="AC1212" i="5" s="1"/>
  <c r="AE1176" i="5"/>
  <c r="AA1176" i="5"/>
  <c r="AC1176" i="5" s="1"/>
  <c r="AA964" i="5"/>
  <c r="AC964" i="5" s="1"/>
  <c r="AE964" i="5"/>
  <c r="AA940" i="5"/>
  <c r="AC940" i="5" s="1"/>
  <c r="AE940" i="5"/>
  <c r="AA1079" i="5"/>
  <c r="AC1079" i="5" s="1"/>
  <c r="AA1038" i="5"/>
  <c r="AC1038" i="5" s="1"/>
  <c r="AE1038" i="5"/>
  <c r="AA903" i="5"/>
  <c r="AC903" i="5" s="1"/>
  <c r="AA814" i="5"/>
  <c r="AB814" i="5" s="1"/>
  <c r="AC814" i="5" s="1"/>
  <c r="AA752" i="5"/>
  <c r="AB752" i="5" s="1"/>
  <c r="AC752" i="5" s="1"/>
  <c r="S752" i="5"/>
  <c r="AA703" i="5"/>
  <c r="AB703" i="5" s="1"/>
  <c r="AC703" i="5" s="1"/>
  <c r="AE988" i="5"/>
  <c r="AA988" i="5"/>
  <c r="AC988" i="5" s="1"/>
  <c r="AA834" i="5"/>
  <c r="AB834" i="5" s="1"/>
  <c r="AC834" i="5" s="1"/>
  <c r="AA792" i="5"/>
  <c r="AB792" i="5" s="1"/>
  <c r="AC792" i="5" s="1"/>
  <c r="AA1146" i="5"/>
  <c r="AC1146" i="5" s="1"/>
  <c r="AE1146" i="5"/>
  <c r="AE945" i="5"/>
  <c r="AA945" i="5"/>
  <c r="AC945" i="5" s="1"/>
  <c r="U892" i="5"/>
  <c r="Z892" i="5" s="1"/>
  <c r="U764" i="5"/>
  <c r="AA764" i="5"/>
  <c r="AB764" i="5" s="1"/>
  <c r="AC764" i="5" s="1"/>
  <c r="S764" i="5"/>
  <c r="Z764" i="5"/>
  <c r="AE764" i="5" s="1"/>
  <c r="U734" i="5"/>
  <c r="S734" i="5" s="1"/>
  <c r="Z734" i="5"/>
  <c r="AE734" i="5" s="1"/>
  <c r="S710" i="5"/>
  <c r="U710" i="5"/>
  <c r="Z710" i="5" s="1"/>
  <c r="AE710" i="5" s="1"/>
  <c r="AA710" i="5"/>
  <c r="AB710" i="5" s="1"/>
  <c r="AC710" i="5" s="1"/>
  <c r="Z687" i="5"/>
  <c r="AE687" i="5" s="1"/>
  <c r="U687" i="5"/>
  <c r="S687" i="5" s="1"/>
  <c r="AA687" i="5"/>
  <c r="AB687" i="5" s="1"/>
  <c r="AC687" i="5" s="1"/>
  <c r="Z678" i="5"/>
  <c r="AE678" i="5" s="1"/>
  <c r="S678" i="5"/>
  <c r="AA678" i="5"/>
  <c r="AB678" i="5" s="1"/>
  <c r="AC678" i="5" s="1"/>
  <c r="U678" i="5"/>
  <c r="S651" i="5"/>
  <c r="U651" i="5"/>
  <c r="Z651" i="5" s="1"/>
  <c r="AE651" i="5" s="1"/>
  <c r="AA651" i="5"/>
  <c r="AB651" i="5" s="1"/>
  <c r="AC651" i="5" s="1"/>
  <c r="S732" i="5"/>
  <c r="U732" i="5"/>
  <c r="AA732" i="5"/>
  <c r="AB732" i="5" s="1"/>
  <c r="AC732" i="5" s="1"/>
  <c r="Z732" i="5"/>
  <c r="AE732" i="5" s="1"/>
  <c r="AA939" i="5"/>
  <c r="AC939" i="5" s="1"/>
  <c r="S656" i="5"/>
  <c r="AA542" i="5"/>
  <c r="AB542" i="5" s="1"/>
  <c r="AC542" i="5" s="1"/>
  <c r="Z482" i="5"/>
  <c r="AE482" i="5" s="1"/>
  <c r="U482" i="5"/>
  <c r="AA482" i="5" s="1"/>
  <c r="AB482" i="5" s="1"/>
  <c r="AC482" i="5" s="1"/>
  <c r="U729" i="5"/>
  <c r="AA729" i="5" s="1"/>
  <c r="AB729" i="5" s="1"/>
  <c r="AC729" i="5" s="1"/>
  <c r="Z729" i="5"/>
  <c r="AE729" i="5" s="1"/>
  <c r="U661" i="5"/>
  <c r="AA661" i="5"/>
  <c r="AB661" i="5" s="1"/>
  <c r="AC661" i="5" s="1"/>
  <c r="Z661" i="5"/>
  <c r="AE661" i="5" s="1"/>
  <c r="S661" i="5"/>
  <c r="AA600" i="5"/>
  <c r="AB600" i="5" s="1"/>
  <c r="AC600" i="5" s="1"/>
  <c r="S454" i="5"/>
  <c r="Z454" i="5"/>
  <c r="AE454" i="5" s="1"/>
  <c r="S814" i="5"/>
  <c r="Z797" i="5"/>
  <c r="AE797" i="5" s="1"/>
  <c r="S797" i="5"/>
  <c r="S649" i="5"/>
  <c r="Z580" i="5"/>
  <c r="AE580" i="5" s="1"/>
  <c r="Z605" i="5"/>
  <c r="AE605" i="5" s="1"/>
  <c r="S605" i="5"/>
  <c r="S600" i="5"/>
  <c r="U571" i="5"/>
  <c r="S571" i="5" s="1"/>
  <c r="Z571" i="5"/>
  <c r="AE571" i="5" s="1"/>
  <c r="Z512" i="5"/>
  <c r="AE512" i="5" s="1"/>
  <c r="U512" i="5"/>
  <c r="S512" i="5" s="1"/>
  <c r="AA446" i="5"/>
  <c r="AB446" i="5" s="1"/>
  <c r="AC446" i="5" s="1"/>
  <c r="S446" i="5"/>
  <c r="AA590" i="5"/>
  <c r="AB590" i="5" s="1"/>
  <c r="AC590" i="5" s="1"/>
  <c r="Z448" i="5"/>
  <c r="AE448" i="5" s="1"/>
  <c r="U448" i="5"/>
  <c r="AA448" i="5" s="1"/>
  <c r="AB448" i="5" s="1"/>
  <c r="AC448" i="5" s="1"/>
  <c r="S448" i="5"/>
  <c r="AA587" i="5"/>
  <c r="AB587" i="5" s="1"/>
  <c r="AC587" i="5" s="1"/>
  <c r="U587" i="5"/>
  <c r="S587" i="5"/>
  <c r="Z587" i="5"/>
  <c r="AE587" i="5" s="1"/>
  <c r="AA440" i="5"/>
  <c r="AB440" i="5" s="1"/>
  <c r="AC440" i="5" s="1"/>
  <c r="U414" i="5"/>
  <c r="AA414" i="5" s="1"/>
  <c r="AB414" i="5" s="1"/>
  <c r="AC414" i="5" s="1"/>
  <c r="Z414" i="5"/>
  <c r="AE414" i="5" s="1"/>
  <c r="S531" i="5"/>
  <c r="AA512" i="5"/>
  <c r="AB512" i="5" s="1"/>
  <c r="AC512" i="5" s="1"/>
  <c r="S429" i="5"/>
  <c r="S458" i="5"/>
  <c r="Z458" i="5"/>
  <c r="AE458" i="5" s="1"/>
  <c r="U458" i="5"/>
  <c r="AA458" i="5" s="1"/>
  <c r="AB458" i="5" s="1"/>
  <c r="AC458" i="5" s="1"/>
  <c r="S424" i="5"/>
  <c r="AA569" i="5"/>
  <c r="AB569" i="5" s="1"/>
  <c r="AC569" i="5" s="1"/>
  <c r="Z542" i="5"/>
  <c r="AE542" i="5" s="1"/>
  <c r="U321" i="5"/>
  <c r="Z321" i="5" s="1"/>
  <c r="AE321" i="5" s="1"/>
  <c r="Z313" i="5"/>
  <c r="AE313" i="5" s="1"/>
  <c r="U313" i="5"/>
  <c r="AA313" i="5"/>
  <c r="AB313" i="5" s="1"/>
  <c r="AC313" i="5" s="1"/>
  <c r="S313" i="5"/>
  <c r="U435" i="5"/>
  <c r="AA435" i="5" s="1"/>
  <c r="AB435" i="5" s="1"/>
  <c r="AC435" i="5" s="1"/>
  <c r="Z435" i="5"/>
  <c r="AE435" i="5" s="1"/>
  <c r="S435" i="5"/>
  <c r="U381" i="5"/>
  <c r="AA381" i="5" s="1"/>
  <c r="AB381" i="5" s="1"/>
  <c r="AC381" i="5" s="1"/>
  <c r="Z381" i="5"/>
  <c r="AE381" i="5" s="1"/>
  <c r="AA257" i="5"/>
  <c r="AB257" i="5" s="1"/>
  <c r="AC257" i="5" s="1"/>
  <c r="S248" i="5"/>
  <c r="Z201" i="5"/>
  <c r="AE201" i="5" s="1"/>
  <c r="U178" i="5"/>
  <c r="S178" i="5" s="1"/>
  <c r="AA178" i="5"/>
  <c r="AC178" i="5" s="1"/>
  <c r="Z178" i="5"/>
  <c r="AE178" i="5" s="1"/>
  <c r="Z65" i="5"/>
  <c r="AE65" i="5" s="1"/>
  <c r="Z41" i="5"/>
  <c r="AE41" i="5" s="1"/>
  <c r="U41" i="5"/>
  <c r="S41" i="5" s="1"/>
  <c r="U300" i="5"/>
  <c r="S300" i="5" s="1"/>
  <c r="Z254" i="5"/>
  <c r="AE254" i="5" s="1"/>
  <c r="AA138" i="5"/>
  <c r="AC138" i="5" s="1"/>
  <c r="AA118" i="5"/>
  <c r="AC118" i="5" s="1"/>
  <c r="S103" i="5"/>
  <c r="Z449" i="5"/>
  <c r="AE449" i="5" s="1"/>
  <c r="Z342" i="5"/>
  <c r="AE342" i="5" s="1"/>
  <c r="Z160" i="5"/>
  <c r="AE160" i="5" s="1"/>
  <c r="S132" i="5"/>
  <c r="Z79" i="5"/>
  <c r="AE79" i="5" s="1"/>
  <c r="U79" i="5"/>
  <c r="S79" i="5" s="1"/>
  <c r="AA79" i="5"/>
  <c r="AC79" i="5" s="1"/>
  <c r="AA50" i="5"/>
  <c r="AC50" i="5" s="1"/>
  <c r="AA409" i="5"/>
  <c r="AB409" i="5" s="1"/>
  <c r="AC409" i="5" s="1"/>
  <c r="Z197" i="5"/>
  <c r="AE197" i="5" s="1"/>
  <c r="S156" i="5"/>
  <c r="U156" i="5"/>
  <c r="AA156" i="5" s="1"/>
  <c r="AC156" i="5" s="1"/>
  <c r="AA144" i="5"/>
  <c r="AC144" i="5" s="1"/>
  <c r="Z144" i="5"/>
  <c r="AE144" i="5" s="1"/>
  <c r="U144" i="5"/>
  <c r="S144" i="5" s="1"/>
  <c r="S112" i="5"/>
  <c r="U461" i="5"/>
  <c r="S461" i="5" s="1"/>
  <c r="U357" i="5"/>
  <c r="AA357" i="5" s="1"/>
  <c r="AB357" i="5" s="1"/>
  <c r="AC357" i="5" s="1"/>
  <c r="U302" i="5"/>
  <c r="AA302" i="5" s="1"/>
  <c r="AB302" i="5" s="1"/>
  <c r="AC302" i="5" s="1"/>
  <c r="S302" i="5"/>
  <c r="Z187" i="5"/>
  <c r="AE187" i="5" s="1"/>
  <c r="AA65" i="5"/>
  <c r="AC65" i="5" s="1"/>
  <c r="AA437" i="5"/>
  <c r="AB437" i="5" s="1"/>
  <c r="AC437" i="5" s="1"/>
  <c r="S332" i="5"/>
  <c r="AA226" i="5"/>
  <c r="AC226" i="5" s="1"/>
  <c r="U226" i="5"/>
  <c r="Z226" i="5"/>
  <c r="AE226" i="5" s="1"/>
  <c r="S226" i="5"/>
  <c r="U190" i="5"/>
  <c r="S190" i="5" s="1"/>
  <c r="AA190" i="5"/>
  <c r="AC190" i="5" s="1"/>
  <c r="Z190" i="5"/>
  <c r="AE190" i="5" s="1"/>
  <c r="S48" i="5"/>
  <c r="AA32" i="5"/>
  <c r="AC32" i="5" s="1"/>
  <c r="U15" i="5"/>
  <c r="Z15" i="5" s="1"/>
  <c r="AE15" i="5" s="1"/>
  <c r="Z170" i="5"/>
  <c r="AE170" i="5" s="1"/>
  <c r="AH158" i="10"/>
  <c r="B158" i="10" s="1"/>
  <c r="F158" i="10"/>
  <c r="R1756" i="5"/>
  <c r="W1756" i="5"/>
  <c r="R1744" i="5"/>
  <c r="W1744" i="5"/>
  <c r="R1732" i="5"/>
  <c r="W1732" i="5"/>
  <c r="R1720" i="5"/>
  <c r="W1720" i="5"/>
  <c r="R1708" i="5"/>
  <c r="W1708" i="5"/>
  <c r="R1655" i="5"/>
  <c r="W1655" i="5"/>
  <c r="Y1685" i="5"/>
  <c r="X1685" i="5"/>
  <c r="U1685" i="5" s="1"/>
  <c r="W1624" i="5"/>
  <c r="R1624" i="5"/>
  <c r="W1588" i="5"/>
  <c r="R1588" i="5"/>
  <c r="Y1599" i="5"/>
  <c r="X1599" i="5"/>
  <c r="U1599" i="5" s="1"/>
  <c r="R1592" i="5"/>
  <c r="W1592" i="5"/>
  <c r="AE1587" i="5"/>
  <c r="AA1587" i="5"/>
  <c r="AC1587" i="5" s="1"/>
  <c r="R1690" i="5"/>
  <c r="W1690" i="5"/>
  <c r="R1678" i="5"/>
  <c r="W1678" i="5"/>
  <c r="R1641" i="5"/>
  <c r="W1641" i="5"/>
  <c r="W1607" i="5"/>
  <c r="R1607" i="5"/>
  <c r="W1572" i="5"/>
  <c r="R1572" i="5"/>
  <c r="W1560" i="5"/>
  <c r="R1560" i="5"/>
  <c r="W1548" i="5"/>
  <c r="R1548" i="5"/>
  <c r="X1760" i="5"/>
  <c r="U1760" i="5" s="1"/>
  <c r="Z1760" i="5" s="1"/>
  <c r="Y1760" i="5"/>
  <c r="R1639" i="5"/>
  <c r="W1639" i="5"/>
  <c r="R1627" i="5"/>
  <c r="W1627" i="5"/>
  <c r="R1615" i="5"/>
  <c r="W1615" i="5"/>
  <c r="Y1580" i="5"/>
  <c r="X1580" i="5"/>
  <c r="U1580" i="5" s="1"/>
  <c r="R1581" i="5"/>
  <c r="W1581" i="5"/>
  <c r="W1556" i="5"/>
  <c r="R1556" i="5"/>
  <c r="R1545" i="5"/>
  <c r="W1545" i="5"/>
  <c r="R1539" i="5"/>
  <c r="W1539" i="5"/>
  <c r="R1533" i="5"/>
  <c r="W1533" i="5"/>
  <c r="R1527" i="5"/>
  <c r="W1527" i="5"/>
  <c r="Y1652" i="5"/>
  <c r="X1652" i="5"/>
  <c r="U1652" i="5" s="1"/>
  <c r="V1520" i="5"/>
  <c r="R1520" i="5"/>
  <c r="W1484" i="5"/>
  <c r="R1484" i="5"/>
  <c r="X1482" i="5"/>
  <c r="U1482" i="5" s="1"/>
  <c r="Y1482" i="5"/>
  <c r="AA1418" i="5"/>
  <c r="AC1418" i="5" s="1"/>
  <c r="AE1418" i="5"/>
  <c r="AA1306" i="5"/>
  <c r="AC1306" i="5" s="1"/>
  <c r="AE1306" i="5"/>
  <c r="AA1258" i="5"/>
  <c r="AC1258" i="5" s="1"/>
  <c r="AE1258" i="5"/>
  <c r="AA1243" i="5"/>
  <c r="AC1243" i="5" s="1"/>
  <c r="AE1243" i="5"/>
  <c r="R1468" i="5"/>
  <c r="W1468" i="5"/>
  <c r="R1456" i="5"/>
  <c r="W1456" i="5"/>
  <c r="AA1430" i="5"/>
  <c r="AB1430" i="5" s="1"/>
  <c r="AC1430" i="5" s="1"/>
  <c r="AE1430" i="5"/>
  <c r="AE1395" i="5"/>
  <c r="AA1395" i="5"/>
  <c r="AC1395" i="5" s="1"/>
  <c r="Y1522" i="5"/>
  <c r="X1522" i="5"/>
  <c r="U1522" i="5" s="1"/>
  <c r="Z1522" i="5" s="1"/>
  <c r="AE1522" i="5" s="1"/>
  <c r="AA1324" i="5"/>
  <c r="AC1324" i="5" s="1"/>
  <c r="AE1324" i="5"/>
  <c r="AA1278" i="5"/>
  <c r="AC1278" i="5" s="1"/>
  <c r="AE1278" i="5"/>
  <c r="AA1241" i="5"/>
  <c r="AC1241" i="5" s="1"/>
  <c r="AE1241" i="5"/>
  <c r="AE1367" i="5"/>
  <c r="AA1367" i="5"/>
  <c r="AC1367" i="5" s="1"/>
  <c r="AE1336" i="5"/>
  <c r="AA1336" i="5"/>
  <c r="AC1336" i="5" s="1"/>
  <c r="AE1364" i="5"/>
  <c r="AA1364" i="5"/>
  <c r="AC1364" i="5" s="1"/>
  <c r="AA1269" i="5"/>
  <c r="AC1269" i="5" s="1"/>
  <c r="AE1269" i="5"/>
  <c r="AA1284" i="5"/>
  <c r="AC1284" i="5" s="1"/>
  <c r="AE1259" i="5"/>
  <c r="AA1259" i="5"/>
  <c r="AC1259" i="5" s="1"/>
  <c r="AA1260" i="5"/>
  <c r="AC1260" i="5" s="1"/>
  <c r="AA1218" i="5"/>
  <c r="AC1218" i="5" s="1"/>
  <c r="AE1218" i="5"/>
  <c r="AA1175" i="5"/>
  <c r="AC1175" i="5" s="1"/>
  <c r="AE1175" i="5"/>
  <c r="AE1135" i="5"/>
  <c r="AA1135" i="5"/>
  <c r="AC1135" i="5" s="1"/>
  <c r="AE1345" i="5"/>
  <c r="AA1345" i="5"/>
  <c r="AC1345" i="5" s="1"/>
  <c r="AE1329" i="5"/>
  <c r="AA1329" i="5"/>
  <c r="AC1329" i="5" s="1"/>
  <c r="AE1195" i="5"/>
  <c r="AA1195" i="5"/>
  <c r="AC1195" i="5" s="1"/>
  <c r="AE1174" i="5"/>
  <c r="AA1174" i="5"/>
  <c r="AC1174" i="5" s="1"/>
  <c r="AA954" i="5"/>
  <c r="AC954" i="5" s="1"/>
  <c r="AE954" i="5"/>
  <c r="AA935" i="5"/>
  <c r="AC935" i="5" s="1"/>
  <c r="AE935" i="5"/>
  <c r="AE1076" i="5"/>
  <c r="AA1076" i="5"/>
  <c r="AC1076" i="5" s="1"/>
  <c r="AE973" i="5"/>
  <c r="AA973" i="5"/>
  <c r="AC973" i="5" s="1"/>
  <c r="Z809" i="5"/>
  <c r="AE809" i="5" s="1"/>
  <c r="S809" i="5"/>
  <c r="U753" i="5"/>
  <c r="AA753" i="5" s="1"/>
  <c r="AB753" i="5" s="1"/>
  <c r="AC753" i="5" s="1"/>
  <c r="AA1177" i="5"/>
  <c r="AC1177" i="5" s="1"/>
  <c r="AE1177" i="5"/>
  <c r="AA1061" i="5"/>
  <c r="AC1061" i="5" s="1"/>
  <c r="AE1061" i="5"/>
  <c r="AE998" i="5"/>
  <c r="AA998" i="5"/>
  <c r="AC998" i="5" s="1"/>
  <c r="AE928" i="5"/>
  <c r="AA928" i="5"/>
  <c r="AC928" i="5" s="1"/>
  <c r="Z877" i="5"/>
  <c r="U877" i="5"/>
  <c r="AA838" i="5"/>
  <c r="AB838" i="5" s="1"/>
  <c r="U782" i="5"/>
  <c r="AA782" i="5" s="1"/>
  <c r="AB782" i="5" s="1"/>
  <c r="AC782" i="5" s="1"/>
  <c r="Z782" i="5"/>
  <c r="AE782" i="5" s="1"/>
  <c r="U700" i="5"/>
  <c r="AA700" i="5" s="1"/>
  <c r="AB700" i="5" s="1"/>
  <c r="AC700" i="5" s="1"/>
  <c r="AA693" i="5"/>
  <c r="AB693" i="5" s="1"/>
  <c r="AC693" i="5" s="1"/>
  <c r="Z693" i="5"/>
  <c r="AE693" i="5" s="1"/>
  <c r="S693" i="5"/>
  <c r="U693" i="5"/>
  <c r="U657" i="5"/>
  <c r="Z657" i="5" s="1"/>
  <c r="AE657" i="5" s="1"/>
  <c r="S630" i="5"/>
  <c r="U630" i="5"/>
  <c r="AA630" i="5" s="1"/>
  <c r="AB630" i="5" s="1"/>
  <c r="AC630" i="5" s="1"/>
  <c r="AA622" i="5"/>
  <c r="AB622" i="5" s="1"/>
  <c r="AC622" i="5" s="1"/>
  <c r="Z622" i="5"/>
  <c r="AE622" i="5" s="1"/>
  <c r="S622" i="5"/>
  <c r="U622" i="5"/>
  <c r="AE1210" i="5"/>
  <c r="AA1210" i="5"/>
  <c r="AC1210" i="5" s="1"/>
  <c r="U798" i="5"/>
  <c r="Z798" i="5" s="1"/>
  <c r="AE798" i="5" s="1"/>
  <c r="AA798" i="5"/>
  <c r="AB798" i="5" s="1"/>
  <c r="AC798" i="5" s="1"/>
  <c r="Z751" i="5"/>
  <c r="AE751" i="5" s="1"/>
  <c r="U751" i="5"/>
  <c r="S751" i="5" s="1"/>
  <c r="U725" i="5"/>
  <c r="AA725" i="5" s="1"/>
  <c r="AB725" i="5" s="1"/>
  <c r="AC725" i="5" s="1"/>
  <c r="AE977" i="5"/>
  <c r="AA977" i="5"/>
  <c r="AC977" i="5" s="1"/>
  <c r="U875" i="5"/>
  <c r="Z875" i="5" s="1"/>
  <c r="Z769" i="5"/>
  <c r="AE769" i="5" s="1"/>
  <c r="U769" i="5"/>
  <c r="AA769" i="5" s="1"/>
  <c r="AB769" i="5" s="1"/>
  <c r="AC769" i="5" s="1"/>
  <c r="AA606" i="5"/>
  <c r="AB606" i="5" s="1"/>
  <c r="AC606" i="5" s="1"/>
  <c r="U627" i="5"/>
  <c r="AA627" i="5" s="1"/>
  <c r="AB627" i="5" s="1"/>
  <c r="AC627" i="5" s="1"/>
  <c r="AA539" i="5"/>
  <c r="AB539" i="5" s="1"/>
  <c r="AC539" i="5" s="1"/>
  <c r="S539" i="5"/>
  <c r="AE918" i="5"/>
  <c r="AA918" i="5"/>
  <c r="AC918" i="5" s="1"/>
  <c r="U652" i="5"/>
  <c r="Z652" i="5" s="1"/>
  <c r="AE652" i="5" s="1"/>
  <c r="AA643" i="5"/>
  <c r="AB643" i="5" s="1"/>
  <c r="AC643" i="5" s="1"/>
  <c r="U643" i="5"/>
  <c r="Z643" i="5" s="1"/>
  <c r="AE643" i="5" s="1"/>
  <c r="S643" i="5"/>
  <c r="U578" i="5"/>
  <c r="Z578" i="5" s="1"/>
  <c r="AE578" i="5" s="1"/>
  <c r="U595" i="5"/>
  <c r="S595" i="5" s="1"/>
  <c r="AA560" i="5"/>
  <c r="AB560" i="5" s="1"/>
  <c r="AC560" i="5" s="1"/>
  <c r="U560" i="5"/>
  <c r="S560" i="5" s="1"/>
  <c r="Z560" i="5"/>
  <c r="AE560" i="5" s="1"/>
  <c r="U553" i="5"/>
  <c r="Z553" i="5" s="1"/>
  <c r="AE553" i="5" s="1"/>
  <c r="S553" i="5"/>
  <c r="AE896" i="5"/>
  <c r="AA896" i="5"/>
  <c r="AC896" i="5" s="1"/>
  <c r="AA740" i="5"/>
  <c r="AB740" i="5" s="1"/>
  <c r="AC740" i="5" s="1"/>
  <c r="U668" i="5"/>
  <c r="S668" i="5" s="1"/>
  <c r="AA668" i="5"/>
  <c r="AB668" i="5" s="1"/>
  <c r="AC668" i="5" s="1"/>
  <c r="Z668" i="5"/>
  <c r="AE668" i="5" s="1"/>
  <c r="U581" i="5"/>
  <c r="S581" i="5" s="1"/>
  <c r="U500" i="5"/>
  <c r="AA500" i="5" s="1"/>
  <c r="AB500" i="5" s="1"/>
  <c r="AC500" i="5" s="1"/>
  <c r="U493" i="5"/>
  <c r="AA493" i="5" s="1"/>
  <c r="AB493" i="5" s="1"/>
  <c r="AC493" i="5" s="1"/>
  <c r="S493" i="5"/>
  <c r="Z493" i="5"/>
  <c r="AE493" i="5" s="1"/>
  <c r="U639" i="5"/>
  <c r="Z639" i="5" s="1"/>
  <c r="AE639" i="5" s="1"/>
  <c r="AA639" i="5"/>
  <c r="AB639" i="5" s="1"/>
  <c r="AC639" i="5" s="1"/>
  <c r="U533" i="5"/>
  <c r="AA533" i="5" s="1"/>
  <c r="AB533" i="5" s="1"/>
  <c r="AC533" i="5" s="1"/>
  <c r="Z533" i="5"/>
  <c r="AE533" i="5" s="1"/>
  <c r="U410" i="5"/>
  <c r="AA410" i="5" s="1"/>
  <c r="AB410" i="5" s="1"/>
  <c r="AC410" i="5" s="1"/>
  <c r="S410" i="5"/>
  <c r="AA331" i="5"/>
  <c r="AB331" i="5" s="1"/>
  <c r="AC331" i="5" s="1"/>
  <c r="S331" i="5"/>
  <c r="U359" i="5"/>
  <c r="AA359" i="5" s="1"/>
  <c r="AB359" i="5" s="1"/>
  <c r="AC359" i="5" s="1"/>
  <c r="AA243" i="5"/>
  <c r="AB243" i="5" s="1"/>
  <c r="AC243" i="5" s="1"/>
  <c r="U415" i="5"/>
  <c r="AA415" i="5" s="1"/>
  <c r="AB415" i="5" s="1"/>
  <c r="AC415" i="5" s="1"/>
  <c r="Z415" i="5"/>
  <c r="AE415" i="5" s="1"/>
  <c r="S415" i="5"/>
  <c r="U406" i="5"/>
  <c r="AA406" i="5" s="1"/>
  <c r="AB406" i="5" s="1"/>
  <c r="AC406" i="5" s="1"/>
  <c r="Z406" i="5"/>
  <c r="AE406" i="5" s="1"/>
  <c r="U288" i="5"/>
  <c r="Z288" i="5" s="1"/>
  <c r="AE288" i="5" s="1"/>
  <c r="S288" i="5"/>
  <c r="Z703" i="5"/>
  <c r="AE703" i="5" s="1"/>
  <c r="S243" i="5"/>
  <c r="AA112" i="5"/>
  <c r="AC112" i="5" s="1"/>
  <c r="Z82" i="5"/>
  <c r="AE82" i="5" s="1"/>
  <c r="S82" i="5"/>
  <c r="AA82" i="5"/>
  <c r="AC82" i="5" s="1"/>
  <c r="U82" i="5"/>
  <c r="Z319" i="5"/>
  <c r="AE319" i="5" s="1"/>
  <c r="U319" i="5"/>
  <c r="S319" i="5" s="1"/>
  <c r="U263" i="5"/>
  <c r="AA263" i="5" s="1"/>
  <c r="AB263" i="5" s="1"/>
  <c r="AC263" i="5" s="1"/>
  <c r="Z145" i="5"/>
  <c r="AE145" i="5" s="1"/>
  <c r="S145" i="5"/>
  <c r="AA301" i="5"/>
  <c r="AB301" i="5" s="1"/>
  <c r="AC301" i="5" s="1"/>
  <c r="S17" i="5"/>
  <c r="U328" i="5"/>
  <c r="AA328" i="5"/>
  <c r="AB328" i="5" s="1"/>
  <c r="AC328" i="5" s="1"/>
  <c r="Z328" i="5"/>
  <c r="AE328" i="5" s="1"/>
  <c r="S328" i="5"/>
  <c r="U205" i="5"/>
  <c r="AA205" i="5" s="1"/>
  <c r="AC205" i="5" s="1"/>
  <c r="Z387" i="5"/>
  <c r="AE387" i="5" s="1"/>
  <c r="Z149" i="5"/>
  <c r="AE149" i="5" s="1"/>
  <c r="S149" i="5"/>
  <c r="AA149" i="5"/>
  <c r="AC149" i="5" s="1"/>
  <c r="U149" i="5"/>
  <c r="U117" i="5"/>
  <c r="Z117" i="5" s="1"/>
  <c r="AE117" i="5" s="1"/>
  <c r="S93" i="5"/>
  <c r="Z48" i="5"/>
  <c r="AE48" i="5" s="1"/>
  <c r="AA134" i="5"/>
  <c r="AC134" i="5" s="1"/>
  <c r="N26" i="1"/>
  <c r="N28" i="1" s="1"/>
  <c r="L28" i="1"/>
  <c r="AH154" i="10" l="1"/>
  <c r="B154" i="10" s="1"/>
  <c r="F154" i="10"/>
  <c r="AB158" i="10"/>
  <c r="D158" i="10" s="1"/>
  <c r="J156" i="10"/>
  <c r="H154" i="10"/>
  <c r="F157" i="10"/>
  <c r="B155" i="10"/>
  <c r="AA155" i="10"/>
  <c r="C155" i="10" s="1"/>
  <c r="G154" i="10"/>
  <c r="AA156" i="10"/>
  <c r="C156" i="10" s="1"/>
  <c r="I154" i="10"/>
  <c r="A1798" i="5" a="1"/>
  <c r="A1798" i="5" s="1"/>
  <c r="A1799" i="5" a="1"/>
  <c r="A1799" i="5" s="1"/>
  <c r="AB156" i="10"/>
  <c r="D156" i="10" s="1"/>
  <c r="AH157" i="10"/>
  <c r="B157" i="10" s="1"/>
  <c r="J154" i="10"/>
  <c r="G157" i="10"/>
  <c r="AH156" i="10"/>
  <c r="B156" i="10" s="1"/>
  <c r="B162" i="10" s="1"/>
  <c r="AH155" i="10"/>
  <c r="H155" i="10"/>
  <c r="H156" i="10"/>
  <c r="G155" i="10"/>
  <c r="A1800" i="5"/>
  <c r="AA154" i="10"/>
  <c r="C154" i="10" s="1"/>
  <c r="J157" i="10"/>
  <c r="H157" i="10"/>
  <c r="AB155" i="10"/>
  <c r="D155" i="10" s="1"/>
  <c r="J155" i="10"/>
  <c r="F156" i="10"/>
  <c r="AB157" i="10"/>
  <c r="D157" i="10" s="1"/>
  <c r="E157" i="10" s="1"/>
  <c r="G158" i="10"/>
  <c r="AB154" i="10"/>
  <c r="D154" i="10" s="1"/>
  <c r="F155" i="10"/>
  <c r="I155" i="10"/>
  <c r="G156" i="10"/>
  <c r="C162" i="10"/>
  <c r="A162" i="10"/>
  <c r="AE865" i="5"/>
  <c r="AA865" i="5"/>
  <c r="AC865" i="5" s="1"/>
  <c r="K70" i="9"/>
  <c r="J70" i="9"/>
  <c r="AE871" i="5"/>
  <c r="AA871" i="5"/>
  <c r="AC871" i="5" s="1"/>
  <c r="U217" i="6"/>
  <c r="V217" i="6" s="1"/>
  <c r="S217" i="6"/>
  <c r="AE1190" i="5"/>
  <c r="AA1190" i="5"/>
  <c r="AC1190" i="5" s="1"/>
  <c r="K59" i="9"/>
  <c r="J59" i="9"/>
  <c r="U116" i="6"/>
  <c r="V116" i="6" s="1"/>
  <c r="S46" i="6"/>
  <c r="K62" i="9"/>
  <c r="J62" i="9"/>
  <c r="AE892" i="5"/>
  <c r="AA892" i="5"/>
  <c r="AC892" i="5" s="1"/>
  <c r="AE1157" i="5"/>
  <c r="AA1157" i="5"/>
  <c r="AC1157" i="5" s="1"/>
  <c r="E158" i="10"/>
  <c r="K67" i="9"/>
  <c r="J67" i="9"/>
  <c r="U165" i="6"/>
  <c r="V165" i="6" s="1"/>
  <c r="S165" i="6"/>
  <c r="AE875" i="5"/>
  <c r="AA875" i="5"/>
  <c r="AC875" i="5" s="1"/>
  <c r="AA974" i="5"/>
  <c r="AC974" i="5" s="1"/>
  <c r="AE974" i="5"/>
  <c r="S263" i="5"/>
  <c r="Y1527" i="5"/>
  <c r="X1527" i="5"/>
  <c r="U1527" i="5" s="1"/>
  <c r="Z1527" i="5" s="1"/>
  <c r="X1639" i="5"/>
  <c r="U1639" i="5" s="1"/>
  <c r="Y1639" i="5"/>
  <c r="M226" i="6"/>
  <c r="U108" i="6"/>
  <c r="V108" i="6" s="1"/>
  <c r="W225" i="6" s="1"/>
  <c r="S53" i="6"/>
  <c r="M237" i="6"/>
  <c r="Y1435" i="5"/>
  <c r="X1435" i="5"/>
  <c r="U1435" i="5" s="1"/>
  <c r="AE1658" i="5"/>
  <c r="AA1658" i="5"/>
  <c r="AC1658" i="5" s="1"/>
  <c r="Y1569" i="5"/>
  <c r="X1569" i="5"/>
  <c r="U1569" i="5" s="1"/>
  <c r="Y1600" i="5"/>
  <c r="X1600" i="5"/>
  <c r="U1600" i="5" s="1"/>
  <c r="AE1758" i="5"/>
  <c r="AA1758" i="5"/>
  <c r="AC1758" i="5" s="1"/>
  <c r="S260" i="6"/>
  <c r="U260" i="6" s="1"/>
  <c r="X260" i="6" s="1"/>
  <c r="L104" i="3"/>
  <c r="L106" i="3" s="1"/>
  <c r="L1037" i="2"/>
  <c r="X1597" i="5"/>
  <c r="U1597" i="5" s="1"/>
  <c r="Y1597" i="5"/>
  <c r="AE1688" i="5"/>
  <c r="AA1688" i="5"/>
  <c r="AC1688" i="5" s="1"/>
  <c r="Y1617" i="5"/>
  <c r="X1617" i="5"/>
  <c r="U1617" i="5" s="1"/>
  <c r="AE1675" i="5"/>
  <c r="AA1675" i="5"/>
  <c r="AC1675" i="5" s="1"/>
  <c r="X1714" i="5"/>
  <c r="U1714" i="5" s="1"/>
  <c r="Y1714" i="5"/>
  <c r="X1750" i="5"/>
  <c r="U1750" i="5" s="1"/>
  <c r="Z1750" i="5" s="1"/>
  <c r="Y1750" i="5"/>
  <c r="Z205" i="5"/>
  <c r="AE205" i="5" s="1"/>
  <c r="Z263" i="5"/>
  <c r="AE263" i="5" s="1"/>
  <c r="S406" i="5"/>
  <c r="Z359" i="5"/>
  <c r="AE359" i="5" s="1"/>
  <c r="Z410" i="5"/>
  <c r="AE410" i="5" s="1"/>
  <c r="S639" i="5"/>
  <c r="Z581" i="5"/>
  <c r="AE581" i="5" s="1"/>
  <c r="Z595" i="5"/>
  <c r="AE595" i="5" s="1"/>
  <c r="AA652" i="5"/>
  <c r="AB652" i="5" s="1"/>
  <c r="AC652" i="5" s="1"/>
  <c r="Z627" i="5"/>
  <c r="AE627" i="5" s="1"/>
  <c r="S769" i="5"/>
  <c r="Z725" i="5"/>
  <c r="AE725" i="5" s="1"/>
  <c r="S798" i="5"/>
  <c r="Z630" i="5"/>
  <c r="AE630" i="5" s="1"/>
  <c r="S700" i="5"/>
  <c r="AD1808" i="5"/>
  <c r="AD1810" i="5" s="1"/>
  <c r="AC838" i="5"/>
  <c r="S753" i="5"/>
  <c r="Y1556" i="5"/>
  <c r="X1556" i="5"/>
  <c r="U1556" i="5" s="1"/>
  <c r="Z1556" i="5" s="1"/>
  <c r="Y1572" i="5"/>
  <c r="X1572" i="5"/>
  <c r="U1572" i="5" s="1"/>
  <c r="Z1572" i="5" s="1"/>
  <c r="Y1588" i="5"/>
  <c r="X1588" i="5"/>
  <c r="U1588" i="5" s="1"/>
  <c r="X1720" i="5"/>
  <c r="U1720" i="5" s="1"/>
  <c r="Y1720" i="5"/>
  <c r="X1756" i="5"/>
  <c r="U1756" i="5" s="1"/>
  <c r="Y1756" i="5"/>
  <c r="S357" i="5"/>
  <c r="Z156" i="5"/>
  <c r="AE156" i="5" s="1"/>
  <c r="Z300" i="5"/>
  <c r="AE300" i="5" s="1"/>
  <c r="S321" i="5"/>
  <c r="AA571" i="5"/>
  <c r="AB571" i="5" s="1"/>
  <c r="AC571" i="5" s="1"/>
  <c r="S482" i="5"/>
  <c r="X1496" i="5"/>
  <c r="U1496" i="5" s="1"/>
  <c r="Z1496" i="5" s="1"/>
  <c r="Y1496" i="5"/>
  <c r="Z1676" i="5"/>
  <c r="AA1528" i="5"/>
  <c r="AC1528" i="5" s="1"/>
  <c r="Y1549" i="5"/>
  <c r="X1549" i="5"/>
  <c r="U1549" i="5" s="1"/>
  <c r="Z1549" i="5" s="1"/>
  <c r="AE1656" i="5"/>
  <c r="AA1656" i="5"/>
  <c r="AC1656" i="5" s="1"/>
  <c r="X1659" i="5"/>
  <c r="U1659" i="5" s="1"/>
  <c r="Y1659" i="5"/>
  <c r="AE1727" i="5"/>
  <c r="AA1727" i="5"/>
  <c r="AC1727" i="5" s="1"/>
  <c r="AE1705" i="5"/>
  <c r="AA1705" i="5"/>
  <c r="AC1705" i="5" s="1"/>
  <c r="AE1759" i="5"/>
  <c r="AA1759" i="5"/>
  <c r="AC1759" i="5" s="1"/>
  <c r="X1667" i="5"/>
  <c r="U1667" i="5" s="1"/>
  <c r="Y1667" i="5"/>
  <c r="Z1774" i="5"/>
  <c r="I9" i="6"/>
  <c r="H9" i="6" s="1"/>
  <c r="U34" i="6"/>
  <c r="V34" i="6" s="1"/>
  <c r="W161" i="6" s="1"/>
  <c r="V161" i="6" s="1"/>
  <c r="S33" i="6"/>
  <c r="I58" i="6"/>
  <c r="H58" i="6" s="1"/>
  <c r="G226" i="6"/>
  <c r="J226" i="6" s="1"/>
  <c r="S274" i="6"/>
  <c r="U274" i="6" s="1"/>
  <c r="X274" i="6" s="1"/>
  <c r="I53" i="6"/>
  <c r="H53" i="6" s="1"/>
  <c r="I214" i="6"/>
  <c r="H214" i="6" s="1"/>
  <c r="S69" i="5"/>
  <c r="Z127" i="5"/>
  <c r="AE127" i="5" s="1"/>
  <c r="S101" i="5"/>
  <c r="Z92" i="5"/>
  <c r="AE92" i="5" s="1"/>
  <c r="S59" i="5"/>
  <c r="Z562" i="5"/>
  <c r="AE562" i="5" s="1"/>
  <c r="Z452" i="5"/>
  <c r="AE452" i="5" s="1"/>
  <c r="S647" i="5"/>
  <c r="S503" i="5"/>
  <c r="Z696" i="5"/>
  <c r="AE696" i="5" s="1"/>
  <c r="S723" i="5"/>
  <c r="Z772" i="5"/>
  <c r="AE772" i="5" s="1"/>
  <c r="AE1606" i="5"/>
  <c r="AA1606" i="5"/>
  <c r="AC1606" i="5" s="1"/>
  <c r="Y1535" i="5"/>
  <c r="X1535" i="5"/>
  <c r="U1535" i="5" s="1"/>
  <c r="Y1578" i="5"/>
  <c r="X1578" i="5"/>
  <c r="U1578" i="5" s="1"/>
  <c r="AE1598" i="5"/>
  <c r="AA1598" i="5"/>
  <c r="AC1598" i="5" s="1"/>
  <c r="AE1691" i="5"/>
  <c r="AA1691" i="5"/>
  <c r="AC1691" i="5" s="1"/>
  <c r="K243" i="6"/>
  <c r="R243" i="6" s="1"/>
  <c r="AU20" i="9"/>
  <c r="L16" i="9"/>
  <c r="M16" i="9" s="1"/>
  <c r="M17" i="9" s="1"/>
  <c r="G233" i="6"/>
  <c r="J233" i="6" s="1"/>
  <c r="S152" i="5"/>
  <c r="Z400" i="5"/>
  <c r="AE400" i="5" s="1"/>
  <c r="S108" i="5"/>
  <c r="AA142" i="5"/>
  <c r="AC142" i="5" s="1"/>
  <c r="Z35" i="5"/>
  <c r="AE35" i="5" s="1"/>
  <c r="Z557" i="5"/>
  <c r="AE557" i="5" s="1"/>
  <c r="S679" i="5"/>
  <c r="S731" i="5"/>
  <c r="Z664" i="5"/>
  <c r="AE664" i="5" s="1"/>
  <c r="Z589" i="5"/>
  <c r="AE589" i="5" s="1"/>
  <c r="S817" i="5"/>
  <c r="S777" i="5"/>
  <c r="Z806" i="5"/>
  <c r="AE806" i="5" s="1"/>
  <c r="S626" i="5"/>
  <c r="AE1226" i="5"/>
  <c r="AA1226" i="5"/>
  <c r="AC1226" i="5" s="1"/>
  <c r="Z1479" i="5"/>
  <c r="X1492" i="5"/>
  <c r="U1492" i="5" s="1"/>
  <c r="Y1492" i="5"/>
  <c r="X1696" i="5"/>
  <c r="U1696" i="5" s="1"/>
  <c r="Z1696" i="5" s="1"/>
  <c r="Y1696" i="5"/>
  <c r="Z1787" i="5"/>
  <c r="Z1783" i="5"/>
  <c r="I29" i="6"/>
  <c r="H29" i="6" s="1"/>
  <c r="BG20" i="9"/>
  <c r="AN16" i="9" s="1"/>
  <c r="AO16" i="9" s="1"/>
  <c r="AO17" i="9" s="1"/>
  <c r="AG16" i="9"/>
  <c r="AH16" i="9" s="1"/>
  <c r="AH17" i="9" s="1"/>
  <c r="BD20" i="9"/>
  <c r="U71" i="6"/>
  <c r="V71" i="6" s="1"/>
  <c r="W155" i="6" s="1"/>
  <c r="V155" i="6" s="1"/>
  <c r="I92" i="6"/>
  <c r="H92" i="6" s="1"/>
  <c r="Z382" i="5"/>
  <c r="AE382" i="5" s="1"/>
  <c r="Z293" i="5"/>
  <c r="AE293" i="5" s="1"/>
  <c r="Z33" i="5"/>
  <c r="AE33" i="5" s="1"/>
  <c r="Z110" i="5"/>
  <c r="AE110" i="5" s="1"/>
  <c r="Z154" i="5"/>
  <c r="AE154" i="5" s="1"/>
  <c r="Z465" i="5"/>
  <c r="AE465" i="5" s="1"/>
  <c r="AA200" i="5"/>
  <c r="AC200" i="5" s="1"/>
  <c r="Z346" i="5"/>
  <c r="AE346" i="5" s="1"/>
  <c r="S470" i="5"/>
  <c r="S433" i="5"/>
  <c r="Z443" i="5"/>
  <c r="AE443" i="5" s="1"/>
  <c r="S719" i="5"/>
  <c r="S736" i="5"/>
  <c r="Z800" i="5"/>
  <c r="AE800" i="5" s="1"/>
  <c r="Z842" i="5"/>
  <c r="AE842" i="5" s="1"/>
  <c r="S739" i="5"/>
  <c r="X1500" i="5"/>
  <c r="U1500" i="5" s="1"/>
  <c r="Z1500" i="5" s="1"/>
  <c r="Y1500" i="5"/>
  <c r="Y1576" i="5"/>
  <c r="X1576" i="5"/>
  <c r="U1576" i="5" s="1"/>
  <c r="X1591" i="5"/>
  <c r="U1591" i="5" s="1"/>
  <c r="Z1591" i="5" s="1"/>
  <c r="Y1591" i="5"/>
  <c r="Y1612" i="5"/>
  <c r="X1612" i="5"/>
  <c r="U1612" i="5" s="1"/>
  <c r="AE1679" i="5"/>
  <c r="AA1679" i="5"/>
  <c r="AC1679" i="5" s="1"/>
  <c r="AE1721" i="5"/>
  <c r="AA1721" i="5"/>
  <c r="AC1721" i="5" s="1"/>
  <c r="AE1757" i="5"/>
  <c r="AA1757" i="5"/>
  <c r="AC1757" i="5" s="1"/>
  <c r="K14" i="6"/>
  <c r="I49" i="6"/>
  <c r="H49" i="6" s="1"/>
  <c r="I177" i="6"/>
  <c r="H177" i="6" s="1"/>
  <c r="S253" i="5"/>
  <c r="AA565" i="5"/>
  <c r="AB565" i="5" s="1"/>
  <c r="AC565" i="5" s="1"/>
  <c r="Z370" i="5"/>
  <c r="AE370" i="5" s="1"/>
  <c r="Z572" i="5"/>
  <c r="AE572" i="5" s="1"/>
  <c r="AA599" i="5"/>
  <c r="AB599" i="5" s="1"/>
  <c r="AC599" i="5" s="1"/>
  <c r="S761" i="5"/>
  <c r="S675" i="5"/>
  <c r="AE1493" i="5"/>
  <c r="AA1493" i="5"/>
  <c r="AC1493" i="5" s="1"/>
  <c r="AE1517" i="5"/>
  <c r="AA1517" i="5"/>
  <c r="AC1517" i="5" s="1"/>
  <c r="Y1532" i="5"/>
  <c r="X1532" i="5"/>
  <c r="U1532" i="5" s="1"/>
  <c r="X1454" i="5"/>
  <c r="U1454" i="5" s="1"/>
  <c r="Z1454" i="5" s="1"/>
  <c r="Y1454" i="5"/>
  <c r="Y1552" i="5"/>
  <c r="X1552" i="5"/>
  <c r="U1552" i="5" s="1"/>
  <c r="AA1526" i="5"/>
  <c r="AC1526" i="5" s="1"/>
  <c r="Y1640" i="5"/>
  <c r="X1640" i="5"/>
  <c r="U1640" i="5" s="1"/>
  <c r="Z1640" i="5" s="1"/>
  <c r="Y1663" i="5"/>
  <c r="X1663" i="5"/>
  <c r="U1663" i="5" s="1"/>
  <c r="Z1663" i="5" s="1"/>
  <c r="Z1668" i="5"/>
  <c r="Z1716" i="5"/>
  <c r="Z1752" i="5"/>
  <c r="Z1771" i="5"/>
  <c r="Z1772" i="5"/>
  <c r="U54" i="6"/>
  <c r="V54" i="6" s="1"/>
  <c r="W169" i="6" s="1"/>
  <c r="V169" i="6" s="1"/>
  <c r="S50" i="6"/>
  <c r="I55" i="6"/>
  <c r="H55" i="6" s="1"/>
  <c r="O235" i="6"/>
  <c r="P235" i="6"/>
  <c r="N235" i="6"/>
  <c r="M245" i="6"/>
  <c r="I245" i="6" s="1"/>
  <c r="H245" i="6" s="1"/>
  <c r="S301" i="6"/>
  <c r="U301" i="6" s="1"/>
  <c r="X301" i="6" s="1"/>
  <c r="AA341" i="5"/>
  <c r="AB341" i="5" s="1"/>
  <c r="AC341" i="5" s="1"/>
  <c r="AC292" i="5"/>
  <c r="AA581" i="5"/>
  <c r="AB581" i="5" s="1"/>
  <c r="AC581" i="5" s="1"/>
  <c r="AC33" i="5"/>
  <c r="AA553" i="5"/>
  <c r="AB553" i="5" s="1"/>
  <c r="AC553" i="5" s="1"/>
  <c r="AA734" i="5"/>
  <c r="AB734" i="5" s="1"/>
  <c r="AC734" i="5" s="1"/>
  <c r="AA101" i="5"/>
  <c r="AC101" i="5" s="1"/>
  <c r="AA343" i="5"/>
  <c r="AB343" i="5" s="1"/>
  <c r="AC343" i="5" s="1"/>
  <c r="I82" i="6"/>
  <c r="H82" i="6" s="1"/>
  <c r="Y1520" i="5"/>
  <c r="X1520" i="5"/>
  <c r="U1520" i="5" s="1"/>
  <c r="Z1520" i="5" s="1"/>
  <c r="Y1548" i="5"/>
  <c r="X1548" i="5"/>
  <c r="U1548" i="5" s="1"/>
  <c r="Z1548" i="5" s="1"/>
  <c r="Y1624" i="5"/>
  <c r="X1624" i="5"/>
  <c r="U1624" i="5" s="1"/>
  <c r="Z1624" i="5" s="1"/>
  <c r="X1732" i="5"/>
  <c r="U1732" i="5" s="1"/>
  <c r="Y1732" i="5"/>
  <c r="AE1455" i="5"/>
  <c r="AA1455" i="5"/>
  <c r="AC1455" i="5" s="1"/>
  <c r="X1504" i="5"/>
  <c r="U1504" i="5" s="1"/>
  <c r="Y1504" i="5"/>
  <c r="AE1739" i="5"/>
  <c r="AA1739" i="5"/>
  <c r="AC1739" i="5" s="1"/>
  <c r="S205" i="5"/>
  <c r="S627" i="5"/>
  <c r="S725" i="5"/>
  <c r="AA657" i="5"/>
  <c r="AB657" i="5" s="1"/>
  <c r="AC657" i="5" s="1"/>
  <c r="X1690" i="5"/>
  <c r="U1690" i="5" s="1"/>
  <c r="Y1690" i="5"/>
  <c r="AE1438" i="5"/>
  <c r="AA1438" i="5"/>
  <c r="AC1438" i="5" s="1"/>
  <c r="X1458" i="5"/>
  <c r="U1458" i="5" s="1"/>
  <c r="Y1458" i="5"/>
  <c r="AE1632" i="5"/>
  <c r="AA1632" i="5"/>
  <c r="AC1632" i="5" s="1"/>
  <c r="Y1568" i="5"/>
  <c r="X1568" i="5"/>
  <c r="U1568" i="5" s="1"/>
  <c r="Z1568" i="5" s="1"/>
  <c r="AE1680" i="5"/>
  <c r="AA1680" i="5"/>
  <c r="AC1680" i="5" s="1"/>
  <c r="K71" i="9"/>
  <c r="J71" i="9"/>
  <c r="L71" i="9" s="1"/>
  <c r="AE1207" i="5"/>
  <c r="AA1207" i="5"/>
  <c r="AC1207" i="5" s="1"/>
  <c r="AE1730" i="5"/>
  <c r="AA1730" i="5"/>
  <c r="AC1730" i="5" s="1"/>
  <c r="AE1722" i="5"/>
  <c r="AA1722" i="5"/>
  <c r="AC1722" i="5" s="1"/>
  <c r="J58" i="9"/>
  <c r="K58" i="9"/>
  <c r="AA288" i="5"/>
  <c r="AB288" i="5" s="1"/>
  <c r="AC288" i="5" s="1"/>
  <c r="S359" i="5"/>
  <c r="Z500" i="5"/>
  <c r="AE500" i="5" s="1"/>
  <c r="S578" i="5"/>
  <c r="Z700" i="5"/>
  <c r="AE700" i="5" s="1"/>
  <c r="Z753" i="5"/>
  <c r="AE753" i="5" s="1"/>
  <c r="Z1652" i="5"/>
  <c r="Y1533" i="5"/>
  <c r="X1533" i="5"/>
  <c r="U1533" i="5" s="1"/>
  <c r="X1615" i="5"/>
  <c r="U1615" i="5" s="1"/>
  <c r="Z1615" i="5" s="1"/>
  <c r="Y1615" i="5"/>
  <c r="AE1760" i="5"/>
  <c r="AA1760" i="5"/>
  <c r="AC1760" i="5" s="1"/>
  <c r="Y1641" i="5"/>
  <c r="X1641" i="5"/>
  <c r="U1641" i="5" s="1"/>
  <c r="X1655" i="5"/>
  <c r="U1655" i="5" s="1"/>
  <c r="Z1655" i="5" s="1"/>
  <c r="Y1655" i="5"/>
  <c r="Z302" i="5"/>
  <c r="AE302" i="5" s="1"/>
  <c r="Z357" i="5"/>
  <c r="AE357" i="5" s="1"/>
  <c r="AA300" i="5"/>
  <c r="AB300" i="5" s="1"/>
  <c r="AC300" i="5" s="1"/>
  <c r="AA321" i="5"/>
  <c r="AB321" i="5" s="1"/>
  <c r="AC321" i="5" s="1"/>
  <c r="S414" i="5"/>
  <c r="S729" i="5"/>
  <c r="Z1450" i="5"/>
  <c r="Z1478" i="5"/>
  <c r="X1470" i="5"/>
  <c r="U1470" i="5" s="1"/>
  <c r="Z1470" i="5" s="1"/>
  <c r="Y1470" i="5"/>
  <c r="X1510" i="5"/>
  <c r="U1510" i="5" s="1"/>
  <c r="Z1510" i="5" s="1"/>
  <c r="Y1510" i="5"/>
  <c r="Z1524" i="5"/>
  <c r="Y1614" i="5"/>
  <c r="X1614" i="5"/>
  <c r="U1614" i="5" s="1"/>
  <c r="Z1614" i="5" s="1"/>
  <c r="Y1650" i="5"/>
  <c r="X1650" i="5"/>
  <c r="U1650" i="5" s="1"/>
  <c r="Z1650" i="5" s="1"/>
  <c r="Z1609" i="5"/>
  <c r="Z1763" i="5"/>
  <c r="Z1698" i="5"/>
  <c r="I32" i="6"/>
  <c r="H32" i="6" s="1"/>
  <c r="I206" i="6"/>
  <c r="H206" i="6" s="1"/>
  <c r="I60" i="6"/>
  <c r="H60" i="6" s="1"/>
  <c r="K218" i="6"/>
  <c r="R218" i="6" s="1"/>
  <c r="AR19" i="9"/>
  <c r="AR17" i="9"/>
  <c r="S513" i="5"/>
  <c r="S344" i="5"/>
  <c r="S57" i="5"/>
  <c r="Z59" i="5"/>
  <c r="AE59" i="5" s="1"/>
  <c r="S417" i="5"/>
  <c r="S416" i="5"/>
  <c r="Z467" i="5"/>
  <c r="AE467" i="5" s="1"/>
  <c r="S452" i="5"/>
  <c r="S785" i="5"/>
  <c r="Z723" i="5"/>
  <c r="AE723" i="5" s="1"/>
  <c r="Z1513" i="5"/>
  <c r="X1460" i="5"/>
  <c r="U1460" i="5" s="1"/>
  <c r="Z1460" i="5" s="1"/>
  <c r="Y1460" i="5"/>
  <c r="X1488" i="5"/>
  <c r="U1488" i="5" s="1"/>
  <c r="Z1488" i="5" s="1"/>
  <c r="Y1488" i="5"/>
  <c r="Z1538" i="5"/>
  <c r="Y1582" i="5"/>
  <c r="X1582" i="5"/>
  <c r="U1582" i="5" s="1"/>
  <c r="Z1582" i="5" s="1"/>
  <c r="X1550" i="5"/>
  <c r="U1550" i="5" s="1"/>
  <c r="Y1550" i="5"/>
  <c r="Z1621" i="5"/>
  <c r="Y1636" i="5"/>
  <c r="X1636" i="5"/>
  <c r="U1636" i="5" s="1"/>
  <c r="Z1734" i="5"/>
  <c r="K7" i="6"/>
  <c r="S7" i="6" s="1"/>
  <c r="K43" i="6"/>
  <c r="S43" i="6" s="1"/>
  <c r="I104" i="6"/>
  <c r="H104" i="6" s="1"/>
  <c r="I211" i="6"/>
  <c r="H211" i="6" s="1"/>
  <c r="Z152" i="5"/>
  <c r="AE152" i="5" s="1"/>
  <c r="S400" i="5"/>
  <c r="AA370" i="5"/>
  <c r="AB370" i="5" s="1"/>
  <c r="AC370" i="5" s="1"/>
  <c r="Z108" i="5"/>
  <c r="AE108" i="5" s="1"/>
  <c r="S35" i="5"/>
  <c r="S234" i="5"/>
  <c r="Z411" i="5"/>
  <c r="AE411" i="5" s="1"/>
  <c r="AA591" i="5"/>
  <c r="AB591" i="5" s="1"/>
  <c r="AC591" i="5" s="1"/>
  <c r="Z679" i="5"/>
  <c r="AE679" i="5" s="1"/>
  <c r="S567" i="5"/>
  <c r="AA719" i="5"/>
  <c r="AB719" i="5" s="1"/>
  <c r="AC719" i="5" s="1"/>
  <c r="Z750" i="5"/>
  <c r="AE750" i="5" s="1"/>
  <c r="AA777" i="5"/>
  <c r="AB777" i="5" s="1"/>
  <c r="AC777" i="5" s="1"/>
  <c r="Z626" i="5"/>
  <c r="AE626" i="5" s="1"/>
  <c r="Z1440" i="5"/>
  <c r="Y1530" i="5"/>
  <c r="X1530" i="5"/>
  <c r="U1530" i="5" s="1"/>
  <c r="X1462" i="5"/>
  <c r="U1462" i="5" s="1"/>
  <c r="Z1462" i="5" s="1"/>
  <c r="Y1462" i="5"/>
  <c r="Z1608" i="5"/>
  <c r="Z1706" i="5"/>
  <c r="Y1629" i="5"/>
  <c r="X1629" i="5"/>
  <c r="U1629" i="5" s="1"/>
  <c r="Y1637" i="5"/>
  <c r="X1637" i="5"/>
  <c r="U1637" i="5" s="1"/>
  <c r="Z1693" i="5"/>
  <c r="Z1747" i="5"/>
  <c r="AA1664" i="5"/>
  <c r="AC1664" i="5" s="1"/>
  <c r="X1726" i="5"/>
  <c r="U1726" i="5" s="1"/>
  <c r="Y1726" i="5"/>
  <c r="X1762" i="5"/>
  <c r="U1762" i="5" s="1"/>
  <c r="Y1762" i="5"/>
  <c r="Z1776" i="5"/>
  <c r="P15" i="6"/>
  <c r="N15" i="6"/>
  <c r="K15" i="6"/>
  <c r="S15" i="6" s="1"/>
  <c r="O15" i="6"/>
  <c r="I15" i="6" s="1"/>
  <c r="H15" i="6" s="1"/>
  <c r="I65" i="6"/>
  <c r="H65" i="6" s="1"/>
  <c r="I199" i="6"/>
  <c r="H199" i="6" s="1"/>
  <c r="U234" i="6"/>
  <c r="V234" i="6" s="1"/>
  <c r="S234" i="6"/>
  <c r="K21" i="6"/>
  <c r="K203" i="6"/>
  <c r="S203" i="6" s="1"/>
  <c r="S292" i="6"/>
  <c r="U292" i="6" s="1"/>
  <c r="X292" i="6" s="1"/>
  <c r="S382" i="5"/>
  <c r="AA122" i="5"/>
  <c r="AC122" i="5" s="1"/>
  <c r="AA456" i="5"/>
  <c r="AB456" i="5" s="1"/>
  <c r="AC456" i="5" s="1"/>
  <c r="S465" i="5"/>
  <c r="Z419" i="5"/>
  <c r="AE419" i="5" s="1"/>
  <c r="S443" i="5"/>
  <c r="AA736" i="5"/>
  <c r="AB736" i="5" s="1"/>
  <c r="AC736" i="5" s="1"/>
  <c r="S800" i="5"/>
  <c r="S770" i="5"/>
  <c r="Z739" i="5"/>
  <c r="AE739" i="5" s="1"/>
  <c r="Z1442" i="5"/>
  <c r="X1452" i="5"/>
  <c r="U1452" i="5" s="1"/>
  <c r="Z1452" i="5" s="1"/>
  <c r="Y1452" i="5"/>
  <c r="AE1618" i="5"/>
  <c r="AA1618" i="5"/>
  <c r="AC1618" i="5" s="1"/>
  <c r="Y1525" i="5"/>
  <c r="X1525" i="5"/>
  <c r="U1525" i="5" s="1"/>
  <c r="Y1543" i="5"/>
  <c r="X1543" i="5"/>
  <c r="U1543" i="5" s="1"/>
  <c r="Y1594" i="5"/>
  <c r="X1594" i="5"/>
  <c r="U1594" i="5" s="1"/>
  <c r="Y1596" i="5"/>
  <c r="X1596" i="5"/>
  <c r="U1596" i="5" s="1"/>
  <c r="K173" i="6"/>
  <c r="S173" i="6" s="1"/>
  <c r="K215" i="6"/>
  <c r="R215" i="6" s="1"/>
  <c r="U120" i="6"/>
  <c r="V120" i="6" s="1"/>
  <c r="S93" i="6"/>
  <c r="S21" i="5"/>
  <c r="S97" i="5"/>
  <c r="AA55" i="5"/>
  <c r="AC55" i="5" s="1"/>
  <c r="AA253" i="5"/>
  <c r="AB253" i="5" s="1"/>
  <c r="AC253" i="5" s="1"/>
  <c r="Z63" i="5"/>
  <c r="AE63" i="5" s="1"/>
  <c r="Z277" i="5"/>
  <c r="AE277" i="5" s="1"/>
  <c r="S455" i="5"/>
  <c r="S572" i="5"/>
  <c r="Z761" i="5"/>
  <c r="AE761" i="5" s="1"/>
  <c r="AA638" i="5"/>
  <c r="AB638" i="5" s="1"/>
  <c r="AC638" i="5" s="1"/>
  <c r="Z830" i="5"/>
  <c r="AE830" i="5" s="1"/>
  <c r="X1506" i="5"/>
  <c r="U1506" i="5" s="1"/>
  <c r="Y1506" i="5"/>
  <c r="Z1553" i="5"/>
  <c r="Z1620" i="5"/>
  <c r="Z1682" i="5"/>
  <c r="X1603" i="5"/>
  <c r="U1603" i="5" s="1"/>
  <c r="Z1603" i="5" s="1"/>
  <c r="Y1603" i="5"/>
  <c r="Y1613" i="5"/>
  <c r="X1613" i="5"/>
  <c r="U1613" i="5" s="1"/>
  <c r="Z1681" i="5"/>
  <c r="Z1735" i="5"/>
  <c r="I28" i="6"/>
  <c r="H28" i="6" s="1"/>
  <c r="I13" i="6"/>
  <c r="H13" i="6" s="1"/>
  <c r="I16" i="6"/>
  <c r="H16" i="6" s="1"/>
  <c r="I50" i="6"/>
  <c r="H50" i="6" s="1"/>
  <c r="I34" i="6"/>
  <c r="H34" i="6" s="1"/>
  <c r="I138" i="6"/>
  <c r="H138" i="6" s="1"/>
  <c r="M235" i="6"/>
  <c r="K235" i="6" s="1"/>
  <c r="R235" i="6" s="1"/>
  <c r="S268" i="6"/>
  <c r="U268" i="6" s="1"/>
  <c r="X268" i="6" s="1"/>
  <c r="S304" i="6"/>
  <c r="U304" i="6" s="1"/>
  <c r="X304" i="6" s="1"/>
  <c r="AC1519" i="5"/>
  <c r="A1797" i="5"/>
  <c r="AA41" i="5"/>
  <c r="AC41" i="5" s="1"/>
  <c r="AA338" i="5"/>
  <c r="AB338" i="5" s="1"/>
  <c r="AC338" i="5" s="1"/>
  <c r="D269" i="8"/>
  <c r="AF1793" i="5"/>
  <c r="AG1795" i="5" s="1"/>
  <c r="E60" i="9"/>
  <c r="E69" i="9"/>
  <c r="AX20" i="9"/>
  <c r="S16" i="9"/>
  <c r="T16" i="9" s="1"/>
  <c r="T17" i="9" s="1"/>
  <c r="S44" i="5"/>
  <c r="AE1457" i="5"/>
  <c r="AA1457" i="5"/>
  <c r="AC1457" i="5" s="1"/>
  <c r="Y1523" i="5"/>
  <c r="X1523" i="5"/>
  <c r="U1523" i="5" s="1"/>
  <c r="Y1541" i="5"/>
  <c r="X1541" i="5"/>
  <c r="U1541" i="5" s="1"/>
  <c r="AE1586" i="5"/>
  <c r="AA1586" i="5"/>
  <c r="AC1586" i="5" s="1"/>
  <c r="AE1724" i="5"/>
  <c r="AA1724" i="5"/>
  <c r="AC1724" i="5" s="1"/>
  <c r="Y1631" i="5"/>
  <c r="X1631" i="5"/>
  <c r="U1631" i="5" s="1"/>
  <c r="I72" i="6"/>
  <c r="H72" i="6" s="1"/>
  <c r="K201" i="6"/>
  <c r="S201" i="6" s="1"/>
  <c r="U211" i="6"/>
  <c r="V211" i="6" s="1"/>
  <c r="S211" i="6"/>
  <c r="M216" i="6"/>
  <c r="M233" i="6"/>
  <c r="S339" i="5"/>
  <c r="AE858" i="5"/>
  <c r="AA858" i="5"/>
  <c r="AC858" i="5" s="1"/>
  <c r="Z780" i="5"/>
  <c r="AE780" i="5" s="1"/>
  <c r="AE1448" i="5"/>
  <c r="AA1448" i="5"/>
  <c r="AC1448" i="5" s="1"/>
  <c r="AE1426" i="5"/>
  <c r="AA1426" i="5"/>
  <c r="AC1426" i="5" s="1"/>
  <c r="Y1604" i="5"/>
  <c r="X1604" i="5"/>
  <c r="U1604" i="5" s="1"/>
  <c r="X1502" i="5"/>
  <c r="U1502" i="5" s="1"/>
  <c r="Z1502" i="5" s="1"/>
  <c r="Y1502" i="5"/>
  <c r="Y1585" i="5"/>
  <c r="X1585" i="5"/>
  <c r="U1585" i="5" s="1"/>
  <c r="Y1540" i="5"/>
  <c r="X1540" i="5"/>
  <c r="U1540" i="5" s="1"/>
  <c r="Y1583" i="5"/>
  <c r="X1583" i="5"/>
  <c r="U1583" i="5" s="1"/>
  <c r="X1672" i="5"/>
  <c r="U1672" i="5" s="1"/>
  <c r="Z1672" i="5" s="1"/>
  <c r="Y1672" i="5"/>
  <c r="AE1674" i="5"/>
  <c r="AA1674" i="5"/>
  <c r="AC1674" i="5" s="1"/>
  <c r="K61" i="9"/>
  <c r="J61" i="9"/>
  <c r="S278" i="6"/>
  <c r="U278" i="6" s="1"/>
  <c r="X278" i="6" s="1"/>
  <c r="X1508" i="5"/>
  <c r="U1508" i="5" s="1"/>
  <c r="Z1508" i="5" s="1"/>
  <c r="Y1508" i="5"/>
  <c r="AE1554" i="5"/>
  <c r="AA1554" i="5"/>
  <c r="AC1554" i="5" s="1"/>
  <c r="Y1619" i="5"/>
  <c r="X1619" i="5"/>
  <c r="U1619" i="5" s="1"/>
  <c r="AE1653" i="5"/>
  <c r="AA1653" i="5"/>
  <c r="AC1653" i="5" s="1"/>
  <c r="AE1697" i="5"/>
  <c r="AA1697" i="5"/>
  <c r="AC1697" i="5" s="1"/>
  <c r="AE1733" i="5"/>
  <c r="AA1733" i="5"/>
  <c r="AC1733" i="5" s="1"/>
  <c r="AA1643" i="5"/>
  <c r="AC1643" i="5" s="1"/>
  <c r="S228" i="6"/>
  <c r="U228" i="6"/>
  <c r="V228" i="6" s="1"/>
  <c r="P247" i="6"/>
  <c r="O247" i="6"/>
  <c r="N247" i="6"/>
  <c r="B1030" i="2"/>
  <c r="D1029" i="2"/>
  <c r="D1032" i="2" s="1"/>
  <c r="D1033" i="2" s="1"/>
  <c r="S185" i="5"/>
  <c r="AE1501" i="5"/>
  <c r="AA1501" i="5"/>
  <c r="AC1501" i="5" s="1"/>
  <c r="AE1565" i="5"/>
  <c r="AA1565" i="5"/>
  <c r="AC1565" i="5" s="1"/>
  <c r="AE1390" i="5"/>
  <c r="AA1390" i="5"/>
  <c r="AC1390" i="5" s="1"/>
  <c r="X1466" i="5"/>
  <c r="U1466" i="5" s="1"/>
  <c r="Z1466" i="5" s="1"/>
  <c r="Y1466" i="5"/>
  <c r="Y1595" i="5"/>
  <c r="X1595" i="5"/>
  <c r="U1595" i="5" s="1"/>
  <c r="Y1647" i="5"/>
  <c r="X1647" i="5"/>
  <c r="U1647" i="5" s="1"/>
  <c r="AE1775" i="5"/>
  <c r="AA1775" i="5"/>
  <c r="AC1775" i="5" s="1"/>
  <c r="AE1686" i="5"/>
  <c r="AA1686" i="5"/>
  <c r="AC1686" i="5" s="1"/>
  <c r="AE1728" i="5"/>
  <c r="AA1728" i="5"/>
  <c r="AC1728" i="5" s="1"/>
  <c r="Y1665" i="5"/>
  <c r="X1665" i="5"/>
  <c r="U1665" i="5" s="1"/>
  <c r="AE1778" i="5"/>
  <c r="AA1778" i="5"/>
  <c r="AC1778" i="5" s="1"/>
  <c r="M236" i="6"/>
  <c r="K68" i="9"/>
  <c r="J68" i="9"/>
  <c r="AA461" i="5"/>
  <c r="AB461" i="5" s="1"/>
  <c r="AC461" i="5" s="1"/>
  <c r="Z1793" i="5"/>
  <c r="AA319" i="5"/>
  <c r="AB319" i="5" s="1"/>
  <c r="AC319" i="5" s="1"/>
  <c r="W127" i="6"/>
  <c r="AE877" i="5"/>
  <c r="AA877" i="5"/>
  <c r="AC877" i="5" s="1"/>
  <c r="AA595" i="5"/>
  <c r="AB595" i="5" s="1"/>
  <c r="AC595" i="5" s="1"/>
  <c r="S657" i="5"/>
  <c r="S782" i="5"/>
  <c r="X1456" i="5"/>
  <c r="U1456" i="5" s="1"/>
  <c r="Y1456" i="5"/>
  <c r="Y1592" i="5"/>
  <c r="X1592" i="5"/>
  <c r="U1592" i="5" s="1"/>
  <c r="Z1592" i="5" s="1"/>
  <c r="S15" i="5"/>
  <c r="Y1544" i="5"/>
  <c r="X1544" i="5"/>
  <c r="U1544" i="5" s="1"/>
  <c r="AE1622" i="5"/>
  <c r="AA1622" i="5"/>
  <c r="AC1622" i="5" s="1"/>
  <c r="Z1718" i="5"/>
  <c r="Z1781" i="5"/>
  <c r="P244" i="6"/>
  <c r="O244" i="6"/>
  <c r="N244" i="6"/>
  <c r="K244" i="6" s="1"/>
  <c r="R244" i="6" s="1"/>
  <c r="BD41" i="9"/>
  <c r="AG37" i="9" s="1"/>
  <c r="AH37" i="9" s="1"/>
  <c r="AH38" i="9" s="1"/>
  <c r="BA19" i="9"/>
  <c r="BA17" i="9"/>
  <c r="I60" i="9"/>
  <c r="G237" i="6"/>
  <c r="J237" i="6" s="1"/>
  <c r="AR41" i="9"/>
  <c r="E37" i="9"/>
  <c r="F37" i="9" s="1"/>
  <c r="F38" i="9" s="1"/>
  <c r="Z44" i="5"/>
  <c r="AE44" i="5" s="1"/>
  <c r="S368" i="5"/>
  <c r="AE982" i="5"/>
  <c r="AA982" i="5"/>
  <c r="AC982" i="5" s="1"/>
  <c r="AE1794" i="5" s="1"/>
  <c r="AA704" i="5"/>
  <c r="AB704" i="5" s="1"/>
  <c r="AC704" i="5" s="1"/>
  <c r="AE1497" i="5"/>
  <c r="AA1497" i="5"/>
  <c r="AC1497" i="5" s="1"/>
  <c r="Y1628" i="5"/>
  <c r="X1628" i="5"/>
  <c r="U1628" i="5" s="1"/>
  <c r="Z1628" i="5" s="1"/>
  <c r="X1472" i="5"/>
  <c r="U1472" i="5" s="1"/>
  <c r="Y1472" i="5"/>
  <c r="AA1648" i="5"/>
  <c r="AC1648" i="5" s="1"/>
  <c r="AE1648" i="5"/>
  <c r="AA1551" i="5"/>
  <c r="AC1551" i="5" s="1"/>
  <c r="Y1605" i="5"/>
  <c r="X1605" i="5"/>
  <c r="U1605" i="5" s="1"/>
  <c r="Z1710" i="5"/>
  <c r="Z1746" i="5"/>
  <c r="I3" i="6"/>
  <c r="H3" i="6" s="1"/>
  <c r="I35" i="6"/>
  <c r="H35" i="6" s="1"/>
  <c r="S257" i="6"/>
  <c r="U257" i="6" s="1"/>
  <c r="X257" i="6" s="1"/>
  <c r="S314" i="6"/>
  <c r="U314" i="6" s="1"/>
  <c r="X314" i="6" s="1"/>
  <c r="G216" i="6"/>
  <c r="J216" i="6" s="1"/>
  <c r="S480" i="5"/>
  <c r="Z339" i="5"/>
  <c r="AE339" i="5" s="1"/>
  <c r="Z567" i="5"/>
  <c r="AE567" i="5" s="1"/>
  <c r="S819" i="5"/>
  <c r="S672" i="5"/>
  <c r="S780" i="5"/>
  <c r="AE1447" i="5"/>
  <c r="AA1447" i="5"/>
  <c r="AC1447" i="5" s="1"/>
  <c r="X1474" i="5"/>
  <c r="U1474" i="5" s="1"/>
  <c r="Y1474" i="5"/>
  <c r="Y1626" i="5"/>
  <c r="X1626" i="5"/>
  <c r="U1626" i="5" s="1"/>
  <c r="Z1626" i="5" s="1"/>
  <c r="Z1670" i="5"/>
  <c r="AE1633" i="5"/>
  <c r="AA1633" i="5"/>
  <c r="AC1633" i="5" s="1"/>
  <c r="AE1711" i="5"/>
  <c r="AA1711" i="5"/>
  <c r="AC1711" i="5" s="1"/>
  <c r="X1702" i="5"/>
  <c r="U1702" i="5" s="1"/>
  <c r="Y1702" i="5"/>
  <c r="X1738" i="5"/>
  <c r="U1738" i="5" s="1"/>
  <c r="Z1738" i="5" s="1"/>
  <c r="Y1738" i="5"/>
  <c r="Z1764" i="5"/>
  <c r="Z1782" i="5"/>
  <c r="I52" i="6"/>
  <c r="H52" i="6" s="1"/>
  <c r="N47" i="6"/>
  <c r="P47" i="6"/>
  <c r="O47" i="6"/>
  <c r="K47" i="6" s="1"/>
  <c r="S47" i="6" s="1"/>
  <c r="E1210" i="7"/>
  <c r="BA41" i="9"/>
  <c r="Z37" i="9"/>
  <c r="AA37" i="9" s="1"/>
  <c r="AA38" i="9" s="1"/>
  <c r="S296" i="6"/>
  <c r="U296" i="6" s="1"/>
  <c r="X296" i="6" s="1"/>
  <c r="I69" i="9"/>
  <c r="AX40" i="9"/>
  <c r="AX38" i="9"/>
  <c r="S272" i="6"/>
  <c r="U272" i="6" s="1"/>
  <c r="X272" i="6" s="1"/>
  <c r="S122" i="5"/>
  <c r="S456" i="5"/>
  <c r="S200" i="5"/>
  <c r="S311" i="5"/>
  <c r="S585" i="5"/>
  <c r="S796" i="5"/>
  <c r="X1464" i="5"/>
  <c r="U1464" i="5" s="1"/>
  <c r="Z1464" i="5" s="1"/>
  <c r="Y1464" i="5"/>
  <c r="Y1531" i="5"/>
  <c r="X1531" i="5"/>
  <c r="U1531" i="5" s="1"/>
  <c r="X1579" i="5"/>
  <c r="U1579" i="5" s="1"/>
  <c r="Y1579" i="5"/>
  <c r="I86" i="6"/>
  <c r="H86" i="6" s="1"/>
  <c r="S55" i="5"/>
  <c r="Z185" i="5"/>
  <c r="AE185" i="5" s="1"/>
  <c r="Z478" i="5"/>
  <c r="AE478" i="5" s="1"/>
  <c r="Z565" i="5"/>
  <c r="AE565" i="5" s="1"/>
  <c r="AA618" i="5"/>
  <c r="AB618" i="5" s="1"/>
  <c r="AC618" i="5" s="1"/>
  <c r="S638" i="5"/>
  <c r="X1480" i="5"/>
  <c r="U1480" i="5" s="1"/>
  <c r="Y1480" i="5"/>
  <c r="X1518" i="5"/>
  <c r="U1518" i="5" s="1"/>
  <c r="Y1518" i="5"/>
  <c r="X1486" i="5"/>
  <c r="U1486" i="5" s="1"/>
  <c r="Y1486" i="5"/>
  <c r="Y1602" i="5"/>
  <c r="X1602" i="5"/>
  <c r="U1602" i="5" s="1"/>
  <c r="Z1602" i="5" s="1"/>
  <c r="Z1700" i="5"/>
  <c r="AE1654" i="5"/>
  <c r="AA1654" i="5"/>
  <c r="AC1654" i="5" s="1"/>
  <c r="Y1657" i="5"/>
  <c r="X1657" i="5"/>
  <c r="U1657" i="5" s="1"/>
  <c r="AE1699" i="5"/>
  <c r="AA1699" i="5"/>
  <c r="AC1699" i="5" s="1"/>
  <c r="Z1753" i="5"/>
  <c r="M40" i="6"/>
  <c r="I40" i="6"/>
  <c r="H40" i="6" s="1"/>
  <c r="G236" i="6"/>
  <c r="J236" i="6" s="1"/>
  <c r="AU41" i="9"/>
  <c r="L37" i="9" s="1"/>
  <c r="M37" i="9" s="1"/>
  <c r="M38" i="9" s="1"/>
  <c r="AA99" i="5"/>
  <c r="AC99" i="5" s="1"/>
  <c r="AA751" i="5"/>
  <c r="AB751" i="5" s="1"/>
  <c r="AC751" i="5" s="1"/>
  <c r="I38" i="6"/>
  <c r="H38" i="6" s="1"/>
  <c r="Y1434" i="5"/>
  <c r="X1434" i="5"/>
  <c r="U1434" i="5" s="1"/>
  <c r="Z1434" i="5" s="1"/>
  <c r="AE1694" i="5"/>
  <c r="AA1694" i="5"/>
  <c r="AC1694" i="5" s="1"/>
  <c r="Y1574" i="5"/>
  <c r="X1574" i="5"/>
  <c r="U1574" i="5" s="1"/>
  <c r="Z1574" i="5" s="1"/>
  <c r="X1589" i="5"/>
  <c r="U1589" i="5" s="1"/>
  <c r="Y1589" i="5"/>
  <c r="AE1723" i="5"/>
  <c r="AA1723" i="5"/>
  <c r="AC1723" i="5" s="1"/>
  <c r="U230" i="6"/>
  <c r="V230" i="6" s="1"/>
  <c r="S230" i="6"/>
  <c r="AA117" i="5"/>
  <c r="AC117" i="5" s="1"/>
  <c r="S533" i="5"/>
  <c r="S500" i="5"/>
  <c r="AA578" i="5"/>
  <c r="AB578" i="5" s="1"/>
  <c r="AC578" i="5" s="1"/>
  <c r="S652" i="5"/>
  <c r="Z1482" i="5"/>
  <c r="Y1539" i="5"/>
  <c r="X1539" i="5"/>
  <c r="U1539" i="5" s="1"/>
  <c r="Y1581" i="5"/>
  <c r="X1581" i="5"/>
  <c r="U1581" i="5" s="1"/>
  <c r="Z1581" i="5" s="1"/>
  <c r="X1627" i="5"/>
  <c r="U1627" i="5" s="1"/>
  <c r="Z1627" i="5" s="1"/>
  <c r="Y1627" i="5"/>
  <c r="X1678" i="5"/>
  <c r="U1678" i="5" s="1"/>
  <c r="Z1678" i="5" s="1"/>
  <c r="Y1678" i="5"/>
  <c r="Z461" i="5"/>
  <c r="AE461" i="5" s="1"/>
  <c r="AE1467" i="5"/>
  <c r="AA1467" i="5"/>
  <c r="AC1467" i="5" s="1"/>
  <c r="Z1777" i="5"/>
  <c r="AA15" i="5"/>
  <c r="AC15" i="5" s="1"/>
  <c r="S117" i="5"/>
  <c r="X1484" i="5"/>
  <c r="U1484" i="5" s="1"/>
  <c r="Y1484" i="5"/>
  <c r="Z1580" i="5"/>
  <c r="Y1560" i="5"/>
  <c r="X1560" i="5"/>
  <c r="U1560" i="5" s="1"/>
  <c r="Z1560" i="5" s="1"/>
  <c r="Y1607" i="5"/>
  <c r="X1607" i="5"/>
  <c r="U1607" i="5" s="1"/>
  <c r="Z1607" i="5" s="1"/>
  <c r="Z1599" i="5"/>
  <c r="Z1685" i="5"/>
  <c r="X1708" i="5"/>
  <c r="U1708" i="5" s="1"/>
  <c r="Y1708" i="5"/>
  <c r="X1744" i="5"/>
  <c r="U1744" i="5" s="1"/>
  <c r="Y1744" i="5"/>
  <c r="S381" i="5"/>
  <c r="Z1444" i="5"/>
  <c r="X1476" i="5"/>
  <c r="U1476" i="5" s="1"/>
  <c r="Y1476" i="5"/>
  <c r="X1512" i="5"/>
  <c r="U1512" i="5" s="1"/>
  <c r="Y1512" i="5"/>
  <c r="Z1563" i="5"/>
  <c r="Z1742" i="5"/>
  <c r="Y1557" i="5"/>
  <c r="X1557" i="5"/>
  <c r="U1557" i="5" s="1"/>
  <c r="Z1557" i="5" s="1"/>
  <c r="Y1573" i="5"/>
  <c r="X1573" i="5"/>
  <c r="U1573" i="5" s="1"/>
  <c r="Z1573" i="5" s="1"/>
  <c r="Y1625" i="5"/>
  <c r="X1625" i="5"/>
  <c r="U1625" i="5" s="1"/>
  <c r="Z1625" i="5" s="1"/>
  <c r="Z1715" i="5"/>
  <c r="Z1751" i="5"/>
  <c r="Z1687" i="5"/>
  <c r="Z1741" i="5"/>
  <c r="Z1768" i="5"/>
  <c r="Z1786" i="5"/>
  <c r="I146" i="6"/>
  <c r="H146" i="6" s="1"/>
  <c r="U121" i="6"/>
  <c r="V121" i="6" s="1"/>
  <c r="W239" i="6" s="1"/>
  <c r="R114" i="6"/>
  <c r="I153" i="6"/>
  <c r="H153" i="6" s="1"/>
  <c r="G232" i="6"/>
  <c r="J232" i="6" s="1"/>
  <c r="I39" i="6"/>
  <c r="H39" i="6" s="1"/>
  <c r="I217" i="6"/>
  <c r="H217" i="6" s="1"/>
  <c r="Z368" i="5"/>
  <c r="AE368" i="5" s="1"/>
  <c r="S562" i="5"/>
  <c r="Z1483" i="5"/>
  <c r="Y1529" i="5"/>
  <c r="X1529" i="5"/>
  <c r="U1529" i="5" s="1"/>
  <c r="Z1529" i="5" s="1"/>
  <c r="Y1590" i="5"/>
  <c r="X1590" i="5"/>
  <c r="U1590" i="5" s="1"/>
  <c r="Z1590" i="5" s="1"/>
  <c r="Z1748" i="5"/>
  <c r="Z1673" i="5"/>
  <c r="K72" i="6"/>
  <c r="S72" i="6" s="1"/>
  <c r="I143" i="6"/>
  <c r="H143" i="6" s="1"/>
  <c r="E57" i="9"/>
  <c r="I57" i="9" s="1"/>
  <c r="Z480" i="5"/>
  <c r="AE480" i="5" s="1"/>
  <c r="S557" i="5"/>
  <c r="AA819" i="5"/>
  <c r="AB819" i="5" s="1"/>
  <c r="AC819" i="5" s="1"/>
  <c r="S589" i="5"/>
  <c r="AE1459" i="5"/>
  <c r="AA1459" i="5"/>
  <c r="AC1459" i="5" s="1"/>
  <c r="X1514" i="5"/>
  <c r="U1514" i="5" s="1"/>
  <c r="Y1514" i="5"/>
  <c r="Y1577" i="5"/>
  <c r="X1577" i="5"/>
  <c r="U1577" i="5" s="1"/>
  <c r="Z1577" i="5" s="1"/>
  <c r="X1684" i="5"/>
  <c r="U1684" i="5" s="1"/>
  <c r="Y1684" i="5"/>
  <c r="Z1769" i="5"/>
  <c r="Z1692" i="5"/>
  <c r="Z1765" i="5"/>
  <c r="I46" i="6"/>
  <c r="H46" i="6" s="1"/>
  <c r="S118" i="6"/>
  <c r="W119" i="6"/>
  <c r="U240" i="6" s="1"/>
  <c r="V240" i="6" s="1"/>
  <c r="I155" i="6"/>
  <c r="H155" i="6" s="1"/>
  <c r="N249" i="6"/>
  <c r="O249" i="6"/>
  <c r="K249" i="6" s="1"/>
  <c r="R249" i="6" s="1"/>
  <c r="P249" i="6"/>
  <c r="B1029" i="2"/>
  <c r="D1009" i="2"/>
  <c r="D1011" i="2" s="1"/>
  <c r="S256" i="6"/>
  <c r="U256" i="6" s="1"/>
  <c r="X256" i="6" s="1"/>
  <c r="S308" i="6"/>
  <c r="U308" i="6" s="1"/>
  <c r="X308" i="6" s="1"/>
  <c r="I72" i="9"/>
  <c r="BG40" i="9"/>
  <c r="BG38" i="9"/>
  <c r="I149" i="6"/>
  <c r="H149" i="6" s="1"/>
  <c r="I77" i="6"/>
  <c r="H77" i="6" s="1"/>
  <c r="Z311" i="5"/>
  <c r="AE311" i="5" s="1"/>
  <c r="Z585" i="5"/>
  <c r="AE585" i="5" s="1"/>
  <c r="Z433" i="5"/>
  <c r="AE433" i="5" s="1"/>
  <c r="Z796" i="5"/>
  <c r="AE796" i="5" s="1"/>
  <c r="X1516" i="5"/>
  <c r="U1516" i="5" s="1"/>
  <c r="Y1516" i="5"/>
  <c r="Y1616" i="5"/>
  <c r="X1616" i="5"/>
  <c r="U1616" i="5" s="1"/>
  <c r="Z1616" i="5" s="1"/>
  <c r="Y1564" i="5"/>
  <c r="X1564" i="5"/>
  <c r="U1564" i="5" s="1"/>
  <c r="Z1564" i="5" s="1"/>
  <c r="Z1570" i="5"/>
  <c r="AA1558" i="5"/>
  <c r="AC1558" i="5" s="1"/>
  <c r="Y1662" i="5"/>
  <c r="X1662" i="5"/>
  <c r="U1662" i="5" s="1"/>
  <c r="Z1662" i="5" s="1"/>
  <c r="Z1709" i="5"/>
  <c r="Z1745" i="5"/>
  <c r="K161" i="6"/>
  <c r="S161" i="6" s="1"/>
  <c r="I202" i="6"/>
  <c r="H202" i="6" s="1"/>
  <c r="M247" i="6"/>
  <c r="I247" i="6" s="1"/>
  <c r="H247" i="6" s="1"/>
  <c r="S478" i="5"/>
  <c r="S618" i="5"/>
  <c r="AE1463" i="5"/>
  <c r="AA1463" i="5"/>
  <c r="AC1463" i="5" s="1"/>
  <c r="AE1509" i="5"/>
  <c r="AA1509" i="5"/>
  <c r="AC1509" i="5" s="1"/>
  <c r="AE1414" i="5"/>
  <c r="AA1414" i="5"/>
  <c r="AC1414" i="5" s="1"/>
  <c r="Y1638" i="5"/>
  <c r="X1638" i="5"/>
  <c r="U1638" i="5" s="1"/>
  <c r="Z1638" i="5" s="1"/>
  <c r="AE1566" i="5"/>
  <c r="AA1566" i="5"/>
  <c r="AC1566" i="5" s="1"/>
  <c r="AE1754" i="5"/>
  <c r="AA1754" i="5"/>
  <c r="AC1754" i="5" s="1"/>
  <c r="X1651" i="5"/>
  <c r="U1651" i="5" s="1"/>
  <c r="Y1651" i="5"/>
  <c r="AE1704" i="5"/>
  <c r="AA1704" i="5"/>
  <c r="AC1704" i="5" s="1"/>
  <c r="AE1740" i="5"/>
  <c r="AA1740" i="5"/>
  <c r="AC1740" i="5" s="1"/>
  <c r="AE1766" i="5"/>
  <c r="AA1766" i="5"/>
  <c r="AC1766" i="5" s="1"/>
  <c r="AE1784" i="5"/>
  <c r="AA1784" i="5"/>
  <c r="AC1784" i="5" s="1"/>
  <c r="N40" i="6"/>
  <c r="K40" i="6"/>
  <c r="S40" i="6" s="1"/>
  <c r="P40" i="6"/>
  <c r="O40" i="6"/>
  <c r="O245" i="6"/>
  <c r="N245" i="6"/>
  <c r="P245" i="6"/>
  <c r="K245" i="6"/>
  <c r="R245" i="6" s="1"/>
  <c r="S286" i="6"/>
  <c r="U286" i="6" s="1"/>
  <c r="X286" i="6" s="1"/>
  <c r="U52" i="6"/>
  <c r="V52" i="6" s="1"/>
  <c r="W170" i="6" s="1"/>
  <c r="V170" i="6" s="1"/>
  <c r="V225" i="6"/>
  <c r="Y1534" i="5"/>
  <c r="X1534" i="5"/>
  <c r="U1534" i="5" s="1"/>
  <c r="Y1561" i="5"/>
  <c r="X1561" i="5"/>
  <c r="U1561" i="5" s="1"/>
  <c r="AE1703" i="5"/>
  <c r="AA1703" i="5"/>
  <c r="AC1703" i="5" s="1"/>
  <c r="AE1669" i="5"/>
  <c r="AA1669" i="5"/>
  <c r="AC1669" i="5" s="1"/>
  <c r="AE1780" i="5"/>
  <c r="AA1780" i="5"/>
  <c r="AC1780" i="5" s="1"/>
  <c r="M232" i="6"/>
  <c r="X1468" i="5"/>
  <c r="U1468" i="5" s="1"/>
  <c r="Z1468" i="5" s="1"/>
  <c r="Y1468" i="5"/>
  <c r="Y1545" i="5"/>
  <c r="X1545" i="5"/>
  <c r="U1545" i="5" s="1"/>
  <c r="AE1446" i="5"/>
  <c r="AA1446" i="5"/>
  <c r="AC1446" i="5" s="1"/>
  <c r="X1498" i="5"/>
  <c r="U1498" i="5" s="1"/>
  <c r="Z1498" i="5" s="1"/>
  <c r="Y1498" i="5"/>
  <c r="AA1522" i="5"/>
  <c r="AC1522" i="5" s="1"/>
  <c r="AE869" i="5"/>
  <c r="AA869" i="5"/>
  <c r="AC869" i="5" s="1"/>
  <c r="AE1505" i="5"/>
  <c r="AA1505" i="5"/>
  <c r="AC1505" i="5" s="1"/>
  <c r="Y1575" i="5"/>
  <c r="X1575" i="5"/>
  <c r="U1575" i="5" s="1"/>
  <c r="Z1575" i="5" s="1"/>
  <c r="Y1593" i="5"/>
  <c r="X1593" i="5"/>
  <c r="U1593" i="5" s="1"/>
  <c r="Z1593" i="5" s="1"/>
  <c r="Y1521" i="5"/>
  <c r="X1521" i="5"/>
  <c r="U1521" i="5" s="1"/>
  <c r="Z1521" i="5" s="1"/>
  <c r="AE1634" i="5"/>
  <c r="AA1634" i="5"/>
  <c r="AC1634" i="5" s="1"/>
  <c r="X1601" i="5"/>
  <c r="U1601" i="5" s="1"/>
  <c r="Y1601" i="5"/>
  <c r="AE1729" i="5"/>
  <c r="AA1729" i="5"/>
  <c r="AC1729" i="5" s="1"/>
  <c r="AE1770" i="5"/>
  <c r="AA1770" i="5"/>
  <c r="AC1770" i="5" s="1"/>
  <c r="AC1352" i="5"/>
  <c r="Z1794" i="5"/>
  <c r="D1016" i="2" s="1"/>
  <c r="D1017" i="2" s="1"/>
  <c r="AE1473" i="5"/>
  <c r="AA1473" i="5"/>
  <c r="AC1473" i="5" s="1"/>
  <c r="AE1736" i="5"/>
  <c r="AA1736" i="5"/>
  <c r="AC1736" i="5" s="1"/>
  <c r="Y1537" i="5"/>
  <c r="X1537" i="5"/>
  <c r="U1537" i="5" s="1"/>
  <c r="Z1537" i="5" s="1"/>
  <c r="AE1712" i="5"/>
  <c r="AA1712" i="5"/>
  <c r="AC1712" i="5" s="1"/>
  <c r="P207" i="6"/>
  <c r="K207" i="6"/>
  <c r="R207" i="6" s="1"/>
  <c r="O207" i="6"/>
  <c r="N207" i="6"/>
  <c r="I207" i="6" s="1"/>
  <c r="H207" i="6" s="1"/>
  <c r="Z1490" i="5"/>
  <c r="X1494" i="5"/>
  <c r="U1494" i="5" s="1"/>
  <c r="Z1494" i="5" s="1"/>
  <c r="Y1494" i="5"/>
  <c r="Y1542" i="5"/>
  <c r="X1542" i="5"/>
  <c r="U1542" i="5" s="1"/>
  <c r="AE1610" i="5"/>
  <c r="AA1610" i="5"/>
  <c r="AC1610" i="5" s="1"/>
  <c r="Y1666" i="5"/>
  <c r="X1666" i="5"/>
  <c r="U1666" i="5" s="1"/>
  <c r="X1562" i="5"/>
  <c r="U1562" i="5" s="1"/>
  <c r="Z1562" i="5" s="1"/>
  <c r="Y1562" i="5"/>
  <c r="AE1660" i="5"/>
  <c r="AA1660" i="5"/>
  <c r="AC1660" i="5" s="1"/>
  <c r="AE1717" i="5"/>
  <c r="AA1717" i="5"/>
  <c r="AC1717" i="5" s="1"/>
  <c r="I88" i="6"/>
  <c r="H88" i="6" s="1"/>
  <c r="U246" i="6"/>
  <c r="V246" i="6" s="1"/>
  <c r="T567" i="7"/>
  <c r="V567" i="7" s="1"/>
  <c r="E155" i="10" l="1"/>
  <c r="E156" i="10"/>
  <c r="E154" i="10"/>
  <c r="D162" i="10"/>
  <c r="U235" i="6"/>
  <c r="V235" i="6" s="1"/>
  <c r="S235" i="6"/>
  <c r="U244" i="6"/>
  <c r="V244" i="6" s="1"/>
  <c r="S244" i="6"/>
  <c r="J57" i="9"/>
  <c r="K57" i="9"/>
  <c r="S249" i="6"/>
  <c r="U249" i="6"/>
  <c r="V249" i="6" s="1"/>
  <c r="S21" i="6"/>
  <c r="U76" i="6"/>
  <c r="V76" i="6" s="1"/>
  <c r="W150" i="6" s="1"/>
  <c r="V150" i="6" s="1"/>
  <c r="AE1462" i="5"/>
  <c r="AA1462" i="5"/>
  <c r="AC1462" i="5" s="1"/>
  <c r="AE1538" i="5"/>
  <c r="AA1538" i="5"/>
  <c r="AC1538" i="5" s="1"/>
  <c r="AE1763" i="5"/>
  <c r="AA1763" i="5"/>
  <c r="AC1763" i="5" s="1"/>
  <c r="AE1524" i="5"/>
  <c r="AA1524" i="5"/>
  <c r="AC1524" i="5" s="1"/>
  <c r="AE1450" i="5"/>
  <c r="AA1450" i="5"/>
  <c r="AC1450" i="5" s="1"/>
  <c r="AE1568" i="5"/>
  <c r="AA1568" i="5"/>
  <c r="AC1568" i="5" s="1"/>
  <c r="AE1548" i="5"/>
  <c r="AA1548" i="5"/>
  <c r="AC1548" i="5" s="1"/>
  <c r="Z1666" i="5"/>
  <c r="Z1534" i="5"/>
  <c r="AE1709" i="5"/>
  <c r="AA1709" i="5"/>
  <c r="AC1709" i="5" s="1"/>
  <c r="Z1684" i="5"/>
  <c r="AE1715" i="5"/>
  <c r="AA1715" i="5"/>
  <c r="AC1715" i="5" s="1"/>
  <c r="Z1476" i="5"/>
  <c r="Z1708" i="5"/>
  <c r="AE1777" i="5"/>
  <c r="AA1777" i="5"/>
  <c r="AC1777" i="5" s="1"/>
  <c r="AE1482" i="5"/>
  <c r="AA1482" i="5"/>
  <c r="AC1482" i="5" s="1"/>
  <c r="Z1589" i="5"/>
  <c r="K236" i="6"/>
  <c r="R236" i="6" s="1"/>
  <c r="P236" i="6"/>
  <c r="I236" i="6" s="1"/>
  <c r="H236" i="6" s="1"/>
  <c r="O236" i="6"/>
  <c r="N236" i="6"/>
  <c r="Z1657" i="5"/>
  <c r="Z1480" i="5"/>
  <c r="Z1474" i="5"/>
  <c r="BA20" i="9"/>
  <c r="Z16" i="9"/>
  <c r="AA16" i="9" s="1"/>
  <c r="AA17" i="9" s="1"/>
  <c r="Z1544" i="5"/>
  <c r="Z1456" i="5"/>
  <c r="Z1647" i="5"/>
  <c r="K247" i="6"/>
  <c r="R247" i="6" s="1"/>
  <c r="L61" i="9"/>
  <c r="Z1583" i="5"/>
  <c r="I235" i="6"/>
  <c r="H235" i="6" s="1"/>
  <c r="Z1506" i="5"/>
  <c r="Z1594" i="5"/>
  <c r="Z1726" i="5"/>
  <c r="Z1629" i="5"/>
  <c r="Z1530" i="5"/>
  <c r="AE1621" i="5"/>
  <c r="AA1621" i="5"/>
  <c r="AC1621" i="5" s="1"/>
  <c r="U218" i="6"/>
  <c r="V218" i="6" s="1"/>
  <c r="S218" i="6"/>
  <c r="AE1609" i="5"/>
  <c r="AA1609" i="5"/>
  <c r="AC1609" i="5" s="1"/>
  <c r="L58" i="9"/>
  <c r="AE1772" i="5"/>
  <c r="AA1772" i="5"/>
  <c r="AC1772" i="5" s="1"/>
  <c r="Z1612" i="5"/>
  <c r="Z1492" i="5"/>
  <c r="O233" i="6"/>
  <c r="N233" i="6"/>
  <c r="K233" i="6" s="1"/>
  <c r="R233" i="6" s="1"/>
  <c r="P233" i="6"/>
  <c r="I233" i="6" s="1"/>
  <c r="H233" i="6" s="1"/>
  <c r="Z1667" i="5"/>
  <c r="Z1756" i="5"/>
  <c r="Z1714" i="5"/>
  <c r="Z1639" i="5"/>
  <c r="L70" i="9"/>
  <c r="AE1562" i="5"/>
  <c r="AA1562" i="5"/>
  <c r="AC1562" i="5" s="1"/>
  <c r="AE1557" i="5"/>
  <c r="AA1557" i="5"/>
  <c r="AC1557" i="5" s="1"/>
  <c r="AE1560" i="5"/>
  <c r="AA1560" i="5"/>
  <c r="AC1560" i="5" s="1"/>
  <c r="AE1434" i="5"/>
  <c r="AA1434" i="5"/>
  <c r="AC1434" i="5" s="1"/>
  <c r="K69" i="9"/>
  <c r="J69" i="9"/>
  <c r="L69" i="9" s="1"/>
  <c r="AE1764" i="5"/>
  <c r="AA1764" i="5"/>
  <c r="AC1764" i="5" s="1"/>
  <c r="AE1468" i="5"/>
  <c r="AA1468" i="5"/>
  <c r="AC1468" i="5" s="1"/>
  <c r="AE1662" i="5"/>
  <c r="AA1662" i="5"/>
  <c r="AC1662" i="5" s="1"/>
  <c r="K72" i="9"/>
  <c r="J72" i="9"/>
  <c r="AE1577" i="5"/>
  <c r="AA1577" i="5"/>
  <c r="AC1577" i="5" s="1"/>
  <c r="AE1529" i="5"/>
  <c r="AA1529" i="5"/>
  <c r="AC1529" i="5" s="1"/>
  <c r="AE1786" i="5"/>
  <c r="AA1786" i="5"/>
  <c r="AC1786" i="5" s="1"/>
  <c r="AE1742" i="5"/>
  <c r="AA1742" i="5"/>
  <c r="AC1742" i="5" s="1"/>
  <c r="AE1627" i="5"/>
  <c r="AA1627" i="5"/>
  <c r="AC1627" i="5" s="1"/>
  <c r="AE1464" i="5"/>
  <c r="AA1464" i="5"/>
  <c r="AC1464" i="5" s="1"/>
  <c r="AE1502" i="5"/>
  <c r="AA1502" i="5"/>
  <c r="AC1502" i="5" s="1"/>
  <c r="AE1603" i="5"/>
  <c r="AA1603" i="5"/>
  <c r="AC1603" i="5" s="1"/>
  <c r="AE1488" i="5"/>
  <c r="AA1488" i="5"/>
  <c r="AC1488" i="5" s="1"/>
  <c r="AE1650" i="5"/>
  <c r="AA1650" i="5"/>
  <c r="AC1650" i="5" s="1"/>
  <c r="AE1510" i="5"/>
  <c r="AA1510" i="5"/>
  <c r="AC1510" i="5" s="1"/>
  <c r="AE1655" i="5"/>
  <c r="AA1655" i="5"/>
  <c r="AC1655" i="5" s="1"/>
  <c r="AE1615" i="5"/>
  <c r="AA1615" i="5"/>
  <c r="AC1615" i="5" s="1"/>
  <c r="AE1520" i="5"/>
  <c r="AA1520" i="5"/>
  <c r="AC1520" i="5" s="1"/>
  <c r="AE1771" i="5"/>
  <c r="AA1771" i="5"/>
  <c r="AC1771" i="5" s="1"/>
  <c r="AE1640" i="5"/>
  <c r="AA1640" i="5"/>
  <c r="AC1640" i="5" s="1"/>
  <c r="AE1454" i="5"/>
  <c r="AA1454" i="5"/>
  <c r="AC1454" i="5" s="1"/>
  <c r="AE1500" i="5"/>
  <c r="AA1500" i="5"/>
  <c r="AC1500" i="5" s="1"/>
  <c r="AE1783" i="5"/>
  <c r="AA1783" i="5"/>
  <c r="AC1783" i="5" s="1"/>
  <c r="AE1479" i="5"/>
  <c r="AA1479" i="5"/>
  <c r="AC1479" i="5" s="1"/>
  <c r="AE1556" i="5"/>
  <c r="AA1556" i="5"/>
  <c r="AC1556" i="5" s="1"/>
  <c r="AE1527" i="5"/>
  <c r="AA1527" i="5"/>
  <c r="AC1527" i="5" s="1"/>
  <c r="Z1595" i="5"/>
  <c r="Z1540" i="5"/>
  <c r="Z1604" i="5"/>
  <c r="Z1631" i="5"/>
  <c r="Z1541" i="5"/>
  <c r="AE1735" i="5"/>
  <c r="AA1735" i="5"/>
  <c r="AC1735" i="5" s="1"/>
  <c r="AE1682" i="5"/>
  <c r="AA1682" i="5"/>
  <c r="AC1682" i="5" s="1"/>
  <c r="U215" i="6"/>
  <c r="V215" i="6" s="1"/>
  <c r="S215" i="6"/>
  <c r="Z1543" i="5"/>
  <c r="AE1776" i="5"/>
  <c r="AA1776" i="5"/>
  <c r="AC1776" i="5" s="1"/>
  <c r="AE1747" i="5"/>
  <c r="AA1747" i="5"/>
  <c r="AC1747" i="5" s="1"/>
  <c r="AE1706" i="5"/>
  <c r="AA1706" i="5"/>
  <c r="AC1706" i="5" s="1"/>
  <c r="AE1440" i="5"/>
  <c r="AA1440" i="5"/>
  <c r="AC1440" i="5" s="1"/>
  <c r="Z1550" i="5"/>
  <c r="Z1641" i="5"/>
  <c r="Z1533" i="5"/>
  <c r="Z1690" i="5"/>
  <c r="Z1732" i="5"/>
  <c r="AE1793" i="5"/>
  <c r="AE1752" i="5"/>
  <c r="AA1752" i="5"/>
  <c r="AC1752" i="5" s="1"/>
  <c r="Z1532" i="5"/>
  <c r="AE1787" i="5"/>
  <c r="AA1787" i="5"/>
  <c r="AC1787" i="5" s="1"/>
  <c r="Z1578" i="5"/>
  <c r="Z1659" i="5"/>
  <c r="AE1676" i="5"/>
  <c r="AA1676" i="5"/>
  <c r="AC1676" i="5" s="1"/>
  <c r="Z1720" i="5"/>
  <c r="Z1597" i="5"/>
  <c r="Z1600" i="5"/>
  <c r="Z1435" i="5"/>
  <c r="L62" i="9"/>
  <c r="I244" i="6"/>
  <c r="H244" i="6" s="1"/>
  <c r="AE1692" i="5"/>
  <c r="AA1692" i="5"/>
  <c r="AC1692" i="5" s="1"/>
  <c r="AE1741" i="5"/>
  <c r="AA1741" i="5"/>
  <c r="AC1741" i="5" s="1"/>
  <c r="Z1484" i="5"/>
  <c r="AE1753" i="5"/>
  <c r="AA1753" i="5"/>
  <c r="AC1753" i="5" s="1"/>
  <c r="Z1579" i="5"/>
  <c r="AX41" i="9"/>
  <c r="S37" i="9" s="1"/>
  <c r="T37" i="9" s="1"/>
  <c r="T38" i="9" s="1"/>
  <c r="AE1626" i="5"/>
  <c r="AA1626" i="5"/>
  <c r="AC1626" i="5" s="1"/>
  <c r="AE1710" i="5"/>
  <c r="AA1710" i="5"/>
  <c r="AC1710" i="5" s="1"/>
  <c r="AE1718" i="5"/>
  <c r="AA1718" i="5"/>
  <c r="AC1718" i="5" s="1"/>
  <c r="AE1508" i="5"/>
  <c r="AA1508" i="5"/>
  <c r="AC1508" i="5" s="1"/>
  <c r="AE1681" i="5"/>
  <c r="AA1681" i="5"/>
  <c r="AC1681" i="5" s="1"/>
  <c r="AE1620" i="5"/>
  <c r="AA1620" i="5"/>
  <c r="AC1620" i="5" s="1"/>
  <c r="AE1452" i="5"/>
  <c r="AA1452" i="5"/>
  <c r="AC1452" i="5" s="1"/>
  <c r="AE1693" i="5"/>
  <c r="AA1693" i="5"/>
  <c r="AC1693" i="5" s="1"/>
  <c r="AE1608" i="5"/>
  <c r="AA1608" i="5"/>
  <c r="AC1608" i="5" s="1"/>
  <c r="AE1734" i="5"/>
  <c r="AA1734" i="5"/>
  <c r="AC1734" i="5" s="1"/>
  <c r="AE1582" i="5"/>
  <c r="AA1582" i="5"/>
  <c r="AC1582" i="5" s="1"/>
  <c r="AE1460" i="5"/>
  <c r="AA1460" i="5"/>
  <c r="AC1460" i="5" s="1"/>
  <c r="AE1614" i="5"/>
  <c r="AA1614" i="5"/>
  <c r="AC1614" i="5" s="1"/>
  <c r="AE1470" i="5"/>
  <c r="AA1470" i="5"/>
  <c r="AC1470" i="5" s="1"/>
  <c r="AE1624" i="5"/>
  <c r="AA1624" i="5"/>
  <c r="AC1624" i="5" s="1"/>
  <c r="AE1716" i="5"/>
  <c r="AA1716" i="5"/>
  <c r="AC1716" i="5" s="1"/>
  <c r="AE1591" i="5"/>
  <c r="AA1591" i="5"/>
  <c r="AC1591" i="5" s="1"/>
  <c r="U243" i="6"/>
  <c r="V243" i="6" s="1"/>
  <c r="S243" i="6"/>
  <c r="Z1588" i="5"/>
  <c r="Z1617" i="5"/>
  <c r="L1039" i="2"/>
  <c r="N1037" i="2"/>
  <c r="N1039" i="2" s="1"/>
  <c r="N1043" i="2" s="1"/>
  <c r="L59" i="9"/>
  <c r="U207" i="6"/>
  <c r="V207" i="6" s="1"/>
  <c r="S207" i="6"/>
  <c r="U245" i="6"/>
  <c r="V245" i="6" s="1"/>
  <c r="S245" i="6"/>
  <c r="AE1745" i="5"/>
  <c r="AA1745" i="5"/>
  <c r="AC1745" i="5" s="1"/>
  <c r="BG41" i="9"/>
  <c r="AN37" i="9" s="1"/>
  <c r="AO37" i="9" s="1"/>
  <c r="AO38" i="9" s="1"/>
  <c r="AE1751" i="5"/>
  <c r="AA1751" i="5"/>
  <c r="AC1751" i="5" s="1"/>
  <c r="AE1678" i="5"/>
  <c r="AA1678" i="5"/>
  <c r="AC1678" i="5" s="1"/>
  <c r="AE1602" i="5"/>
  <c r="AA1602" i="5"/>
  <c r="AC1602" i="5" s="1"/>
  <c r="K60" i="9"/>
  <c r="J60" i="9"/>
  <c r="AE1466" i="5"/>
  <c r="AA1466" i="5"/>
  <c r="AC1466" i="5" s="1"/>
  <c r="AE1672" i="5"/>
  <c r="AA1672" i="5"/>
  <c r="AC1672" i="5" s="1"/>
  <c r="AE1494" i="5"/>
  <c r="AA1494" i="5"/>
  <c r="AC1494" i="5" s="1"/>
  <c r="AE1521" i="5"/>
  <c r="AA1521" i="5"/>
  <c r="AC1521" i="5" s="1"/>
  <c r="AE1498" i="5"/>
  <c r="AA1498" i="5"/>
  <c r="AC1498" i="5" s="1"/>
  <c r="AE1616" i="5"/>
  <c r="AA1616" i="5"/>
  <c r="AC1616" i="5" s="1"/>
  <c r="AE1625" i="5"/>
  <c r="AA1625" i="5"/>
  <c r="AC1625" i="5" s="1"/>
  <c r="AE1444" i="5"/>
  <c r="AA1444" i="5"/>
  <c r="AC1444" i="5" s="1"/>
  <c r="AE1685" i="5"/>
  <c r="AA1685" i="5"/>
  <c r="AC1685" i="5" s="1"/>
  <c r="AE1580" i="5"/>
  <c r="AA1580" i="5"/>
  <c r="AC1580" i="5" s="1"/>
  <c r="AE1574" i="5"/>
  <c r="AA1574" i="5"/>
  <c r="AC1574" i="5" s="1"/>
  <c r="AE1738" i="5"/>
  <c r="AA1738" i="5"/>
  <c r="AC1738" i="5" s="1"/>
  <c r="AE1490" i="5"/>
  <c r="AA1490" i="5"/>
  <c r="AC1490" i="5" s="1"/>
  <c r="AE1765" i="5"/>
  <c r="AA1765" i="5"/>
  <c r="AC1765" i="5" s="1"/>
  <c r="K232" i="6"/>
  <c r="R232" i="6" s="1"/>
  <c r="O232" i="6"/>
  <c r="N232" i="6"/>
  <c r="P232" i="6"/>
  <c r="AE1768" i="5"/>
  <c r="AA1768" i="5"/>
  <c r="AC1768" i="5" s="1"/>
  <c r="AE1563" i="5"/>
  <c r="AA1563" i="5"/>
  <c r="AC1563" i="5" s="1"/>
  <c r="AE1599" i="5"/>
  <c r="AA1599" i="5"/>
  <c r="AC1599" i="5" s="1"/>
  <c r="AE1581" i="5"/>
  <c r="AA1581" i="5"/>
  <c r="AC1581" i="5" s="1"/>
  <c r="Z1486" i="5"/>
  <c r="I47" i="6"/>
  <c r="H47" i="6" s="1"/>
  <c r="AE1670" i="5"/>
  <c r="AA1670" i="5"/>
  <c r="AC1670" i="5" s="1"/>
  <c r="AE1746" i="5"/>
  <c r="AA1746" i="5"/>
  <c r="AC1746" i="5" s="1"/>
  <c r="AE1781" i="5"/>
  <c r="AA1781" i="5"/>
  <c r="AC1781" i="5" s="1"/>
  <c r="AE1537" i="5"/>
  <c r="AA1537" i="5"/>
  <c r="AC1537" i="5" s="1"/>
  <c r="AE1593" i="5"/>
  <c r="AA1593" i="5"/>
  <c r="AC1593" i="5" s="1"/>
  <c r="AE1638" i="5"/>
  <c r="AA1638" i="5"/>
  <c r="AC1638" i="5" s="1"/>
  <c r="I249" i="6"/>
  <c r="H249" i="6" s="1"/>
  <c r="AE1673" i="5"/>
  <c r="AA1673" i="5"/>
  <c r="AC1673" i="5" s="1"/>
  <c r="AE1483" i="5"/>
  <c r="AA1483" i="5"/>
  <c r="AC1483" i="5" s="1"/>
  <c r="AE1573" i="5"/>
  <c r="AA1573" i="5"/>
  <c r="AC1573" i="5" s="1"/>
  <c r="AE1607" i="5"/>
  <c r="AA1607" i="5"/>
  <c r="AC1607" i="5" s="1"/>
  <c r="Z1702" i="5"/>
  <c r="N216" i="6"/>
  <c r="I216" i="6" s="1"/>
  <c r="H216" i="6" s="1"/>
  <c r="P216" i="6"/>
  <c r="O216" i="6"/>
  <c r="AE1592" i="5"/>
  <c r="AA1592" i="5"/>
  <c r="AC1592" i="5" s="1"/>
  <c r="Z1542" i="5"/>
  <c r="Z1601" i="5"/>
  <c r="Z1545" i="5"/>
  <c r="Z1561" i="5"/>
  <c r="Z1651" i="5"/>
  <c r="AE1570" i="5"/>
  <c r="AA1570" i="5"/>
  <c r="AC1570" i="5" s="1"/>
  <c r="Z1516" i="5"/>
  <c r="AE1769" i="5"/>
  <c r="AA1769" i="5"/>
  <c r="AC1769" i="5" s="1"/>
  <c r="Z1514" i="5"/>
  <c r="AE1748" i="5"/>
  <c r="AA1748" i="5"/>
  <c r="AC1748" i="5" s="1"/>
  <c r="W121" i="6"/>
  <c r="U239" i="6" s="1"/>
  <c r="V239" i="6" s="1"/>
  <c r="S114" i="6"/>
  <c r="AE1687" i="5"/>
  <c r="AA1687" i="5"/>
  <c r="AC1687" i="5" s="1"/>
  <c r="Z1512" i="5"/>
  <c r="Z1744" i="5"/>
  <c r="Z1539" i="5"/>
  <c r="AE1700" i="5"/>
  <c r="AA1700" i="5"/>
  <c r="AC1700" i="5" s="1"/>
  <c r="AA1797" i="5"/>
  <c r="Z1518" i="5"/>
  <c r="Z1531" i="5"/>
  <c r="AE1782" i="5"/>
  <c r="AA1782" i="5"/>
  <c r="AC1782" i="5" s="1"/>
  <c r="Z1605" i="5"/>
  <c r="Z1472" i="5"/>
  <c r="O237" i="6"/>
  <c r="K237" i="6"/>
  <c r="R237" i="6" s="1"/>
  <c r="P237" i="6"/>
  <c r="N237" i="6"/>
  <c r="I237" i="6" s="1"/>
  <c r="H237" i="6" s="1"/>
  <c r="L68" i="9"/>
  <c r="Z1665" i="5"/>
  <c r="Z1619" i="5"/>
  <c r="Z1585" i="5"/>
  <c r="Z1523" i="5"/>
  <c r="Z1613" i="5"/>
  <c r="AE1553" i="5"/>
  <c r="AA1553" i="5"/>
  <c r="AC1553" i="5" s="1"/>
  <c r="Z1596" i="5"/>
  <c r="Z1525" i="5"/>
  <c r="AE1442" i="5"/>
  <c r="AA1442" i="5"/>
  <c r="AC1442" i="5" s="1"/>
  <c r="Z1762" i="5"/>
  <c r="Z1637" i="5"/>
  <c r="Z1636" i="5"/>
  <c r="AE1513" i="5"/>
  <c r="AA1513" i="5"/>
  <c r="AC1513" i="5" s="1"/>
  <c r="AR20" i="9"/>
  <c r="E16" i="9"/>
  <c r="F16" i="9" s="1"/>
  <c r="F17" i="9" s="1"/>
  <c r="AE1698" i="5"/>
  <c r="AA1698" i="5"/>
  <c r="AC1698" i="5" s="1"/>
  <c r="AE1478" i="5"/>
  <c r="AA1478" i="5"/>
  <c r="AC1478" i="5" s="1"/>
  <c r="AE1652" i="5"/>
  <c r="AA1652" i="5"/>
  <c r="AC1652" i="5" s="1"/>
  <c r="Z1458" i="5"/>
  <c r="Z1504" i="5"/>
  <c r="AE1668" i="5"/>
  <c r="AA1668" i="5"/>
  <c r="AC1668" i="5" s="1"/>
  <c r="Z1552" i="5"/>
  <c r="Z1576" i="5"/>
  <c r="AE1696" i="5"/>
  <c r="AA1696" i="5"/>
  <c r="AC1696" i="5" s="1"/>
  <c r="Z1535" i="5"/>
  <c r="AE1774" i="5"/>
  <c r="AA1774" i="5"/>
  <c r="AC1774" i="5" s="1"/>
  <c r="AE1496" i="5"/>
  <c r="AA1496" i="5"/>
  <c r="AC1496" i="5" s="1"/>
  <c r="AE1750" i="5"/>
  <c r="AA1750" i="5"/>
  <c r="AC1750" i="5" s="1"/>
  <c r="Z1569" i="5"/>
  <c r="L67" i="9"/>
  <c r="AE1575" i="5"/>
  <c r="AA1575" i="5"/>
  <c r="AC1575" i="5" s="1"/>
  <c r="AA1564" i="5"/>
  <c r="AC1564" i="5" s="1"/>
  <c r="AE1564" i="5"/>
  <c r="AE1590" i="5"/>
  <c r="AA1590" i="5"/>
  <c r="AC1590" i="5" s="1"/>
  <c r="AE1628" i="5"/>
  <c r="AA1628" i="5"/>
  <c r="AC1628" i="5" s="1"/>
  <c r="AA1793" i="5"/>
  <c r="AE1663" i="5"/>
  <c r="AA1663" i="5"/>
  <c r="AC1663" i="5" s="1"/>
  <c r="S14" i="6"/>
  <c r="U14" i="6"/>
  <c r="V14" i="6" s="1"/>
  <c r="W141" i="6" s="1"/>
  <c r="V141" i="6" s="1"/>
  <c r="O226" i="6"/>
  <c r="N226" i="6"/>
  <c r="I226" i="6" s="1"/>
  <c r="H226" i="6" s="1"/>
  <c r="P226" i="6"/>
  <c r="AE1549" i="5"/>
  <c r="AA1549" i="5"/>
  <c r="AC1549" i="5" s="1"/>
  <c r="AE1572" i="5"/>
  <c r="AA1572" i="5"/>
  <c r="AC1572" i="5" s="1"/>
  <c r="W242" i="6"/>
  <c r="V242" i="6" s="1"/>
  <c r="W171" i="6"/>
  <c r="V171" i="6" s="1"/>
  <c r="U233" i="6" l="1"/>
  <c r="V233" i="6" s="1"/>
  <c r="S233" i="6"/>
  <c r="AE1504" i="5"/>
  <c r="AA1504" i="5"/>
  <c r="AC1504" i="5" s="1"/>
  <c r="AE1636" i="5"/>
  <c r="AA1636" i="5"/>
  <c r="AC1636" i="5" s="1"/>
  <c r="AE1596" i="5"/>
  <c r="AA1596" i="5"/>
  <c r="AC1596" i="5" s="1"/>
  <c r="AE1619" i="5"/>
  <c r="AA1619" i="5"/>
  <c r="AC1619" i="5" s="1"/>
  <c r="AE1518" i="5"/>
  <c r="AA1518" i="5"/>
  <c r="AC1518" i="5" s="1"/>
  <c r="AE1512" i="5"/>
  <c r="AA1512" i="5"/>
  <c r="AC1512" i="5" s="1"/>
  <c r="AE1702" i="5"/>
  <c r="AA1702" i="5"/>
  <c r="AC1702" i="5" s="1"/>
  <c r="AE1588" i="5"/>
  <c r="AA1588" i="5"/>
  <c r="AC1588" i="5" s="1"/>
  <c r="AE1484" i="5"/>
  <c r="AA1484" i="5"/>
  <c r="AC1484" i="5" s="1"/>
  <c r="AE1641" i="5"/>
  <c r="AA1796" i="5"/>
  <c r="AA1641" i="5"/>
  <c r="AC1641" i="5" s="1"/>
  <c r="AE1631" i="5"/>
  <c r="AA1631" i="5"/>
  <c r="AC1631" i="5" s="1"/>
  <c r="L72" i="9"/>
  <c r="AE1594" i="5"/>
  <c r="AA1594" i="5"/>
  <c r="AC1594" i="5" s="1"/>
  <c r="AE1647" i="5"/>
  <c r="AA1647" i="5"/>
  <c r="AC1647" i="5" s="1"/>
  <c r="AE1480" i="5"/>
  <c r="AA1480" i="5"/>
  <c r="AC1480" i="5" s="1"/>
  <c r="AE1589" i="5"/>
  <c r="AA1589" i="5"/>
  <c r="AC1589" i="5" s="1"/>
  <c r="AE1476" i="5"/>
  <c r="AA1476" i="5"/>
  <c r="AC1476" i="5" s="1"/>
  <c r="AE1534" i="5"/>
  <c r="AA1534" i="5"/>
  <c r="AC1534" i="5" s="1"/>
  <c r="L57" i="9"/>
  <c r="AE1514" i="5"/>
  <c r="AA1514" i="5"/>
  <c r="AC1514" i="5" s="1"/>
  <c r="AE1651" i="5"/>
  <c r="AA1651" i="5"/>
  <c r="AC1651" i="5" s="1"/>
  <c r="AE1435" i="5"/>
  <c r="AA1435" i="5"/>
  <c r="AC1435" i="5" s="1"/>
  <c r="AE1659" i="5"/>
  <c r="AA1659" i="5"/>
  <c r="AC1659" i="5" s="1"/>
  <c r="AE1550" i="5"/>
  <c r="AA1550" i="5"/>
  <c r="AC1550" i="5" s="1"/>
  <c r="AE1604" i="5"/>
  <c r="AA1604" i="5"/>
  <c r="AC1604" i="5" s="1"/>
  <c r="AE1506" i="5"/>
  <c r="AA1506" i="5"/>
  <c r="AC1506" i="5" s="1"/>
  <c r="AE1456" i="5"/>
  <c r="AA1456" i="5"/>
  <c r="AC1456" i="5" s="1"/>
  <c r="AE1657" i="5"/>
  <c r="AA1657" i="5"/>
  <c r="AC1657" i="5" s="1"/>
  <c r="AE1666" i="5"/>
  <c r="AA1666" i="5"/>
  <c r="AC1666" i="5" s="1"/>
  <c r="AE1540" i="5"/>
  <c r="AA1540" i="5"/>
  <c r="AC1540" i="5" s="1"/>
  <c r="AE1639" i="5"/>
  <c r="AA1639" i="5"/>
  <c r="AC1639" i="5" s="1"/>
  <c r="AE1544" i="5"/>
  <c r="AA1544" i="5"/>
  <c r="AC1544" i="5" s="1"/>
  <c r="S232" i="6"/>
  <c r="U232" i="6"/>
  <c r="V232" i="6" s="1"/>
  <c r="AE1617" i="5"/>
  <c r="AA1617" i="5"/>
  <c r="AC1617" i="5" s="1"/>
  <c r="AE1532" i="5"/>
  <c r="AA1532" i="5"/>
  <c r="AC1532" i="5" s="1"/>
  <c r="AE1541" i="5"/>
  <c r="AA1541" i="5"/>
  <c r="AC1541" i="5" s="1"/>
  <c r="S247" i="6"/>
  <c r="U247" i="6"/>
  <c r="V247" i="6" s="1"/>
  <c r="AE1474" i="5"/>
  <c r="AA1474" i="5"/>
  <c r="AC1474" i="5" s="1"/>
  <c r="K226" i="6"/>
  <c r="R226" i="6" s="1"/>
  <c r="AE1637" i="5"/>
  <c r="AA1637" i="5"/>
  <c r="AC1637" i="5" s="1"/>
  <c r="AE1665" i="5"/>
  <c r="AA1665" i="5"/>
  <c r="AC1665" i="5" s="1"/>
  <c r="AE1472" i="5"/>
  <c r="AA1472" i="5"/>
  <c r="AC1472" i="5" s="1"/>
  <c r="AE1576" i="5"/>
  <c r="AA1576" i="5"/>
  <c r="AC1576" i="5" s="1"/>
  <c r="AE1762" i="5"/>
  <c r="AA1762" i="5"/>
  <c r="AC1762" i="5" s="1"/>
  <c r="AE1605" i="5"/>
  <c r="AA1605" i="5"/>
  <c r="AC1605" i="5" s="1"/>
  <c r="AE1561" i="5"/>
  <c r="AA1561" i="5"/>
  <c r="AC1561" i="5" s="1"/>
  <c r="K216" i="6"/>
  <c r="R216" i="6" s="1"/>
  <c r="AE1600" i="5"/>
  <c r="AA1600" i="5"/>
  <c r="AC1600" i="5" s="1"/>
  <c r="AE1545" i="5"/>
  <c r="AA1545" i="5"/>
  <c r="AC1545" i="5" s="1"/>
  <c r="AE1579" i="5"/>
  <c r="AA1579" i="5"/>
  <c r="AC1579" i="5" s="1"/>
  <c r="AE1597" i="5"/>
  <c r="AA1597" i="5"/>
  <c r="AC1597" i="5" s="1"/>
  <c r="AE1732" i="5"/>
  <c r="AA1732" i="5"/>
  <c r="AC1732" i="5" s="1"/>
  <c r="AE1595" i="5"/>
  <c r="AA1595" i="5"/>
  <c r="AC1595" i="5" s="1"/>
  <c r="AE1714" i="5"/>
  <c r="AA1714" i="5"/>
  <c r="AC1714" i="5" s="1"/>
  <c r="AE1530" i="5"/>
  <c r="AA1530" i="5"/>
  <c r="AC1530" i="5" s="1"/>
  <c r="AE1583" i="5"/>
  <c r="AA1583" i="5"/>
  <c r="AC1583" i="5" s="1"/>
  <c r="AE1684" i="5"/>
  <c r="AA1684" i="5"/>
  <c r="AC1684" i="5" s="1"/>
  <c r="AE1535" i="5"/>
  <c r="AA1535" i="5"/>
  <c r="AC1535" i="5" s="1"/>
  <c r="AE1525" i="5"/>
  <c r="AA1525" i="5"/>
  <c r="AC1525" i="5" s="1"/>
  <c r="AE1585" i="5"/>
  <c r="AA1585" i="5"/>
  <c r="AC1585" i="5" s="1"/>
  <c r="U237" i="6"/>
  <c r="V237" i="6" s="1"/>
  <c r="S237" i="6"/>
  <c r="AE1531" i="5"/>
  <c r="AA1531" i="5"/>
  <c r="AC1531" i="5" s="1"/>
  <c r="AE1744" i="5"/>
  <c r="AA1744" i="5"/>
  <c r="AC1744" i="5" s="1"/>
  <c r="AE1542" i="5"/>
  <c r="AA1542" i="5"/>
  <c r="AC1542" i="5" s="1"/>
  <c r="AE1486" i="5"/>
  <c r="AA1486" i="5"/>
  <c r="AC1486" i="5" s="1"/>
  <c r="AE1533" i="5"/>
  <c r="AA1533" i="5"/>
  <c r="AC1533" i="5" s="1"/>
  <c r="AE1667" i="5"/>
  <c r="AA1667" i="5"/>
  <c r="AB1667" i="5" s="1"/>
  <c r="AE1612" i="5"/>
  <c r="AA1612" i="5"/>
  <c r="AC1612" i="5" s="1"/>
  <c r="AE1726" i="5"/>
  <c r="AA1726" i="5"/>
  <c r="AC1726" i="5" s="1"/>
  <c r="S236" i="6"/>
  <c r="U236" i="6"/>
  <c r="V236" i="6" s="1"/>
  <c r="AE1708" i="5"/>
  <c r="AA1708" i="5"/>
  <c r="AC1708" i="5" s="1"/>
  <c r="AE1458" i="5"/>
  <c r="AA1458" i="5"/>
  <c r="AC1458" i="5" s="1"/>
  <c r="F45" i="9"/>
  <c r="AE1578" i="5"/>
  <c r="AA1578" i="5"/>
  <c r="AC1578" i="5" s="1"/>
  <c r="AA1552" i="5"/>
  <c r="AC1552" i="5" s="1"/>
  <c r="AE1552" i="5"/>
  <c r="AE1613" i="5"/>
  <c r="AA1613" i="5"/>
  <c r="AC1613" i="5" s="1"/>
  <c r="I232" i="6"/>
  <c r="H232" i="6" s="1"/>
  <c r="AE1569" i="5"/>
  <c r="AA1569" i="5"/>
  <c r="AC1569" i="5" s="1"/>
  <c r="AE1523" i="5"/>
  <c r="AA1523" i="5"/>
  <c r="AC1523" i="5" s="1"/>
  <c r="AE1539" i="5"/>
  <c r="AA1539" i="5"/>
  <c r="AC1539" i="5" s="1"/>
  <c r="AE1516" i="5"/>
  <c r="AA1516" i="5"/>
  <c r="AC1516" i="5" s="1"/>
  <c r="AE1601" i="5"/>
  <c r="AA1601" i="5"/>
  <c r="AC1601" i="5" s="1"/>
  <c r="L60" i="9"/>
  <c r="AE1720" i="5"/>
  <c r="AA1720" i="5"/>
  <c r="AC1720" i="5" s="1"/>
  <c r="AE1690" i="5"/>
  <c r="AA1690" i="5"/>
  <c r="AC1690" i="5" s="1"/>
  <c r="AE1543" i="5"/>
  <c r="AA1543" i="5"/>
  <c r="AC1543" i="5" s="1"/>
  <c r="AA1795" i="5"/>
  <c r="AE1756" i="5"/>
  <c r="AA1756" i="5"/>
  <c r="AC1756" i="5" s="1"/>
  <c r="AE1492" i="5"/>
  <c r="AA1492" i="5"/>
  <c r="AC1492" i="5" s="1"/>
  <c r="AE1629" i="5"/>
  <c r="AA1629" i="5"/>
  <c r="AC1629" i="5" s="1"/>
  <c r="U226" i="6" l="1"/>
  <c r="V226" i="6" s="1"/>
  <c r="S226" i="6"/>
  <c r="U216" i="6"/>
  <c r="V216" i="6" s="1"/>
  <c r="S216" i="6"/>
  <c r="AC1667" i="5"/>
  <c r="AE1795" i="5" s="1"/>
  <c r="A1805" i="5"/>
  <c r="D1806" i="5"/>
  <c r="Z1795" i="5"/>
  <c r="D1018" i="2" s="1"/>
  <c r="D1019" i="2" s="1"/>
  <c r="D1797" i="5" a="1"/>
  <c r="D1797" i="5" s="1"/>
  <c r="E1797" i="5" a="1"/>
  <c r="E1797" i="5" s="1"/>
  <c r="D1799" i="5" a="1"/>
  <c r="D1799" i="5" s="1"/>
  <c r="E1799" i="5" a="1"/>
  <c r="E1799" i="5" s="1"/>
  <c r="E1798" i="5" a="1"/>
  <c r="E1798" i="5" s="1"/>
  <c r="C1798" i="5" l="1"/>
</calcChain>
</file>

<file path=xl/comments1.xml><?xml version="1.0" encoding="utf-8"?>
<comments xmlns="http://schemas.openxmlformats.org/spreadsheetml/2006/main">
  <authors>
    <author/>
  </authors>
  <commentList>
    <comment ref="F11" authorId="0" shapeId="0">
      <text>
        <r>
          <rPr>
            <sz val="11"/>
            <color theme="1"/>
            <rFont val="Calibri"/>
            <family val="2"/>
            <scheme val="minor"/>
          </rPr>
          <t>SBI FD Intt rate for 46 days
======</t>
        </r>
      </text>
    </comment>
    <comment ref="D22" authorId="0" shapeId="0">
      <text>
        <r>
          <rPr>
            <sz val="11"/>
            <color theme="1"/>
            <rFont val="Calibri"/>
            <family val="2"/>
            <scheme val="minor"/>
          </rPr>
          <t>Kotak Ledger Balance + Amount hold for FNO Trade
======</t>
        </r>
      </text>
    </comment>
    <comment ref="H23" authorId="0" shapeId="0">
      <text>
        <r>
          <rPr>
            <sz val="11"/>
            <color theme="1"/>
            <rFont val="Calibri"/>
            <family val="2"/>
            <scheme val="minor"/>
          </rPr>
          <t>Count of days on which Profit earned
======</t>
        </r>
      </text>
    </comment>
    <comment ref="H24" authorId="0" shapeId="0">
      <text>
        <r>
          <rPr>
            <sz val="11"/>
            <color theme="1"/>
            <rFont val="Calibri"/>
            <family val="2"/>
            <scheme val="minor"/>
          </rPr>
          <t>Count of days on which Loss incurred
======</t>
        </r>
      </text>
    </comment>
    <comment ref="E31" authorId="0" shapeId="0">
      <text>
        <r>
          <rPr>
            <sz val="11"/>
            <color theme="1"/>
            <rFont val="Calibri"/>
            <family val="2"/>
            <scheme val="minor"/>
          </rPr>
          <t>Count of days on which Profit earned during the month
======</t>
        </r>
      </text>
    </comment>
    <comment ref="E32" authorId="0" shapeId="0">
      <text>
        <r>
          <rPr>
            <sz val="11"/>
            <color theme="1"/>
            <rFont val="Calibri"/>
            <family val="2"/>
            <scheme val="minor"/>
          </rPr>
          <t>Count of days on which Loss incurred during the month
======</t>
        </r>
      </text>
    </comment>
  </commentList>
</comments>
</file>

<file path=xl/comments2.xml><?xml version="1.0" encoding="utf-8"?>
<comments xmlns="http://schemas.openxmlformats.org/spreadsheetml/2006/main">
  <authors>
    <author/>
  </authors>
  <commentList>
    <comment ref="B7" authorId="0" shapeId="0">
      <text>
        <r>
          <rPr>
            <sz val="11"/>
            <color theme="1"/>
            <rFont val="Calibri"/>
            <family val="2"/>
            <scheme val="minor"/>
          </rPr>
          <t>575@26 Satya allotted
500@26 Sunita transferred from her demat
Minus bought 500@25 (plus charges extra) and transferred to her demat
======</t>
        </r>
      </text>
    </comment>
    <comment ref="B83" authorId="0" shapeId="0">
      <text>
        <r>
          <rPr>
            <sz val="11"/>
            <color theme="1"/>
            <rFont val="Calibri"/>
            <family val="2"/>
            <scheme val="minor"/>
          </rPr>
          <t>₹ -6292.52
======</t>
        </r>
      </text>
    </comment>
    <comment ref="B84" authorId="0" shapeId="0">
      <text>
        <r>
          <rPr>
            <sz val="11"/>
            <color theme="1"/>
            <rFont val="Calibri"/>
            <family val="2"/>
            <scheme val="minor"/>
          </rPr>
          <t>₹-2475.13
======</t>
        </r>
      </text>
    </comment>
    <comment ref="B86" authorId="0" shapeId="0">
      <text>
        <r>
          <rPr>
            <sz val="11"/>
            <color theme="1"/>
            <rFont val="Calibri"/>
            <family val="2"/>
            <scheme val="minor"/>
          </rPr>
          <t>₹-8779.35
======</t>
        </r>
      </text>
    </comment>
    <comment ref="B100" authorId="0" shapeId="0">
      <text>
        <r>
          <rPr>
            <sz val="11"/>
            <color theme="1"/>
            <rFont val="Calibri"/>
            <family val="2"/>
            <scheme val="minor"/>
          </rPr>
          <t>Debit for ofs application for 100@159.80 of ONGC ₹ 15,996.68 on 31-Mar-22
100 shown in T1 on 01-Apr-22 hence added in holding and amount deleted from here
======</t>
        </r>
      </text>
    </comment>
    <comment ref="B109" authorId="0" shapeId="0">
      <text>
        <r>
          <rPr>
            <sz val="11"/>
            <color theme="1"/>
            <rFont val="Calibri"/>
            <family val="2"/>
            <scheme val="minor"/>
          </rPr>
          <t>Debit for ofs application for 280@800 of INEOSSTYRO ₹224,231.50
280 shown in T1 on 20-Apr-22 hence added in holding and amount deleted from here
======</t>
        </r>
      </text>
    </comment>
    <comment ref="C109" authorId="0" shapeId="0">
      <text>
        <r>
          <rPr>
            <sz val="11"/>
            <color theme="1"/>
            <rFont val="Calibri"/>
            <family val="2"/>
            <scheme val="minor"/>
          </rPr>
          <t>INEOS Styrolution India Ltd
======</t>
        </r>
      </text>
    </comment>
    <comment ref="A122" authorId="0" shapeId="0">
      <text>
        <r>
          <rPr>
            <sz val="11"/>
            <color theme="1"/>
            <rFont val="Calibri"/>
            <family val="2"/>
            <scheme val="minor"/>
          </rPr>
          <t>Due to an error by SBI the amount was debited on 13-May-22
======</t>
        </r>
      </text>
    </comment>
    <comment ref="F234" authorId="0" shapeId="0">
      <text>
        <r>
          <rPr>
            <sz val="11"/>
            <color theme="1"/>
            <rFont val="Calibri"/>
            <family val="2"/>
            <scheme val="minor"/>
          </rPr>
          <t>SBI FD Intt rate for 46 days
======</t>
        </r>
      </text>
    </comment>
    <comment ref="C254" authorId="0" shapeId="0">
      <text>
        <r>
          <rPr>
            <sz val="11"/>
            <color theme="1"/>
            <rFont val="Calibri"/>
            <family val="2"/>
            <scheme val="minor"/>
          </rPr>
          <t>Short Delivery BoM &amp; IOB
======</t>
        </r>
      </text>
    </comment>
    <comment ref="K322" authorId="0" shapeId="0">
      <text>
        <r>
          <rPr>
            <sz val="11"/>
            <color theme="1"/>
            <rFont val="Calibri"/>
            <family val="2"/>
            <scheme val="minor"/>
          </rPr>
          <t>Off Market shares Transfer Charges. Transferred through CDSL Easiest on 12-07-2021
======</t>
        </r>
      </text>
    </comment>
    <comment ref="K334" authorId="0" shapeId="0">
      <text>
        <r>
          <rPr>
            <sz val="11"/>
            <color theme="1"/>
            <rFont val="Calibri"/>
            <family val="2"/>
            <scheme val="minor"/>
          </rPr>
          <t>Noted in Satya's AMC etc charges
======</t>
        </r>
      </text>
    </comment>
    <comment ref="K360" authorId="0" shapeId="0">
      <text>
        <r>
          <rPr>
            <sz val="11"/>
            <color theme="1"/>
            <rFont val="Calibri"/>
            <family val="2"/>
            <scheme val="minor"/>
          </rPr>
          <t>Noted in Satya's AMC etc charges
======</t>
        </r>
      </text>
    </comment>
    <comment ref="K380" authorId="0" shapeId="0">
      <text>
        <r>
          <rPr>
            <sz val="11"/>
            <color theme="1"/>
            <rFont val="Calibri"/>
            <family val="2"/>
            <scheme val="minor"/>
          </rPr>
          <t>Debited on 02/12/2021
======</t>
        </r>
      </text>
    </comment>
    <comment ref="K426" authorId="0" shapeId="0">
      <text>
        <r>
          <rPr>
            <sz val="11"/>
            <color theme="1"/>
            <rFont val="Calibri"/>
            <family val="2"/>
            <scheme val="minor"/>
          </rPr>
          <t>AMC for Demat Account for 02-06-2021 to 31-08-2021
Noted in Satya's AMC etc charges
======</t>
        </r>
      </text>
    </comment>
    <comment ref="K435" authorId="0" shapeId="0">
      <text>
        <r>
          <rPr>
            <sz val="11"/>
            <color theme="1"/>
            <rFont val="Calibri"/>
            <family val="2"/>
            <scheme val="minor"/>
          </rPr>
          <t>AMC for Demat Account for 01-09-2021 to 30-11-2021
Noted in Satya's AMC etc charges
======</t>
        </r>
      </text>
    </comment>
    <comment ref="D1008" authorId="0" shapeId="0">
      <text>
        <r>
          <rPr>
            <sz val="11"/>
            <color theme="1"/>
            <rFont val="Calibri"/>
            <family val="2"/>
            <scheme val="minor"/>
          </rPr>
          <t>Kotak Ledger Balance + Amount hold for FNO Trade
======</t>
        </r>
      </text>
    </comment>
    <comment ref="F1008" authorId="0" shapeId="0">
      <text>
        <r>
          <rPr>
            <sz val="11"/>
            <color theme="1"/>
            <rFont val="Calibri"/>
            <family val="2"/>
            <scheme val="minor"/>
          </rPr>
          <t>Increase/Decrease in Investment over Previous Day
======</t>
        </r>
      </text>
    </comment>
    <comment ref="H1010" authorId="0" shapeId="0">
      <text>
        <r>
          <rPr>
            <sz val="11"/>
            <color theme="1"/>
            <rFont val="Calibri"/>
            <family val="2"/>
            <scheme val="minor"/>
          </rPr>
          <t>Count of days on which Profit earned
======</t>
        </r>
      </text>
    </comment>
    <comment ref="H1011" authorId="0" shapeId="0">
      <text>
        <r>
          <rPr>
            <sz val="11"/>
            <color theme="1"/>
            <rFont val="Calibri"/>
            <family val="2"/>
            <scheme val="minor"/>
          </rPr>
          <t>Count of days on which Loss incurred
======</t>
        </r>
      </text>
    </comment>
    <comment ref="E1017" authorId="0" shapeId="0">
      <text>
        <r>
          <rPr>
            <sz val="11"/>
            <color theme="1"/>
            <rFont val="Calibri"/>
            <family val="2"/>
            <scheme val="minor"/>
          </rPr>
          <t>Count of days on which Profit earned during the month
======</t>
        </r>
      </text>
    </comment>
    <comment ref="E1018" authorId="0" shapeId="0">
      <text>
        <r>
          <rPr>
            <sz val="11"/>
            <color theme="1"/>
            <rFont val="Calibri"/>
            <family val="2"/>
            <scheme val="minor"/>
          </rPr>
          <t>Count of days on which Loss incurred during the month
======</t>
        </r>
      </text>
    </comment>
    <comment ref="D1026" authorId="0" shapeId="0">
      <text>
        <r>
          <rPr>
            <sz val="11"/>
            <color theme="1"/>
            <rFont val="Calibri"/>
            <family val="2"/>
            <scheme val="minor"/>
          </rPr>
          <t>Already considered in Gross P&amp;L above while reconciling broker balances on daily basis
======</t>
        </r>
      </text>
    </comment>
  </commentList>
</comments>
</file>

<file path=xl/comments3.xml><?xml version="1.0" encoding="utf-8"?>
<comments xmlns="http://schemas.openxmlformats.org/spreadsheetml/2006/main">
  <authors>
    <author/>
  </authors>
  <commentList>
    <comment ref="F17" authorId="0" shapeId="0">
      <text>
        <r>
          <rPr>
            <sz val="11"/>
            <color theme="1"/>
            <rFont val="Calibri"/>
            <family val="2"/>
            <scheme val="minor"/>
          </rPr>
          <t>SBI FD Intt rate for 46 days
======</t>
        </r>
      </text>
    </comment>
    <comment ref="D97" authorId="0" shapeId="0">
      <text>
        <r>
          <rPr>
            <sz val="11"/>
            <color theme="1"/>
            <rFont val="Calibri"/>
            <family val="2"/>
            <scheme val="minor"/>
          </rPr>
          <t>Kotak Ledger Balance + Amount hold for FNO Trade
======</t>
        </r>
      </text>
    </comment>
    <comment ref="H98" authorId="0" shapeId="0">
      <text>
        <r>
          <rPr>
            <sz val="11"/>
            <color theme="1"/>
            <rFont val="Calibri"/>
            <family val="2"/>
            <scheme val="minor"/>
          </rPr>
          <t>Count of days on which Profit earned
======</t>
        </r>
      </text>
    </comment>
    <comment ref="H99" authorId="0" shapeId="0">
      <text>
        <r>
          <rPr>
            <sz val="11"/>
            <color theme="1"/>
            <rFont val="Calibri"/>
            <family val="2"/>
            <scheme val="minor"/>
          </rPr>
          <t>Count of days on which Loss incurred
======</t>
        </r>
      </text>
    </comment>
    <comment ref="E106" authorId="0" shapeId="0">
      <text>
        <r>
          <rPr>
            <sz val="11"/>
            <color theme="1"/>
            <rFont val="Calibri"/>
            <family val="2"/>
            <scheme val="minor"/>
          </rPr>
          <t>Count of days on which Profit earned during the month
======</t>
        </r>
      </text>
    </comment>
    <comment ref="E107" authorId="0" shapeId="0">
      <text>
        <r>
          <rPr>
            <sz val="11"/>
            <color theme="1"/>
            <rFont val="Calibri"/>
            <family val="2"/>
            <scheme val="minor"/>
          </rPr>
          <t>Count of days on which Loss incurred during the month
======</t>
        </r>
      </text>
    </comment>
  </commentList>
</comments>
</file>

<file path=xl/comments4.xml><?xml version="1.0" encoding="utf-8"?>
<comments xmlns="http://schemas.openxmlformats.org/spreadsheetml/2006/main">
  <authors>
    <author/>
  </authors>
  <commentList>
    <comment ref="L1432" authorId="0" shapeId="0">
      <text>
        <r>
          <rPr>
            <sz val="11"/>
            <color theme="1"/>
            <rFont val="Calibri"/>
            <family val="2"/>
            <scheme val="minor"/>
          </rPr>
          <t>Orders
Buy+Sell Constitute One complete order if both rates are entered. If only Buy or Sell rate is entered shall make one partially complete order and make it a fully complete order when other rate (Buy/Sell) is entered in any next trading session, however brokerage will be calculated accordingly for partially or fully complete order on any particular day
======</t>
        </r>
      </text>
    </comment>
    <comment ref="A1435" authorId="0" shapeId="0">
      <text>
        <r>
          <rPr>
            <sz val="11"/>
            <color theme="1"/>
            <rFont val="Calibri"/>
            <family val="2"/>
            <scheme val="minor"/>
          </rPr>
          <t>Bought on 28-Jan-22
======</t>
        </r>
      </text>
    </comment>
    <comment ref="B1792" authorId="0" shapeId="0">
      <text>
        <r>
          <rPr>
            <sz val="11"/>
            <color theme="1"/>
            <rFont val="Calibri"/>
            <family val="2"/>
            <scheme val="minor"/>
          </rPr>
          <t>Intraday
======</t>
        </r>
      </text>
    </comment>
    <comment ref="C1792" authorId="0" shapeId="0">
      <text>
        <r>
          <rPr>
            <sz val="11"/>
            <color theme="1"/>
            <rFont val="Calibri"/>
            <family val="2"/>
            <scheme val="minor"/>
          </rPr>
          <t>Last Intraday Qty
======</t>
        </r>
      </text>
    </comment>
    <comment ref="Z1793" authorId="0" shapeId="0">
      <text>
        <r>
          <rPr>
            <sz val="11"/>
            <color theme="1"/>
            <rFont val="Calibri"/>
            <family val="2"/>
            <scheme val="minor"/>
          </rPr>
          <t>Buy/Sell during the period for Satya
======</t>
        </r>
      </text>
    </comment>
    <comment ref="AA1793" authorId="0" shapeId="0">
      <text>
        <r>
          <rPr>
            <sz val="11"/>
            <color theme="1"/>
            <rFont val="Calibri"/>
            <family val="2"/>
            <scheme val="minor"/>
          </rPr>
          <t>Buy/Sell during the period for Sunita
======</t>
        </r>
      </text>
    </comment>
    <comment ref="I1794" authorId="0" shapeId="0">
      <text>
        <r>
          <rPr>
            <sz val="11"/>
            <color theme="1"/>
            <rFont val="Calibri"/>
            <family val="2"/>
            <scheme val="minor"/>
          </rPr>
          <t>Total Intraday Transactions
======</t>
        </r>
      </text>
    </comment>
    <comment ref="Z1794" authorId="0" shapeId="0">
      <text>
        <r>
          <rPr>
            <sz val="11"/>
            <color theme="1"/>
            <rFont val="Calibri"/>
            <family val="2"/>
            <scheme val="minor"/>
          </rPr>
          <t>Intraday during the period for Satya
======</t>
        </r>
      </text>
    </comment>
    <comment ref="AA1794" authorId="0" shapeId="0">
      <text>
        <r>
          <rPr>
            <sz val="11"/>
            <color theme="1"/>
            <rFont val="Calibri"/>
            <family val="2"/>
            <scheme val="minor"/>
          </rPr>
          <t>Intraday during the period for Sunita
======</t>
        </r>
      </text>
    </comment>
    <comment ref="Z1795" authorId="0" shapeId="0">
      <text>
        <r>
          <rPr>
            <sz val="11"/>
            <color theme="1"/>
            <rFont val="Calibri"/>
            <family val="2"/>
            <scheme val="minor"/>
          </rPr>
          <t>F&amp;O on Zerodha A/c during the period for Satya
======</t>
        </r>
      </text>
    </comment>
    <comment ref="AA1795" authorId="0" shapeId="0">
      <text>
        <r>
          <rPr>
            <sz val="11"/>
            <color theme="1"/>
            <rFont val="Calibri"/>
            <family val="2"/>
            <scheme val="minor"/>
          </rPr>
          <t>Zerodha Total Charges
======</t>
        </r>
      </text>
    </comment>
    <comment ref="AB1795" authorId="0" shapeId="0">
      <text>
        <r>
          <rPr>
            <sz val="11"/>
            <color theme="1"/>
            <rFont val="Calibri"/>
            <family val="2"/>
            <scheme val="minor"/>
          </rPr>
          <t>Zerodha Brokerages
======</t>
        </r>
      </text>
    </comment>
    <comment ref="C1796" authorId="0" shapeId="0">
      <text>
        <r>
          <rPr>
            <sz val="11"/>
            <color theme="1"/>
            <rFont val="Calibri"/>
            <family val="2"/>
            <scheme val="minor"/>
          </rPr>
          <t>Stock Specific Futures &amp; Options
======</t>
        </r>
      </text>
    </comment>
    <comment ref="Z1796" authorId="0" shapeId="0">
      <text>
        <r>
          <rPr>
            <sz val="11"/>
            <color theme="1"/>
            <rFont val="Calibri"/>
            <family val="2"/>
            <scheme val="minor"/>
          </rPr>
          <t>F&amp;O on Dhan A/c during the period for Satya
======</t>
        </r>
      </text>
    </comment>
    <comment ref="AA1796" authorId="0" shapeId="0">
      <text>
        <r>
          <rPr>
            <sz val="11"/>
            <color theme="1"/>
            <rFont val="Calibri"/>
            <family val="2"/>
            <scheme val="minor"/>
          </rPr>
          <t>Dhan Total Charges
======</t>
        </r>
      </text>
    </comment>
    <comment ref="AB1796" authorId="0" shapeId="0">
      <text>
        <r>
          <rPr>
            <sz val="11"/>
            <color theme="1"/>
            <rFont val="Calibri"/>
            <family val="2"/>
            <scheme val="minor"/>
          </rPr>
          <t>Dhan Brokerages
======</t>
        </r>
      </text>
    </comment>
    <comment ref="D1797" authorId="0" shapeId="0">
      <text>
        <r>
          <rPr>
            <sz val="11"/>
            <color theme="1"/>
            <rFont val="Calibri"/>
            <family val="2"/>
            <scheme val="minor"/>
          </rPr>
          <t>Second to Last Value
======</t>
        </r>
      </text>
    </comment>
    <comment ref="E1797" authorId="0" shapeId="0">
      <text>
        <r>
          <rPr>
            <sz val="11"/>
            <color theme="1"/>
            <rFont val="Calibri"/>
            <family val="2"/>
            <scheme val="minor"/>
          </rPr>
          <t>Second to Last Row Number
======</t>
        </r>
      </text>
    </comment>
    <comment ref="Z1797" authorId="0" shapeId="0">
      <text>
        <r>
          <rPr>
            <sz val="11"/>
            <color theme="1"/>
            <rFont val="Calibri"/>
            <family val="2"/>
            <scheme val="minor"/>
          </rPr>
          <t>F&amp;O on Kotak A/c during the period for Satya
======</t>
        </r>
      </text>
    </comment>
    <comment ref="AA1797" authorId="0" shapeId="0">
      <text>
        <r>
          <rPr>
            <sz val="11"/>
            <color theme="1"/>
            <rFont val="Calibri"/>
            <family val="2"/>
            <scheme val="minor"/>
          </rPr>
          <t>Kotak Total Charges
======</t>
        </r>
      </text>
    </comment>
    <comment ref="AB1797" authorId="0" shapeId="0">
      <text>
        <r>
          <rPr>
            <sz val="11"/>
            <color theme="1"/>
            <rFont val="Calibri"/>
            <family val="2"/>
            <scheme val="minor"/>
          </rPr>
          <t>Kotak Brokerages
======</t>
        </r>
      </text>
    </comment>
    <comment ref="AC1797" authorId="0" shapeId="0">
      <text>
        <r>
          <rPr>
            <sz val="11"/>
            <color theme="1"/>
            <rFont val="Calibri"/>
            <family val="2"/>
            <scheme val="minor"/>
          </rPr>
          <t>Paid to OPP ₹ 2000
======</t>
        </r>
      </text>
    </comment>
    <comment ref="AD1797" authorId="0" shapeId="0">
      <text>
        <r>
          <rPr>
            <sz val="11"/>
            <color theme="1"/>
            <rFont val="Calibri"/>
            <family val="2"/>
            <scheme val="minor"/>
          </rPr>
          <t>Paid to Golden Investment Services
======</t>
        </r>
      </text>
    </comment>
    <comment ref="AE1797" authorId="0" shapeId="0">
      <text>
        <r>
          <rPr>
            <sz val="11"/>
            <color theme="1"/>
            <rFont val="Calibri"/>
            <family val="2"/>
            <scheme val="minor"/>
          </rPr>
          <t>Intraday Loss through Golden
======</t>
        </r>
      </text>
    </comment>
    <comment ref="D1798" authorId="0" shapeId="0">
      <text>
        <r>
          <rPr>
            <sz val="11"/>
            <color theme="1"/>
            <rFont val="Calibri"/>
            <family val="2"/>
            <scheme val="minor"/>
          </rPr>
          <t>Last Value
======</t>
        </r>
      </text>
    </comment>
    <comment ref="E1798" authorId="0" shapeId="0">
      <text>
        <r>
          <rPr>
            <sz val="11"/>
            <color theme="1"/>
            <rFont val="Calibri"/>
            <family val="2"/>
            <scheme val="minor"/>
          </rPr>
          <t>Last Row Number
======</t>
        </r>
      </text>
    </comment>
    <comment ref="D1799" authorId="0" shapeId="0">
      <text>
        <r>
          <rPr>
            <sz val="11"/>
            <color theme="1"/>
            <rFont val="Calibri"/>
            <family val="2"/>
            <scheme val="minor"/>
          </rPr>
          <t>Last Value with condition "&lt;&gt;0" in Column 'L' &amp; 'M' 
======</t>
        </r>
      </text>
    </comment>
    <comment ref="E1799" authorId="0" shapeId="0">
      <text>
        <r>
          <rPr>
            <sz val="11"/>
            <color theme="1"/>
            <rFont val="Calibri"/>
            <family val="2"/>
            <scheme val="minor"/>
          </rPr>
          <t>Last Row Number with condition "&lt;&gt;0" in Column 'L' &amp; 'M' 
======</t>
        </r>
      </text>
    </comment>
    <comment ref="I1799" authorId="0" shapeId="0">
      <text>
        <r>
          <rPr>
            <sz val="11"/>
            <color theme="1"/>
            <rFont val="Calibri"/>
            <family val="2"/>
            <scheme val="minor"/>
          </rPr>
          <t>Stocks (All) Futures &amp; Options
======</t>
        </r>
      </text>
    </comment>
    <comment ref="I1800" authorId="0" shapeId="0">
      <text>
        <r>
          <rPr>
            <sz val="11"/>
            <color theme="1"/>
            <rFont val="Calibri"/>
            <family val="2"/>
            <scheme val="minor"/>
          </rPr>
          <t>Indices Futures &amp; Options
======</t>
        </r>
      </text>
    </comment>
    <comment ref="AE1803" authorId="0" shapeId="0">
      <text>
        <r>
          <rPr>
            <sz val="11"/>
            <color theme="1"/>
            <rFont val="Calibri"/>
            <family val="2"/>
            <scheme val="minor"/>
          </rPr>
          <t>In the normal course this cell will show the amount of transactions settled today. But to get Net Profit/Loss of transactions settled today but Bought/Sold earlier, change date of FNO transaction(s) which were Bought/Sold earlier.
======</t>
        </r>
      </text>
    </comment>
    <comment ref="G1815" authorId="0" shapeId="0">
      <text>
        <r>
          <rPr>
            <sz val="11"/>
            <color theme="1"/>
            <rFont val="Calibri"/>
            <family val="2"/>
            <scheme val="minor"/>
          </rPr>
          <t>======
ID#AAAAUIdXmUA
Satya Gupta    (2021-11-03 11:20:21)
For each Order</t>
        </r>
      </text>
    </comment>
    <comment ref="J1821" authorId="0" shapeId="0">
      <text>
        <r>
          <rPr>
            <sz val="11"/>
            <color theme="1"/>
            <rFont val="Calibri"/>
            <family val="2"/>
            <scheme val="minor"/>
          </rPr>
          <t>ETC for X, XC, XD, XT, Z, ZP groups
======</t>
        </r>
      </text>
    </comment>
  </commentList>
  <extLst>
    <ext xmlns:r="http://schemas.openxmlformats.org/officeDocument/2006/relationships" uri="GoogleSheetsCustomDataVersion1">
      <go:sheetsCustomData xmlns:go="http://customooxmlschemas.google.com/" r:id="rId1" roundtripDataSignature="AMtx7mj2ud9zcMu690TOH/RuMiuF4C3SZw=="/>
    </ext>
  </extLst>
</comments>
</file>

<file path=xl/comments5.xml><?xml version="1.0" encoding="utf-8"?>
<comments xmlns="http://schemas.openxmlformats.org/spreadsheetml/2006/main">
  <authors>
    <author/>
  </authors>
  <commentList>
    <comment ref="I1" authorId="0" shapeId="0">
      <text>
        <r>
          <rPr>
            <sz val="11"/>
            <color theme="1"/>
            <rFont val="Calibri"/>
            <family val="2"/>
            <scheme val="minor"/>
          </rPr>
          <t>======
ID#AAAARGJ9sDc
S.P.Gupta    (2021-05-08 13:22:51)
Per Share</t>
        </r>
      </text>
    </comment>
    <comment ref="B4" authorId="0" shapeId="0">
      <text>
        <r>
          <rPr>
            <sz val="11"/>
            <color theme="1"/>
            <rFont val="Calibri"/>
            <family val="2"/>
            <scheme val="minor"/>
          </rPr>
          <t>======
ID#AAAARF3BEpw
Issue Size    (2021-05-08 13:22:51)
100,000,000 Total Shares for Public out of which
10,000,000 Reserved for Employees &amp; 
10,000,000 Reserved for Existing Shareholders 
@price band of Rs.75-82 in the multiples of 75 Shares
Issue size for General Public Rs. 6560 mn (656 Crore)</t>
        </r>
      </text>
    </comment>
    <comment ref="T7" authorId="0" shapeId="0">
      <text>
        <r>
          <rPr>
            <sz val="11"/>
            <color theme="1"/>
            <rFont val="Calibri"/>
            <family val="2"/>
            <scheme val="minor"/>
          </rPr>
          <t>======
ID#AAAARGJ9sCU
S.P.Gupta    (2021-05-08 13:22:51)
Adjusted against Sale of the even date</t>
        </r>
      </text>
    </comment>
    <comment ref="B8" authorId="0" shapeId="0">
      <text>
        <r>
          <rPr>
            <sz val="11"/>
            <color theme="1"/>
            <rFont val="Calibri"/>
            <family val="2"/>
            <scheme val="minor"/>
          </rPr>
          <t>======
ID#AAAARGJ9sDY
Issue Size    (2021-05-08 13:22:51)
50,000,000 Shares for Public
@ price band of Rs.46-50 in the multiples of 125 Shares
Issue size for Public Rs.2500 mn (250 Crore)
New Issue trade started on 01/08/2005
(after 19 days from the close of issue on 12/07/2005)</t>
        </r>
      </text>
    </comment>
    <comment ref="D8" authorId="0" shapeId="0">
      <text>
        <r>
          <rPr>
            <sz val="11"/>
            <color theme="1"/>
            <rFont val="Calibri"/>
            <family val="2"/>
            <scheme val="minor"/>
          </rPr>
          <t>======
ID#AAAARF3BEpg
S.P.Gupta    (2021-05-08 13:22:51)
125 shares,i.e.50% of application quantity allotted hence investment proportionnately reduced</t>
        </r>
      </text>
    </comment>
    <comment ref="R8" authorId="0" shapeId="0">
      <text>
        <r>
          <rPr>
            <sz val="11"/>
            <color theme="1"/>
            <rFont val="Calibri"/>
            <family val="2"/>
            <scheme val="minor"/>
          </rPr>
          <t>======
ID#AAAARGJ9sBg
S.P.Gupta    (2021-05-08 13:22:51)
50% of application amount refunded, credit given on
12/08/2005</t>
        </r>
      </text>
    </comment>
    <comment ref="B10" authorId="0" shapeId="0">
      <text>
        <r>
          <rPr>
            <sz val="11"/>
            <color theme="1"/>
            <rFont val="Calibri"/>
            <family val="2"/>
            <scheme val="minor"/>
          </rPr>
          <t>======
ID#AAAARFjorzQ
Issue Size    (2021-05-08 13:22:51)
406,600,000 Shares for Public
@ price band of Rs.29-34 in multiples of 200 Shares
Issue size for Public Rs. 13,722.4 mn (1372.24 Crore)
35%, i.e. Rs.480 Crore of the issue available for Retail Individual Bidders
New Issue trade started on 11/08/2005
(after 19 days from the close of issue on 22/07/2005)</t>
        </r>
      </text>
    </comment>
    <comment ref="R10" authorId="0" shapeId="0">
      <text>
        <r>
          <rPr>
            <sz val="11"/>
            <color theme="1"/>
            <rFont val="Calibri"/>
            <family val="2"/>
            <scheme val="minor"/>
          </rPr>
          <t>======
ID#AAAARF3BEpI
S.P.Gupta    (2021-05-08 13:22:51)
100% of application amount refunded, credit given on
23/08/2005</t>
        </r>
      </text>
    </comment>
    <comment ref="B22" authorId="0" shapeId="0">
      <text>
        <r>
          <rPr>
            <sz val="11"/>
            <color theme="1"/>
            <rFont val="Calibri"/>
            <family val="2"/>
            <scheme val="minor"/>
          </rPr>
          <t>======
ID#AAAARGJ9sBw
Issue Size    (2021-05-08 13:22:51)
Aggregating to Rs. 50 Crore
@ price band of Rs.90-102 in multiples of 60 Shares
25%, i.e. Rs.12.50 Crore of the issue available for Retail Individual Bidders
New Issue trade started on 28/09/2005
(after 19 days from the close of issue on 09/09/2005)</t>
        </r>
      </text>
    </comment>
    <comment ref="R22" authorId="0" shapeId="0">
      <text>
        <r>
          <rPr>
            <sz val="11"/>
            <color theme="1"/>
            <rFont val="Calibri"/>
            <family val="2"/>
            <scheme val="minor"/>
          </rPr>
          <t>======
ID#AAAARF3BEpE
S.P.Gupta    (2021-05-08 13:22:51)
100% of application amount refunded, credit given on
23/08/2005</t>
        </r>
      </text>
    </comment>
    <comment ref="T35" authorId="0" shapeId="0">
      <text>
        <r>
          <rPr>
            <sz val="11"/>
            <color theme="1"/>
            <rFont val="Calibri"/>
            <family val="2"/>
            <scheme val="minor"/>
          </rPr>
          <t>======
ID#AAAARGJ9sDA
S.P.Gupta    (2021-05-08 13:22:51)
Adjusted against Sale of the even date</t>
        </r>
      </text>
    </comment>
    <comment ref="B104" authorId="0" shapeId="0">
      <text>
        <r>
          <rPr>
            <sz val="11"/>
            <color theme="1"/>
            <rFont val="Calibri"/>
            <family val="2"/>
            <scheme val="minor"/>
          </rPr>
          <t>======
ID#AAAARFjorzM
S.P.Gupta    (2021-05-08 13:22:51)
Allotment in IPO</t>
        </r>
      </text>
    </comment>
    <comment ref="B105" authorId="0" shapeId="0">
      <text>
        <r>
          <rPr>
            <sz val="11"/>
            <color theme="1"/>
            <rFont val="Calibri"/>
            <family val="2"/>
            <scheme val="minor"/>
          </rPr>
          <t>======
ID#AAAARF3BEpQ
S.P.Gupta    (2021-05-08 13:22:51)
Allotment in IPO</t>
        </r>
      </text>
    </comment>
    <comment ref="B117" authorId="0" shapeId="0">
      <text>
        <r>
          <rPr>
            <sz val="11"/>
            <color theme="1"/>
            <rFont val="Calibri"/>
            <family val="2"/>
            <scheme val="minor"/>
          </rPr>
          <t>======
ID#AAAARGJ9sDI
S.P.Gupta    (2021-05-08 13:22:51)
1:1 Bonus Allotment</t>
        </r>
      </text>
    </comment>
    <comment ref="B119" authorId="0" shapeId="0">
      <text>
        <r>
          <rPr>
            <sz val="11"/>
            <color theme="1"/>
            <rFont val="Calibri"/>
            <family val="2"/>
            <scheme val="minor"/>
          </rPr>
          <t>======
ID#AAAARF3BEp4
S.P.Gupta    (2021-05-08 13:22:51)
1:1 Bonus Allotment</t>
        </r>
      </text>
    </comment>
    <comment ref="B120" authorId="0" shapeId="0">
      <text>
        <r>
          <rPr>
            <sz val="11"/>
            <color theme="1"/>
            <rFont val="Calibri"/>
            <family val="2"/>
            <scheme val="minor"/>
          </rPr>
          <t>======
ID#AAAARGJ9sDE
S.P.Gupta    (2021-05-08 13:22:51)
1:1 Bonus Allotment</t>
        </r>
      </text>
    </comment>
    <comment ref="B121" authorId="0" shapeId="0">
      <text>
        <r>
          <rPr>
            <sz val="11"/>
            <color theme="1"/>
            <rFont val="Calibri"/>
            <family val="2"/>
            <scheme val="minor"/>
          </rPr>
          <t>======
ID#AAAARGJ9sCY
S.P.Gupta    (2021-05-08 13:22:51)
1:1 Bonus Allotment</t>
        </r>
      </text>
    </comment>
    <comment ref="I131" authorId="0" shapeId="0">
      <text>
        <r>
          <rPr>
            <sz val="11"/>
            <color theme="1"/>
            <rFont val="Calibri"/>
            <family val="2"/>
            <scheme val="minor"/>
          </rPr>
          <t>======
ID#AAAARF3BEpY
S.P.Gupta    (2021-05-08 13:22:51)
Per Share</t>
        </r>
      </text>
    </comment>
    <comment ref="U133" authorId="0" shapeId="0">
      <text>
        <r>
          <rPr>
            <sz val="11"/>
            <color theme="1"/>
            <rFont val="Calibri"/>
            <family val="2"/>
            <scheme val="minor"/>
          </rPr>
          <t>======
ID#AAAARF3BEps
S.P.Gupta    (2021-05-08 13:22:51)
The income of Rs 224.00, being value of fraction 0.3750 received on amalgamation of the company (credited in SB A/c on 25/11/05), has been added into the total of this column, however, to know net profit/ loss on this particular scrip this amount (Rs.224) may separately be deducted from this cell's amount.</t>
        </r>
      </text>
    </comment>
    <comment ref="T139" authorId="0" shapeId="0">
      <text>
        <r>
          <rPr>
            <sz val="11"/>
            <color theme="1"/>
            <rFont val="Calibri"/>
            <family val="2"/>
            <scheme val="minor"/>
          </rPr>
          <t>======
ID#AAAARGJ9sB4
S.P.Gupta    (2021-05-08 13:22:51)
Adjusted against purchases of 19/07 &amp; 20/07, hence recd date is same day as that of pay date</t>
        </r>
      </text>
    </comment>
    <comment ref="T145" authorId="0" shapeId="0">
      <text>
        <r>
          <rPr>
            <sz val="11"/>
            <color theme="1"/>
            <rFont val="Calibri"/>
            <family val="2"/>
            <scheme val="minor"/>
          </rPr>
          <t>======
ID#AAAARF3BEp0
S.P.Gupta    (2021-05-08 13:22:51)
Adjusted against purchases whose 'pay date' is 18/09/05 hence 'recd date' is same as 'pay date'</t>
        </r>
      </text>
    </comment>
    <comment ref="T147" authorId="0" shapeId="0">
      <text>
        <r>
          <rPr>
            <sz val="11"/>
            <color theme="1"/>
            <rFont val="Calibri"/>
            <family val="2"/>
            <scheme val="minor"/>
          </rPr>
          <t>======
ID#AAAARGJ9sC8
S.P.Gupta    (2021-05-08 13:22:51)
Adjusted against purchases of 02/09/05, hence recd date is same day as that of pay date</t>
        </r>
      </text>
    </comment>
    <comment ref="T158" authorId="0" shapeId="0">
      <text>
        <r>
          <rPr>
            <sz val="11"/>
            <color theme="1"/>
            <rFont val="Calibri"/>
            <family val="2"/>
            <scheme val="minor"/>
          </rPr>
          <t>======
ID#AAAARGJ9sBY
S.P.Gupta    (2021-05-08 13:22:51)
Adjusted against purchases whose 'pay date' is 18/09/05 hence 'recd date' is same as 'pay date'</t>
        </r>
      </text>
    </comment>
    <comment ref="T159" authorId="0" shapeId="0">
      <text>
        <r>
          <rPr>
            <sz val="11"/>
            <color theme="1"/>
            <rFont val="Calibri"/>
            <family val="2"/>
            <scheme val="minor"/>
          </rPr>
          <t>======
ID#AAAARF3BEpc
S.P.Gupta    (2021-05-08 13:22:51)
Adjusted against purchases whose 'pay date' is 18/09/05 hence 'recd date' is same as 'pay date'</t>
        </r>
      </text>
    </comment>
    <comment ref="T160" authorId="0" shapeId="0">
      <text>
        <r>
          <rPr>
            <sz val="11"/>
            <color theme="1"/>
            <rFont val="Calibri"/>
            <family val="2"/>
            <scheme val="minor"/>
          </rPr>
          <t>======
ID#AAAARGJ9sBk
S.P.Gupta    (2021-05-08 13:22:51)
Adjusted against purchases whose 'pay date' is 18/09/05 hence 'recd date' is same as 'pay date'</t>
        </r>
      </text>
    </comment>
    <comment ref="T161" authorId="0" shapeId="0">
      <text>
        <r>
          <rPr>
            <sz val="11"/>
            <color theme="1"/>
            <rFont val="Calibri"/>
            <family val="2"/>
            <scheme val="minor"/>
          </rPr>
          <t>======
ID#AAAARGJ9sCk
S.P.Gupta    (2021-05-08 13:22:51)
Adjusted against purchases whose 'pay date' is 18/09/05 hence 'recd date' is same as 'pay date'</t>
        </r>
      </text>
    </comment>
    <comment ref="T163" authorId="0" shapeId="0">
      <text>
        <r>
          <rPr>
            <sz val="11"/>
            <color theme="1"/>
            <rFont val="Calibri"/>
            <family val="2"/>
            <scheme val="minor"/>
          </rPr>
          <t>======
ID#AAAARGJ9sB8
S.P.Gupta    (2021-05-08 13:22:51)
Adjusted against purchases whose 'pay date' is 18/09/05 but recd date is changed to 19/09/05 to prevent divisibility by zero days</t>
        </r>
      </text>
    </comment>
    <comment ref="T167" authorId="0" shapeId="0">
      <text>
        <r>
          <rPr>
            <sz val="11"/>
            <color theme="1"/>
            <rFont val="Calibri"/>
            <family val="2"/>
            <scheme val="minor"/>
          </rPr>
          <t>======
ID#AAAARF3BEpM
S.P.Gupta    (2021-05-08 13:22:51)
Adjusted against purchases whose 'pay date' is 18/09/05 but recd date is changed to 19/09/05 to prevent divisibility by zero days</t>
        </r>
      </text>
    </comment>
    <comment ref="A306" authorId="0" shapeId="0">
      <text>
        <r>
          <rPr>
            <sz val="11"/>
            <color theme="1"/>
            <rFont val="Calibri"/>
            <family val="2"/>
            <scheme val="minor"/>
          </rPr>
          <t>======
ID#AAAARGJ9sCo
S.P.Gupta    (2021-05-08 13:22:51)
Basis of charging STT has been modified from total value to only sale value from today onwards. This appears to be logical and is also quite nearer to the STT charged in Kotak's bills</t>
        </r>
      </text>
    </comment>
    <comment ref="U325" authorId="0" shapeId="0">
      <text>
        <r>
          <rPr>
            <sz val="11"/>
            <color theme="1"/>
            <rFont val="Calibri"/>
            <family val="2"/>
            <scheme val="minor"/>
          </rPr>
          <t>======
ID#AAAARGJ9sBc
Satya Gupta    (2021-05-08 13:22:51)
External link to Share Transactions - Old.xlsx 'I-D upto31-12-05'!V48+Share Transactions - Old.xlsx 'IPO, Dvd etc'!M18-Share Transactions - Old.xlsx 'IPO, Dvd etc'!S38+Share Transactions - Old.xlsx 'IPO, Dvd etc'!L36 now broken</t>
        </r>
      </text>
    </comment>
    <comment ref="U326" authorId="0" shapeId="0">
      <text>
        <r>
          <rPr>
            <sz val="11"/>
            <color theme="1"/>
            <rFont val="Calibri"/>
            <family val="2"/>
            <scheme val="minor"/>
          </rPr>
          <t>======
ID#AAAARGJ9sDM
Satya Gupta    (2021-05-08 13:22:51)
External link to Share Transactions - Old.xlsx]Chronology'!G69 now broken</t>
        </r>
      </text>
    </comment>
    <comment ref="E328" authorId="0" shapeId="0">
      <text>
        <r>
          <rPr>
            <sz val="11"/>
            <color theme="1"/>
            <rFont val="Calibri"/>
            <family val="2"/>
            <scheme val="minor"/>
          </rPr>
          <t>======
ID#AAAARGJ9sB0
S.P.Gupta    (2021-05-08 13:22:51)
w.e.f. 01-Apr-05</t>
        </r>
      </text>
    </comment>
    <comment ref="F328" authorId="0" shapeId="0">
      <text>
        <r>
          <rPr>
            <sz val="11"/>
            <color theme="1"/>
            <rFont val="Calibri"/>
            <family val="2"/>
            <scheme val="minor"/>
          </rPr>
          <t>======
ID#AAAARGJ9sCI
S.P.Gupta    (2021-05-08 13:22:51)
w.e.f. 01-Apr-06</t>
        </r>
      </text>
    </comment>
    <comment ref="E329" authorId="0" shapeId="0">
      <text>
        <r>
          <rPr>
            <sz val="11"/>
            <color theme="1"/>
            <rFont val="Calibri"/>
            <family val="2"/>
            <scheme val="minor"/>
          </rPr>
          <t>======
ID#AAAARF3BEpA
S.P.Gupta    (2021-05-08 13:22:51)
w.e.f. 01-Jun-05</t>
        </r>
      </text>
    </comment>
    <comment ref="F329" authorId="0" shapeId="0">
      <text>
        <r>
          <rPr>
            <sz val="11"/>
            <color theme="1"/>
            <rFont val="Calibri"/>
            <family val="2"/>
            <scheme val="minor"/>
          </rPr>
          <t>======
ID#AAAARF3BEpo
S.P.Gupta    (2021-05-08 13:22:51)
w.e.f. 01-Jun-06</t>
        </r>
      </text>
    </comment>
    <comment ref="E330" authorId="0" shapeId="0">
      <text>
        <r>
          <rPr>
            <sz val="11"/>
            <color theme="1"/>
            <rFont val="Calibri"/>
            <family val="2"/>
            <scheme val="minor"/>
          </rPr>
          <t>======
ID#AAAARGJ9sDQ
S.P.Gupta    (2021-05-08 13:22:51)
w.e.f. 01-Jun-05</t>
        </r>
      </text>
    </comment>
    <comment ref="F330" authorId="0" shapeId="0">
      <text>
        <r>
          <rPr>
            <sz val="11"/>
            <color theme="1"/>
            <rFont val="Calibri"/>
            <family val="2"/>
            <scheme val="minor"/>
          </rPr>
          <t>======
ID#AAAARGJ9sBM
S.P.Gupta    (2021-05-08 13:22:51)
w.e.f. 01-Jun-06</t>
        </r>
      </text>
    </comment>
    <comment ref="E331" authorId="0" shapeId="0">
      <text>
        <r>
          <rPr>
            <sz val="11"/>
            <color theme="1"/>
            <rFont val="Calibri"/>
            <family val="2"/>
            <scheme val="minor"/>
          </rPr>
          <t>======
ID#AAAARGJ9sBs
S.P.Gupta    (2021-05-08 13:22:51)
w.e.f. 01-Jun-05</t>
        </r>
      </text>
    </comment>
    <comment ref="F331" authorId="0" shapeId="0">
      <text>
        <r>
          <rPr>
            <sz val="11"/>
            <color theme="1"/>
            <rFont val="Calibri"/>
            <family val="2"/>
            <scheme val="minor"/>
          </rPr>
          <t>======
ID#AAAARF3BEpU
S.P.Gupta    (2021-05-08 13:22:51)
w.e.f. 01-Jun-06</t>
        </r>
      </text>
    </comment>
    <comment ref="E337" authorId="0" shapeId="0">
      <text>
        <r>
          <rPr>
            <sz val="11"/>
            <color theme="1"/>
            <rFont val="Calibri"/>
            <family val="2"/>
            <scheme val="minor"/>
          </rPr>
          <t>======
ID#AAAARGJ9sCQ
S.P.Gupta    (2021-05-08 13:22:51)
w.e.f. 01-Jul-05
incl Serv Tax</t>
        </r>
      </text>
    </comment>
  </commentList>
  <extLst>
    <ext xmlns:r="http://schemas.openxmlformats.org/officeDocument/2006/relationships" uri="GoogleSheetsCustomDataVersion1">
      <go:sheetsCustomData xmlns:go="http://customooxmlschemas.google.com/" r:id="rId1" roundtripDataSignature="AMtx7mhA6tCF4AE5t3RUgBau1IZy69T9eA=="/>
    </ext>
  </extLst>
</comments>
</file>

<file path=xl/comments6.xml><?xml version="1.0" encoding="utf-8"?>
<comments xmlns="http://schemas.openxmlformats.org/spreadsheetml/2006/main">
  <authors>
    <author/>
  </authors>
  <commentList>
    <comment ref="R2" authorId="0" shapeId="0">
      <text>
        <r>
          <rPr>
            <sz val="11"/>
            <color theme="1"/>
            <rFont val="Calibri"/>
            <family val="2"/>
            <scheme val="minor"/>
          </rPr>
          <t>Dematerialisation charges 40+GST
======</t>
        </r>
      </text>
    </comment>
    <comment ref="R3" authorId="0" shapeId="0">
      <text>
        <r>
          <rPr>
            <sz val="11"/>
            <color theme="1"/>
            <rFont val="Calibri"/>
            <family val="2"/>
            <scheme val="minor"/>
          </rPr>
          <t>Dematerialisation charges 40+GST
======</t>
        </r>
      </text>
    </comment>
    <comment ref="R4" authorId="0" shapeId="0">
      <text>
        <r>
          <rPr>
            <sz val="11"/>
            <color theme="1"/>
            <rFont val="Calibri"/>
            <family val="2"/>
            <scheme val="minor"/>
          </rPr>
          <t>Dematerialisation charges 40+GST
======</t>
        </r>
      </text>
    </comment>
    <comment ref="A17" authorId="0" shapeId="0">
      <text>
        <r>
          <rPr>
            <sz val="11"/>
            <color theme="1"/>
            <rFont val="Calibri"/>
            <family val="2"/>
            <scheme val="minor"/>
          </rPr>
          <t>Avg ₹ 730.63
======</t>
        </r>
      </text>
    </comment>
    <comment ref="A20" authorId="0" shapeId="0">
      <text>
        <r>
          <rPr>
            <sz val="11"/>
            <color theme="1"/>
            <rFont val="Calibri"/>
            <family val="2"/>
            <scheme val="minor"/>
          </rPr>
          <t>Rate arrived ₹
October 20, 2022, as the record date for the demerger. In the demerger plan, shareholders will get 1 share of Aarti Pharmalabs for every 4 shares they hold in Aarti Industries
======</t>
        </r>
      </text>
    </comment>
    <comment ref="I20" authorId="0" shapeId="0">
      <text>
        <r>
          <rPr>
            <sz val="11"/>
            <color theme="1"/>
            <rFont val="Calibri"/>
            <family val="2"/>
            <scheme val="minor"/>
          </rPr>
          <t>October 20, 2022, as the record date for the demerger. In the demerger plan, shareholders will get 1 share of Aarti Pharmalabs for every 4 shares they hold in Aarti Industries
======</t>
        </r>
      </text>
    </comment>
    <comment ref="K20" authorId="0" shapeId="0">
      <text>
        <r>
          <rPr>
            <sz val="11"/>
            <color theme="1"/>
            <rFont val="Calibri"/>
            <family val="2"/>
            <scheme val="minor"/>
          </rPr>
          <t>₹159.41 credited for fractional entitlement on 25-Apr-2023
======</t>
        </r>
      </text>
    </comment>
    <comment ref="A21" authorId="0" shapeId="0">
      <text>
        <r>
          <rPr>
            <sz val="11"/>
            <color theme="1"/>
            <rFont val="Calibri"/>
            <family val="2"/>
            <scheme val="minor"/>
          </rPr>
          <t>667.52
======</t>
        </r>
      </text>
    </comment>
    <comment ref="L21" authorId="0" shapeId="0">
      <text>
        <r>
          <rPr>
            <sz val="11"/>
            <color theme="1"/>
            <rFont val="Calibri"/>
            <family val="2"/>
            <scheme val="minor"/>
          </rPr>
          <t>Debit to a/c delayed. Credited to demat a/c on 7-Oct-21
======</t>
        </r>
      </text>
    </comment>
    <comment ref="A24" authorId="0" shapeId="0">
      <text>
        <r>
          <rPr>
            <sz val="11"/>
            <color theme="1"/>
            <rFont val="Calibri"/>
            <family val="2"/>
            <scheme val="minor"/>
          </rPr>
          <t>Avg 101.62
======</t>
        </r>
      </text>
    </comment>
    <comment ref="A27" authorId="0" shapeId="0">
      <text>
        <r>
          <rPr>
            <sz val="11"/>
            <color theme="1"/>
            <rFont val="Calibri"/>
            <family val="2"/>
            <scheme val="minor"/>
          </rPr>
          <t>Avg ₹ 2592.2
======</t>
        </r>
      </text>
    </comment>
    <comment ref="D27" authorId="0" shapeId="0">
      <text>
        <r>
          <rPr>
            <sz val="11"/>
            <color theme="1"/>
            <rFont val="Calibri"/>
            <family val="2"/>
            <scheme val="minor"/>
          </rPr>
          <t>MT-TGT 3750
======</t>
        </r>
      </text>
    </comment>
    <comment ref="A30" authorId="0" shapeId="0">
      <text>
        <r>
          <rPr>
            <sz val="11"/>
            <color theme="1"/>
            <rFont val="Calibri"/>
            <family val="2"/>
            <scheme val="minor"/>
          </rPr>
          <t>1251.91
======</t>
        </r>
      </text>
    </comment>
    <comment ref="A34" authorId="0" shapeId="0">
      <text>
        <r>
          <rPr>
            <sz val="11"/>
            <color theme="1"/>
            <rFont val="Calibri"/>
            <family val="2"/>
            <scheme val="minor"/>
          </rPr>
          <t>Avg 244
======</t>
        </r>
      </text>
    </comment>
    <comment ref="A37" authorId="0" shapeId="0">
      <text>
        <r>
          <rPr>
            <sz val="11"/>
            <color theme="1"/>
            <rFont val="Calibri"/>
            <family val="2"/>
            <scheme val="minor"/>
          </rPr>
          <t>1694.52
======</t>
        </r>
      </text>
    </comment>
    <comment ref="L42" authorId="0" shapeId="0">
      <text>
        <r>
          <rPr>
            <sz val="11"/>
            <color theme="1"/>
            <rFont val="Calibri"/>
            <family val="2"/>
            <scheme val="minor"/>
          </rPr>
          <t>Credited to Demat A/c on 13-May-22
======</t>
        </r>
      </text>
    </comment>
    <comment ref="A43" authorId="0" shapeId="0">
      <text>
        <r>
          <rPr>
            <sz val="11"/>
            <color theme="1"/>
            <rFont val="Calibri"/>
            <family val="2"/>
            <scheme val="minor"/>
          </rPr>
          <t>775.76
======</t>
        </r>
      </text>
    </comment>
    <comment ref="I49" authorId="0" shapeId="0">
      <text>
        <r>
          <rPr>
            <sz val="11"/>
            <color theme="1"/>
            <rFont val="Calibri"/>
            <family val="2"/>
            <scheme val="minor"/>
          </rPr>
          <t>1 Bonus Share for 2 Shares held on record date 05-Oct-22
======</t>
        </r>
      </text>
    </comment>
    <comment ref="J49" authorId="0" shapeId="0">
      <text>
        <r>
          <rPr>
            <sz val="11"/>
            <color theme="1"/>
            <rFont val="Calibri"/>
            <family val="2"/>
            <scheme val="minor"/>
          </rPr>
          <t>1 Bonus Share for 2 Shares held on record date 05-Oct-22
======</t>
        </r>
      </text>
    </comment>
    <comment ref="K52" authorId="0" shapeId="0">
      <text>
        <r>
          <rPr>
            <sz val="11"/>
            <color theme="1"/>
            <rFont val="Calibri"/>
            <family val="2"/>
            <scheme val="minor"/>
          </rPr>
          <t>Buy cost - discovered cost of NSL (9236-1513)
NMDC Steel listed at 30.25 hence discovered cost 50x30.25=1513
======</t>
        </r>
      </text>
    </comment>
    <comment ref="A54" authorId="0" shapeId="0">
      <text>
        <r>
          <rPr>
            <sz val="11"/>
            <color theme="1"/>
            <rFont val="Calibri"/>
            <family val="2"/>
            <scheme val="minor"/>
          </rPr>
          <t>One share of NMDC Steel bearing a face value of ₹10 each, for every share held in NMDC of face value of Re 1 each as on 25 October, 2022
======</t>
        </r>
      </text>
    </comment>
    <comment ref="K54" authorId="0" shapeId="0">
      <text>
        <r>
          <rPr>
            <sz val="11"/>
            <color theme="1"/>
            <rFont val="Calibri"/>
            <family val="2"/>
            <scheme val="minor"/>
          </rPr>
          <t>As per listing at 30.25*50
======</t>
        </r>
      </text>
    </comment>
    <comment ref="L54" authorId="0" shapeId="0">
      <text>
        <r>
          <rPr>
            <sz val="11"/>
            <color theme="1"/>
            <rFont val="Calibri"/>
            <family val="2"/>
            <scheme val="minor"/>
          </rPr>
          <t>One share of NMDC Steel bearing a face value of ₹10 each, for every share held in NMDC of face value of Re 1 each as on 25 October, 2022
Credited to demat on 20-Feb-2023
======</t>
        </r>
      </text>
    </comment>
    <comment ref="F55" authorId="0" shapeId="0">
      <text>
        <r>
          <rPr>
            <sz val="11"/>
            <color theme="1"/>
            <rFont val="Calibri"/>
            <family val="2"/>
            <scheme val="minor"/>
          </rPr>
          <t>IPO Allotment
======</t>
        </r>
      </text>
    </comment>
    <comment ref="L55" authorId="0" shapeId="0">
      <text>
        <r>
          <rPr>
            <sz val="11"/>
            <color theme="1"/>
            <rFont val="Calibri"/>
            <family val="2"/>
            <scheme val="minor"/>
          </rPr>
          <t>Credit to Demat on 17/08/21
======</t>
        </r>
      </text>
    </comment>
    <comment ref="A61" authorId="0" shapeId="0">
      <text>
        <r>
          <rPr>
            <sz val="11"/>
            <color theme="1"/>
            <rFont val="Calibri"/>
            <family val="2"/>
            <scheme val="minor"/>
          </rPr>
          <t>Avg 106.78
======</t>
        </r>
      </text>
    </comment>
    <comment ref="A65" authorId="0" shapeId="0">
      <text>
        <r>
          <rPr>
            <sz val="11"/>
            <color theme="1"/>
            <rFont val="Calibri"/>
            <family val="2"/>
            <scheme val="minor"/>
          </rPr>
          <t>Avg ₹ 1198.2
======</t>
        </r>
      </text>
    </comment>
    <comment ref="A72" authorId="0" shapeId="0">
      <text>
        <r>
          <rPr>
            <sz val="11"/>
            <color theme="1"/>
            <rFont val="Calibri"/>
            <family val="2"/>
            <scheme val="minor"/>
          </rPr>
          <t>Avg ₹ 9158.5
======</t>
        </r>
      </text>
    </comment>
    <comment ref="A76" authorId="0" shapeId="0">
      <text>
        <r>
          <rPr>
            <sz val="11"/>
            <color theme="1"/>
            <rFont val="Calibri"/>
            <family val="2"/>
            <scheme val="minor"/>
          </rPr>
          <t>Avg ₹ 3604.25
======</t>
        </r>
      </text>
    </comment>
    <comment ref="A78" authorId="0" shapeId="0">
      <text>
        <r>
          <rPr>
            <sz val="11"/>
            <color theme="1"/>
            <rFont val="Calibri"/>
            <family val="2"/>
            <scheme val="minor"/>
          </rPr>
          <t>Avg ₹ 129.50
======</t>
        </r>
      </text>
    </comment>
    <comment ref="R82" authorId="0" shapeId="0">
      <text>
        <r>
          <rPr>
            <sz val="11"/>
            <color theme="1"/>
            <rFont val="Calibri"/>
            <family val="2"/>
            <scheme val="minor"/>
          </rPr>
          <t>Demat charges taken with the first Sell transaction of the day
======</t>
        </r>
      </text>
    </comment>
    <comment ref="D85" authorId="0" shapeId="0">
      <text>
        <r>
          <rPr>
            <sz val="11"/>
            <color theme="1"/>
            <rFont val="Calibri"/>
            <family val="2"/>
            <scheme val="minor"/>
          </rPr>
          <t>Targets: Upto 7 - 9 - 13 - 17 - 21+
======</t>
        </r>
      </text>
    </comment>
    <comment ref="G85" authorId="0" shapeId="0">
      <text>
        <r>
          <rPr>
            <sz val="11"/>
            <color theme="1"/>
            <rFont val="Calibri"/>
            <family val="2"/>
            <scheme val="minor"/>
          </rPr>
          <t>Buy A2Z INFRA at CMP of 5 and dips till 3
Sl 2.5
======</t>
        </r>
      </text>
    </comment>
    <comment ref="D86" authorId="0" shapeId="0">
      <text>
        <r>
          <rPr>
            <sz val="11"/>
            <color theme="1"/>
            <rFont val="Calibri"/>
            <family val="2"/>
            <scheme val="minor"/>
          </rPr>
          <t>Targets: Upto 7 - 9 - 13 - 17 - 21+
======</t>
        </r>
      </text>
    </comment>
    <comment ref="G86" authorId="0" shapeId="0">
      <text>
        <r>
          <rPr>
            <sz val="11"/>
            <color theme="1"/>
            <rFont val="Calibri"/>
            <family val="2"/>
            <scheme val="minor"/>
          </rPr>
          <t>Buy A2Z INFRA at CMP of 5 and dips till 3
Sl 2.5
======</t>
        </r>
      </text>
    </comment>
    <comment ref="D89" authorId="0" shapeId="0">
      <text>
        <r>
          <rPr>
            <sz val="11"/>
            <color theme="1"/>
            <rFont val="Calibri"/>
            <family val="2"/>
            <scheme val="minor"/>
          </rPr>
          <t>Targets: Upto 7 - 9 - 13 - 17 - 21+
======</t>
        </r>
      </text>
    </comment>
    <comment ref="G89" authorId="0" shapeId="0">
      <text>
        <r>
          <rPr>
            <sz val="11"/>
            <color theme="1"/>
            <rFont val="Calibri"/>
            <family val="2"/>
            <scheme val="minor"/>
          </rPr>
          <t>Buy A2Z INFRA at CMP of 5 and dips till 3
Sl 2.5
======</t>
        </r>
      </text>
    </comment>
    <comment ref="D90" authorId="0" shapeId="0">
      <text>
        <r>
          <rPr>
            <sz val="11"/>
            <color theme="1"/>
            <rFont val="Calibri"/>
            <family val="2"/>
            <scheme val="minor"/>
          </rPr>
          <t>Targets: Upto 7 - 9 - 13 - 17 - 21+
======</t>
        </r>
      </text>
    </comment>
    <comment ref="G90" authorId="0" shapeId="0">
      <text>
        <r>
          <rPr>
            <sz val="11"/>
            <color theme="1"/>
            <rFont val="Calibri"/>
            <family val="2"/>
            <scheme val="minor"/>
          </rPr>
          <t>Buy A2Z INFRA at CMP of 5 and dips till 3
Sl 2.5
======</t>
        </r>
      </text>
    </comment>
    <comment ref="R102" authorId="0" shapeId="0">
      <text>
        <r>
          <rPr>
            <sz val="11"/>
            <color theme="1"/>
            <rFont val="Calibri"/>
            <family val="2"/>
            <scheme val="minor"/>
          </rPr>
          <t>Demat charges taken with the first Sell transaction of the day
======</t>
        </r>
      </text>
    </comment>
    <comment ref="J116" authorId="0" shapeId="0">
      <text>
        <r>
          <rPr>
            <sz val="11"/>
            <color theme="1"/>
            <rFont val="Calibri"/>
            <family val="2"/>
            <scheme val="minor"/>
          </rPr>
          <t>Zerodha @ ₹ 7665
======</t>
        </r>
      </text>
    </comment>
    <comment ref="R118" authorId="0" shapeId="0">
      <text>
        <r>
          <rPr>
            <sz val="11"/>
            <color theme="1"/>
            <rFont val="Calibri"/>
            <family val="2"/>
            <scheme val="minor"/>
          </rPr>
          <t>Demat charges taken with the first Sell transaction of the day
======</t>
        </r>
      </text>
    </comment>
    <comment ref="R123" authorId="0" shapeId="0">
      <text>
        <r>
          <rPr>
            <sz val="11"/>
            <color theme="1"/>
            <rFont val="Calibri"/>
            <family val="2"/>
            <scheme val="minor"/>
          </rPr>
          <t>Demat charges taken with the first Sell transaction of the day
======</t>
        </r>
      </text>
    </comment>
    <comment ref="S126" authorId="0" shapeId="0">
      <text>
        <r>
          <rPr>
            <sz val="11"/>
            <color theme="1"/>
            <rFont val="Calibri"/>
            <family val="2"/>
            <scheme val="minor"/>
          </rPr>
          <t xml:space="preserve">Credited on 30/03/21
======
ID#AAAARFjorzI
Satya Gupta    (2021-06-30 14:48:16)
</t>
        </r>
      </text>
    </comment>
    <comment ref="R127" authorId="0" shapeId="0">
      <text>
        <r>
          <rPr>
            <sz val="11"/>
            <color theme="1"/>
            <rFont val="Calibri"/>
            <family val="2"/>
            <scheme val="minor"/>
          </rPr>
          <t>======
ID#AAAARGJ9sCE
    (2021-05-10 15:05:06)
Charges for moving from SBICAP to Zerodha's CDSL A/c ₹ 35.40
Charges for moving from Sunita to Satya's CDSLboth A/c thru Zerodha ₹ 29.50</t>
        </r>
      </text>
    </comment>
    <comment ref="R133" authorId="0" shapeId="0">
      <text>
        <r>
          <rPr>
            <sz val="11"/>
            <color theme="1"/>
            <rFont val="Calibri"/>
            <family val="2"/>
            <scheme val="minor"/>
          </rPr>
          <t>Demat charges taken with the first Sell transaction of the day
======</t>
        </r>
      </text>
    </comment>
    <comment ref="R134" authorId="0" shapeId="0">
      <text>
        <r>
          <rPr>
            <sz val="11"/>
            <color theme="1"/>
            <rFont val="Calibri"/>
            <family val="2"/>
            <scheme val="minor"/>
          </rPr>
          <t>Demat charges taken with the first Sell transaction of the day
======</t>
        </r>
      </text>
    </comment>
    <comment ref="L139" authorId="0" shapeId="0">
      <text>
        <r>
          <rPr>
            <sz val="11"/>
            <color theme="1"/>
            <rFont val="Calibri"/>
            <family val="2"/>
            <scheme val="minor"/>
          </rPr>
          <t>Due to error by SBI amount was debited on 13-May-22
Credited to Demat A/c on 06-May-22
======</t>
        </r>
      </text>
    </comment>
    <comment ref="D142" authorId="0" shapeId="0">
      <text>
        <r>
          <rPr>
            <sz val="11"/>
            <color theme="1"/>
            <rFont val="Calibri"/>
            <family val="2"/>
            <scheme val="minor"/>
          </rPr>
          <t>on 03Aug22
======</t>
        </r>
      </text>
    </comment>
    <comment ref="D143" authorId="0" shapeId="0">
      <text>
        <r>
          <rPr>
            <sz val="11"/>
            <color theme="1"/>
            <rFont val="Calibri"/>
            <family val="2"/>
            <scheme val="minor"/>
          </rPr>
          <t>on 03Aug22
======</t>
        </r>
      </text>
    </comment>
    <comment ref="D144" authorId="0" shapeId="0">
      <text>
        <r>
          <rPr>
            <sz val="11"/>
            <color theme="1"/>
            <rFont val="Calibri"/>
            <family val="2"/>
            <scheme val="minor"/>
          </rPr>
          <t>on 03Aug22
======</t>
        </r>
      </text>
    </comment>
    <comment ref="J147" authorId="0" shapeId="0">
      <text>
        <r>
          <rPr>
            <sz val="11"/>
            <color theme="1"/>
            <rFont val="Calibri"/>
            <family val="2"/>
            <scheme val="minor"/>
          </rPr>
          <t>Zerodha @ ₹ 1425
======</t>
        </r>
      </text>
    </comment>
    <comment ref="R147" authorId="0" shapeId="0">
      <text>
        <r>
          <rPr>
            <sz val="11"/>
            <color theme="1"/>
            <rFont val="Calibri"/>
            <family val="2"/>
            <scheme val="minor"/>
          </rPr>
          <t>Since IntraDay is not allowed hence each intraday sell is also going through demat a/c hence demat charges
======</t>
        </r>
      </text>
    </comment>
    <comment ref="H150" authorId="0" shapeId="0">
      <text>
        <r>
          <rPr>
            <sz val="11"/>
            <color theme="1"/>
            <rFont val="Calibri"/>
            <family val="2"/>
            <scheme val="minor"/>
          </rPr>
          <t>======
ID#AAAARGJ9sCg
Satya Gupta    (2021-07-08 08:27:27)
100 Crompton were split into 50 shares each in
1. Crompton Greaves Consumer Electricals
2. CG Power &amp; Industrial Solutions</t>
        </r>
      </text>
    </comment>
    <comment ref="I150" authorId="0" shapeId="0">
      <text>
        <r>
          <rPr>
            <sz val="11"/>
            <color theme="1"/>
            <rFont val="Calibri"/>
            <family val="2"/>
            <scheme val="minor"/>
          </rPr>
          <t>======
ID#AAAARGJ9sBo
Satya Gupta    (2021-07-08 08:27:27)
100 Crompton were split into 50 shares each in
1. Crompton Greaves Consumer Electricals
2. CG Power &amp; Industrial Solutions</t>
        </r>
      </text>
    </comment>
    <comment ref="J150" authorId="0" shapeId="0">
      <text>
        <r>
          <rPr>
            <sz val="11"/>
            <color theme="1"/>
            <rFont val="Calibri"/>
            <family val="2"/>
            <scheme val="minor"/>
          </rPr>
          <t>======
ID#AAAARGJ9sDU
Satya Gupta    (2021-07-08 08:27:27)
100 Crompton were split into 50 shares each in
1. Crompton Greaves Consumer Electricals
2. CG Power &amp; Industrial Solutions</t>
        </r>
      </text>
    </comment>
    <comment ref="H160" authorId="0" shapeId="0">
      <text>
        <r>
          <rPr>
            <sz val="11"/>
            <color theme="1"/>
            <rFont val="Calibri"/>
            <family val="2"/>
            <scheme val="minor"/>
          </rPr>
          <t>======
ID#AAAARGJ9sBQ
Satya Gupta    (2021-07-08 08:27:27)
100 Crompton were split into 50 shares each in
1. Crompton Greaves Consumer Electricals
2. CG Power &amp; Industrial Solutions</t>
        </r>
      </text>
    </comment>
    <comment ref="I160" authorId="0" shapeId="0">
      <text>
        <r>
          <rPr>
            <sz val="11"/>
            <color theme="1"/>
            <rFont val="Calibri"/>
            <family val="2"/>
            <scheme val="minor"/>
          </rPr>
          <t>======
ID#AAAARGJ9sCA
Satya Gupta    (2021-07-08 08:27:27)
100 Crompton were split into 50 shares each in
1. Crompton Greaves Consumer Electricals
2. CG Power &amp; Industrial Solutions</t>
        </r>
      </text>
    </comment>
    <comment ref="J160" authorId="0" shapeId="0">
      <text>
        <r>
          <rPr>
            <sz val="11"/>
            <color theme="1"/>
            <rFont val="Calibri"/>
            <family val="2"/>
            <scheme val="minor"/>
          </rPr>
          <t>======
ID#AAAARF3BEp8
Satya Gupta    (2021-07-08 08:27:27)
100 Crompton were split into 50 shares each in
1. Crompton Greaves Consumer Electricals
2. CG Power &amp; Industrial Solutions</t>
        </r>
      </text>
    </comment>
    <comment ref="D162" authorId="0" shapeId="0">
      <text>
        <r>
          <rPr>
            <sz val="11"/>
            <color theme="1"/>
            <rFont val="Calibri"/>
            <family val="2"/>
            <scheme val="minor"/>
          </rPr>
          <t>170-175
======</t>
        </r>
      </text>
    </comment>
    <comment ref="D163" authorId="0" shapeId="0">
      <text>
        <r>
          <rPr>
            <sz val="11"/>
            <color theme="1"/>
            <rFont val="Calibri"/>
            <family val="2"/>
            <scheme val="minor"/>
          </rPr>
          <t>170-175
======</t>
        </r>
      </text>
    </comment>
    <comment ref="D164" authorId="0" shapeId="0">
      <text>
        <r>
          <rPr>
            <sz val="11"/>
            <color theme="1"/>
            <rFont val="Calibri"/>
            <family val="2"/>
            <scheme val="minor"/>
          </rPr>
          <t>170-175
======</t>
        </r>
      </text>
    </comment>
    <comment ref="P170" authorId="0" shapeId="0">
      <text>
        <r>
          <rPr>
            <sz val="11"/>
            <color theme="1"/>
            <rFont val="Calibri"/>
            <family val="2"/>
            <scheme val="minor"/>
          </rPr>
          <t>Actual date 11-Nov-21
======</t>
        </r>
      </text>
    </comment>
    <comment ref="R170" authorId="0" shapeId="0">
      <text>
        <r>
          <rPr>
            <sz val="11"/>
            <color theme="1"/>
            <rFont val="Calibri"/>
            <family val="2"/>
            <scheme val="minor"/>
          </rPr>
          <t>Demat charges taken with the first Sell transaction of the day
======</t>
        </r>
      </text>
    </comment>
    <comment ref="R171" authorId="0" shapeId="0">
      <text>
        <r>
          <rPr>
            <sz val="11"/>
            <color theme="1"/>
            <rFont val="Calibri"/>
            <family val="2"/>
            <scheme val="minor"/>
          </rPr>
          <t>Demat charges taken with the first Sell transaction of the day
======</t>
        </r>
      </text>
    </comment>
    <comment ref="P172" authorId="0" shapeId="0">
      <text>
        <r>
          <rPr>
            <sz val="11"/>
            <color theme="1"/>
            <rFont val="Calibri"/>
            <family val="2"/>
            <scheme val="minor"/>
          </rPr>
          <t>Actual date 11-Nov-21
======</t>
        </r>
      </text>
    </comment>
    <comment ref="R179" authorId="0" shapeId="0">
      <text>
        <r>
          <rPr>
            <sz val="11"/>
            <color theme="1"/>
            <rFont val="Calibri"/>
            <family val="2"/>
            <scheme val="minor"/>
          </rPr>
          <t>Demat charges taken with the first Sell transaction of the day
======</t>
        </r>
      </text>
    </comment>
    <comment ref="R181" authorId="0" shapeId="0">
      <text>
        <r>
          <rPr>
            <sz val="11"/>
            <color theme="1"/>
            <rFont val="Calibri"/>
            <family val="2"/>
            <scheme val="minor"/>
          </rPr>
          <t>Demat charges taken with the first Sell transaction of the day
======</t>
        </r>
      </text>
    </comment>
    <comment ref="R182" authorId="0" shapeId="0">
      <text>
        <r>
          <rPr>
            <sz val="11"/>
            <color theme="1"/>
            <rFont val="Calibri"/>
            <family val="2"/>
            <scheme val="minor"/>
          </rPr>
          <t>Demat charges taken with the first Sell transaction of the day
======</t>
        </r>
      </text>
    </comment>
    <comment ref="R183" authorId="0" shapeId="0">
      <text>
        <r>
          <rPr>
            <sz val="11"/>
            <color theme="1"/>
            <rFont val="Calibri"/>
            <family val="2"/>
            <scheme val="minor"/>
          </rPr>
          <t>Demat charges taken with the first Sell transaction of the day
======</t>
        </r>
      </text>
    </comment>
    <comment ref="R197" authorId="0" shapeId="0">
      <text>
        <r>
          <rPr>
            <sz val="11"/>
            <color theme="1"/>
            <rFont val="Calibri"/>
            <family val="2"/>
            <scheme val="minor"/>
          </rPr>
          <t>Demat charges taken with the first Sell transaction of the day
======</t>
        </r>
      </text>
    </comment>
    <comment ref="R201" authorId="0" shapeId="0">
      <text>
        <r>
          <rPr>
            <sz val="11"/>
            <color theme="1"/>
            <rFont val="Calibri"/>
            <family val="2"/>
            <scheme val="minor"/>
          </rPr>
          <t>Demat charges taken with the first Sell transaction of the day
======</t>
        </r>
      </text>
    </comment>
    <comment ref="R204" authorId="0" shapeId="0">
      <text>
        <r>
          <rPr>
            <sz val="11"/>
            <color theme="1"/>
            <rFont val="Calibri"/>
            <family val="2"/>
            <scheme val="minor"/>
          </rPr>
          <t>Demat charges taken with the first Sell transaction of the day
======</t>
        </r>
      </text>
    </comment>
    <comment ref="R205" authorId="0" shapeId="0">
      <text>
        <r>
          <rPr>
            <sz val="11"/>
            <color theme="1"/>
            <rFont val="Calibri"/>
            <family val="2"/>
            <scheme val="minor"/>
          </rPr>
          <t>Demat charges taken with the first Sell transaction of the day
======</t>
        </r>
      </text>
    </comment>
    <comment ref="R207" authorId="0" shapeId="0">
      <text>
        <r>
          <rPr>
            <sz val="11"/>
            <color theme="1"/>
            <rFont val="Calibri"/>
            <family val="2"/>
            <scheme val="minor"/>
          </rPr>
          <t>Demat charges taken with the first Sell transaction of the day
======</t>
        </r>
      </text>
    </comment>
    <comment ref="R210" authorId="0" shapeId="0">
      <text>
        <r>
          <rPr>
            <sz val="11"/>
            <color theme="1"/>
            <rFont val="Calibri"/>
            <family val="2"/>
            <scheme val="minor"/>
          </rPr>
          <t>Demat charges taken with the first Sell transaction of the day
======</t>
        </r>
      </text>
    </comment>
    <comment ref="R212" authorId="0" shapeId="0">
      <text>
        <r>
          <rPr>
            <sz val="11"/>
            <color theme="1"/>
            <rFont val="Calibri"/>
            <family val="2"/>
            <scheme val="minor"/>
          </rPr>
          <t>Demat charges taken with the first Sell transaction of the day
======</t>
        </r>
      </text>
    </comment>
    <comment ref="R215" authorId="0" shapeId="0">
      <text>
        <r>
          <rPr>
            <sz val="11"/>
            <color theme="1"/>
            <rFont val="Calibri"/>
            <family val="2"/>
            <scheme val="minor"/>
          </rPr>
          <t>Day's transactions were net Buy/Sell ZERO hence no Demat charges.
======</t>
        </r>
      </text>
    </comment>
    <comment ref="R217" authorId="0" shapeId="0">
      <text>
        <r>
          <rPr>
            <sz val="11"/>
            <color theme="1"/>
            <rFont val="Calibri"/>
            <family val="2"/>
            <scheme val="minor"/>
          </rPr>
          <t>Day's transactions were net Buy/Sell ZERO hence no Demat charges.
======</t>
        </r>
      </text>
    </comment>
    <comment ref="R219" authorId="0" shapeId="0">
      <text>
        <r>
          <rPr>
            <sz val="11"/>
            <color theme="1"/>
            <rFont val="Calibri"/>
            <family val="2"/>
            <scheme val="minor"/>
          </rPr>
          <t>Demat charges taken with the first Sell transaction of the day
======</t>
        </r>
      </text>
    </comment>
    <comment ref="R220" authorId="0" shapeId="0">
      <text>
        <r>
          <rPr>
            <sz val="11"/>
            <color theme="1"/>
            <rFont val="Calibri"/>
            <family val="2"/>
            <scheme val="minor"/>
          </rPr>
          <t>Demat charges taken with the first Sell transaction of the day
======</t>
        </r>
      </text>
    </comment>
    <comment ref="R222" authorId="0" shapeId="0">
      <text>
        <r>
          <rPr>
            <sz val="11"/>
            <color theme="1"/>
            <rFont val="Calibri"/>
            <family val="2"/>
            <scheme val="minor"/>
          </rPr>
          <t>Demat charges taken with the first Sell transaction of the day
======</t>
        </r>
      </text>
    </comment>
    <comment ref="R223" authorId="0" shapeId="0">
      <text>
        <r>
          <rPr>
            <sz val="11"/>
            <color theme="1"/>
            <rFont val="Calibri"/>
            <family val="2"/>
            <scheme val="minor"/>
          </rPr>
          <t>Demat charges taken with the first Sell transaction of the day
======</t>
        </r>
      </text>
    </comment>
    <comment ref="R224" authorId="0" shapeId="0">
      <text>
        <r>
          <rPr>
            <sz val="11"/>
            <color theme="1"/>
            <rFont val="Calibri"/>
            <family val="2"/>
            <scheme val="minor"/>
          </rPr>
          <t>Demat charges taken with the first Sell transaction of the day
======</t>
        </r>
      </text>
    </comment>
    <comment ref="R225" authorId="0" shapeId="0">
      <text>
        <r>
          <rPr>
            <sz val="11"/>
            <color theme="1"/>
            <rFont val="Calibri"/>
            <family val="2"/>
            <scheme val="minor"/>
          </rPr>
          <t>Demat charges taken with the first Sell transaction of the day
======</t>
        </r>
      </text>
    </comment>
    <comment ref="R227" authorId="0" shapeId="0">
      <text>
        <r>
          <rPr>
            <sz val="11"/>
            <color theme="1"/>
            <rFont val="Calibri"/>
            <family val="2"/>
            <scheme val="minor"/>
          </rPr>
          <t>Demat charges taken with the first Sell transaction of the day
======</t>
        </r>
      </text>
    </comment>
    <comment ref="R228" authorId="0" shapeId="0">
      <text>
        <r>
          <rPr>
            <sz val="11"/>
            <color theme="1"/>
            <rFont val="Calibri"/>
            <family val="2"/>
            <scheme val="minor"/>
          </rPr>
          <t>Demat charges taken with the first Sell transaction of the day
======</t>
        </r>
      </text>
    </comment>
    <comment ref="R229" authorId="0" shapeId="0">
      <text>
        <r>
          <rPr>
            <sz val="11"/>
            <color theme="1"/>
            <rFont val="Calibri"/>
            <family val="2"/>
            <scheme val="minor"/>
          </rPr>
          <t>Demat charges taken with the first Sell transaction of the day
======</t>
        </r>
      </text>
    </comment>
    <comment ref="R230" authorId="0" shapeId="0">
      <text>
        <r>
          <rPr>
            <sz val="11"/>
            <color theme="1"/>
            <rFont val="Calibri"/>
            <family val="2"/>
            <scheme val="minor"/>
          </rPr>
          <t>Demat charges taken with the first Sell transaction of the day
======</t>
        </r>
      </text>
    </comment>
    <comment ref="R231" authorId="0" shapeId="0">
      <text>
        <r>
          <rPr>
            <sz val="11"/>
            <color theme="1"/>
            <rFont val="Calibri"/>
            <family val="2"/>
            <scheme val="minor"/>
          </rPr>
          <t>Demat charges taken with the first Sell transaction of the day
======</t>
        </r>
      </text>
    </comment>
    <comment ref="R234" authorId="0" shapeId="0">
      <text>
        <r>
          <rPr>
            <sz val="11"/>
            <color theme="1"/>
            <rFont val="Calibri"/>
            <family val="2"/>
            <scheme val="minor"/>
          </rPr>
          <t>Demat charges taken with the first Sell transaction of the day
======</t>
        </r>
      </text>
    </comment>
    <comment ref="R238" authorId="0" shapeId="0">
      <text>
        <r>
          <rPr>
            <sz val="11"/>
            <color theme="1"/>
            <rFont val="Calibri"/>
            <family val="2"/>
            <scheme val="minor"/>
          </rPr>
          <t>Demat charges taken with the first Sell transaction of the day
======</t>
        </r>
      </text>
    </comment>
    <comment ref="R239" authorId="0" shapeId="0">
      <text>
        <r>
          <rPr>
            <sz val="11"/>
            <color theme="1"/>
            <rFont val="Calibri"/>
            <family val="2"/>
            <scheme val="minor"/>
          </rPr>
          <t>Demat charges taken with the first Sell transaction of the day
======</t>
        </r>
      </text>
    </comment>
    <comment ref="R241" authorId="0" shapeId="0">
      <text>
        <r>
          <rPr>
            <sz val="11"/>
            <color theme="1"/>
            <rFont val="Calibri"/>
            <family val="2"/>
            <scheme val="minor"/>
          </rPr>
          <t>Demat charges taken with the first Sell transaction of the day
======</t>
        </r>
      </text>
    </comment>
    <comment ref="R242" authorId="0" shapeId="0">
      <text>
        <r>
          <rPr>
            <sz val="11"/>
            <color theme="1"/>
            <rFont val="Calibri"/>
            <family val="2"/>
            <scheme val="minor"/>
          </rPr>
          <t>Demat charges taken with the first Sell transaction of the day
======</t>
        </r>
      </text>
    </comment>
    <comment ref="R245" authorId="0" shapeId="0">
      <text>
        <r>
          <rPr>
            <sz val="11"/>
            <color theme="1"/>
            <rFont val="Calibri"/>
            <family val="2"/>
            <scheme val="minor"/>
          </rPr>
          <t>Demat charges taken with the first Sell transaction of the day
======</t>
        </r>
      </text>
    </comment>
    <comment ref="R246" authorId="0" shapeId="0">
      <text>
        <r>
          <rPr>
            <sz val="11"/>
            <color theme="1"/>
            <rFont val="Calibri"/>
            <family val="2"/>
            <scheme val="minor"/>
          </rPr>
          <t>Demat charges taken with the first Sell transaction of the day
======</t>
        </r>
      </text>
    </comment>
    <comment ref="R247" authorId="0" shapeId="0">
      <text>
        <r>
          <rPr>
            <sz val="11"/>
            <color theme="1"/>
            <rFont val="Calibri"/>
            <family val="2"/>
            <scheme val="minor"/>
          </rPr>
          <t>Demat charges taken with the first Sell transaction of the day
======</t>
        </r>
      </text>
    </comment>
    <comment ref="R249" authorId="0" shapeId="0">
      <text>
        <r>
          <rPr>
            <sz val="11"/>
            <color theme="1"/>
            <rFont val="Calibri"/>
            <family val="2"/>
            <scheme val="minor"/>
          </rPr>
          <t>Demat charges taken with the first Sell transaction of the day
======</t>
        </r>
      </text>
    </comment>
    <comment ref="R250" authorId="0" shapeId="0">
      <text>
        <r>
          <rPr>
            <sz val="11"/>
            <color theme="1"/>
            <rFont val="Calibri"/>
            <family val="2"/>
            <scheme val="minor"/>
          </rPr>
          <t>Demat charges taken with the first Sell transaction of the day
======</t>
        </r>
      </text>
    </comment>
    <comment ref="R251" authorId="0" shapeId="0">
      <text>
        <r>
          <rPr>
            <sz val="11"/>
            <color theme="1"/>
            <rFont val="Calibri"/>
            <family val="2"/>
            <scheme val="minor"/>
          </rPr>
          <t>Demat charges taken with the first Sell transaction of the day
======</t>
        </r>
      </text>
    </comment>
    <comment ref="R258" authorId="0" shapeId="0">
      <text>
        <r>
          <rPr>
            <sz val="11"/>
            <color theme="1"/>
            <rFont val="Calibri"/>
            <family val="2"/>
            <scheme val="minor"/>
          </rPr>
          <t>Demat charges already taken with another Sell transaction of the day
======</t>
        </r>
      </text>
    </comment>
    <comment ref="R259" authorId="0" shapeId="0">
      <text>
        <r>
          <rPr>
            <sz val="11"/>
            <color theme="1"/>
            <rFont val="Calibri"/>
            <family val="2"/>
            <scheme val="minor"/>
          </rPr>
          <t>Demat charges already taken with another Sell transaction of the day
======</t>
        </r>
      </text>
    </comment>
    <comment ref="R261" authorId="0" shapeId="0">
      <text>
        <r>
          <rPr>
            <sz val="11"/>
            <color theme="1"/>
            <rFont val="Calibri"/>
            <family val="2"/>
            <scheme val="minor"/>
          </rPr>
          <t>Demat charges already taken with another Sell transaction of the day
======</t>
        </r>
      </text>
    </comment>
    <comment ref="R263" authorId="0" shapeId="0">
      <text>
        <r>
          <rPr>
            <sz val="11"/>
            <color theme="1"/>
            <rFont val="Calibri"/>
            <family val="2"/>
            <scheme val="minor"/>
          </rPr>
          <t>Demat charges taken with the first Sell transaction of the day
======</t>
        </r>
      </text>
    </comment>
    <comment ref="R265" authorId="0" shapeId="0">
      <text>
        <r>
          <rPr>
            <sz val="11"/>
            <color theme="1"/>
            <rFont val="Calibri"/>
            <family val="2"/>
            <scheme val="minor"/>
          </rPr>
          <t>Demat charges taken with the first Sell transaction of the day
======</t>
        </r>
      </text>
    </comment>
    <comment ref="R267" authorId="0" shapeId="0">
      <text>
        <r>
          <rPr>
            <sz val="11"/>
            <color theme="1"/>
            <rFont val="Calibri"/>
            <family val="2"/>
            <scheme val="minor"/>
          </rPr>
          <t>Demat charges taken with the first Sell transaction of the day
======</t>
        </r>
      </text>
    </comment>
    <comment ref="R270" authorId="0" shapeId="0">
      <text>
        <r>
          <rPr>
            <sz val="11"/>
            <color theme="1"/>
            <rFont val="Calibri"/>
            <family val="2"/>
            <scheme val="minor"/>
          </rPr>
          <t>Demat charges taken with the first Sell transaction of the day
======</t>
        </r>
      </text>
    </comment>
    <comment ref="R271" authorId="0" shapeId="0">
      <text>
        <r>
          <rPr>
            <sz val="11"/>
            <color theme="1"/>
            <rFont val="Calibri"/>
            <family val="2"/>
            <scheme val="minor"/>
          </rPr>
          <t>Demat charges taken with the first Sell transaction of the day
======</t>
        </r>
      </text>
    </comment>
    <comment ref="R272" authorId="0" shapeId="0">
      <text>
        <r>
          <rPr>
            <sz val="11"/>
            <color theme="1"/>
            <rFont val="Calibri"/>
            <family val="2"/>
            <scheme val="minor"/>
          </rPr>
          <t>Demat charges taken with the first Sell transaction of the day
======</t>
        </r>
      </text>
    </comment>
    <comment ref="R276" authorId="0" shapeId="0">
      <text>
        <r>
          <rPr>
            <sz val="11"/>
            <color theme="1"/>
            <rFont val="Calibri"/>
            <family val="2"/>
            <scheme val="minor"/>
          </rPr>
          <t>Demat charges taken with the first Sell transaction of the day
======</t>
        </r>
      </text>
    </comment>
    <comment ref="R277" authorId="0" shapeId="0">
      <text>
        <r>
          <rPr>
            <sz val="11"/>
            <color theme="1"/>
            <rFont val="Calibri"/>
            <family val="2"/>
            <scheme val="minor"/>
          </rPr>
          <t>Demat charges taken with the first Sell transaction of the day
======</t>
        </r>
      </text>
    </comment>
    <comment ref="R278" authorId="0" shapeId="0">
      <text>
        <r>
          <rPr>
            <sz val="11"/>
            <color theme="1"/>
            <rFont val="Calibri"/>
            <family val="2"/>
            <scheme val="minor"/>
          </rPr>
          <t>Demat charges taken with the first Sell transaction of the day
======</t>
        </r>
      </text>
    </comment>
    <comment ref="R281" authorId="0" shapeId="0">
      <text>
        <r>
          <rPr>
            <sz val="11"/>
            <color theme="1"/>
            <rFont val="Calibri"/>
            <family val="2"/>
            <scheme val="minor"/>
          </rPr>
          <t>Demat charges taken with the first Sell transaction of the day
======</t>
        </r>
      </text>
    </comment>
    <comment ref="R285" authorId="0" shapeId="0">
      <text>
        <r>
          <rPr>
            <sz val="11"/>
            <color theme="1"/>
            <rFont val="Calibri"/>
            <family val="2"/>
            <scheme val="minor"/>
          </rPr>
          <t>Demat charges taken with the first Sell transaction of the day
======</t>
        </r>
      </text>
    </comment>
    <comment ref="R291" authorId="0" shapeId="0">
      <text>
        <r>
          <rPr>
            <sz val="11"/>
            <color theme="1"/>
            <rFont val="Calibri"/>
            <family val="2"/>
            <scheme val="minor"/>
          </rPr>
          <t>Demat charges taken with the first Sell transaction of the day
======</t>
        </r>
      </text>
    </comment>
    <comment ref="P292" authorId="0" shapeId="0">
      <text>
        <r>
          <rPr>
            <sz val="11"/>
            <color theme="1"/>
            <rFont val="Calibri"/>
            <family val="2"/>
            <scheme val="minor"/>
          </rPr>
          <t>20-Jan-23
======</t>
        </r>
      </text>
    </comment>
    <comment ref="P293" authorId="0" shapeId="0">
      <text>
        <r>
          <rPr>
            <sz val="11"/>
            <color theme="1"/>
            <rFont val="Calibri"/>
            <family val="2"/>
            <scheme val="minor"/>
          </rPr>
          <t>2-Feb-23
======</t>
        </r>
      </text>
    </comment>
    <comment ref="I315" authorId="0" shapeId="0">
      <text>
        <r>
          <rPr>
            <sz val="11"/>
            <color theme="1"/>
            <rFont val="Calibri"/>
            <family val="2"/>
            <scheme val="minor"/>
          </rPr>
          <t>Bonus 1:2 converted w.e.f. 06-Sep-2022
======</t>
        </r>
      </text>
    </comment>
    <comment ref="I316" authorId="0" shapeId="0">
      <text>
        <r>
          <rPr>
            <sz val="11"/>
            <color theme="1"/>
            <rFont val="Calibri"/>
            <family val="2"/>
            <scheme val="minor"/>
          </rPr>
          <t>Bonus 1:2 converted w.e.f. 06-Sep-2022
======</t>
        </r>
      </text>
    </comment>
    <comment ref="P318" authorId="0" shapeId="0">
      <text>
        <r>
          <rPr>
            <sz val="11"/>
            <color theme="1"/>
            <rFont val="Calibri"/>
            <family val="2"/>
            <scheme val="minor"/>
          </rPr>
          <t>8-Mar-23
======</t>
        </r>
      </text>
    </comment>
    <comment ref="R319" authorId="0" shapeId="0">
      <text>
        <r>
          <rPr>
            <sz val="11"/>
            <color theme="1"/>
            <rFont val="Calibri"/>
            <family val="2"/>
            <scheme val="minor"/>
          </rPr>
          <t>Demat charges taken with the first Sell transaction of the day
======</t>
        </r>
      </text>
    </comment>
    <comment ref="I320" authorId="0" shapeId="0">
      <text>
        <r>
          <rPr>
            <sz val="11"/>
            <color theme="1"/>
            <rFont val="Calibri"/>
            <family val="2"/>
            <scheme val="minor"/>
          </rPr>
          <t>Bonus 1:2 converted w.e.f. 06-Sep-2022
======</t>
        </r>
      </text>
    </comment>
    <comment ref="S338" authorId="0" shapeId="0">
      <text>
        <r>
          <rPr>
            <sz val="11"/>
            <color theme="1"/>
            <rFont val="Calibri"/>
            <family val="2"/>
            <scheme val="minor"/>
          </rPr>
          <t>Credited on 25/06/21
======</t>
        </r>
      </text>
    </comment>
    <comment ref="A340" authorId="0" shapeId="0">
      <text>
        <r>
          <rPr>
            <sz val="11"/>
            <color theme="1"/>
            <rFont val="Calibri"/>
            <family val="2"/>
            <scheme val="minor"/>
          </rPr>
          <t>Avg ₹ 2607.83
======</t>
        </r>
      </text>
    </comment>
    <comment ref="R340" authorId="0" shapeId="0">
      <text>
        <r>
          <rPr>
            <sz val="11"/>
            <color theme="1"/>
            <rFont val="Calibri"/>
            <family val="2"/>
            <scheme val="minor"/>
          </rPr>
          <t>Demat charges taken with the first Sell transaction of the day
======</t>
        </r>
      </text>
    </comment>
    <comment ref="G341" authorId="0" shapeId="0">
      <text>
        <r>
          <rPr>
            <sz val="11"/>
            <color theme="1"/>
            <rFont val="Calibri"/>
            <family val="2"/>
            <scheme val="minor"/>
          </rPr>
          <t>Buy on dips till 150
======</t>
        </r>
      </text>
    </comment>
    <comment ref="R348" authorId="0" shapeId="0">
      <text>
        <r>
          <rPr>
            <sz val="11"/>
            <color theme="1"/>
            <rFont val="Calibri"/>
            <family val="2"/>
            <scheme val="minor"/>
          </rPr>
          <t>Demat charges taken with the first Sell transaction of the day
======</t>
        </r>
      </text>
    </comment>
    <comment ref="R349" authorId="0" shapeId="0">
      <text>
        <r>
          <rPr>
            <sz val="11"/>
            <color theme="1"/>
            <rFont val="Calibri"/>
            <family val="2"/>
            <scheme val="minor"/>
          </rPr>
          <t>Demat charges taken with the first Sell transaction of the day
======</t>
        </r>
      </text>
    </comment>
    <comment ref="G356" authorId="0" shapeId="0">
      <text>
        <r>
          <rPr>
            <sz val="11"/>
            <color theme="1"/>
            <rFont val="Calibri"/>
            <family val="2"/>
            <scheme val="minor"/>
          </rPr>
          <t>MEDIUM TERM:85, LONG_TERM:150/-
======</t>
        </r>
      </text>
    </comment>
    <comment ref="G361" authorId="0" shapeId="0">
      <text>
        <r>
          <rPr>
            <sz val="11"/>
            <color theme="1"/>
            <rFont val="Calibri"/>
            <family val="2"/>
            <scheme val="minor"/>
          </rPr>
          <t>MEDIUM TERM:85, LONG_TERM:150/-
======</t>
        </r>
      </text>
    </comment>
    <comment ref="R375" authorId="0" shapeId="0">
      <text>
        <r>
          <rPr>
            <sz val="11"/>
            <color theme="1"/>
            <rFont val="Calibri"/>
            <family val="2"/>
            <scheme val="minor"/>
          </rPr>
          <t>Demat charges taken with the first Sell transaction of the day
======</t>
        </r>
      </text>
    </comment>
    <comment ref="D377" authorId="0" shapeId="0">
      <text>
        <r>
          <rPr>
            <sz val="11"/>
            <color theme="1"/>
            <rFont val="Calibri"/>
            <family val="2"/>
            <scheme val="minor"/>
          </rPr>
          <t>TGT 850-885-920
======</t>
        </r>
      </text>
    </comment>
    <comment ref="G377" authorId="0" shapeId="0">
      <text>
        <r>
          <rPr>
            <sz val="11"/>
            <color theme="1"/>
            <rFont val="Calibri"/>
            <family val="2"/>
            <scheme val="minor"/>
          </rPr>
          <t>INSECTICIDE 789, ADD ON DIPS TILL 755, SL 720, TGT 850-885-920*
======</t>
        </r>
      </text>
    </comment>
    <comment ref="D379" authorId="0" shapeId="0">
      <text>
        <r>
          <rPr>
            <sz val="11"/>
            <color theme="1"/>
            <rFont val="Calibri"/>
            <family val="2"/>
            <scheme val="minor"/>
          </rPr>
          <t>120-125
======</t>
        </r>
      </text>
    </comment>
    <comment ref="R380" authorId="0" shapeId="0">
      <text>
        <r>
          <rPr>
            <sz val="11"/>
            <color theme="1"/>
            <rFont val="Calibri"/>
            <family val="2"/>
            <scheme val="minor"/>
          </rPr>
          <t>======
ID#AAAARGJ9sBU
    (2021-05-10 15:05:06)
Charges for moving from SBICAP to Zerodha's CDSL A/c ₹ 35.40
Charges for moving from Sunita to Satya's CDSLboth A/c thru Zerodha ₹ 29.50</t>
        </r>
      </text>
    </comment>
    <comment ref="L381" authorId="0" shapeId="0">
      <text>
        <r>
          <rPr>
            <sz val="11"/>
            <color theme="1"/>
            <rFont val="Calibri"/>
            <family val="2"/>
            <scheme val="minor"/>
          </rPr>
          <t>Credit to Demat account
======
ID#AAAAMT5jkpc
Satya Gupta    (2021-04-16 13:19:57)
IPO credit to Demat on 28/01/2021</t>
        </r>
      </text>
    </comment>
    <comment ref="R381" authorId="0" shapeId="0">
      <text>
        <r>
          <rPr>
            <sz val="11"/>
            <color theme="1"/>
            <rFont val="Calibri"/>
            <family val="2"/>
            <scheme val="minor"/>
          </rPr>
          <t>======
ID#AAAARGJ9sCw
    (2021-05-10 15:05:06)
Charges for moving from SBICAP to Zerodha's CDSL A/c ₹ 35.40
------
ID#AAAAUIdXmUI
Satya Prakash Gupta    (2021-10-18 18:37:54)
_Marked as resolved_
------
ID#AAAAUIdXmUM
Satya Prakash Gupta    (2021-10-18 18:37:58)
_Re-opened_</t>
        </r>
      </text>
    </comment>
    <comment ref="D397" authorId="0" shapeId="0">
      <text>
        <r>
          <rPr>
            <sz val="11"/>
            <color theme="1"/>
            <rFont val="Calibri"/>
            <family val="2"/>
            <scheme val="minor"/>
          </rPr>
          <t>ST-TGT 90
======</t>
        </r>
      </text>
    </comment>
    <comment ref="J397" authorId="0" shapeId="0">
      <text>
        <r>
          <rPr>
            <sz val="11"/>
            <color theme="1"/>
            <rFont val="Calibri"/>
            <family val="2"/>
            <scheme val="minor"/>
          </rPr>
          <t>Zerodha @ ₹ 73.05
======</t>
        </r>
      </text>
    </comment>
    <comment ref="R411" authorId="0" shapeId="0">
      <text>
        <r>
          <rPr>
            <sz val="11"/>
            <color theme="1"/>
            <rFont val="Calibri"/>
            <family val="2"/>
            <scheme val="minor"/>
          </rPr>
          <t>======
ID#AAAAUIdXmUU
    (2021-11-13 15:40:07)
Dematerialisation charges ₹ 40+GST
Charges for moving from SBICAP to Zerodha's CDSL A/c ₹ 30+GST</t>
        </r>
      </text>
    </comment>
    <comment ref="A414" authorId="0" shapeId="0">
      <text>
        <r>
          <rPr>
            <sz val="11"/>
            <color theme="1"/>
            <rFont val="Calibri"/>
            <family val="2"/>
            <scheme val="minor"/>
          </rPr>
          <t>Avg ₹ 31.18
======</t>
        </r>
      </text>
    </comment>
    <comment ref="R415" authorId="0" shapeId="0">
      <text>
        <r>
          <rPr>
            <sz val="11"/>
            <color theme="1"/>
            <rFont val="Calibri"/>
            <family val="2"/>
            <scheme val="minor"/>
          </rPr>
          <t>Demat charges taken with the first Sell transaction of the day
======</t>
        </r>
      </text>
    </comment>
    <comment ref="R418" authorId="0" shapeId="0">
      <text>
        <r>
          <rPr>
            <sz val="11"/>
            <color theme="1"/>
            <rFont val="Calibri"/>
            <family val="2"/>
            <scheme val="minor"/>
          </rPr>
          <t>Demat charges taken with the first Sell transaction of the day
======</t>
        </r>
      </text>
    </comment>
    <comment ref="R421" authorId="0" shapeId="0">
      <text>
        <r>
          <rPr>
            <sz val="11"/>
            <color theme="1"/>
            <rFont val="Calibri"/>
            <family val="2"/>
            <scheme val="minor"/>
          </rPr>
          <t>======
ID#AAAARFjorzU
    (2021-05-10 15:05:06)
Charges for moving from SBICAP to Zerodha's CDSL A/c ₹ 35.40
Charges for moving from Sunita to Satya's CDSLboth A/c thru Zerodha ₹ 29.50</t>
        </r>
      </text>
    </comment>
    <comment ref="R424" authorId="0" shapeId="0">
      <text>
        <r>
          <rPr>
            <sz val="11"/>
            <color theme="1"/>
            <rFont val="Calibri"/>
            <family val="2"/>
            <scheme val="minor"/>
          </rPr>
          <t>Demat charges taken with the first Sell transaction of the day
======</t>
        </r>
      </text>
    </comment>
    <comment ref="S424" authorId="0" shapeId="0">
      <text>
        <r>
          <rPr>
            <sz val="11"/>
            <color theme="1"/>
            <rFont val="Calibri"/>
            <family val="2"/>
            <scheme val="minor"/>
          </rPr>
          <t>Credited on 31/03/21
======</t>
        </r>
      </text>
    </comment>
    <comment ref="A432" authorId="0" shapeId="0">
      <text>
        <r>
          <rPr>
            <sz val="11"/>
            <color theme="1"/>
            <rFont val="Calibri"/>
            <family val="2"/>
            <scheme val="minor"/>
          </rPr>
          <t>Avg ₹ 82.60
======</t>
        </r>
      </text>
    </comment>
    <comment ref="A434" authorId="0" shapeId="0">
      <text>
        <r>
          <rPr>
            <sz val="11"/>
            <color theme="1"/>
            <rFont val="Calibri"/>
            <family val="2"/>
            <scheme val="minor"/>
          </rPr>
          <t>Avg ₹ 76.85
======</t>
        </r>
      </text>
    </comment>
    <comment ref="R434" authorId="0" shapeId="0">
      <text>
        <r>
          <rPr>
            <sz val="11"/>
            <color theme="1"/>
            <rFont val="Calibri"/>
            <family val="2"/>
            <scheme val="minor"/>
          </rPr>
          <t>Demat charges taken with the first Sell transaction of the day
======</t>
        </r>
      </text>
    </comment>
    <comment ref="P451" authorId="0" shapeId="0">
      <text>
        <r>
          <rPr>
            <sz val="11"/>
            <color theme="1"/>
            <rFont val="Calibri"/>
            <family val="2"/>
            <scheme val="minor"/>
          </rPr>
          <t>Actual 19-Jan-23
======</t>
        </r>
      </text>
    </comment>
    <comment ref="R460" authorId="0" shapeId="0">
      <text>
        <r>
          <rPr>
            <sz val="11"/>
            <color theme="1"/>
            <rFont val="Calibri"/>
            <family val="2"/>
            <scheme val="minor"/>
          </rPr>
          <t>Demat charges taken with the first Sell transaction of the day
======</t>
        </r>
      </text>
    </comment>
    <comment ref="R463" authorId="0" shapeId="0">
      <text>
        <r>
          <rPr>
            <sz val="11"/>
            <color theme="1"/>
            <rFont val="Calibri"/>
            <family val="2"/>
            <scheme val="minor"/>
          </rPr>
          <t>Demat charges taken with the first Sell transaction of the day
======</t>
        </r>
      </text>
    </comment>
    <comment ref="R464" authorId="0" shapeId="0">
      <text>
        <r>
          <rPr>
            <sz val="11"/>
            <color theme="1"/>
            <rFont val="Calibri"/>
            <family val="2"/>
            <scheme val="minor"/>
          </rPr>
          <t>Demat charges taken with the first Sell transaction of the day
======</t>
        </r>
      </text>
    </comment>
    <comment ref="R467" authorId="0" shapeId="0">
      <text>
        <r>
          <rPr>
            <sz val="11"/>
            <color theme="1"/>
            <rFont val="Calibri"/>
            <family val="2"/>
            <scheme val="minor"/>
          </rPr>
          <t>======
ID#AAAARGJ9sCc
    (2021-05-14 03:39:00)
Charges for moving from SBICAP to Zerodha's CDSL A/c ₹ 35.40
Charges for moving from Sunita to Satya's CDSLboth A/c thru Zerodha ₹ 29.50</t>
        </r>
      </text>
    </comment>
    <comment ref="R470" authorId="0" shapeId="0">
      <text>
        <r>
          <rPr>
            <sz val="11"/>
            <color theme="1"/>
            <rFont val="Calibri"/>
            <family val="2"/>
            <scheme val="minor"/>
          </rPr>
          <t>Demat charges taken with the first Sell transaction of the day
======</t>
        </r>
      </text>
    </comment>
    <comment ref="R478" authorId="0" shapeId="0">
      <text>
        <r>
          <rPr>
            <sz val="11"/>
            <color theme="1"/>
            <rFont val="Calibri"/>
            <family val="2"/>
            <scheme val="minor"/>
          </rPr>
          <t>Demat charges taken with the first Sell transaction of the day
======</t>
        </r>
      </text>
    </comment>
    <comment ref="P481" authorId="0" shapeId="0">
      <text>
        <r>
          <rPr>
            <sz val="11"/>
            <color theme="1"/>
            <rFont val="Calibri"/>
            <family val="2"/>
            <scheme val="minor"/>
          </rPr>
          <t>4-Jan-23
======</t>
        </r>
      </text>
    </comment>
    <comment ref="R481" authorId="0" shapeId="0">
      <text>
        <r>
          <rPr>
            <sz val="11"/>
            <color theme="1"/>
            <rFont val="Calibri"/>
            <family val="2"/>
            <scheme val="minor"/>
          </rPr>
          <t>Demat charges taken with the first Sell transaction of the day
======</t>
        </r>
      </text>
    </comment>
    <comment ref="A483" authorId="0" shapeId="0">
      <text>
        <r>
          <rPr>
            <sz val="11"/>
            <color theme="1"/>
            <rFont val="Calibri"/>
            <family val="2"/>
            <scheme val="minor"/>
          </rPr>
          <t>Avg ₹ 1248.13
======</t>
        </r>
      </text>
    </comment>
    <comment ref="R494" authorId="0" shapeId="0">
      <text>
        <r>
          <rPr>
            <sz val="11"/>
            <color theme="1"/>
            <rFont val="Calibri"/>
            <family val="2"/>
            <scheme val="minor"/>
          </rPr>
          <t>Demat charges taken with the first Sell transaction of the day
======</t>
        </r>
      </text>
    </comment>
    <comment ref="R500" authorId="0" shapeId="0">
      <text>
        <r>
          <rPr>
            <sz val="11"/>
            <color theme="1"/>
            <rFont val="Calibri"/>
            <family val="2"/>
            <scheme val="minor"/>
          </rPr>
          <t>Demat charges taken with the first Sell transaction of the day
======</t>
        </r>
      </text>
    </comment>
    <comment ref="R502" authorId="0" shapeId="0">
      <text>
        <r>
          <rPr>
            <sz val="11"/>
            <color theme="1"/>
            <rFont val="Calibri"/>
            <family val="2"/>
            <scheme val="minor"/>
          </rPr>
          <t>Demat charges taken with the first Sell transaction of the day
======</t>
        </r>
      </text>
    </comment>
    <comment ref="R503" authorId="0" shapeId="0">
      <text>
        <r>
          <rPr>
            <sz val="11"/>
            <color theme="1"/>
            <rFont val="Calibri"/>
            <family val="2"/>
            <scheme val="minor"/>
          </rPr>
          <t>Demat charges taken with the first Sell transaction of the day
======</t>
        </r>
      </text>
    </comment>
    <comment ref="A517" authorId="0" shapeId="0">
      <text>
        <r>
          <rPr>
            <sz val="11"/>
            <color theme="1"/>
            <rFont val="Calibri"/>
            <family val="2"/>
            <scheme val="minor"/>
          </rPr>
          <t>Avg ₹ 8.14
======</t>
        </r>
      </text>
    </comment>
    <comment ref="R517" authorId="0" shapeId="0">
      <text>
        <r>
          <rPr>
            <sz val="11"/>
            <color theme="1"/>
            <rFont val="Calibri"/>
            <family val="2"/>
            <scheme val="minor"/>
          </rPr>
          <t>Demat charges taken with the first Sell transaction of the day
======</t>
        </r>
      </text>
    </comment>
    <comment ref="R525" authorId="0" shapeId="0">
      <text>
        <r>
          <rPr>
            <sz val="11"/>
            <color theme="1"/>
            <rFont val="Calibri"/>
            <family val="2"/>
            <scheme val="minor"/>
          </rPr>
          <t>Demat charges taken with the first Sell transaction of the day
======</t>
        </r>
      </text>
    </comment>
    <comment ref="I531" authorId="0" shapeId="0">
      <text>
        <r>
          <rPr>
            <sz val="11"/>
            <color theme="1"/>
            <rFont val="Calibri"/>
            <family val="2"/>
            <scheme val="minor"/>
          </rPr>
          <t>Credit after amalgamation on 26/11/2021
======</t>
        </r>
      </text>
    </comment>
    <comment ref="K531" authorId="0" shapeId="0">
      <text>
        <r>
          <rPr>
            <sz val="11"/>
            <color theme="1"/>
            <rFont val="Calibri"/>
            <family val="2"/>
            <scheme val="minor"/>
          </rPr>
          <t>Buy Cost of 100 TATASTLBSL ₹ 8810
Received TATASTEEL in 15:1 ratio on amalgamation hence Cost of 6 TATASTEEL ₹  7929 (8810/6.6667*6) Minus ₹ 737.48
Cash received on 13/12/2021 for fraction share 0.6667 (should get ₹ 881 (8810-7929) hence loss of ₹ 143.52)
======</t>
        </r>
      </text>
    </comment>
    <comment ref="R531" authorId="0" shapeId="0">
      <text>
        <r>
          <rPr>
            <sz val="11"/>
            <color theme="1"/>
            <rFont val="Calibri"/>
            <family val="2"/>
            <scheme val="minor"/>
          </rPr>
          <t>Demat charges taken with the first Sell transaction of the day
======</t>
        </r>
      </text>
    </comment>
    <comment ref="R536" authorId="0" shapeId="0">
      <text>
        <r>
          <rPr>
            <sz val="11"/>
            <color theme="1"/>
            <rFont val="Calibri"/>
            <family val="2"/>
            <scheme val="minor"/>
          </rPr>
          <t>Demat charges taken with the first Sell transaction of the day
======</t>
        </r>
      </text>
    </comment>
    <comment ref="R545" authorId="0" shapeId="0">
      <text>
        <r>
          <rPr>
            <sz val="11"/>
            <color theme="1"/>
            <rFont val="Calibri"/>
            <family val="2"/>
            <scheme val="minor"/>
          </rPr>
          <t>Demat charges taken with the first Sell transaction of the day
======</t>
        </r>
      </text>
    </comment>
    <comment ref="G549" authorId="0" shapeId="0">
      <text>
        <r>
          <rPr>
            <sz val="11"/>
            <color theme="1"/>
            <rFont val="Calibri"/>
            <family val="2"/>
            <scheme val="minor"/>
          </rPr>
          <t>Med-Term High Risk Return Call
======</t>
        </r>
      </text>
    </comment>
    <comment ref="D551" authorId="0" shapeId="0">
      <text>
        <r>
          <rPr>
            <sz val="11"/>
            <color theme="1"/>
            <rFont val="Calibri"/>
            <family val="2"/>
            <scheme val="minor"/>
          </rPr>
          <t>First target 25
======</t>
        </r>
      </text>
    </comment>
    <comment ref="R553" authorId="0" shapeId="0">
      <text>
        <r>
          <rPr>
            <sz val="11"/>
            <color theme="1"/>
            <rFont val="Calibri"/>
            <family val="2"/>
            <scheme val="minor"/>
          </rPr>
          <t>Demat charges taken with the first Sell transaction of the day
======</t>
        </r>
      </text>
    </comment>
    <comment ref="R554" authorId="0" shapeId="0">
      <text>
        <r>
          <rPr>
            <sz val="11"/>
            <color theme="1"/>
            <rFont val="Calibri"/>
            <family val="2"/>
            <scheme val="minor"/>
          </rPr>
          <t>Demat charges taken with the first Sell transaction of the day
======</t>
        </r>
      </text>
    </comment>
    <comment ref="R562" authorId="0" shapeId="0">
      <text>
        <r>
          <rPr>
            <sz val="11"/>
            <color theme="1"/>
            <rFont val="Calibri"/>
            <family val="2"/>
            <scheme val="minor"/>
          </rPr>
          <t>Demat charges taken with the first Sell transaction of the day
======</t>
        </r>
      </text>
    </comment>
    <comment ref="T566" authorId="0" shapeId="0">
      <text>
        <r>
          <rPr>
            <sz val="11"/>
            <color theme="1"/>
            <rFont val="Calibri"/>
            <family val="2"/>
            <scheme val="minor"/>
          </rPr>
          <t>Sunita's Profit prior to 01/01/2021 ₹ 30,599.00 
Net Profit ₹ 4,310.09 (after adjusting losses below)
Loss on old holding sold after 01/01/2021 ₹ 26,288.91
BHEL ₹    7,292.56
MTNL ₹ 10,094.50
Rolta ₹     8,901.85
======</t>
        </r>
      </text>
    </comment>
    <comment ref="V566" authorId="0" shapeId="0">
      <text>
        <r>
          <rPr>
            <sz val="11"/>
            <color theme="1"/>
            <rFont val="Calibri"/>
            <family val="2"/>
            <scheme val="minor"/>
          </rPr>
          <t>Minus Demat A/c AMC etc.
======</t>
        </r>
      </text>
    </comment>
    <comment ref="T567" authorId="0" shapeId="0">
      <text>
        <r>
          <rPr>
            <sz val="11"/>
            <color theme="1"/>
            <rFont val="Calibri"/>
            <family val="2"/>
            <scheme val="minor"/>
          </rPr>
          <t>Cross Check for Charges Net of Dividend
======</t>
        </r>
      </text>
    </comment>
    <comment ref="R569" authorId="0" shapeId="0">
      <text>
        <r>
          <rPr>
            <sz val="11"/>
            <color theme="1"/>
            <rFont val="Calibri"/>
            <family val="2"/>
            <scheme val="minor"/>
          </rPr>
          <t>Satya
Demat A/c AMC etc. Within 1st parenthesis
Buyback settlement Within 2nd parenthesis
OFS/Buyback Order Within 3rd parenthesis
Payment Gateway Within 4th parenthesis
Other Debits within 5th parenthesis
======</t>
        </r>
      </text>
    </comment>
    <comment ref="R570" authorId="0" shapeId="0">
      <text>
        <r>
          <rPr>
            <sz val="11"/>
            <color theme="1"/>
            <rFont val="Calibri"/>
            <family val="2"/>
            <scheme val="minor"/>
          </rPr>
          <t>Sunita Demat A/c AMC etc. 
Chg by Zerodha Within 1st parenthesis
Chg by SBICAP Within 2nd parenthesis
======</t>
        </r>
      </text>
    </comment>
    <comment ref="A573" authorId="0" shapeId="0">
      <text>
        <r>
          <rPr>
            <sz val="11"/>
            <color theme="1"/>
            <rFont val="Calibri"/>
            <family val="2"/>
            <scheme val="minor"/>
          </rPr>
          <t>In Excel for Dynamic Validation List following command is used
='Master Data'!$C$2#
======</t>
        </r>
      </text>
    </comment>
  </commentList>
  <extLst>
    <ext xmlns:r="http://schemas.openxmlformats.org/officeDocument/2006/relationships" uri="GoogleSheetsCustomDataVersion1">
      <go:sheetsCustomData xmlns:go="http://customooxmlschemas.google.com/" r:id="rId1" roundtripDataSignature="AMtx7mgDgqcmNBNbnysgdj9xhXkEKw0wOw=="/>
    </ext>
  </extLst>
</comments>
</file>

<file path=xl/comments7.xml><?xml version="1.0" encoding="utf-8"?>
<comments xmlns="http://schemas.openxmlformats.org/spreadsheetml/2006/main">
  <authors>
    <author/>
  </authors>
  <commentList>
    <comment ref="D13" authorId="0" shapeId="0">
      <text>
        <r>
          <rPr>
            <sz val="11"/>
            <color theme="1"/>
            <rFont val="Calibri"/>
            <family val="2"/>
            <scheme val="minor"/>
          </rPr>
          <t>100 Bought, Sold on 26/10/2021
======</t>
        </r>
      </text>
    </comment>
    <comment ref="D15" authorId="0" shapeId="0">
      <text>
        <r>
          <rPr>
            <sz val="11"/>
            <color theme="1"/>
            <rFont val="Calibri"/>
            <family val="2"/>
            <scheme val="minor"/>
          </rPr>
          <t>110 Bought, Sold 300 on 09/11/2021
======</t>
        </r>
      </text>
    </comment>
    <comment ref="D16" authorId="0" shapeId="0">
      <text>
        <r>
          <rPr>
            <sz val="11"/>
            <color theme="1"/>
            <rFont val="Calibri"/>
            <family val="2"/>
            <scheme val="minor"/>
          </rPr>
          <t>90 Bought, Sold 300 on 09/11/2021
======</t>
        </r>
      </text>
    </comment>
    <comment ref="D17" authorId="0" shapeId="0">
      <text>
        <r>
          <rPr>
            <sz val="11"/>
            <color theme="1"/>
            <rFont val="Calibri"/>
            <family val="2"/>
            <scheme val="minor"/>
          </rPr>
          <t>100 Bought, Sold 300 on 09/11/2021
======</t>
        </r>
      </text>
    </comment>
    <comment ref="D25" authorId="0" shapeId="0">
      <text>
        <r>
          <rPr>
            <sz val="11"/>
            <color theme="1"/>
            <rFont val="Calibri"/>
            <family val="2"/>
            <scheme val="minor"/>
          </rPr>
          <t>100 Bought, Sold on 29/11/2021
======</t>
        </r>
      </text>
    </comment>
    <comment ref="D27" authorId="0" shapeId="0">
      <text>
        <r>
          <rPr>
            <sz val="11"/>
            <color theme="1"/>
            <rFont val="Calibri"/>
            <family val="2"/>
            <scheme val="minor"/>
          </rPr>
          <t>183 Bought, Sold on 14/12/2021
======</t>
        </r>
      </text>
    </comment>
    <comment ref="D30" authorId="0" shapeId="0">
      <text>
        <r>
          <rPr>
            <sz val="11"/>
            <color theme="1"/>
            <rFont val="Calibri"/>
            <family val="2"/>
            <scheme val="minor"/>
          </rPr>
          <t>100 Bought, Sold on 16/12/2021
======</t>
        </r>
      </text>
    </comment>
    <comment ref="D32" authorId="0" shapeId="0">
      <text>
        <r>
          <rPr>
            <sz val="11"/>
            <color theme="1"/>
            <rFont val="Calibri"/>
            <family val="2"/>
            <scheme val="minor"/>
          </rPr>
          <t>135 Bought, Sold 200 on 21/12/2021
======</t>
        </r>
      </text>
    </comment>
    <comment ref="D33" authorId="0" shapeId="0">
      <text>
        <r>
          <rPr>
            <sz val="11"/>
            <color theme="1"/>
            <rFont val="Calibri"/>
            <family val="2"/>
            <scheme val="minor"/>
          </rPr>
          <t>65 Bought, Sold 200 on 21/12/2021
======</t>
        </r>
      </text>
    </comment>
    <comment ref="D36" authorId="0" shapeId="0">
      <text>
        <r>
          <rPr>
            <sz val="11"/>
            <color theme="1"/>
            <rFont val="Calibri"/>
            <family val="2"/>
            <scheme val="minor"/>
          </rPr>
          <t>50 Sold, Bought on 24/12/2021
======</t>
        </r>
      </text>
    </comment>
    <comment ref="D38" authorId="0" shapeId="0">
      <text>
        <r>
          <rPr>
            <sz val="11"/>
            <color theme="1"/>
            <rFont val="Calibri"/>
            <family val="2"/>
            <scheme val="minor"/>
          </rPr>
          <t>100 Bought, Sold 360 on 04/01/2022
======</t>
        </r>
      </text>
    </comment>
    <comment ref="D39" authorId="0" shapeId="0">
      <text>
        <r>
          <rPr>
            <sz val="11"/>
            <color theme="1"/>
            <rFont val="Calibri"/>
            <family val="2"/>
            <scheme val="minor"/>
          </rPr>
          <t>160 Bought, Sold 360 on 04/01/2022
======</t>
        </r>
      </text>
    </comment>
    <comment ref="D41" authorId="0" shapeId="0">
      <text>
        <r>
          <rPr>
            <sz val="11"/>
            <color theme="1"/>
            <rFont val="Calibri"/>
            <family val="2"/>
            <scheme val="minor"/>
          </rPr>
          <t>50 Bought, Sold on 07/01/2022
======</t>
        </r>
      </text>
    </comment>
    <comment ref="D45" authorId="0" shapeId="0">
      <text>
        <r>
          <rPr>
            <sz val="11"/>
            <color theme="1"/>
            <rFont val="Calibri"/>
            <family val="2"/>
            <scheme val="minor"/>
          </rPr>
          <t>175 Bought, Sold on 13/01/2022
======</t>
        </r>
      </text>
    </comment>
    <comment ref="D47" authorId="0" shapeId="0">
      <text>
        <r>
          <rPr>
            <sz val="11"/>
            <color theme="1"/>
            <rFont val="Calibri"/>
            <family val="2"/>
            <scheme val="minor"/>
          </rPr>
          <t>100 Bought, Sold on 14/01/2022
150 Bought, Sold on 17/01/2022
======</t>
        </r>
      </text>
    </comment>
    <comment ref="D48" authorId="0" shapeId="0">
      <text>
        <r>
          <rPr>
            <sz val="11"/>
            <color theme="1"/>
            <rFont val="Calibri"/>
            <family val="2"/>
            <scheme val="minor"/>
          </rPr>
          <t>47 Sold, Bought on 18/01/2022
======</t>
        </r>
      </text>
    </comment>
    <comment ref="C52" authorId="0" shapeId="0">
      <text>
        <r>
          <rPr>
            <sz val="11"/>
            <color theme="1"/>
            <rFont val="Calibri"/>
            <family val="2"/>
            <scheme val="minor"/>
          </rPr>
          <t>₹ 103.76 BAJFINANCE included
======</t>
        </r>
      </text>
    </comment>
    <comment ref="C53" authorId="0" shapeId="0">
      <text>
        <r>
          <rPr>
            <sz val="11"/>
            <color theme="1"/>
            <rFont val="Calibri"/>
            <family val="2"/>
            <scheme val="minor"/>
          </rPr>
          <t>₹ 85.58 BAJFINANCE included
======</t>
        </r>
      </text>
    </comment>
    <comment ref="D60" authorId="0" shapeId="0">
      <text>
        <r>
          <rPr>
            <sz val="11"/>
            <color theme="1"/>
            <rFont val="Calibri"/>
            <family val="2"/>
            <scheme val="minor"/>
          </rPr>
          <t>190 Bought, Sold on 04/02/2022
======</t>
        </r>
      </text>
    </comment>
    <comment ref="D61" authorId="0" shapeId="0">
      <text>
        <r>
          <rPr>
            <sz val="11"/>
            <color theme="1"/>
            <rFont val="Calibri"/>
            <family val="2"/>
            <scheme val="minor"/>
          </rPr>
          <t>60 Bought, Sold on 08/02/2022
======</t>
        </r>
      </text>
    </comment>
    <comment ref="D62" authorId="0" shapeId="0">
      <text>
        <r>
          <rPr>
            <sz val="11"/>
            <color theme="1"/>
            <rFont val="Calibri"/>
            <family val="2"/>
            <scheme val="minor"/>
          </rPr>
          <t>50 Bought, Sold on 10/02/2022
======</t>
        </r>
      </text>
    </comment>
    <comment ref="D65" authorId="0" shapeId="0">
      <text>
        <r>
          <rPr>
            <sz val="11"/>
            <color theme="1"/>
            <rFont val="Calibri"/>
            <family val="2"/>
            <scheme val="minor"/>
          </rPr>
          <t>70 Bought, Sold on 15/02/2022
======</t>
        </r>
      </text>
    </comment>
    <comment ref="D66" authorId="0" shapeId="0">
      <text>
        <r>
          <rPr>
            <sz val="11"/>
            <color theme="1"/>
            <rFont val="Calibri"/>
            <family val="2"/>
            <scheme val="minor"/>
          </rPr>
          <t>115 Bought, Sold on 25/01/2022
Loss ₹ 47.93 on Sold 3 BAJFINANCE Bought 5 on 24/01/2022 
======</t>
        </r>
      </text>
    </comment>
    <comment ref="D67" authorId="0" shapeId="0">
      <text>
        <r>
          <rPr>
            <sz val="11"/>
            <color theme="1"/>
            <rFont val="Calibri"/>
            <family val="2"/>
            <scheme val="minor"/>
          </rPr>
          <t>100 Bought, Sold on 04/01/2022
Loss ₹ 249.93 on Sold 2 BAJFINANCE Bought 5 on 24/01/2022 
======</t>
        </r>
      </text>
    </comment>
    <comment ref="C69" authorId="0" shapeId="0">
      <text>
        <r>
          <rPr>
            <sz val="11"/>
            <color theme="1"/>
            <rFont val="Calibri"/>
            <family val="2"/>
            <scheme val="minor"/>
          </rPr>
          <t>Including SETFGOLD ₹ 145.06
======</t>
        </r>
      </text>
    </comment>
    <comment ref="D69" authorId="0" shapeId="0">
      <text>
        <r>
          <rPr>
            <sz val="11"/>
            <color theme="1"/>
            <rFont val="Calibri"/>
            <family val="2"/>
            <scheme val="minor"/>
          </rPr>
          <t>10 Bought, Sold on 23/02/2022
======</t>
        </r>
      </text>
    </comment>
    <comment ref="D70" authorId="0" shapeId="0">
      <text>
        <r>
          <rPr>
            <sz val="11"/>
            <color theme="1"/>
            <rFont val="Calibri"/>
            <family val="2"/>
            <scheme val="minor"/>
          </rPr>
          <t>1500 Bought, Sold 1500 on 24/02/2022
======</t>
        </r>
      </text>
    </comment>
    <comment ref="D71" authorId="0" shapeId="0">
      <text>
        <r>
          <rPr>
            <sz val="11"/>
            <color theme="1"/>
            <rFont val="Calibri"/>
            <family val="2"/>
            <scheme val="minor"/>
          </rPr>
          <t>21 Sold 20 Bought on 18-Feb-22
               01 Bought on 21-Oct-21
10 Bought, Sold on 25-Feb-22
======</t>
        </r>
      </text>
    </comment>
    <comment ref="C77" authorId="0" shapeId="0">
      <text>
        <r>
          <rPr>
            <sz val="11"/>
            <color theme="1"/>
            <rFont val="Calibri"/>
            <family val="2"/>
            <scheme val="minor"/>
          </rPr>
          <t>Including SETFGOLD ₹ 411.66
======</t>
        </r>
      </text>
    </comment>
    <comment ref="D78" authorId="0" shapeId="0">
      <text>
        <r>
          <rPr>
            <sz val="11"/>
            <color theme="1"/>
            <rFont val="Calibri"/>
            <family val="2"/>
            <scheme val="minor"/>
          </rPr>
          <t>1500 Bought, Sold 1500 on 07/03/2022
======</t>
        </r>
      </text>
    </comment>
    <comment ref="D79" authorId="0" shapeId="0">
      <text>
        <r>
          <rPr>
            <sz val="11"/>
            <color theme="1"/>
            <rFont val="Calibri"/>
            <family val="2"/>
            <scheme val="minor"/>
          </rPr>
          <t>20 Sold, Bought on 04-Mar-22
======</t>
        </r>
      </text>
    </comment>
    <comment ref="D80" authorId="0" shapeId="0">
      <text>
        <r>
          <rPr>
            <sz val="11"/>
            <color theme="1"/>
            <rFont val="Calibri"/>
            <family val="2"/>
            <scheme val="minor"/>
          </rPr>
          <t>10 Bought, Sold on 14-Mar-22
======</t>
        </r>
      </text>
    </comment>
    <comment ref="D85" authorId="0" shapeId="0">
      <text>
        <r>
          <rPr>
            <sz val="11"/>
            <color theme="1"/>
            <rFont val="Calibri"/>
            <family val="2"/>
            <scheme val="minor"/>
          </rPr>
          <t>16 Bought, Sold on 22-Mar-22
======</t>
        </r>
      </text>
    </comment>
    <comment ref="D90" authorId="0" shapeId="0">
      <text>
        <r>
          <rPr>
            <sz val="11"/>
            <color theme="1"/>
            <rFont val="Calibri"/>
            <family val="2"/>
            <scheme val="minor"/>
          </rPr>
          <t>40 Bought, Sold on 29-Mar-22
======</t>
        </r>
      </text>
    </comment>
    <comment ref="D92" authorId="0" shapeId="0">
      <text>
        <r>
          <rPr>
            <sz val="11"/>
            <color theme="1"/>
            <rFont val="Calibri"/>
            <family val="2"/>
            <scheme val="minor"/>
          </rPr>
          <t>50 Sold, Bought on 07-Feb-22
10 Sold, Bought on 30-Mar-22
114 Sold, Bought on 11-Feb-22
======</t>
        </r>
      </text>
    </comment>
    <comment ref="D93" authorId="0" shapeId="0">
      <text>
        <r>
          <rPr>
            <sz val="11"/>
            <color theme="1"/>
            <rFont val="Calibri"/>
            <family val="2"/>
            <scheme val="minor"/>
          </rPr>
          <t>50 Sold, Bought on 4-Apr-22
======</t>
        </r>
      </text>
    </comment>
    <comment ref="D97" authorId="0" shapeId="0">
      <text>
        <r>
          <rPr>
            <sz val="11"/>
            <color theme="1"/>
            <rFont val="Calibri"/>
            <family val="2"/>
            <scheme val="minor"/>
          </rPr>
          <t>SETFGOLD
2500 Sold,
                1600 Bought on 21-Jun-21
                  500 Bought on 25-Aug-21
                  400 Bought on 26-Aug-21
======</t>
        </r>
      </text>
    </comment>
    <comment ref="D98" authorId="0" shapeId="0">
      <text>
        <r>
          <rPr>
            <sz val="11"/>
            <color theme="1"/>
            <rFont val="Calibri"/>
            <family val="2"/>
            <scheme val="minor"/>
          </rPr>
          <t>124 Bought, Sold on 01-Apr-22
======</t>
        </r>
      </text>
    </comment>
    <comment ref="D100" authorId="0" shapeId="0">
      <text>
        <r>
          <rPr>
            <sz val="11"/>
            <color theme="1"/>
            <rFont val="Calibri"/>
            <family val="2"/>
            <scheme val="minor"/>
          </rPr>
          <t>100 Sold, Bought on 12-Apr-22
======</t>
        </r>
      </text>
    </comment>
    <comment ref="D101" authorId="0" shapeId="0">
      <text>
        <r>
          <rPr>
            <sz val="11"/>
            <color theme="1"/>
            <rFont val="Calibri"/>
            <family val="2"/>
            <scheme val="minor"/>
          </rPr>
          <t>100 Bought, Sold on 18-Apr-22
======</t>
        </r>
      </text>
    </comment>
    <comment ref="D102" authorId="0" shapeId="0">
      <text>
        <r>
          <rPr>
            <sz val="11"/>
            <color theme="1"/>
            <rFont val="Calibri"/>
            <family val="2"/>
            <scheme val="minor"/>
          </rPr>
          <t>30 Sold, Bought on 19-Apr-22
======</t>
        </r>
      </text>
    </comment>
    <comment ref="D103" authorId="0" shapeId="0">
      <text>
        <r>
          <rPr>
            <sz val="11"/>
            <color theme="1"/>
            <rFont val="Calibri"/>
            <family val="2"/>
            <scheme val="minor"/>
          </rPr>
          <t>31 Sold, Bought on 08-Apr-22
======</t>
        </r>
      </text>
    </comment>
    <comment ref="D104" authorId="0" shapeId="0">
      <text>
        <r>
          <rPr>
            <sz val="11"/>
            <color theme="1"/>
            <rFont val="Calibri"/>
            <family val="2"/>
            <scheme val="minor"/>
          </rPr>
          <t>60 Bought, Sold on 20-Apr-22
======</t>
        </r>
      </text>
    </comment>
    <comment ref="D106" authorId="0" shapeId="0">
      <text>
        <r>
          <rPr>
            <sz val="11"/>
            <color theme="1"/>
            <rFont val="Calibri"/>
            <family val="2"/>
            <scheme val="minor"/>
          </rPr>
          <t>50 Sold, Bought on 25-Apr-22
======</t>
        </r>
      </text>
    </comment>
    <comment ref="D110" authorId="0" shapeId="0">
      <text>
        <r>
          <rPr>
            <sz val="11"/>
            <color theme="1"/>
            <rFont val="Calibri"/>
            <family val="2"/>
            <scheme val="minor"/>
          </rPr>
          <t>100 Bought, Sold on 28-Apr-22
======</t>
        </r>
      </text>
    </comment>
    <comment ref="D111" authorId="0" shapeId="0">
      <text>
        <r>
          <rPr>
            <sz val="11"/>
            <color theme="1"/>
            <rFont val="Calibri"/>
            <family val="2"/>
            <scheme val="minor"/>
          </rPr>
          <t>50 Sold, Bought on 02-May-22
100 Sold, Bought on 28-Apr-22
======</t>
        </r>
      </text>
    </comment>
    <comment ref="D112" authorId="0" shapeId="0">
      <text>
        <r>
          <rPr>
            <sz val="11"/>
            <color theme="1"/>
            <rFont val="Calibri"/>
            <family val="2"/>
            <scheme val="minor"/>
          </rPr>
          <t>50 Sold, Bought on 07-Apr-22
100 Sold, Bought on 29-Apr-22
======</t>
        </r>
      </text>
    </comment>
    <comment ref="D113" authorId="0" shapeId="0">
      <text>
        <r>
          <rPr>
            <sz val="11"/>
            <color theme="1"/>
            <rFont val="Calibri"/>
            <family val="2"/>
            <scheme val="minor"/>
          </rPr>
          <t>100 Bought, Sold on 05-May-22
======</t>
        </r>
      </text>
    </comment>
    <comment ref="D114" authorId="0" shapeId="0">
      <text>
        <r>
          <rPr>
            <sz val="11"/>
            <color theme="1"/>
            <rFont val="Calibri"/>
            <family val="2"/>
            <scheme val="minor"/>
          </rPr>
          <t>SETFGOLD
400 Sold, Bought on 5-Mar-21
======</t>
        </r>
      </text>
    </comment>
    <comment ref="D117" authorId="0" shapeId="0">
      <text>
        <r>
          <rPr>
            <sz val="11"/>
            <color theme="1"/>
            <rFont val="Calibri"/>
            <family val="2"/>
            <scheme val="minor"/>
          </rPr>
          <t>40 Sold,
                30 Bought on 09-May-22
                10 Bought on 10-May-22
======</t>
        </r>
      </text>
    </comment>
    <comment ref="D265" authorId="0" shapeId="0">
      <text>
        <r>
          <rPr>
            <sz val="11"/>
            <color theme="1"/>
            <rFont val="Calibri"/>
            <family val="2"/>
            <scheme val="minor"/>
          </rPr>
          <t>Loss ₹ 47.93 on Sell of 3 on 21/02/2022
Loss ₹ 249.93 on Sell of 2 on 22/02/2022 BAJFINANCE Bought 5 on 24/01/2022
======</t>
        </r>
      </text>
    </comment>
    <comment ref="B275" authorId="0" shapeId="0">
      <text>
        <r>
          <rPr>
            <sz val="11"/>
            <color theme="1"/>
            <rFont val="Calibri"/>
            <family val="2"/>
            <scheme val="minor"/>
          </rPr>
          <t>January 26, Wednesday Republic Day
======</t>
        </r>
      </text>
    </comment>
    <comment ref="B277" authorId="0" shapeId="0">
      <text>
        <r>
          <rPr>
            <sz val="11"/>
            <color theme="1"/>
            <rFont val="Calibri"/>
            <family val="2"/>
            <scheme val="minor"/>
          </rPr>
          <t>March 01, Mahashivratri
March 18, Friday Holi
======</t>
        </r>
      </text>
    </comment>
    <comment ref="B278" authorId="0" shapeId="0">
      <text>
        <r>
          <rPr>
            <sz val="11"/>
            <color theme="1"/>
            <rFont val="Calibri"/>
            <family val="2"/>
            <scheme val="minor"/>
          </rPr>
          <t>April 14, Thursday Dr.Baba Saheb Ambedkar Jayanti/Mahavir Jayanti
April 15, Friday Good Friday
======</t>
        </r>
      </text>
    </comment>
    <comment ref="B279" authorId="0" shapeId="0">
      <text>
        <r>
          <rPr>
            <sz val="11"/>
            <color theme="1"/>
            <rFont val="Calibri"/>
            <family val="2"/>
            <scheme val="minor"/>
          </rPr>
          <t>May 03, Tuesday Id-Ul-Fitr (Ramzan ID)
======</t>
        </r>
      </text>
    </comment>
    <comment ref="B282" authorId="0" shapeId="0">
      <text>
        <r>
          <rPr>
            <sz val="11"/>
            <color theme="1"/>
            <rFont val="Calibri"/>
            <family val="2"/>
            <scheme val="minor"/>
          </rPr>
          <t>August 09, Tuesday Moharram
August 15, Monday Independence Day
August 31, Wednesday Ganesh Chaturthi
======</t>
        </r>
      </text>
    </comment>
    <comment ref="B284" authorId="0" shapeId="0">
      <text>
        <r>
          <rPr>
            <sz val="11"/>
            <color theme="1"/>
            <rFont val="Calibri"/>
            <family val="2"/>
            <scheme val="minor"/>
          </rPr>
          <t>October 05, Wednesday Dussehra
October 24, Monday Diwali * Laxmi Pujan
October 26, Wednesday Balipratipada
======</t>
        </r>
      </text>
    </comment>
    <comment ref="B285" authorId="0" shapeId="0">
      <text>
        <r>
          <rPr>
            <sz val="11"/>
            <color theme="1"/>
            <rFont val="Calibri"/>
            <family val="2"/>
            <scheme val="minor"/>
          </rPr>
          <t>November 08, Tuesday Gurunanak Jayanti
======</t>
        </r>
      </text>
    </comment>
    <comment ref="A294" authorId="0" shapeId="0">
      <text>
        <r>
          <rPr>
            <sz val="11"/>
            <color theme="1"/>
            <rFont val="Calibri"/>
            <family val="2"/>
            <scheme val="minor"/>
          </rPr>
          <t>Trading Days Elapsed in the current month
======</t>
        </r>
      </text>
    </comment>
    <comment ref="E294" authorId="0" shapeId="0">
      <text>
        <r>
          <rPr>
            <sz val="11"/>
            <color theme="1"/>
            <rFont val="Calibri"/>
            <family val="2"/>
            <scheme val="minor"/>
          </rPr>
          <t>Worked Days from 04-Oct-2021
======</t>
        </r>
      </text>
    </comment>
    <comment ref="I294" authorId="0" shapeId="0">
      <text>
        <r>
          <rPr>
            <sz val="11"/>
            <color theme="1"/>
            <rFont val="Calibri"/>
            <family val="2"/>
            <scheme val="minor"/>
          </rPr>
          <t>Days from 04-Oct-2021 till End of Month
======</t>
        </r>
      </text>
    </comment>
    <comment ref="A295" authorId="0" shapeId="0">
      <text>
        <r>
          <rPr>
            <sz val="11"/>
            <color theme="1"/>
            <rFont val="Calibri"/>
            <family val="2"/>
            <scheme val="minor"/>
          </rPr>
          <t>Trading Days Left in the current month
======</t>
        </r>
      </text>
    </comment>
    <comment ref="E295" authorId="0" shapeId="0">
      <text>
        <r>
          <rPr>
            <sz val="11"/>
            <color theme="1"/>
            <rFont val="Calibri"/>
            <family val="2"/>
            <scheme val="minor"/>
          </rPr>
          <t>Avg Profit per Worked Day
======</t>
        </r>
      </text>
    </comment>
    <comment ref="I295" authorId="0" shapeId="0">
      <text>
        <r>
          <rPr>
            <sz val="11"/>
            <color theme="1"/>
            <rFont val="Calibri"/>
            <family val="2"/>
            <scheme val="minor"/>
          </rPr>
          <t>Market Days from 04-Oct-2021 till today
======</t>
        </r>
      </text>
    </comment>
    <comment ref="D298" authorId="0" shapeId="0">
      <text>
        <r>
          <rPr>
            <sz val="11"/>
            <color theme="1"/>
            <rFont val="Calibri"/>
            <family val="2"/>
            <scheme val="minor"/>
          </rPr>
          <t>₹ 36632 Past Dividend (10 years) from DCMSHRIRAM
Remaining amount invested from FDR maturity
======</t>
        </r>
      </text>
    </comment>
    <comment ref="D306" authorId="0" shapeId="0">
      <text>
        <r>
          <rPr>
            <sz val="11"/>
            <color theme="1"/>
            <rFont val="Calibri"/>
            <family val="2"/>
            <scheme val="minor"/>
          </rPr>
          <t>If CN in comparison with our details is:
Short (Red/-) then in 1st parenthesis
Excess (Blue/+) then in 2nd parenthesis
======</t>
        </r>
      </text>
    </comment>
    <comment ref="A365" authorId="0" shapeId="0">
      <text>
        <r>
          <rPr>
            <sz val="11"/>
            <color theme="1"/>
            <rFont val="Calibri"/>
            <family val="2"/>
            <scheme val="minor"/>
          </rPr>
          <t>In Calander year 2022 Mahavir Jayanti &amp; Ambedkar Jayanti fell on same date
======</t>
        </r>
      </text>
    </comment>
  </commentList>
</comments>
</file>

<file path=xl/comments8.xml><?xml version="1.0" encoding="utf-8"?>
<comments xmlns="http://schemas.openxmlformats.org/spreadsheetml/2006/main">
  <authors>
    <author/>
  </authors>
  <commentList>
    <comment ref="X41" authorId="0" shapeId="0">
      <text>
        <r>
          <rPr>
            <sz val="11"/>
            <color theme="1"/>
            <rFont val="Calibri"/>
            <family val="2"/>
            <scheme val="minor"/>
          </rPr>
          <t>Low for the day is L-2.35 but after reco time didn't go below L-4.00
======</t>
        </r>
      </text>
    </comment>
    <comment ref="V47" authorId="0" shapeId="0">
      <text>
        <r>
          <rPr>
            <sz val="11"/>
            <color theme="1"/>
            <rFont val="Calibri"/>
            <family val="2"/>
            <scheme val="minor"/>
          </rPr>
          <t>Open for the day is O-4.00 but after reco opened at O-8.00
======</t>
        </r>
      </text>
    </comment>
    <comment ref="X47" authorId="0" shapeId="0">
      <text>
        <r>
          <rPr>
            <sz val="11"/>
            <color theme="1"/>
            <rFont val="Calibri"/>
            <family val="2"/>
            <scheme val="minor"/>
          </rPr>
          <t>Low for the day is L-4.00 but after reco time didn't go below L-8.00
======</t>
        </r>
      </text>
    </comment>
    <comment ref="V68" authorId="0" shapeId="0">
      <text>
        <r>
          <rPr>
            <sz val="11"/>
            <color theme="1"/>
            <rFont val="Calibri"/>
            <family val="2"/>
            <scheme val="minor"/>
          </rPr>
          <t>Rate just after Reco time 10:58
======</t>
        </r>
      </text>
    </comment>
    <comment ref="X68" authorId="0" shapeId="0">
      <text>
        <r>
          <rPr>
            <sz val="11"/>
            <color theme="1"/>
            <rFont val="Calibri"/>
            <family val="2"/>
            <scheme val="minor"/>
          </rPr>
          <t>Lowest Rate after Reco time 10:58
======</t>
        </r>
      </text>
    </comment>
    <comment ref="V73" authorId="0" shapeId="0">
      <text>
        <r>
          <rPr>
            <sz val="11"/>
            <color theme="1"/>
            <rFont val="Calibri"/>
            <family val="2"/>
            <scheme val="minor"/>
          </rPr>
          <t>Rate just after Reco time 10:20
======</t>
        </r>
      </text>
    </comment>
    <comment ref="X73" authorId="0" shapeId="0">
      <text>
        <r>
          <rPr>
            <sz val="11"/>
            <color theme="1"/>
            <rFont val="Calibri"/>
            <family val="2"/>
            <scheme val="minor"/>
          </rPr>
          <t>Lowest Rate after Reco time 10:20
======</t>
        </r>
      </text>
    </comment>
    <comment ref="V76" authorId="0" shapeId="0">
      <text>
        <r>
          <rPr>
            <sz val="11"/>
            <color theme="1"/>
            <rFont val="Calibri"/>
            <family val="2"/>
            <scheme val="minor"/>
          </rPr>
          <t>Rate just after Reco time 10:00
======</t>
        </r>
      </text>
    </comment>
    <comment ref="X76" authorId="0" shapeId="0">
      <text>
        <r>
          <rPr>
            <sz val="11"/>
            <color theme="1"/>
            <rFont val="Calibri"/>
            <family val="2"/>
            <scheme val="minor"/>
          </rPr>
          <t>Lowest Rate after Reco time 10:00
======</t>
        </r>
      </text>
    </comment>
    <comment ref="AK76" authorId="0" shapeId="0">
      <text>
        <r>
          <rPr>
            <sz val="11"/>
            <color theme="1"/>
            <rFont val="Calibri"/>
            <family val="2"/>
            <scheme val="minor"/>
          </rPr>
          <t>SL Hit
======</t>
        </r>
      </text>
    </comment>
    <comment ref="V79" authorId="0" shapeId="0">
      <text>
        <r>
          <rPr>
            <sz val="11"/>
            <color theme="1"/>
            <rFont val="Calibri"/>
            <family val="2"/>
            <scheme val="minor"/>
          </rPr>
          <t>Rate just after Reco time 11:50
======</t>
        </r>
      </text>
    </comment>
    <comment ref="X79" authorId="0" shapeId="0">
      <text>
        <r>
          <rPr>
            <sz val="11"/>
            <color theme="1"/>
            <rFont val="Calibri"/>
            <family val="2"/>
            <scheme val="minor"/>
          </rPr>
          <t>Lowest Rate after Reco time 11:50
======</t>
        </r>
      </text>
    </comment>
    <comment ref="V86" authorId="0" shapeId="0">
      <text>
        <r>
          <rPr>
            <sz val="11"/>
            <color theme="1"/>
            <rFont val="Calibri"/>
            <family val="2"/>
            <scheme val="minor"/>
          </rPr>
          <t>Rate just after Reco time 12:27
======</t>
        </r>
      </text>
    </comment>
    <comment ref="X86" authorId="0" shapeId="0">
      <text>
        <r>
          <rPr>
            <sz val="11"/>
            <color theme="1"/>
            <rFont val="Calibri"/>
            <family val="2"/>
            <scheme val="minor"/>
          </rPr>
          <t>Lowest Rate after Reco time 12:27
======</t>
        </r>
      </text>
    </comment>
    <comment ref="AI86" authorId="0" shapeId="0">
      <text>
        <r>
          <rPr>
            <sz val="11"/>
            <color theme="1"/>
            <rFont val="Calibri"/>
            <family val="2"/>
            <scheme val="minor"/>
          </rPr>
          <t>SL Hit
======</t>
        </r>
      </text>
    </comment>
    <comment ref="V91" authorId="0" shapeId="0">
      <text>
        <r>
          <rPr>
            <sz val="11"/>
            <color theme="1"/>
            <rFont val="Calibri"/>
            <family val="2"/>
            <scheme val="minor"/>
          </rPr>
          <t>Rate just after Reco time 12:17
======</t>
        </r>
      </text>
    </comment>
    <comment ref="A162" authorId="0" shapeId="0">
      <text>
        <r>
          <rPr>
            <sz val="11"/>
            <color theme="1"/>
            <rFont val="Calibri"/>
            <family val="2"/>
            <scheme val="minor"/>
          </rPr>
          <t>Star rating greater than or equal to 10 is good but LOW % signify such instances are very less hence not a good thing to go
======</t>
        </r>
      </text>
    </comment>
    <comment ref="B162" authorId="0" shapeId="0">
      <text>
        <r>
          <rPr>
            <sz val="11"/>
            <color theme="1"/>
            <rFont val="Calibri"/>
            <family val="2"/>
            <scheme val="minor"/>
          </rPr>
          <t>Star rating greater than or equal to 10 is good but LOW % signify such instances are very less hence not a good thing to go
======</t>
        </r>
      </text>
    </comment>
    <comment ref="C162" authorId="0" shapeId="0">
      <text>
        <r>
          <rPr>
            <sz val="11"/>
            <color theme="1"/>
            <rFont val="Calibri"/>
            <family val="2"/>
            <scheme val="minor"/>
          </rPr>
          <t>Star rating greater than or equal to 10 is good but LOW % signify such instances are very less hence not a good thing to go
======</t>
        </r>
      </text>
    </comment>
    <comment ref="D162" authorId="0" shapeId="0">
      <text>
        <r>
          <rPr>
            <sz val="11"/>
            <color theme="1"/>
            <rFont val="Calibri"/>
            <family val="2"/>
            <scheme val="minor"/>
          </rPr>
          <t>Star rating greater than or equal to 10 is good but LOW % signify such instances are very less hence not a good thing to go
======</t>
        </r>
      </text>
    </comment>
  </commentList>
</comments>
</file>

<file path=xl/sharedStrings.xml><?xml version="1.0" encoding="utf-8"?>
<sst xmlns="http://schemas.openxmlformats.org/spreadsheetml/2006/main" count="17446" uniqueCount="2680">
  <si>
    <t>Date</t>
  </si>
  <si>
    <t>Amount</t>
  </si>
  <si>
    <t>Particulars</t>
  </si>
  <si>
    <t>Payin</t>
  </si>
  <si>
    <t>F&amp;O</t>
  </si>
  <si>
    <t xml:space="preserve">NIFTY 25AUG 17900 CE ₹-19,107 </t>
  </si>
  <si>
    <t xml:space="preserve">NIFTY 25AUG 17900 CE ₹-3422.90 </t>
  </si>
  <si>
    <t>Payout</t>
  </si>
  <si>
    <t>Investment</t>
  </si>
  <si>
    <t>Profit/Loss</t>
  </si>
  <si>
    <t>Dhan Bal</t>
  </si>
  <si>
    <t>Holding</t>
  </si>
  <si>
    <t>Interest</t>
  </si>
  <si>
    <t>Daily Product</t>
  </si>
  <si>
    <t>Chgs Type</t>
  </si>
  <si>
    <t>Amt</t>
  </si>
  <si>
    <t>R/O Adjustment</t>
  </si>
  <si>
    <r>
      <rPr>
        <sz val="8"/>
        <color theme="1"/>
        <rFont val="Verdana"/>
        <family val="2"/>
      </rPr>
      <t>Grs Profit/</t>
    </r>
    <r>
      <rPr>
        <sz val="8"/>
        <color rgb="FFFF0000"/>
        <rFont val="Verdana"/>
        <family val="2"/>
      </rPr>
      <t>(Loss)</t>
    </r>
  </si>
  <si>
    <t>Total</t>
  </si>
  <si>
    <t>Positional</t>
  </si>
  <si>
    <t>IntraDay</t>
  </si>
  <si>
    <t>Bal as per me</t>
  </si>
  <si>
    <t>F&amp;O Profits</t>
  </si>
  <si>
    <t>Month</t>
  </si>
  <si>
    <t xml:space="preserve">Total </t>
  </si>
  <si>
    <t>Bal as per Dhan</t>
  </si>
  <si>
    <t>F&amp;O Losses</t>
  </si>
  <si>
    <r>
      <rPr>
        <sz val="8"/>
        <color rgb="FF000000"/>
        <rFont val="Verdana"/>
        <family val="2"/>
      </rPr>
      <t>Surplus/</t>
    </r>
    <r>
      <rPr>
        <sz val="8"/>
        <color rgb="FFFF0000"/>
        <rFont val="Verdana"/>
        <family val="2"/>
      </rPr>
      <t>(Short)</t>
    </r>
  </si>
  <si>
    <t>Cross Verify</t>
  </si>
  <si>
    <r>
      <rPr>
        <sz val="8"/>
        <color theme="1"/>
        <rFont val="Verdana"/>
        <family val="2"/>
      </rPr>
      <t>Positional Profit/</t>
    </r>
    <r>
      <rPr>
        <sz val="8"/>
        <color rgb="FFFF0000"/>
        <rFont val="Verdana"/>
        <family val="2"/>
      </rPr>
      <t>(Loss)</t>
    </r>
  </si>
  <si>
    <t>Difference</t>
  </si>
  <si>
    <r>
      <rPr>
        <sz val="8"/>
        <color theme="1"/>
        <rFont val="Verdana"/>
        <family val="2"/>
      </rPr>
      <t>IntraDay Profit/</t>
    </r>
    <r>
      <rPr>
        <sz val="8"/>
        <color rgb="FFFF0000"/>
        <rFont val="Verdana"/>
        <family val="2"/>
      </rPr>
      <t>(Loss)</t>
    </r>
  </si>
  <si>
    <t>P&amp;L for Month</t>
  </si>
  <si>
    <t>12 CAMS</t>
  </si>
  <si>
    <t>10 GLAND</t>
  </si>
  <si>
    <t>50 BECTORFOOD</t>
  </si>
  <si>
    <t>575 IRFC</t>
  </si>
  <si>
    <t>10 INDIGOPNTS</t>
  </si>
  <si>
    <t>72 BHEL</t>
  </si>
  <si>
    <t>51 MTNL</t>
  </si>
  <si>
    <t>100 ROLTA</t>
  </si>
  <si>
    <t>51 SONACOMS</t>
  </si>
  <si>
    <t>35 DODLA</t>
  </si>
  <si>
    <t>45 SHYMMETAL</t>
  </si>
  <si>
    <t>26 NUVOCO</t>
  </si>
  <si>
    <t>20 SANSERA</t>
  </si>
  <si>
    <t>20 ABSLAMC</t>
  </si>
  <si>
    <t>6 PAYTM</t>
  </si>
  <si>
    <t>TATASTEEL fraction credited</t>
  </si>
  <si>
    <t>NIFTY 03 FEB 17600 CE</t>
  </si>
  <si>
    <t>SUNPHARMA FEB 900 CE</t>
  </si>
  <si>
    <t>SAIL FEB 107.5 CE</t>
  </si>
  <si>
    <t>BANKNIFTY FEB 37600 CE</t>
  </si>
  <si>
    <t>SAIL MAR 107.5 CE</t>
  </si>
  <si>
    <t>SAIL MAR 110 CE</t>
  </si>
  <si>
    <t>AMBUJACEM MAR 305 CE</t>
  </si>
  <si>
    <t>LICHSGFIN MAR 370 CE</t>
  </si>
  <si>
    <t>LICHSGFIN MAR 380 CE</t>
  </si>
  <si>
    <t>ofs-ONGC debited ₹-15996.68</t>
  </si>
  <si>
    <t>42 RUCHI</t>
  </si>
  <si>
    <t>POWERGRID APR 240 CE</t>
  </si>
  <si>
    <t>SAIL APR 113 CE</t>
  </si>
  <si>
    <t>FSL APR 140 CE</t>
  </si>
  <si>
    <t>ofs-INEOSSTYRO debited ₹-224231.5</t>
  </si>
  <si>
    <t>BANK NIFTY 21 APR 36200 PE</t>
  </si>
  <si>
    <t>HINDALCO MAY 510 CE</t>
  </si>
  <si>
    <t>HINDALCO MAY 510 CE ₹-10512</t>
  </si>
  <si>
    <t>HINDALCO MAY 510 CE ₹-9490</t>
  </si>
  <si>
    <t>HINDALCO MAY 510 CE ₹-7123.05</t>
  </si>
  <si>
    <t>51 CAMPUS</t>
  </si>
  <si>
    <t>ITC MAY 270 CE ₹-15554</t>
  </si>
  <si>
    <t>NTPC MAY 160 CE ₹-22,838.88</t>
  </si>
  <si>
    <t>15 LIC</t>
  </si>
  <si>
    <t>BAJFINANCE MAY 5700 CE ₹-23,039.00</t>
  </si>
  <si>
    <t>AXISBANK MAY 660 CE ₹-13,953.11</t>
  </si>
  <si>
    <t>ICICIBANK MAY 700 PE ₹ -24,102.11</t>
  </si>
  <si>
    <t>KOTAKBANK JUN 1920 CE ₹-24039</t>
  </si>
  <si>
    <t xml:space="preserve">CANBK JUN 200 CE ₹-20,287 </t>
  </si>
  <si>
    <t>L&amp;TFH JUN 78 CE ₹-35743</t>
  </si>
  <si>
    <t xml:space="preserve">COALINDIA JUN 200 CE ₹-26080.87 </t>
  </si>
  <si>
    <t>BHARATFORG JUN 650 PE ₹-20287.28</t>
  </si>
  <si>
    <t xml:space="preserve">HCLTECH JUN 980 PE ₹ -14732.80 </t>
  </si>
  <si>
    <t>Gail Buyback Payout Direct to Bank</t>
  </si>
  <si>
    <t>TCS JUN 3300 CE ₹ -8879.00</t>
  </si>
  <si>
    <t>SARDAEN Buyback Payout Direct to Bank</t>
  </si>
  <si>
    <t>NIFTY JUN 15900 CE ₹</t>
  </si>
  <si>
    <t>ASHOKLEY JUN 140 CE ₹</t>
  </si>
  <si>
    <t>Margin blocked ₹-32,397.75 for ASHOKLEY JUN 140 CE</t>
  </si>
  <si>
    <t xml:space="preserve">VEDL JUL 240 CE   ₹-18,636 </t>
  </si>
  <si>
    <t xml:space="preserve">NIFTY 07JUN 15750 CE  ₹-11,981 </t>
  </si>
  <si>
    <t xml:space="preserve">NIFTY 14JUL 16200 CE  ₹-10,080 </t>
  </si>
  <si>
    <t>NIFTY 14JUL 16100 PE  ₹-17,356.10</t>
  </si>
  <si>
    <t>NIFTY 14JUL 16000 PE   -13,980</t>
  </si>
  <si>
    <t>NIFTY 14JUL 16100 CE ₹-7,776</t>
  </si>
  <si>
    <t>INDUSTOWER JUL 220 CE ₹-26,081.00</t>
  </si>
  <si>
    <t xml:space="preserve">ACC JUL 2160 PE ₹-19,310 </t>
  </si>
  <si>
    <t xml:space="preserve">NIFTY 21JUL 16100 PE ₹-6,825 </t>
  </si>
  <si>
    <t xml:space="preserve">SUNPHARMA JUL 880 CE ₹-10,180 </t>
  </si>
  <si>
    <t xml:space="preserve">VEDL JUL 240 CE ₹-24,840 </t>
  </si>
  <si>
    <t xml:space="preserve">COALINDIA JUL 200 CE ₹-22,322 </t>
  </si>
  <si>
    <t xml:space="preserve">ACC JUL 2160 PE ₹-4,026 </t>
  </si>
  <si>
    <t>NIFTY JUL 16700 CE ₹-6,6110.98</t>
  </si>
  <si>
    <t>ICICI AUG 820 CE ₹-27,954.59</t>
  </si>
  <si>
    <t xml:space="preserve">TORNTPOWER AUG 530 CE ₹-33,045 </t>
  </si>
  <si>
    <t xml:space="preserve">LUPIN AUG 670 CE ₹-15,759 </t>
  </si>
  <si>
    <t xml:space="preserve">NAVINFLUOR AUG 4500 CE ₹-37,398 </t>
  </si>
  <si>
    <t xml:space="preserve">NAVINFLUOR AUG 4500 CE ₹-29,293.00 </t>
  </si>
  <si>
    <t>Matrimony.com Buyback Payout Direct to Bank</t>
  </si>
  <si>
    <t>46 DREAMFOLKS</t>
  </si>
  <si>
    <t xml:space="preserve">BHARTIARTL SEP 790 CE ₹-13094.28 </t>
  </si>
  <si>
    <t>BANKNIFTY SEP 39800 CE ₹-13656.42</t>
  </si>
  <si>
    <t>BANKNIFTY SEP 40200 CE ₹-26690</t>
  </si>
  <si>
    <t>NIFTY SEP 17500 CE ₹-9280</t>
  </si>
  <si>
    <t xml:space="preserve">NIFTY SEP 17200 CE ₹-4,527 </t>
  </si>
  <si>
    <t xml:space="preserve">NIFTY SEP 17200 CE ₹-12,979 </t>
  </si>
  <si>
    <t>72 DCXINDIA</t>
  </si>
  <si>
    <t xml:space="preserve">LUPIN NOV 760 CE ₹-13,633.22 </t>
  </si>
  <si>
    <t xml:space="preserve">TATAMOTORS NOV 440 CE ₹-12,001 </t>
  </si>
  <si>
    <t>36 ACI</t>
  </si>
  <si>
    <t>50 NMDC Sold @123.25 for ₹6156 Bought @121 on 09-Dec-22, hence zero</t>
  </si>
  <si>
    <t>42 SULA</t>
  </si>
  <si>
    <t>60 ELIN</t>
  </si>
  <si>
    <t>50 NMDC Sold @122.50 for ₹6119 Bought @121 on 27-Jan-23, hence zero</t>
  </si>
  <si>
    <t>25 SAIL Sold @88 for ₹2197 Bought @85.90 on 04-Jan-23, hence zero</t>
  </si>
  <si>
    <t>50 SAIL Sold @87 for ₹4346 bought @86.25 on 30-Jan-23, hence zero</t>
  </si>
  <si>
    <t>30 MCX Sold @1571.6667 for ₹47102 Bought @1555 on 24-Jan-23, hence zero</t>
  </si>
  <si>
    <t>10 POLYPLEX Sold @1579 for ₹15774 bought @1552 on 23-Jan-23, hence zero</t>
  </si>
  <si>
    <t>43 GAIL Sold @108.7326 for ₹4671 Bought @108 on 15-mar-23, hence zero</t>
  </si>
  <si>
    <t>50 GAIL Sold @111.3800 for ₹5563 Bought @110 on 09-mar-23, hence zero</t>
  </si>
  <si>
    <t>Fractional entitlement of Aarti Pharmalabs Ltd credited directly to bank</t>
  </si>
  <si>
    <t>Zerodha Bal</t>
  </si>
  <si>
    <t>Demat Chgs</t>
  </si>
  <si>
    <t/>
  </si>
  <si>
    <t>9 RELIANCE PP</t>
  </si>
  <si>
    <t>Auto Settle</t>
  </si>
  <si>
    <t>100 SAIL</t>
  </si>
  <si>
    <t>20 SBIN</t>
  </si>
  <si>
    <t>25 CHOLAFIN</t>
  </si>
  <si>
    <t>25 ICICIBANK</t>
  </si>
  <si>
    <t>2 BAJFINANCE</t>
  </si>
  <si>
    <t>5 SBICARD</t>
  </si>
  <si>
    <t>150 NATIONALUM</t>
  </si>
  <si>
    <t>20 CARBORUNIV</t>
  </si>
  <si>
    <t>5 HDFC</t>
  </si>
  <si>
    <t>50 SAIL</t>
  </si>
  <si>
    <t>100 DWARKESH</t>
  </si>
  <si>
    <t>Short Delivery BoM &amp; IOB</t>
  </si>
  <si>
    <t>100 GHCL</t>
  </si>
  <si>
    <t>100 MMTC</t>
  </si>
  <si>
    <t>25 BIOCON</t>
  </si>
  <si>
    <t>100 SBIN</t>
  </si>
  <si>
    <t>50 CYBERTECH</t>
  </si>
  <si>
    <t>20 RAMCOSYS</t>
  </si>
  <si>
    <t>100 BEL</t>
  </si>
  <si>
    <t>10 HDFCBANK</t>
  </si>
  <si>
    <t>50 TATAMOTORS</t>
  </si>
  <si>
    <t>5 CHOLAFIN</t>
  </si>
  <si>
    <t>25 BSOFT</t>
  </si>
  <si>
    <t>10 CHOLAFIN</t>
  </si>
  <si>
    <t>2500 IDEA</t>
  </si>
  <si>
    <t>50 PFC</t>
  </si>
  <si>
    <t>100 IDFC</t>
  </si>
  <si>
    <t>100 IOC</t>
  </si>
  <si>
    <t>11 KEI</t>
  </si>
  <si>
    <t>100 BURGERKING</t>
  </si>
  <si>
    <t>200 LEMONTREE</t>
  </si>
  <si>
    <t>10 ABB</t>
  </si>
  <si>
    <t>50 ZEEL</t>
  </si>
  <si>
    <t>10 RELIANCE</t>
  </si>
  <si>
    <t>SEBI Turnover Fee</t>
  </si>
  <si>
    <t>As per statement but alredy considered in daily a/c</t>
  </si>
  <si>
    <t>19 KEI + 11 KEI</t>
  </si>
  <si>
    <t>50 BPCL</t>
  </si>
  <si>
    <t>100 APTECHT</t>
  </si>
  <si>
    <t>30 CHOLAFIN</t>
  </si>
  <si>
    <t>100 SCHNEIDER</t>
  </si>
  <si>
    <t>25 TRENT</t>
  </si>
  <si>
    <t>100 TATAPOWER</t>
  </si>
  <si>
    <t>50 BIOCON</t>
  </si>
  <si>
    <t>10 NATCOPHARM</t>
  </si>
  <si>
    <t>100 TRITURBINE</t>
  </si>
  <si>
    <t>100 WELSPUNIND</t>
  </si>
  <si>
    <t>50 FDC</t>
  </si>
  <si>
    <t>25 CYIENT</t>
  </si>
  <si>
    <t>50 GREAVESCOT</t>
  </si>
  <si>
    <t>500 NBCC</t>
  </si>
  <si>
    <t>5 HINDUNILVR</t>
  </si>
  <si>
    <t>10 SUNTV</t>
  </si>
  <si>
    <t>8 ADANIPORTS</t>
  </si>
  <si>
    <t>1000 JPASSOCIAT</t>
  </si>
  <si>
    <t>100 GICHSGFIN</t>
  </si>
  <si>
    <t>20 CREDITACC</t>
  </si>
  <si>
    <t>200 NCC</t>
  </si>
  <si>
    <t>50 KNRCON</t>
  </si>
  <si>
    <t>200 JSL</t>
  </si>
  <si>
    <t>25 CARBORUNIV</t>
  </si>
  <si>
    <t>50 HINDALCO</t>
  </si>
  <si>
    <t>1075 IRFC</t>
  </si>
  <si>
    <t>50 SONACOMS</t>
  </si>
  <si>
    <t>20 MAWANASUG</t>
  </si>
  <si>
    <t>2 SRF</t>
  </si>
  <si>
    <t>Shares Transfer Charges</t>
  </si>
  <si>
    <t>500 IRFC</t>
  </si>
  <si>
    <t>25 KUANTUM</t>
  </si>
  <si>
    <t>50 NOCIL</t>
  </si>
  <si>
    <t>Excess ETC in the contract note 03/08/21</t>
  </si>
  <si>
    <t>10 EASEMYTRIP</t>
  </si>
  <si>
    <t>50 TRIDENT</t>
  </si>
  <si>
    <t>100 NATIONALUM</t>
  </si>
  <si>
    <t>25 PNCINFRA</t>
  </si>
  <si>
    <t>500 JPASSOCIAT</t>
  </si>
  <si>
    <t>5 RELIANCE</t>
  </si>
  <si>
    <t>11 TIGERLOGS</t>
  </si>
  <si>
    <t>50 CHOLAFIN</t>
  </si>
  <si>
    <t>AMC for Demat Account for 03-12-2020 to 03-03-2021</t>
  </si>
  <si>
    <t>10 SBIN</t>
  </si>
  <si>
    <t>4000 IDEA</t>
  </si>
  <si>
    <t>200 YESBANK</t>
  </si>
  <si>
    <t>5 CDSL</t>
  </si>
  <si>
    <t>20 LXCHEM</t>
  </si>
  <si>
    <t>50 IBULHSGFIN</t>
  </si>
  <si>
    <t>5 INDIGO</t>
  </si>
  <si>
    <t>1 BAJFINANCE</t>
  </si>
  <si>
    <t>100 GENUSPOWER</t>
  </si>
  <si>
    <t>9 NATIONALUM</t>
  </si>
  <si>
    <t>15 M&amp;M</t>
  </si>
  <si>
    <t>5 MUTHOOTFIN</t>
  </si>
  <si>
    <t>1 TATVA</t>
  </si>
  <si>
    <t>10 IEX</t>
  </si>
  <si>
    <t>2 RELIANCE</t>
  </si>
  <si>
    <t>50 ITDCEM</t>
  </si>
  <si>
    <t>100 HBLPOWER</t>
  </si>
  <si>
    <t>50 L&amp;TFH</t>
  </si>
  <si>
    <t>200 PNB</t>
  </si>
  <si>
    <t>50 ARVIND</t>
  </si>
  <si>
    <t>15 SBIN</t>
  </si>
  <si>
    <t>19 KEI</t>
  </si>
  <si>
    <t>AMC for Demat Account for 04-03-2021 to 01-06-2021</t>
  </si>
  <si>
    <t>100 IBREALEST</t>
  </si>
  <si>
    <t>4 BAJFINANCE</t>
  </si>
  <si>
    <t>10 ELGIEQUIP</t>
  </si>
  <si>
    <t>100 KTKBANK</t>
  </si>
  <si>
    <t>20 TATAMOTORS</t>
  </si>
  <si>
    <t>20 ZENTEC</t>
  </si>
  <si>
    <t>10 CDSL</t>
  </si>
  <si>
    <t>60 ITC</t>
  </si>
  <si>
    <t>30 TATAPOWER</t>
  </si>
  <si>
    <t>50 TATAPOWER</t>
  </si>
  <si>
    <t>2 TCS</t>
  </si>
  <si>
    <t>3 TCS</t>
  </si>
  <si>
    <t>1 TCS</t>
  </si>
  <si>
    <t>2 VOLTAMP</t>
  </si>
  <si>
    <t>Short margin penalty for 24/11/21</t>
  </si>
  <si>
    <t>100 BAJAJHIND</t>
  </si>
  <si>
    <t>40 INDHOTEL</t>
  </si>
  <si>
    <t>5 HAVELLS</t>
  </si>
  <si>
    <t>20 DEVYANI</t>
  </si>
  <si>
    <t>300 RENUKA</t>
  </si>
  <si>
    <t>100 SHALPAINTS</t>
  </si>
  <si>
    <t>35 VSSL</t>
  </si>
  <si>
    <t>10 AVADHSUGAR</t>
  </si>
  <si>
    <t>1000 A2ZINFRA</t>
  </si>
  <si>
    <t>50 NATIONALUM</t>
  </si>
  <si>
    <t>100 SHALPAINTS BTST</t>
  </si>
  <si>
    <t>200 BAJAJHIND</t>
  </si>
  <si>
    <t>50 INDSUCR</t>
  </si>
  <si>
    <t>3 BAJFINANCE</t>
  </si>
  <si>
    <t>50 VSSL</t>
  </si>
  <si>
    <t>Payment Gateway Charges</t>
  </si>
  <si>
    <t>5000 IDEA</t>
  </si>
  <si>
    <t>100 BRNL</t>
  </si>
  <si>
    <t>100 RENUKA</t>
  </si>
  <si>
    <t>2000 TOYAMIND</t>
  </si>
  <si>
    <t>35 TATAPOWER</t>
  </si>
  <si>
    <t>25 SBIN</t>
  </si>
  <si>
    <t>70 CIPLA</t>
  </si>
  <si>
    <t>500 TOYAMIND</t>
  </si>
  <si>
    <t>25 SAIL</t>
  </si>
  <si>
    <t>1000 TOYAMIND</t>
  </si>
  <si>
    <t>100 FEDERALBNK</t>
  </si>
  <si>
    <t>20 AUROPHARMA</t>
  </si>
  <si>
    <t>50 LICHSGFIN</t>
  </si>
  <si>
    <t>10 BPCL</t>
  </si>
  <si>
    <t>50 FEDERALBNK</t>
  </si>
  <si>
    <t>25 LICHSGFIN</t>
  </si>
  <si>
    <t>10 TATASTEEL</t>
  </si>
  <si>
    <t>2 CDSL</t>
  </si>
  <si>
    <t>600 SAIL</t>
  </si>
  <si>
    <t>5 POLYPLEX</t>
  </si>
  <si>
    <t>7 RELIANCE</t>
  </si>
  <si>
    <t>50 SBIN</t>
  </si>
  <si>
    <t>1500 TOYAMIND</t>
  </si>
  <si>
    <t>10 ADANIPORTS</t>
  </si>
  <si>
    <t>50 ITC</t>
  </si>
  <si>
    <t>AMC for Demat Account</t>
  </si>
  <si>
    <t>for the period 04-03-2021 to 01-06-2021</t>
  </si>
  <si>
    <t>OFS order placement charge for ONGC</t>
  </si>
  <si>
    <t>ONGC</t>
  </si>
  <si>
    <t>100 BHEL</t>
  </si>
  <si>
    <t>40 BPCL</t>
  </si>
  <si>
    <t>50 CANBK</t>
  </si>
  <si>
    <t>300 SAIL</t>
  </si>
  <si>
    <t>300 TOYAMIND</t>
  </si>
  <si>
    <t>100 ONGC</t>
  </si>
  <si>
    <t>200 TOYAMIND</t>
  </si>
  <si>
    <t>2 AUBANK</t>
  </si>
  <si>
    <t>100 A2ZINFRA</t>
  </si>
  <si>
    <t>OFS order placement charge for INEOSSTYRO</t>
  </si>
  <si>
    <t>INEOSSTYRO</t>
  </si>
  <si>
    <t>Sensibull Advice Bundle for 18/04/22 to 18/05/22</t>
  </si>
  <si>
    <t>55 RUCHI</t>
  </si>
  <si>
    <t>30 INEOSSTYRO</t>
  </si>
  <si>
    <t>50 INEOSSTYRO</t>
  </si>
  <si>
    <t>300 GAIL</t>
  </si>
  <si>
    <t>51 CAMPUS ACTIV</t>
  </si>
  <si>
    <t>5 ENDURANCE</t>
  </si>
  <si>
    <t>20 GHCL</t>
  </si>
  <si>
    <t>20 RUCHI</t>
  </si>
  <si>
    <t>Pledge charges for SAIL (200)</t>
  </si>
  <si>
    <t>25 INEOSSTYRO</t>
  </si>
  <si>
    <t>Buyback Order Placement charge</t>
  </si>
  <si>
    <t>Gail (India) Limited</t>
  </si>
  <si>
    <t>4 INSECTICID</t>
  </si>
  <si>
    <t>Sarda Energy &amp; Minerals Limited</t>
  </si>
  <si>
    <t>Net settlement for</t>
  </si>
  <si>
    <t>Gail (India) Limited buyback</t>
  </si>
  <si>
    <t>Sarda Energy &amp; Minerals Limited buyback</t>
  </si>
  <si>
    <t>20 INEOSSTYRO</t>
  </si>
  <si>
    <t>41 INEOSSTYRO</t>
  </si>
  <si>
    <t>10 INEOSSTYRO</t>
  </si>
  <si>
    <t>9 INEOSSTYRO</t>
  </si>
  <si>
    <t>30 TATAMOTORS</t>
  </si>
  <si>
    <t>1250 A2ZINFRA</t>
  </si>
  <si>
    <t>5 CARBORUNIN</t>
  </si>
  <si>
    <t>Matrimony.com</t>
  </si>
  <si>
    <t>5 INEOSSTYRO</t>
  </si>
  <si>
    <t>1000 PARACABLES</t>
  </si>
  <si>
    <t>10 TATAPOWER</t>
  </si>
  <si>
    <t>10 LT</t>
  </si>
  <si>
    <t>Matrimony.com buyback</t>
  </si>
  <si>
    <t>5 EXCELINDUS</t>
  </si>
  <si>
    <t>10 CARBORUNIN</t>
  </si>
  <si>
    <t>50 ITI</t>
  </si>
  <si>
    <t>100 NGIND</t>
  </si>
  <si>
    <t>200 VASWANI</t>
  </si>
  <si>
    <t>100 NHPC</t>
  </si>
  <si>
    <t>2 GARFIBRES</t>
  </si>
  <si>
    <t>1000 SUZLON</t>
  </si>
  <si>
    <t>5 LT</t>
  </si>
  <si>
    <t>50 MOTHERSON</t>
  </si>
  <si>
    <t>10 EIDPARRY</t>
  </si>
  <si>
    <t>100 RCF</t>
  </si>
  <si>
    <t>300 MCLEODRUSS</t>
  </si>
  <si>
    <t>25 BANKBARODA</t>
  </si>
  <si>
    <t>TicketTape Subscription 1 month + 14 days trial (28/10/22 to 11/12/22)</t>
  </si>
  <si>
    <t>20 LT</t>
  </si>
  <si>
    <t>Being fee for tickertape</t>
  </si>
  <si>
    <t>1 ADANIENT</t>
  </si>
  <si>
    <t>100 DCBBANK</t>
  </si>
  <si>
    <t>20 NTPC</t>
  </si>
  <si>
    <t>7 INFY</t>
  </si>
  <si>
    <t>5 ITC</t>
  </si>
  <si>
    <t>50 TATASTEEL</t>
  </si>
  <si>
    <t>100 SKIPPER</t>
  </si>
  <si>
    <t>100 SUZLON</t>
  </si>
  <si>
    <t>50 NMDC</t>
  </si>
  <si>
    <t>45 GAIL</t>
  </si>
  <si>
    <t>100 NCC</t>
  </si>
  <si>
    <t>10 MCX</t>
  </si>
  <si>
    <t>for the period 01-12-2021 to 01-03-2022</t>
  </si>
  <si>
    <t>75 SAIL</t>
  </si>
  <si>
    <t>37 MCX</t>
  </si>
  <si>
    <t>6 HINDUNILVR</t>
  </si>
  <si>
    <t>10 POLYPLEX</t>
  </si>
  <si>
    <t>5 PATANJALI</t>
  </si>
  <si>
    <t>132 GAIL</t>
  </si>
  <si>
    <t>30 MCX</t>
  </si>
  <si>
    <t>43 GAIL</t>
  </si>
  <si>
    <t>50 GAIL</t>
  </si>
  <si>
    <t>for the period 02-03-2022 to 31-05-2022</t>
  </si>
  <si>
    <t>for the period 01-06-2022 to 30-08-2022</t>
  </si>
  <si>
    <t>for the period 31-08-2022 to 29-11-2022</t>
  </si>
  <si>
    <t>200 NHPC</t>
  </si>
  <si>
    <t>95 GAIL</t>
  </si>
  <si>
    <t>50 IDFCFIRSTB</t>
  </si>
  <si>
    <t>10 ADANIPOWER</t>
  </si>
  <si>
    <t>200 SHALPAINTS</t>
  </si>
  <si>
    <t>38 GAIL</t>
  </si>
  <si>
    <t>6 SARDAEN</t>
  </si>
  <si>
    <t>4 MATRIMONY</t>
  </si>
  <si>
    <t>7 MCX</t>
  </si>
  <si>
    <r>
      <rPr>
        <sz val="8"/>
        <color theme="1"/>
        <rFont val="Verdana"/>
        <family val="2"/>
      </rPr>
      <t>Grs Profit/</t>
    </r>
    <r>
      <rPr>
        <sz val="8"/>
        <color rgb="FFFF0000"/>
        <rFont val="Verdana"/>
        <family val="2"/>
      </rPr>
      <t>(Loss)</t>
    </r>
  </si>
  <si>
    <t>Bal as per Zerodha</t>
  </si>
  <si>
    <r>
      <rPr>
        <sz val="8"/>
        <color rgb="FF000000"/>
        <rFont val="Verdana"/>
        <family val="2"/>
      </rPr>
      <t>Surplus/</t>
    </r>
    <r>
      <rPr>
        <sz val="8"/>
        <color rgb="FFFF0000"/>
        <rFont val="Verdana"/>
        <family val="2"/>
      </rPr>
      <t>(Short)</t>
    </r>
  </si>
  <si>
    <t>Cost of Holding</t>
  </si>
  <si>
    <r>
      <rPr>
        <sz val="8"/>
        <color theme="1"/>
        <rFont val="Verdana"/>
        <family val="2"/>
      </rPr>
      <t>Grs Profit/</t>
    </r>
    <r>
      <rPr>
        <sz val="8"/>
        <color rgb="FFFF0000"/>
        <rFont val="Verdana"/>
        <family val="2"/>
      </rPr>
      <t>(Loss)</t>
    </r>
  </si>
  <si>
    <t>Zerodha Bal as per me</t>
  </si>
  <si>
    <t>Zerodha/Kotak Other Debits/Credits</t>
  </si>
  <si>
    <t>Kotak Bal as per me</t>
  </si>
  <si>
    <t>Consultancy</t>
  </si>
  <si>
    <t>Dhan Bal as per me</t>
  </si>
  <si>
    <t>Loss of Intt on Funds Deployed</t>
  </si>
  <si>
    <t>Paid to Zerodha</t>
  </si>
  <si>
    <t>Kotak Ledger Diff</t>
  </si>
  <si>
    <t>Paid to Dhan</t>
  </si>
  <si>
    <t>Surplus (+) / Short (-)</t>
  </si>
  <si>
    <t>Paid to Kotak</t>
  </si>
  <si>
    <t>Paid to Others</t>
  </si>
  <si>
    <r>
      <rPr>
        <sz val="8"/>
        <color theme="1"/>
        <rFont val="Verdana"/>
        <family val="2"/>
      </rPr>
      <t>Net Inflow/</t>
    </r>
    <r>
      <rPr>
        <sz val="8"/>
        <color rgb="FFFF0000"/>
        <rFont val="Verdana"/>
        <family val="2"/>
      </rPr>
      <t>(Outflow)</t>
    </r>
  </si>
  <si>
    <r>
      <rPr>
        <sz val="8"/>
        <color theme="1"/>
        <rFont val="Verdana"/>
        <family val="2"/>
      </rPr>
      <t>Net Profit/</t>
    </r>
    <r>
      <rPr>
        <sz val="8"/>
        <color rgb="FFFF0000"/>
        <rFont val="Verdana"/>
        <family val="2"/>
      </rPr>
      <t>(Loss)</t>
    </r>
  </si>
  <si>
    <t>Previous Exp</t>
  </si>
  <si>
    <t>Prev Net Profit/(Loss)</t>
  </si>
  <si>
    <t>Diff</t>
  </si>
  <si>
    <t>Day's Gross P&amp;L</t>
  </si>
  <si>
    <t>Previous Intt</t>
  </si>
  <si>
    <t>Day's Net P&amp;L</t>
  </si>
  <si>
    <t>Zerodha</t>
  </si>
  <si>
    <t>Dhan</t>
  </si>
  <si>
    <t>Kotak</t>
  </si>
  <si>
    <t>INFY DEC 1620 CE ₹-10,230.60</t>
  </si>
  <si>
    <t>WIPRO DEC 410 CE ₹-8,029</t>
  </si>
  <si>
    <t xml:space="preserve">HDFCBANK DEC 1640 CE ₹-18347.16 </t>
  </si>
  <si>
    <t>WIPRO JAN 385 PE ₹-16910.17</t>
  </si>
  <si>
    <t xml:space="preserve">BANKNIFTY 12JAN 42200 CE ₹-10,030 </t>
  </si>
  <si>
    <t>NIFTY 19JAN 17900 CE ₹-5927.29</t>
  </si>
  <si>
    <t>NIFTY 25JAN 18150 CE ₹-8,326</t>
  </si>
  <si>
    <t>NIFTY 23MAR 17500 CE ₹401.01</t>
  </si>
  <si>
    <t>Kotak Bal</t>
  </si>
  <si>
    <t>stamp duty charges reversed</t>
  </si>
  <si>
    <t>VL DT. 27/01/2023 stamp duty charges reversed</t>
  </si>
  <si>
    <r>
      <rPr>
        <sz val="8"/>
        <color theme="1"/>
        <rFont val="Verdana"/>
        <family val="2"/>
      </rPr>
      <t>Grs Profit/</t>
    </r>
    <r>
      <rPr>
        <sz val="8"/>
        <color rgb="FFFF0000"/>
        <rFont val="Verdana"/>
        <family val="2"/>
      </rPr>
      <t>(Loss)</t>
    </r>
  </si>
  <si>
    <t>Bal as per Kotak</t>
  </si>
  <si>
    <r>
      <rPr>
        <sz val="8"/>
        <color rgb="FF000000"/>
        <rFont val="Verdana"/>
        <family val="2"/>
      </rPr>
      <t>Surplus/</t>
    </r>
    <r>
      <rPr>
        <sz val="8"/>
        <color rgb="FFFF0000"/>
        <rFont val="Verdana"/>
        <family val="2"/>
      </rPr>
      <t>(Short)</t>
    </r>
  </si>
  <si>
    <r>
      <rPr>
        <sz val="8"/>
        <color theme="1"/>
        <rFont val="Verdana"/>
        <family val="2"/>
      </rPr>
      <t>Positional Profit/</t>
    </r>
    <r>
      <rPr>
        <sz val="8"/>
        <color rgb="FFFF0000"/>
        <rFont val="Verdana"/>
        <family val="2"/>
      </rPr>
      <t>(Loss)</t>
    </r>
  </si>
  <si>
    <r>
      <rPr>
        <sz val="8"/>
        <color theme="1"/>
        <rFont val="Verdana"/>
        <family val="2"/>
      </rPr>
      <t>IntraDay Profit/</t>
    </r>
    <r>
      <rPr>
        <sz val="8"/>
        <color rgb="FFFF0000"/>
        <rFont val="Verdana"/>
        <family val="2"/>
      </rPr>
      <t>(Loss)</t>
    </r>
  </si>
  <si>
    <t>Symbol</t>
  </si>
  <si>
    <t>Acct</t>
  </si>
  <si>
    <t>Symbol1</t>
  </si>
  <si>
    <t>B / S</t>
  </si>
  <si>
    <t>Exch</t>
  </si>
  <si>
    <t>Qty</t>
  </si>
  <si>
    <t>Mkt Rate</t>
  </si>
  <si>
    <t>Brkrge</t>
  </si>
  <si>
    <t>Nett Rate</t>
  </si>
  <si>
    <t>TTL Value</t>
  </si>
  <si>
    <t>Exp/per</t>
  </si>
  <si>
    <t>GST</t>
  </si>
  <si>
    <t>STT</t>
  </si>
  <si>
    <t>SD</t>
  </si>
  <si>
    <t>ETC</t>
  </si>
  <si>
    <t>Othr Chg</t>
  </si>
  <si>
    <t>Ttl Chg</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</si>
  <si>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</si>
  <si>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</si>
  <si>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</si>
  <si>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r>
      <rPr>
        <i/>
        <u/>
        <sz val="8"/>
        <color theme="1"/>
        <rFont val="Verdana"/>
        <family val="2"/>
      </rPr>
      <t xml:space="preserve">Del </t>
    </r>
    <r>
      <rPr>
        <i/>
        <u/>
        <sz val="8"/>
        <color rgb="FF0000FF"/>
        <rFont val="Verdana"/>
        <family val="2"/>
      </rPr>
      <t>In</t>
    </r>
    <r>
      <rPr>
        <i/>
        <u/>
        <sz val="8"/>
        <color theme="1"/>
        <rFont val="Verdana"/>
        <family val="2"/>
      </rPr>
      <t>/</t>
    </r>
    <r>
      <rPr>
        <i/>
        <u/>
        <sz val="8"/>
        <color rgb="FFFF0000"/>
        <rFont val="Verdana"/>
        <family val="2"/>
      </rPr>
      <t>Out</t>
    </r>
  </si>
  <si>
    <t>Exp %</t>
  </si>
  <si>
    <t>Del Day</t>
  </si>
  <si>
    <t>Broker</t>
  </si>
  <si>
    <t>REC</t>
  </si>
  <si>
    <t>Sunita</t>
  </si>
  <si>
    <t>Sell</t>
  </si>
  <si>
    <t>BSE</t>
  </si>
  <si>
    <t>SBICAP</t>
  </si>
  <si>
    <t>RPOWER</t>
  </si>
  <si>
    <t>CONTROLPR</t>
  </si>
  <si>
    <t>PATELENG</t>
  </si>
  <si>
    <t>Buy</t>
  </si>
  <si>
    <t>CUMMINSIND</t>
  </si>
  <si>
    <t>ROLTA</t>
  </si>
  <si>
    <t>SOBHA</t>
  </si>
  <si>
    <t>BHEL</t>
  </si>
  <si>
    <t>INFY</t>
  </si>
  <si>
    <t>CIPLA</t>
  </si>
  <si>
    <t>RELIANCE</t>
  </si>
  <si>
    <t>HEROMOTOCO</t>
  </si>
  <si>
    <t>INDIACEM</t>
  </si>
  <si>
    <t>CROMPTON</t>
  </si>
  <si>
    <t>DABUR</t>
  </si>
  <si>
    <t>TATAPOWER</t>
  </si>
  <si>
    <t>ADANIENT</t>
  </si>
  <si>
    <t>HINDALCO</t>
  </si>
  <si>
    <t>CGPOWER</t>
  </si>
  <si>
    <t>NSE</t>
  </si>
  <si>
    <t>CAMS</t>
  </si>
  <si>
    <t>Satya</t>
  </si>
  <si>
    <t>GLAND</t>
  </si>
  <si>
    <t>RELIANCE PP</t>
  </si>
  <si>
    <t>BECTORFOOD</t>
  </si>
  <si>
    <t>INDIGOPNTS</t>
  </si>
  <si>
    <t>IOB</t>
  </si>
  <si>
    <t>Not Applicable</t>
  </si>
  <si>
    <t>MAHABANK</t>
  </si>
  <si>
    <t>SBIN</t>
  </si>
  <si>
    <t>BEL</t>
  </si>
  <si>
    <t>SAIL</t>
  </si>
  <si>
    <t>NATIONALUM</t>
  </si>
  <si>
    <t>GHCL</t>
  </si>
  <si>
    <t>BAJFINANCE</t>
  </si>
  <si>
    <t>BSOFT</t>
  </si>
  <si>
    <t>CHOLAFIN</t>
  </si>
  <si>
    <t>ICICIBANK</t>
  </si>
  <si>
    <t>SBICARD</t>
  </si>
  <si>
    <t>MAWANASUG</t>
  </si>
  <si>
    <t>HINDUNILVR</t>
  </si>
  <si>
    <t>CARBORUNIV</t>
  </si>
  <si>
    <t>HDFC</t>
  </si>
  <si>
    <t>IDFC</t>
  </si>
  <si>
    <t>BIOCON</t>
  </si>
  <si>
    <t>DWARKESH</t>
  </si>
  <si>
    <t>CYBERTECH</t>
  </si>
  <si>
    <t>MMTC</t>
  </si>
  <si>
    <t>IRFC</t>
  </si>
  <si>
    <t>HDFCBANK</t>
  </si>
  <si>
    <t>PFC</t>
  </si>
  <si>
    <t>RAMCOSYS</t>
  </si>
  <si>
    <t>MTNL</t>
  </si>
  <si>
    <t>IOC</t>
  </si>
  <si>
    <t>TATAMOTORS</t>
  </si>
  <si>
    <t>ABB</t>
  </si>
  <si>
    <t>BURGERKING</t>
  </si>
  <si>
    <t>IDEA</t>
  </si>
  <si>
    <t>KEI</t>
  </si>
  <si>
    <t>FDC</t>
  </si>
  <si>
    <t>LEMONTREE</t>
  </si>
  <si>
    <t>NATCOPHARM</t>
  </si>
  <si>
    <t>SHALPAINTS</t>
  </si>
  <si>
    <t>BPCL</t>
  </si>
  <si>
    <t>ZEEL</t>
  </si>
  <si>
    <t>M&amp;M</t>
  </si>
  <si>
    <t>SUNTV</t>
  </si>
  <si>
    <t>TRENT</t>
  </si>
  <si>
    <t>SCHNEIDER</t>
  </si>
  <si>
    <t>PNB</t>
  </si>
  <si>
    <t>TRITURBINE</t>
  </si>
  <si>
    <t>KNRCON</t>
  </si>
  <si>
    <t>APTECHT</t>
  </si>
  <si>
    <t>CYIENT</t>
  </si>
  <si>
    <t>WELSPUNIND</t>
  </si>
  <si>
    <t>JSL</t>
  </si>
  <si>
    <t>ITDCEM</t>
  </si>
  <si>
    <t>GREAVESCOT</t>
  </si>
  <si>
    <t>JPASSOCIAT</t>
  </si>
  <si>
    <t>NBCC</t>
  </si>
  <si>
    <t>CREDITACC</t>
  </si>
  <si>
    <t>DCBBANK</t>
  </si>
  <si>
    <t>ADANIPORTS</t>
  </si>
  <si>
    <t>NCC</t>
  </si>
  <si>
    <t>JUBLPHARMA</t>
  </si>
  <si>
    <t>GICHSGFIN</t>
  </si>
  <si>
    <t>SONACOMS</t>
  </si>
  <si>
    <t>DODLA</t>
  </si>
  <si>
    <t>SHYMMETAL</t>
  </si>
  <si>
    <t>NMDC</t>
  </si>
  <si>
    <t>GUJAPOLLO</t>
  </si>
  <si>
    <t>PNBGILTS</t>
  </si>
  <si>
    <t>SRF</t>
  </si>
  <si>
    <t>SKIPPER</t>
  </si>
  <si>
    <t>GENUSPOWER</t>
  </si>
  <si>
    <t>HBLPOWER</t>
  </si>
  <si>
    <t>EASEMYTRIP</t>
  </si>
  <si>
    <t>RENUKA</t>
  </si>
  <si>
    <t>BAJAJHIND</t>
  </si>
  <si>
    <t>L&amp;TFH</t>
  </si>
  <si>
    <t>PNCINFRA</t>
  </si>
  <si>
    <t>BRNL</t>
  </si>
  <si>
    <t>NOCIL</t>
  </si>
  <si>
    <t>YESBANK</t>
  </si>
  <si>
    <t>KUANTUM</t>
  </si>
  <si>
    <t>TATVA</t>
  </si>
  <si>
    <t>ELGIEQUIP</t>
  </si>
  <si>
    <t>TRIDENT</t>
  </si>
  <si>
    <t>INSECTICID</t>
  </si>
  <si>
    <t>INDSUCR</t>
  </si>
  <si>
    <t>TIGERLOGS</t>
  </si>
  <si>
    <t>LXCHEM</t>
  </si>
  <si>
    <t>CDSL</t>
  </si>
  <si>
    <t>ZENTEC</t>
  </si>
  <si>
    <t>KTKBANK</t>
  </si>
  <si>
    <t>INDIGO</t>
  </si>
  <si>
    <t>IBULHSGFIN</t>
  </si>
  <si>
    <t>MUTHOOTFIN</t>
  </si>
  <si>
    <t>SANSERA</t>
  </si>
  <si>
    <t>CAPLIPOINT</t>
  </si>
  <si>
    <t>IBREALEST</t>
  </si>
  <si>
    <t>IEX</t>
  </si>
  <si>
    <t>ARVIND</t>
  </si>
  <si>
    <t>AARTIIND</t>
  </si>
  <si>
    <t>TCS</t>
  </si>
  <si>
    <t>DCMSHRIRAM</t>
  </si>
  <si>
    <t>ITC</t>
  </si>
  <si>
    <t>VSSL</t>
  </si>
  <si>
    <t>TATASTLBSL</t>
  </si>
  <si>
    <t>AVADHSUGAR</t>
  </si>
  <si>
    <t>DEVYANI</t>
  </si>
  <si>
    <t>HAVELLS</t>
  </si>
  <si>
    <t>VOLTAMP</t>
  </si>
  <si>
    <t>INDHOTEL</t>
  </si>
  <si>
    <t>A2ZINFRA</t>
  </si>
  <si>
    <t>ASHOKA</t>
  </si>
  <si>
    <t>TOYAMIND</t>
  </si>
  <si>
    <t>FEDERALBNK</t>
  </si>
  <si>
    <t>JPPOWER</t>
  </si>
  <si>
    <t>MCX</t>
  </si>
  <si>
    <t>TATASTEEL</t>
  </si>
  <si>
    <t>LICHSGFIN</t>
  </si>
  <si>
    <t>MCLEODRUSS</t>
  </si>
  <si>
    <t>AUROPHARMA</t>
  </si>
  <si>
    <t>AUBANK</t>
  </si>
  <si>
    <t>SETFGOLD</t>
  </si>
  <si>
    <t>POLYPLEX</t>
  </si>
  <si>
    <t>CANBK</t>
  </si>
  <si>
    <t>GAIL</t>
  </si>
  <si>
    <t>ROUTE</t>
  </si>
  <si>
    <t>CARBORUNIN</t>
  </si>
  <si>
    <t>RUCHI</t>
  </si>
  <si>
    <t>RCF</t>
  </si>
  <si>
    <t>PARACABLES</t>
  </si>
  <si>
    <t>TNPETRO</t>
  </si>
  <si>
    <t>NGIND</t>
  </si>
  <si>
    <t>SARDAEN</t>
  </si>
  <si>
    <t>VASWANI</t>
  </si>
  <si>
    <t>GODREJAGRO</t>
  </si>
  <si>
    <t>ENDURANCE</t>
  </si>
  <si>
    <t>CAMPUS ACTIV</t>
  </si>
  <si>
    <t>MATRIMONY</t>
  </si>
  <si>
    <t>ITI</t>
  </si>
  <si>
    <t>NHPC</t>
  </si>
  <si>
    <t>EXCELINDUS</t>
  </si>
  <si>
    <t>EIDPARRY</t>
  </si>
  <si>
    <t>GARFIBRES</t>
  </si>
  <si>
    <t>MOTHERSON</t>
  </si>
  <si>
    <t>LT</t>
  </si>
  <si>
    <t>SUZLON</t>
  </si>
  <si>
    <t>TATAELXSI</t>
  </si>
  <si>
    <t>ADANIPOWER</t>
  </si>
  <si>
    <t>SHAKTIPUMP</t>
  </si>
  <si>
    <t>BANKBARODA</t>
  </si>
  <si>
    <t>DREAMFOLKS</t>
  </si>
  <si>
    <t>ABSLAMC</t>
  </si>
  <si>
    <t>NTPC</t>
  </si>
  <si>
    <t>DCXINDIA</t>
  </si>
  <si>
    <t>ACI</t>
  </si>
  <si>
    <t xml:space="preserve">ITC </t>
  </si>
  <si>
    <t>TATACONSUM</t>
  </si>
  <si>
    <t>SULA</t>
  </si>
  <si>
    <t>MSUMI</t>
  </si>
  <si>
    <t>PATANJALI</t>
  </si>
  <si>
    <t>TATACOMM</t>
  </si>
  <si>
    <t>MUKANDLTD</t>
  </si>
  <si>
    <t>IDFCFIRSTB</t>
  </si>
  <si>
    <t>SOUTHBANK</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</si>
  <si>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</si>
  <si>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</si>
  <si>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</si>
  <si>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r>
      <rPr>
        <i/>
        <u/>
        <sz val="8"/>
        <color theme="1"/>
        <rFont val="Verdana"/>
        <family val="2"/>
      </rPr>
      <t xml:space="preserve">Del </t>
    </r>
    <r>
      <rPr>
        <i/>
        <u/>
        <sz val="8"/>
        <color rgb="FF0000FF"/>
        <rFont val="Verdana"/>
        <family val="2"/>
      </rPr>
      <t>In</t>
    </r>
    <r>
      <rPr>
        <i/>
        <u/>
        <sz val="8"/>
        <color theme="1"/>
        <rFont val="Verdana"/>
        <family val="2"/>
      </rPr>
      <t>/</t>
    </r>
    <r>
      <rPr>
        <i/>
        <u/>
        <sz val="8"/>
        <color rgb="FFFF0000"/>
        <rFont val="Verdana"/>
        <family val="2"/>
      </rPr>
      <t>Out</t>
    </r>
  </si>
  <si>
    <t>Type</t>
  </si>
  <si>
    <t>Buy @</t>
  </si>
  <si>
    <t>Sell @</t>
  </si>
  <si>
    <t>Brkrge (B)</t>
  </si>
  <si>
    <t>Brkrge (S)</t>
  </si>
  <si>
    <t>Grs Profit</t>
  </si>
  <si>
    <t>Ttl Brkrge</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</si>
  <si>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</si>
  <si>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</si>
  <si>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</si>
  <si>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t>B/S Rate%</t>
  </si>
  <si>
    <t>Reco</t>
  </si>
  <si>
    <t>Intra</t>
  </si>
  <si>
    <t>UPL</t>
  </si>
  <si>
    <t>ELDERPHARM</t>
  </si>
  <si>
    <t>POWERGRID</t>
  </si>
  <si>
    <t>ORIENTBANK</t>
  </si>
  <si>
    <t>JSWSTEEL</t>
  </si>
  <si>
    <t>RAYMOND</t>
  </si>
  <si>
    <t>DISHTV</t>
  </si>
  <si>
    <t>GVKPIL</t>
  </si>
  <si>
    <t>AXISBANK</t>
  </si>
  <si>
    <t>INDUSINDBK</t>
  </si>
  <si>
    <t>JUBLFOOD</t>
  </si>
  <si>
    <t>APOLLOTYRE</t>
  </si>
  <si>
    <t>CONCOR</t>
  </si>
  <si>
    <t>TVSMOTOR</t>
  </si>
  <si>
    <t>Golden</t>
  </si>
  <si>
    <t>ESCORTS</t>
  </si>
  <si>
    <t>COROMANDEL</t>
  </si>
  <si>
    <t>PVR</t>
  </si>
  <si>
    <t>MGL</t>
  </si>
  <si>
    <t>IGL</t>
  </si>
  <si>
    <t>HINDPETRO</t>
  </si>
  <si>
    <t>ASHOKLEY</t>
  </si>
  <si>
    <t>TATACHEM</t>
  </si>
  <si>
    <t>TITAN</t>
  </si>
  <si>
    <t>GRAPHITE</t>
  </si>
  <si>
    <t>GRASIM</t>
  </si>
  <si>
    <t>CADILAHC</t>
  </si>
  <si>
    <t>TORNTPHARM</t>
  </si>
  <si>
    <t>BAJAJCON</t>
  </si>
  <si>
    <t>HEG</t>
  </si>
  <si>
    <t>PRAJIND</t>
  </si>
  <si>
    <t>DLF</t>
  </si>
  <si>
    <t>MPHASIS</t>
  </si>
  <si>
    <t>PIDILITIND</t>
  </si>
  <si>
    <t>TINPLATE</t>
  </si>
  <si>
    <t>JINDALSTEL</t>
  </si>
  <si>
    <t>ASIANPAINT</t>
  </si>
  <si>
    <t>BAJAJFINSV</t>
  </si>
  <si>
    <t>GDL</t>
  </si>
  <si>
    <t>FINEORG</t>
  </si>
  <si>
    <t>WOCKPHARMA</t>
  </si>
  <si>
    <t>IOLCP</t>
  </si>
  <si>
    <t>ADVENZYMES</t>
  </si>
  <si>
    <t>ANGELBRKG</t>
  </si>
  <si>
    <t>PRSMJOHNSN</t>
  </si>
  <si>
    <t>APOLLOHOSP</t>
  </si>
  <si>
    <t>IRCTC</t>
  </si>
  <si>
    <t>JUSTDIAL</t>
  </si>
  <si>
    <t>MAXHEALTH</t>
  </si>
  <si>
    <t>QUESS</t>
  </si>
  <si>
    <t>GPIL</t>
  </si>
  <si>
    <t>GODREJCP</t>
  </si>
  <si>
    <t>CANFINHOME</t>
  </si>
  <si>
    <t>DCMSRMIND</t>
  </si>
  <si>
    <t>ISEC</t>
  </si>
  <si>
    <t>ABCAPITAL</t>
  </si>
  <si>
    <t>MCDOWELL</t>
  </si>
  <si>
    <t>SEQUENT</t>
  </si>
  <si>
    <t>PAYTM</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</si>
  <si>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</si>
  <si>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</si>
  <si>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</si>
  <si>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t>Equity Options</t>
  </si>
  <si>
    <t>F&amp;O Type</t>
  </si>
  <si>
    <t>Expiry</t>
  </si>
  <si>
    <t>Strike</t>
  </si>
  <si>
    <t>CE/PE</t>
  </si>
  <si>
    <t>Lot Size</t>
  </si>
  <si>
    <t># of Lots</t>
  </si>
  <si>
    <t>Orders</t>
  </si>
  <si>
    <t>B Value</t>
  </si>
  <si>
    <t>S Value</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</si>
  <si>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</si>
  <si>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</si>
  <si>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</si>
  <si>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t>BANKNIFTY 03!NOV 40100 CE</t>
  </si>
  <si>
    <t>BANKNIFTY 20!JAN 38700 CE</t>
  </si>
  <si>
    <t>NIFTY 03!FEB 17600 CE</t>
  </si>
  <si>
    <t>SUNPHARMA 24!FEB 900 CE</t>
  </si>
  <si>
    <t>SAIL 24!FEB 107.5 CE</t>
  </si>
  <si>
    <t>BANKNIFTY 24!FEB 37600 CE</t>
  </si>
  <si>
    <t>SAIL 31!MAR 107.5 CE</t>
  </si>
  <si>
    <t>SAIL 31!MAR 110 CE</t>
  </si>
  <si>
    <t>SAIL 31!MAR 105 CE</t>
  </si>
  <si>
    <t>AMBUJACEM 31!MAR 305 CE</t>
  </si>
  <si>
    <t>LICHSGFIN 31!MAR 365 CE</t>
  </si>
  <si>
    <t>LICHSGFIN 31!MAR 370 CE</t>
  </si>
  <si>
    <t>LICHSGFIN 31!MAR 380 CE</t>
  </si>
  <si>
    <t>POWERGRID 28!APR 230 CE</t>
  </si>
  <si>
    <t>POWERGRID 28!APR 237.5 CE</t>
  </si>
  <si>
    <t>POWERGRID 28!APR 240 CE</t>
  </si>
  <si>
    <t>SAIL 28!APR 113 CE</t>
  </si>
  <si>
    <t>FSL 28!APR 140 CE</t>
  </si>
  <si>
    <t>NIFTY 21!APR 17100 PE</t>
  </si>
  <si>
    <t>BANKNIFTY 21!APR 36200 PE</t>
  </si>
  <si>
    <t>BANDHANBNK 28!APR 335 CE</t>
  </si>
  <si>
    <t>HINDALCO 26!MAY 510 CE</t>
  </si>
  <si>
    <t>ONGC 26!MAY 167.5 CE</t>
  </si>
  <si>
    <t>ITC 26!MAY 270 CE</t>
  </si>
  <si>
    <t>NTPC 26!MAY 160 CE</t>
  </si>
  <si>
    <t>BAJFINANCE 26!MAY 5700 CE</t>
  </si>
  <si>
    <t>TATAMOTORS 26!MAY 410 PE</t>
  </si>
  <si>
    <t>PVR 26!MAY 1800 CE</t>
  </si>
  <si>
    <t>AXISBANK 26!MAY 660 CE</t>
  </si>
  <si>
    <t>ICICIBANK 26!MAY 700 PE</t>
  </si>
  <si>
    <t>KOTAKBANK 30!JUN 1920 CE</t>
  </si>
  <si>
    <t>CANBK 30!JUN 200 CE</t>
  </si>
  <si>
    <t>CANBK 30!JUN 210 CE</t>
  </si>
  <si>
    <t>TATASTEEL 30!JUN 1080 CE</t>
  </si>
  <si>
    <t>CANBK 30!JUN 215 CE</t>
  </si>
  <si>
    <t>L&amp;TFH 30!JUN 78 CE</t>
  </si>
  <si>
    <t>COALINDIA 30!JUN 200 CE</t>
  </si>
  <si>
    <t>BHARATFORG 30!JUN 650 PE</t>
  </si>
  <si>
    <t>ONGC 30!JUN 165 CE</t>
  </si>
  <si>
    <t>NMDC 30!JUN 120 PE</t>
  </si>
  <si>
    <t>HCLTECH 30!JUN 980 PE</t>
  </si>
  <si>
    <t>LTTS 30!JUN 3300 CE</t>
  </si>
  <si>
    <t>TITAN 30!JUN 2100 CE</t>
  </si>
  <si>
    <t>NIFTY 16!JUN 15600 PE</t>
  </si>
  <si>
    <t>NIFTY 16!JUN 15500 PE</t>
  </si>
  <si>
    <t>NIFTY 16!JUN 15450 PE</t>
  </si>
  <si>
    <t>NIFTY 16!JUN 15350 PE</t>
  </si>
  <si>
    <t>NIFTY 23!JUN 15350 CE</t>
  </si>
  <si>
    <t>NIFTY 23!JUN 15300 PE</t>
  </si>
  <si>
    <t>KOTAKBANK 30!JUN 1680 CE</t>
  </si>
  <si>
    <t>NIFTY 23!JUN 15600 PE</t>
  </si>
  <si>
    <t>NIFTY 23!JUN 15400 PE</t>
  </si>
  <si>
    <t>TCS 30!JUN 3200 CE</t>
  </si>
  <si>
    <t>NIFTY 23!JUN 15600 CE</t>
  </si>
  <si>
    <t>NIFTY 23!JUN 15650 CE</t>
  </si>
  <si>
    <t>NIFTY 30!JUN 15750 CE</t>
  </si>
  <si>
    <t>TCS 30!JUN 3300 CE</t>
  </si>
  <si>
    <t>NIFTY 30!JUN 15900 CE</t>
  </si>
  <si>
    <t xml:space="preserve">ASHOKLEY 30!JUN 140 CE    </t>
  </si>
  <si>
    <t>VEDL 30!JUL 240 CE</t>
  </si>
  <si>
    <t>NIFTY 30!JUN 15800 PE</t>
  </si>
  <si>
    <t>NIFTY 07!JUN 15750 CE</t>
  </si>
  <si>
    <t>SUNPHARMA 28!JUL 830 PE</t>
  </si>
  <si>
    <t>NIFTY 07!JUN 15750 PE</t>
  </si>
  <si>
    <t>NIFTY 07!JUN 15900 PE</t>
  </si>
  <si>
    <t>NIFTY 07!JUL 15900 PE</t>
  </si>
  <si>
    <t>NIFTY 14!JUL 16200 CE</t>
  </si>
  <si>
    <t>NIFTY 14!JUL 16100 PE</t>
  </si>
  <si>
    <t>INDUSTOWER 28!JUL 220 CE</t>
  </si>
  <si>
    <t>NIFTY 14!JUL 16000 PE</t>
  </si>
  <si>
    <t>NIFTY 14!JUL 16100 CE</t>
  </si>
  <si>
    <t>NIFTY 21!JUL 15850 CE</t>
  </si>
  <si>
    <t>NIFTY 21!JUL 16100 PE</t>
  </si>
  <si>
    <t>NIFTY 21!JUL 16150 CE</t>
  </si>
  <si>
    <t>VEDL 28!JUL 240 CE</t>
  </si>
  <si>
    <t>ACC 28!JUL 2160 PE</t>
  </si>
  <si>
    <t>NIFTY 28!JUL 16700 PE</t>
  </si>
  <si>
    <t>COALINDIA 28!JUL 200 CE</t>
  </si>
  <si>
    <t>SUNPHARMA 28!JUL 880 CE</t>
  </si>
  <si>
    <t>NIFTY 28!JUL 16700 CE</t>
  </si>
  <si>
    <t>ICICI 25!AUG 820 CE</t>
  </si>
  <si>
    <t>NIFTY 11!AUG 17350 CE</t>
  </si>
  <si>
    <t>TORNTPOWER 25!AUG 530 CE</t>
  </si>
  <si>
    <t>LUPIN 25!AUG 670 CE</t>
  </si>
  <si>
    <t>NIFTY 11!AUG 17400 CE</t>
  </si>
  <si>
    <t>NAVINFLUOR 25!AUG 4500 CE</t>
  </si>
  <si>
    <t>NIFTY 11!AUG 17450 PE</t>
  </si>
  <si>
    <t>HDFCBANK 25!AUG 1500 PE</t>
  </si>
  <si>
    <t>NIFTY 25!AUG 17900 PE</t>
  </si>
  <si>
    <t>TECHM 25!AUG 1100 PE</t>
  </si>
  <si>
    <t>NIFTY 25!AUG 17900 CE</t>
  </si>
  <si>
    <t>VEDL 25!AUG 270 CE</t>
  </si>
  <si>
    <t>DIXON 25!AUG 4000 PE</t>
  </si>
  <si>
    <t>TATASTEEL 29!SEP 108 CE</t>
  </si>
  <si>
    <t>BIOCON 29!SEP 305 PE</t>
  </si>
  <si>
    <t>NIFTY 15!SEP 17850 CE</t>
  </si>
  <si>
    <t>BHARTIARTL 29!SEP 790 CE</t>
  </si>
  <si>
    <t>SBIN 29!SEP 570 CE</t>
  </si>
  <si>
    <t>NIFTY 22!SEP 17900 PE</t>
  </si>
  <si>
    <t>NIFTY 22!SEP 17700 CE</t>
  </si>
  <si>
    <t>INTELLECT 29!SEP 560 PE</t>
  </si>
  <si>
    <t>INFY 29!SEP  1380 PE</t>
  </si>
  <si>
    <t>BANKNIFTY 22!SEP 40700 CE</t>
  </si>
  <si>
    <t>BANKNIFTY 22!SEP 40700 PE</t>
  </si>
  <si>
    <t>BSOFT 29!SEP 300 PE</t>
  </si>
  <si>
    <t>DLF 29!SEP 380 PE</t>
  </si>
  <si>
    <t>BANKNIFTY 29!SEP 39800 CE</t>
  </si>
  <si>
    <t>BANKNIFTY 29!SEP 40200 CE</t>
  </si>
  <si>
    <t>NIFTY 29!SEP 17500 CE</t>
  </si>
  <si>
    <t>NIFTY 29!SEP 17200 CE</t>
  </si>
  <si>
    <t>SUNPHARMA 24!NOV 1030 CE</t>
  </si>
  <si>
    <t>BATAINDIA 24!NOV 1860 PE</t>
  </si>
  <si>
    <t>VEDL 24!NOV 300 PE</t>
  </si>
  <si>
    <t>FEDERALBNK 24!NOV 137 CE</t>
  </si>
  <si>
    <t>MGL 24!NOV 900 CE</t>
  </si>
  <si>
    <t>HINDALCO 24!NOV 430 CE</t>
  </si>
  <si>
    <t>HEROMOTOCO 24!NOV 2600 CE</t>
  </si>
  <si>
    <t>PIDILITIND 24!NOV 2650 PE</t>
  </si>
  <si>
    <t>LUPIN 24!NOV 760 CE</t>
  </si>
  <si>
    <t>TATAMOTORS 24!NOV 440 CE</t>
  </si>
  <si>
    <t>FEDERALBNK 24!NOV 133 PE</t>
  </si>
  <si>
    <t>BANKNIFTY 17!NOV 42600 CE</t>
  </si>
  <si>
    <t>DLF 24!NOV 400 PE</t>
  </si>
  <si>
    <t>LTTS 29!DEC 3900 CE</t>
  </si>
  <si>
    <t>INFY 29!DEC 1640 CE</t>
  </si>
  <si>
    <t>EXIDEIND 29!DEC 185 CE</t>
  </si>
  <si>
    <t>TATAMOTORS 29!DEC 435 PE</t>
  </si>
  <si>
    <t>BANDHANBNK 29!DEC 240 CE</t>
  </si>
  <si>
    <t>WIPRO 29!DEC 405 CE</t>
  </si>
  <si>
    <t>NATIONALUM 29!DEC 78 CE</t>
  </si>
  <si>
    <t>VOLTAS 29!DEC 860 CE</t>
  </si>
  <si>
    <t>ASIANPAINT 29!DEC 3200 CE</t>
  </si>
  <si>
    <t>ICICIBANK 29!DEC 930 CE</t>
  </si>
  <si>
    <t>INFY 29!DEC 1620 CE</t>
  </si>
  <si>
    <t>WIPRO 29!DEC 410 CE</t>
  </si>
  <si>
    <t>ICICIBANK 29!DEC 920 PE</t>
  </si>
  <si>
    <t>JINDALSTEL 29!DEC 540 PE</t>
  </si>
  <si>
    <t>INDIACEM 29!DEC 230 PE</t>
  </si>
  <si>
    <t>NIFTY 29!DEC 18200 CE</t>
  </si>
  <si>
    <t>HDFCBANK 29!DEC 1640 CE</t>
  </si>
  <si>
    <t>WIPRO 29!DEC 390 PE</t>
  </si>
  <si>
    <t>HAVELLS 29!DEC 1180 CE</t>
  </si>
  <si>
    <t>TATAMOTORS 29!DEC 380 CE</t>
  </si>
  <si>
    <t>DLF 29!DEC 370 PE</t>
  </si>
  <si>
    <t>WIPRO 25!JAN 385 PE</t>
  </si>
  <si>
    <t>BANKNIFTY 05!JAN 43600 CE</t>
  </si>
  <si>
    <t>NIFTY 05!JAN 17950 PE</t>
  </si>
  <si>
    <t>BANKNIFTY 12!JAN 42200 CE</t>
  </si>
  <si>
    <t>NIFTY 12!JAN 18100 PE</t>
  </si>
  <si>
    <t>BANKNIFTY 12!JAN 42100 CE</t>
  </si>
  <si>
    <t>NIFTY 12!JAN 18000 CE</t>
  </si>
  <si>
    <t>BANKNIFTY 12!JAN 41800 PE</t>
  </si>
  <si>
    <t>NIFTY 12!JAN 17900 CE</t>
  </si>
  <si>
    <t>NIFTY 19!JAN 18000 PE</t>
  </si>
  <si>
    <t>NIFTY 19!JAN 17900 CE</t>
  </si>
  <si>
    <t>NIFTY 19!JAN 18000 CE</t>
  </si>
  <si>
    <t>ZEEL 25!JAN 235 CE</t>
  </si>
  <si>
    <t>NIFTY 19!JAN 18050 CE</t>
  </si>
  <si>
    <t>NIFTY 19!JAN 17950 CE</t>
  </si>
  <si>
    <t>INTELLECT 25!JAN 420 PE</t>
  </si>
  <si>
    <t>NIFTY 25!JAN 17950 CE</t>
  </si>
  <si>
    <t>BANKNIFTY 25!JAN 42700 PE</t>
  </si>
  <si>
    <t>BANKNIFTY 25!JAN 43000 PE</t>
  </si>
  <si>
    <t>NIFTY 25!JAN 18150 CE</t>
  </si>
  <si>
    <t>NIFTY 02!FEB 17900 CE</t>
  </si>
  <si>
    <t>NIFTY 09!FEB 18100 CE</t>
  </si>
  <si>
    <t>NIFTY 09!FEB 17700 PE</t>
  </si>
  <si>
    <t>NIFTY 16!FEB 18000 CE</t>
  </si>
  <si>
    <t>NIFTY 16!FEB 17900 PE</t>
  </si>
  <si>
    <t>NIFTY 16!FEB 18150 CE</t>
  </si>
  <si>
    <t>NIFTY 23!FEB 18000 CE</t>
  </si>
  <si>
    <t>NIFTY 02!MAR 17650 CE</t>
  </si>
  <si>
    <t>NIFTY 02!MAR 17200 PE</t>
  </si>
  <si>
    <t>NIFTY 09!MAR 17900 CE</t>
  </si>
  <si>
    <t>NIFTY 16!MAR 17800 CE</t>
  </si>
  <si>
    <t>NIFTY 16!MAR 17100 PE</t>
  </si>
  <si>
    <t>NIFTY 16!MAR 16800 CE</t>
  </si>
  <si>
    <t>NIFTY 16!MAR 16900 PE</t>
  </si>
  <si>
    <t>NIFTY 16!MAR 16800 PE</t>
  </si>
  <si>
    <t>NIFTY 23!MAR 17500 CE</t>
  </si>
  <si>
    <t>NIFTY 29!MAR 17500 CE</t>
  </si>
  <si>
    <t>NIFTY 06!APR 17600 CE</t>
  </si>
  <si>
    <t>NIFTY 06!APR 16700 PE</t>
  </si>
  <si>
    <t>NIFTY 13!APR 18000 CE</t>
  </si>
  <si>
    <t>NIFTY 13!APR 17500 PE</t>
  </si>
  <si>
    <t>NIFTY 13!APR 17300 PE</t>
  </si>
  <si>
    <t>BANKNIFTY 20!APR 41400 PE</t>
  </si>
  <si>
    <t>BANKNIFTY 27!APR 43000 PE</t>
  </si>
  <si>
    <t>NIFTY 04!MAY 18400 CE</t>
  </si>
  <si>
    <r>
      <rPr>
        <i/>
        <u/>
        <sz val="8"/>
        <color rgb="FFFF0000"/>
        <rFont val="Verdana"/>
        <family val="2"/>
      </rPr>
      <t>Pbl</t>
    </r>
    <r>
      <rPr>
        <i/>
        <u/>
        <sz val="8"/>
        <color theme="1"/>
        <rFont val="Verdana"/>
        <family val="2"/>
      </rPr>
      <t xml:space="preserve"> / </t>
    </r>
    <r>
      <rPr>
        <i/>
        <u/>
        <sz val="8"/>
        <color rgb="FF0000FF"/>
        <rFont val="Verdana"/>
        <family val="2"/>
      </rPr>
      <t>Rcv</t>
    </r>
  </si>
  <si>
    <r>
      <rPr>
        <i/>
        <u/>
        <sz val="8"/>
        <color rgb="FFFF0000"/>
        <rFont val="Verdana"/>
        <family val="2"/>
      </rPr>
      <t>Pd</t>
    </r>
    <r>
      <rPr>
        <i/>
        <u/>
        <sz val="8"/>
        <color theme="1"/>
        <rFont val="Verdana"/>
        <family val="2"/>
      </rPr>
      <t xml:space="preserve"> / </t>
    </r>
    <r>
      <rPr>
        <i/>
        <u/>
        <sz val="8"/>
        <color rgb="FF0000FF"/>
        <rFont val="Verdana"/>
        <family val="2"/>
      </rPr>
      <t>Rcvd</t>
    </r>
  </si>
  <si>
    <r>
      <rPr>
        <i/>
        <u/>
        <sz val="8"/>
        <color rgb="FF0000CC"/>
        <rFont val="Verdana"/>
        <family val="2"/>
      </rPr>
      <t>(+)</t>
    </r>
    <r>
      <rPr>
        <i/>
        <u/>
        <sz val="8"/>
        <color rgb="FF008000"/>
        <rFont val="Verdana"/>
        <family val="2"/>
      </rPr>
      <t>/</t>
    </r>
    <r>
      <rPr>
        <i/>
        <u/>
        <sz val="8"/>
        <color rgb="FFFF0000"/>
        <rFont val="Verdana"/>
        <family val="2"/>
      </rPr>
      <t>(-)</t>
    </r>
  </si>
  <si>
    <r>
      <rPr>
        <sz val="8"/>
        <color theme="1"/>
        <rFont val="Verdana"/>
        <family val="2"/>
      </rPr>
      <t xml:space="preserve">Total Pay </t>
    </r>
    <r>
      <rPr>
        <sz val="8"/>
        <color rgb="FF0000FF"/>
        <rFont val="Verdana"/>
        <family val="2"/>
      </rPr>
      <t>In</t>
    </r>
    <r>
      <rPr>
        <sz val="8"/>
        <color theme="1"/>
        <rFont val="Verdana"/>
        <family val="2"/>
      </rPr>
      <t>/</t>
    </r>
    <r>
      <rPr>
        <sz val="8"/>
        <color rgb="FFFF0000"/>
        <rFont val="Verdana"/>
        <family val="2"/>
      </rPr>
      <t>Out</t>
    </r>
    <r>
      <rPr>
        <sz val="8"/>
        <color theme="1"/>
        <rFont val="Verdana"/>
        <family val="2"/>
      </rPr>
      <t xml:space="preserve"> during following dates (both dates inclusive)</t>
    </r>
  </si>
  <si>
    <t>Intraday</t>
  </si>
  <si>
    <t>Last Tranx P&amp;L/Sell Rate</t>
  </si>
  <si>
    <t>&amp;</t>
  </si>
  <si>
    <t>Buy/Sell</t>
  </si>
  <si>
    <t>For Delivery (+)/(-)</t>
  </si>
  <si>
    <t>Last Tranx Date/Buy Rate</t>
  </si>
  <si>
    <t>For Intraday (+)/(-)</t>
  </si>
  <si>
    <t>F&amp;O Zerodha</t>
  </si>
  <si>
    <t>For F&amp;O (+)/(-)</t>
  </si>
  <si>
    <t>STOCKS</t>
  </si>
  <si>
    <t>F&amp;O Dhan</t>
  </si>
  <si>
    <t>All Transactions P&amp;L</t>
  </si>
  <si>
    <t>F&amp;O Kotak</t>
  </si>
  <si>
    <t>Last Tranx P&amp;L</t>
  </si>
  <si>
    <t>Last Tranx Date</t>
  </si>
  <si>
    <t>Reconciliation with Contract Note</t>
  </si>
  <si>
    <t>Total Charges</t>
  </si>
  <si>
    <r>
      <rPr>
        <i/>
        <sz val="8"/>
        <color rgb="FFFF0000"/>
        <rFont val="Verdana"/>
        <family val="2"/>
      </rPr>
      <t>Paid</t>
    </r>
    <r>
      <rPr>
        <i/>
        <sz val="8"/>
        <color theme="1"/>
        <rFont val="Verdana"/>
        <family val="2"/>
      </rPr>
      <t xml:space="preserve"> / </t>
    </r>
    <r>
      <rPr>
        <i/>
        <sz val="8"/>
        <color rgb="FF0000FF"/>
        <rFont val="Verdana"/>
        <family val="2"/>
      </rPr>
      <t>Received</t>
    </r>
  </si>
  <si>
    <t>Pending</t>
  </si>
  <si>
    <t>Day's Net FNO Dr/Cr</t>
  </si>
  <si>
    <t>FNO Pending Debits</t>
  </si>
  <si>
    <t>F&amp;O Tranx Count</t>
  </si>
  <si>
    <t>INDICES</t>
  </si>
  <si>
    <t>Trade</t>
  </si>
  <si>
    <t>SEBI Fee</t>
  </si>
  <si>
    <t>NIFTY</t>
  </si>
  <si>
    <t>Contract Note</t>
  </si>
  <si>
    <t>Settled</t>
  </si>
  <si>
    <t>Last Tranx P&amp;L/CE</t>
  </si>
  <si>
    <t>CN is +/- by ₹</t>
  </si>
  <si>
    <t>Last Tranx Date/PE</t>
  </si>
  <si>
    <r>
      <rPr>
        <i/>
        <sz val="8"/>
        <color theme="1"/>
        <rFont val="Verdana"/>
        <family val="2"/>
      </rPr>
      <t xml:space="preserve">Amount </t>
    </r>
    <r>
      <rPr>
        <i/>
        <sz val="8"/>
        <color rgb="FFFF0000"/>
        <rFont val="Verdana"/>
        <family val="2"/>
      </rPr>
      <t>Paid</t>
    </r>
    <r>
      <rPr>
        <i/>
        <sz val="8"/>
        <color theme="1"/>
        <rFont val="Verdana"/>
        <family val="2"/>
      </rPr>
      <t xml:space="preserve"> / </t>
    </r>
    <r>
      <rPr>
        <i/>
        <sz val="8"/>
        <color rgb="FF0000FF"/>
        <rFont val="Verdana"/>
        <family val="2"/>
      </rPr>
      <t>Received</t>
    </r>
  </si>
  <si>
    <t>BANKNIFTY</t>
  </si>
  <si>
    <t>Total &gt;&gt;&gt;</t>
  </si>
  <si>
    <t>FINNIFTY</t>
  </si>
  <si>
    <t>Intra+Buy+Sell</t>
  </si>
  <si>
    <t>Brokerage (Delivery)</t>
  </si>
  <si>
    <t xml:space="preserve">              (Intraday)</t>
  </si>
  <si>
    <t xml:space="preserve">              (Equity Options)</t>
  </si>
  <si>
    <t>GST / Service Tax + Edu Cess</t>
  </si>
  <si>
    <t>STT  (Delivery on both Buy &amp; Sell)</t>
  </si>
  <si>
    <t xml:space="preserve">       (Intraday on Sell)</t>
  </si>
  <si>
    <t xml:space="preserve">       (Equity Options on Sell Side)</t>
  </si>
  <si>
    <t>Exchange Tran Charge (Buy &amp; Sell) Delivery/Intraday NSE</t>
  </si>
  <si>
    <t>Exchange Tran Charge (Buy &amp; Sell) Delivery/Intraday BSE</t>
  </si>
  <si>
    <t>Exchange Tran Charge (Buy &amp; Sell) Equity Options NSE</t>
  </si>
  <si>
    <t>Stamp Duty (Delivery on Buy only)</t>
  </si>
  <si>
    <t xml:space="preserve">                 (Intraday on Buy only)</t>
  </si>
  <si>
    <t xml:space="preserve">                 (Equity Options on Buy Side) </t>
  </si>
  <si>
    <t>Name of Scrip</t>
  </si>
  <si>
    <t>Name</t>
  </si>
  <si>
    <t>Shares</t>
  </si>
  <si>
    <t>Nett C P</t>
  </si>
  <si>
    <t>Expenses</t>
  </si>
  <si>
    <t>Value</t>
  </si>
  <si>
    <t>Amt Pyble</t>
  </si>
  <si>
    <t>Serv Tax</t>
  </si>
  <si>
    <t>STTax</t>
  </si>
  <si>
    <t>Trnovr Chg</t>
  </si>
  <si>
    <t>Stmp Chg</t>
  </si>
  <si>
    <t>Amt Paid</t>
  </si>
  <si>
    <t>Shrt/Excs</t>
  </si>
  <si>
    <t>Pay Date</t>
  </si>
  <si>
    <t>Avg Date</t>
  </si>
  <si>
    <t>Avg Cost</t>
  </si>
  <si>
    <t>Status</t>
  </si>
  <si>
    <t>Brker</t>
  </si>
  <si>
    <t>Allahabad Bank</t>
  </si>
  <si>
    <t>Jindal Vijay</t>
  </si>
  <si>
    <t>Bharat Forge</t>
  </si>
  <si>
    <t>Karnataka Bank</t>
  </si>
  <si>
    <t>Syndicate Bank</t>
  </si>
  <si>
    <t>IDFC Ltd</t>
  </si>
  <si>
    <t>Reliance Energy</t>
  </si>
  <si>
    <t>Gujarat Ambuja</t>
  </si>
  <si>
    <t>3i Infotech</t>
  </si>
  <si>
    <t>Reliance Industries</t>
  </si>
  <si>
    <t>Dena Bank</t>
  </si>
  <si>
    <t>Mysore Cement</t>
  </si>
  <si>
    <t>Mercator Lines</t>
  </si>
  <si>
    <t>Ashok Leyland</t>
  </si>
  <si>
    <t>IFCI Ltd</t>
  </si>
  <si>
    <t>Talbros Components</t>
  </si>
  <si>
    <t>VBC Ferro Alloys</t>
  </si>
  <si>
    <t>Centurian Bank</t>
  </si>
  <si>
    <t>Finolex Industries</t>
  </si>
  <si>
    <t>Gujarat NRE</t>
  </si>
  <si>
    <t>India Infoline</t>
  </si>
  <si>
    <t>Rain Calcining</t>
  </si>
  <si>
    <t>Tata Tele (Mah)</t>
  </si>
  <si>
    <t>ITC Ltd</t>
  </si>
  <si>
    <t>Petronet LNG</t>
  </si>
  <si>
    <t>Balrampur Chini</t>
  </si>
  <si>
    <t>MSK Projects</t>
  </si>
  <si>
    <t>ICICI Bank</t>
  </si>
  <si>
    <t>MRO-Tek</t>
  </si>
  <si>
    <t>Manali Petro</t>
  </si>
  <si>
    <t>Hindalco</t>
  </si>
  <si>
    <t>Welspun Gujarat</t>
  </si>
  <si>
    <t>Ranbaxy Lab</t>
  </si>
  <si>
    <t>Rolta India</t>
  </si>
  <si>
    <t>Cipla Pharma</t>
  </si>
  <si>
    <t>ACC Ltd</t>
  </si>
  <si>
    <t>Greaves Cotton</t>
  </si>
  <si>
    <t>ITI Ltd</t>
  </si>
  <si>
    <t>Spice Jet</t>
  </si>
  <si>
    <t>Wipro</t>
  </si>
  <si>
    <t>Sesa Goa</t>
  </si>
  <si>
    <t>Mawana Sugar</t>
  </si>
  <si>
    <t>Shipping Corp</t>
  </si>
  <si>
    <t>Ballarpur Indus</t>
  </si>
  <si>
    <t>Escorts</t>
  </si>
  <si>
    <t>Indus Ind Bank</t>
  </si>
  <si>
    <t>Mcleod Rusel</t>
  </si>
  <si>
    <t>Mid Day Multimedia</t>
  </si>
  <si>
    <t>Control Print</t>
  </si>
  <si>
    <t>IDBI</t>
  </si>
  <si>
    <t>Bindal Agro</t>
  </si>
  <si>
    <t>Bank of Rajasthan</t>
  </si>
  <si>
    <t>State Bank of India</t>
  </si>
  <si>
    <t>Neyveli Lignite</t>
  </si>
  <si>
    <t>SPG</t>
  </si>
  <si>
    <t>Satyam Computer</t>
  </si>
  <si>
    <t>Infosys Technology</t>
  </si>
  <si>
    <t>Rashtriya Chem (RCF)</t>
  </si>
  <si>
    <t>Piramyd Retail</t>
  </si>
  <si>
    <t>Reliance Petroleum</t>
  </si>
  <si>
    <t>India Cement</t>
  </si>
  <si>
    <t>Tata Consultancy</t>
  </si>
  <si>
    <t>Hem</t>
  </si>
  <si>
    <t>Bharti Airtel</t>
  </si>
  <si>
    <t>Nett S P</t>
  </si>
  <si>
    <t>Amt Rcvble</t>
  </si>
  <si>
    <t>Amt Rcvd</t>
  </si>
  <si>
    <t>Rcvd Date</t>
  </si>
  <si>
    <t>Yield</t>
  </si>
  <si>
    <t>Days</t>
  </si>
  <si>
    <t>Stock</t>
  </si>
  <si>
    <t>Purc @</t>
  </si>
  <si>
    <t>Sold @</t>
  </si>
  <si>
    <t>Brkrge (P)</t>
  </si>
  <si>
    <t>Margin</t>
  </si>
  <si>
    <t>Ttl Margin</t>
  </si>
  <si>
    <t>Ttl Chrges</t>
  </si>
  <si>
    <t>Settle Date</t>
  </si>
  <si>
    <t>Profi/Loss</t>
  </si>
  <si>
    <t>Grss Mrgn</t>
  </si>
  <si>
    <r>
      <rPr>
        <u/>
        <sz val="8"/>
        <color rgb="FFFF0000"/>
        <rFont val="Verdana"/>
        <family val="2"/>
      </rPr>
      <t>Pd /</t>
    </r>
    <r>
      <rPr>
        <u/>
        <sz val="8"/>
        <color rgb="FF008000"/>
        <rFont val="Verdana"/>
        <family val="2"/>
      </rPr>
      <t xml:space="preserve"> Rcvd</t>
    </r>
  </si>
  <si>
    <t>DCM Shriram Cons</t>
  </si>
  <si>
    <t>Taj GVK Hotel</t>
  </si>
  <si>
    <t>Spanco Tele</t>
  </si>
  <si>
    <t>G E Shipping</t>
  </si>
  <si>
    <t>Bombay Rayon (BRFL)</t>
  </si>
  <si>
    <t>VSNL</t>
  </si>
  <si>
    <t>Tata Steel</t>
  </si>
  <si>
    <t>Zee Telefilm</t>
  </si>
  <si>
    <t>Pratibha Industries</t>
  </si>
  <si>
    <t>Bata India</t>
  </si>
  <si>
    <t>Nalco</t>
  </si>
  <si>
    <t>Brokerage, etc.</t>
  </si>
  <si>
    <t>Ttl Nett Profit/Loss</t>
  </si>
  <si>
    <t>Avg Investment</t>
  </si>
  <si>
    <t xml:space="preserve">                  (Day Trade)</t>
  </si>
  <si>
    <t>Avg Yield</t>
  </si>
  <si>
    <t>Service Tax + Edu Cess</t>
  </si>
  <si>
    <t>STT (Delivery based purchase/sale)</t>
  </si>
  <si>
    <t xml:space="preserve">       (Non-Delivery based Sale)</t>
  </si>
  <si>
    <t xml:space="preserve">       (Derivatives)</t>
  </si>
  <si>
    <t>Turnover Charge (Delvry)</t>
  </si>
  <si>
    <t xml:space="preserve">                            (Day Trade)</t>
  </si>
  <si>
    <t>Stamp Charge (Delivery)</t>
  </si>
  <si>
    <t xml:space="preserve">                        (Day Trade)</t>
  </si>
  <si>
    <t>Demat Chg (by Broker)</t>
  </si>
  <si>
    <t>Demat Chg (by Bank)</t>
  </si>
  <si>
    <r>
      <rPr>
        <u/>
        <sz val="8"/>
        <color rgb="FFFF6600"/>
        <rFont val="Verdana"/>
        <family val="2"/>
      </rPr>
      <t xml:space="preserve">Purchase / </t>
    </r>
    <r>
      <rPr>
        <u/>
        <sz val="8"/>
        <color rgb="FF808000"/>
        <rFont val="Verdana"/>
        <family val="2"/>
      </rPr>
      <t>Sale</t>
    </r>
  </si>
  <si>
    <r>
      <rPr>
        <u/>
        <sz val="8"/>
        <color rgb="FFFF6600"/>
        <rFont val="Verdana"/>
        <family val="2"/>
      </rPr>
      <t xml:space="preserve">Pd / </t>
    </r>
    <r>
      <rPr>
        <u/>
        <sz val="8"/>
        <color rgb="FF808000"/>
        <rFont val="Verdana"/>
        <family val="2"/>
      </rPr>
      <t>Rcvd</t>
    </r>
  </si>
  <si>
    <t>Day-Trade</t>
  </si>
  <si>
    <t>Grs Mrgin</t>
  </si>
  <si>
    <r>
      <rPr>
        <u/>
        <sz val="8"/>
        <color rgb="FFFF0000"/>
        <rFont val="Verdana"/>
        <family val="2"/>
      </rPr>
      <t>Pd /</t>
    </r>
    <r>
      <rPr>
        <u/>
        <sz val="8"/>
        <color rgb="FF008000"/>
        <rFont val="Verdana"/>
        <family val="2"/>
      </rPr>
      <t xml:space="preserve"> Rcvd</t>
    </r>
  </si>
  <si>
    <t>Scrip</t>
  </si>
  <si>
    <t>Sector</t>
  </si>
  <si>
    <t>Target</t>
  </si>
  <si>
    <t>Target %</t>
  </si>
  <si>
    <t>Reco by</t>
  </si>
  <si>
    <t>Reco Period</t>
  </si>
  <si>
    <t>Buy Rate (Net)</t>
  </si>
  <si>
    <t>B Qty</t>
  </si>
  <si>
    <t>Buy Rate</t>
  </si>
  <si>
    <t>Buy Date (Dr 2 A/c)</t>
  </si>
  <si>
    <t>Sell Rate (Net)</t>
  </si>
  <si>
    <t>Sell Rate</t>
  </si>
  <si>
    <t>Sale Proceeds</t>
  </si>
  <si>
    <t>Sale Date (T2)</t>
  </si>
  <si>
    <t>Sale Date (T)</t>
  </si>
  <si>
    <t>Demat Chg</t>
  </si>
  <si>
    <t>Dividend</t>
  </si>
  <si>
    <t>Grs P&amp;L</t>
  </si>
  <si>
    <t>Qty &amp; Symbol</t>
  </si>
  <si>
    <t>Net P&amp;L</t>
  </si>
  <si>
    <t>Net P&amp;L in %</t>
  </si>
  <si>
    <t>HoldYr</t>
  </si>
  <si>
    <t>HoldMth</t>
  </si>
  <si>
    <t>HoldDay</t>
  </si>
  <si>
    <t>CAGR</t>
  </si>
  <si>
    <t>A/c</t>
  </si>
  <si>
    <t>**DCMSRIND</t>
  </si>
  <si>
    <t>DCM Shriram Industries</t>
  </si>
  <si>
    <t>Sugar</t>
  </si>
  <si>
    <t>Self</t>
  </si>
  <si>
    <t>*DCM</t>
  </si>
  <si>
    <t>DCM</t>
  </si>
  <si>
    <t>Castings, Forgings &amp; Fastners</t>
  </si>
  <si>
    <t>*DCMSHRIRAM</t>
  </si>
  <si>
    <t>DCM Shriram</t>
  </si>
  <si>
    <t>Diversified</t>
  </si>
  <si>
    <t>Aarti Industries</t>
  </si>
  <si>
    <t>Chemicals</t>
  </si>
  <si>
    <t>MO</t>
  </si>
  <si>
    <t>Momentum</t>
  </si>
  <si>
    <t>AARTIPHARM</t>
  </si>
  <si>
    <t>Aditya Birla Sun Life AMC</t>
  </si>
  <si>
    <t>Finance</t>
  </si>
  <si>
    <t>IPO</t>
  </si>
  <si>
    <t>Ashoka Buildcon</t>
  </si>
  <si>
    <t>Engineering - Turnkey Services</t>
  </si>
  <si>
    <t>Chola</t>
  </si>
  <si>
    <t>Del Buy Call</t>
  </si>
  <si>
    <t>Computer Age Management Services</t>
  </si>
  <si>
    <t>Miscellaneous</t>
  </si>
  <si>
    <t>3750</t>
  </si>
  <si>
    <t>Caplin Point Laboratories</t>
  </si>
  <si>
    <t>Pharmaceuticals</t>
  </si>
  <si>
    <t>957</t>
  </si>
  <si>
    <t>HDFC Securities</t>
  </si>
  <si>
    <t>Buy Call</t>
  </si>
  <si>
    <t>ELIN</t>
  </si>
  <si>
    <t>Gujarat Apollo Industries</t>
  </si>
  <si>
    <t>Engineering</t>
  </si>
  <si>
    <t>280</t>
  </si>
  <si>
    <t>Jubilant Pharmova</t>
  </si>
  <si>
    <t>860</t>
  </si>
  <si>
    <t>LICI</t>
  </si>
  <si>
    <t>Buyback</t>
  </si>
  <si>
    <t>Mining &amp; Mineral products</t>
  </si>
  <si>
    <t>225</t>
  </si>
  <si>
    <t>328</t>
  </si>
  <si>
    <t>ICICI Direct</t>
  </si>
  <si>
    <t>NSL</t>
  </si>
  <si>
    <t>NUVOCO</t>
  </si>
  <si>
    <t>Nuvoco Vistas Corporation</t>
  </si>
  <si>
    <t>Cement</t>
  </si>
  <si>
    <t>827</t>
  </si>
  <si>
    <t>PNB Gilts</t>
  </si>
  <si>
    <t>90</t>
  </si>
  <si>
    <t>Zee</t>
  </si>
  <si>
    <t>Steel Authority of India</t>
  </si>
  <si>
    <t>Steel</t>
  </si>
  <si>
    <t>150</t>
  </si>
  <si>
    <t>Private</t>
  </si>
  <si>
    <t>Till buyback offer @1500 is open</t>
  </si>
  <si>
    <t>&lt;&lt; № of Holdings</t>
  </si>
  <si>
    <t>Investment at Buy Cost &gt;&gt;</t>
  </si>
  <si>
    <t>A2Z Infra Engineering</t>
  </si>
  <si>
    <t>ABB India</t>
  </si>
  <si>
    <t>-</t>
  </si>
  <si>
    <t>Adani Enterprises</t>
  </si>
  <si>
    <t>Adani Ports &amp; Special Economic Zone</t>
  </si>
  <si>
    <t>Infrastructure Developers &amp; Operators</t>
  </si>
  <si>
    <t>Zee Business</t>
  </si>
  <si>
    <t>Aptech</t>
  </si>
  <si>
    <t>250</t>
  </si>
  <si>
    <t>High-Gain</t>
  </si>
  <si>
    <t>Arvind</t>
  </si>
  <si>
    <t>Textiles</t>
  </si>
  <si>
    <t>Short Term Buy</t>
  </si>
  <si>
    <t>Avadh Sugar &amp; Energy</t>
  </si>
  <si>
    <t>ICICI Sec</t>
  </si>
  <si>
    <t>Bajaj Hindusthan Sugar</t>
  </si>
  <si>
    <t>Bajaj Finance</t>
  </si>
  <si>
    <t>Finance &amp; Investments</t>
  </si>
  <si>
    <t>Mrs Bectors Food Specialities</t>
  </si>
  <si>
    <t>Bharat Electronics</t>
  </si>
  <si>
    <t>Bharat Heavy Electricals</t>
  </si>
  <si>
    <t>Biocon</t>
  </si>
  <si>
    <t>Short Term</t>
  </si>
  <si>
    <t>444</t>
  </si>
  <si>
    <t>Conviction Del Idea</t>
  </si>
  <si>
    <t>Bharat Petroleum Corporation</t>
  </si>
  <si>
    <t>Bharat Road Network</t>
  </si>
  <si>
    <t>Construction</t>
  </si>
  <si>
    <t>45</t>
  </si>
  <si>
    <t>Birlasoft</t>
  </si>
  <si>
    <t>Burger King India</t>
  </si>
  <si>
    <t>165-170</t>
  </si>
  <si>
    <t>CAMPUS</t>
  </si>
  <si>
    <t>Canara Bank</t>
  </si>
  <si>
    <t>Bansal &amp; Kunal</t>
  </si>
  <si>
    <t>Carborundum Universal</t>
  </si>
  <si>
    <t>670</t>
  </si>
  <si>
    <t>Central Depository Services (India)</t>
  </si>
  <si>
    <t>CG Power &amp; Industrial Solutions</t>
  </si>
  <si>
    <t>Cholamandalam Investment and Fin Co</t>
  </si>
  <si>
    <t>OPP</t>
  </si>
  <si>
    <t>Cipla</t>
  </si>
  <si>
    <t>CreditAccess Grameen</t>
  </si>
  <si>
    <t>820</t>
  </si>
  <si>
    <t>Crompton Greaves Consumer Electricals</t>
  </si>
  <si>
    <t>Cummins India</t>
  </si>
  <si>
    <t>Cybertech Systems &amp; Software</t>
  </si>
  <si>
    <t>170</t>
  </si>
  <si>
    <t>Cyient</t>
  </si>
  <si>
    <t>865</t>
  </si>
  <si>
    <t>Dabur India</t>
  </si>
  <si>
    <t>DCB Bank</t>
  </si>
  <si>
    <t>Banks - Private Sector</t>
  </si>
  <si>
    <t>130</t>
  </si>
  <si>
    <t xml:space="preserve">IPO </t>
  </si>
  <si>
    <t>Devyani International</t>
  </si>
  <si>
    <t>Quick Service Restaurant</t>
  </si>
  <si>
    <t>Dodla Dairy</t>
  </si>
  <si>
    <t>Dwarikesh Sugar Industries</t>
  </si>
  <si>
    <t>Med Term</t>
  </si>
  <si>
    <t>Easy Trip Planners</t>
  </si>
  <si>
    <t>665</t>
  </si>
  <si>
    <t>Intra Day</t>
  </si>
  <si>
    <t>Elgi Equipments</t>
  </si>
  <si>
    <t>Compressors / Drilling Equipment</t>
  </si>
  <si>
    <t>255</t>
  </si>
  <si>
    <t>Short Term Del Buy call</t>
  </si>
  <si>
    <t>Till buyback offer @190 is open</t>
  </si>
  <si>
    <t>Genus Power Infrastructures</t>
  </si>
  <si>
    <t>Consumer Durables</t>
  </si>
  <si>
    <t>80</t>
  </si>
  <si>
    <t>Up to demerger of chemical and textile businesses</t>
  </si>
  <si>
    <t>GIC Housing Finance</t>
  </si>
  <si>
    <t>160</t>
  </si>
  <si>
    <t>Gland Pharma</t>
  </si>
  <si>
    <t>Engines</t>
  </si>
  <si>
    <t>188</t>
  </si>
  <si>
    <t>Havells India</t>
  </si>
  <si>
    <t>Electric Equipment</t>
  </si>
  <si>
    <t>3 Months</t>
  </si>
  <si>
    <t>HBL Power Systems</t>
  </si>
  <si>
    <t>Dry cells</t>
  </si>
  <si>
    <t>60</t>
  </si>
  <si>
    <t>HDFC Bank</t>
  </si>
  <si>
    <t>Hero Motocorp</t>
  </si>
  <si>
    <t>Hindalco Industries</t>
  </si>
  <si>
    <t>386</t>
  </si>
  <si>
    <t>Hindustan Unilever</t>
  </si>
  <si>
    <t>Del Idea</t>
  </si>
  <si>
    <t>Indiabulls Real Estate</t>
  </si>
  <si>
    <t>Realty</t>
  </si>
  <si>
    <t>200</t>
  </si>
  <si>
    <t>Indiabulls Housing Finance</t>
  </si>
  <si>
    <t>nil</t>
  </si>
  <si>
    <t>Prithvi</t>
  </si>
  <si>
    <t>Banks</t>
  </si>
  <si>
    <t>Vodafone Idea</t>
  </si>
  <si>
    <t>Telecomm</t>
  </si>
  <si>
    <t>Indian Energy Exchange</t>
  </si>
  <si>
    <t>Overnight</t>
  </si>
  <si>
    <t>Indian Hotels Co</t>
  </si>
  <si>
    <t>Hotels &amp; Restaurants</t>
  </si>
  <si>
    <t>AR</t>
  </si>
  <si>
    <t>ML Term Call</t>
  </si>
  <si>
    <t>India Cements</t>
  </si>
  <si>
    <t>Interglobe Aviation</t>
  </si>
  <si>
    <t>Air Transport Service</t>
  </si>
  <si>
    <t>Indigo Paints</t>
  </si>
  <si>
    <t>Indian Sucrose</t>
  </si>
  <si>
    <t>85</t>
  </si>
  <si>
    <t>Infosys Technologies</t>
  </si>
  <si>
    <t>Insecticides India</t>
  </si>
  <si>
    <t>Agro Chemicals</t>
  </si>
  <si>
    <t>850</t>
  </si>
  <si>
    <t>SML Term Call</t>
  </si>
  <si>
    <t>Indian Overseas Bank</t>
  </si>
  <si>
    <t>Indian Oil Corporation</t>
  </si>
  <si>
    <t>120</t>
  </si>
  <si>
    <t>Indian Railway Finance Corp</t>
  </si>
  <si>
    <t>FMCG</t>
  </si>
  <si>
    <t>Technical</t>
  </si>
  <si>
    <t>ITD Cementation India</t>
  </si>
  <si>
    <t>110</t>
  </si>
  <si>
    <t>Jaiprakash Associates</t>
  </si>
  <si>
    <t>20</t>
  </si>
  <si>
    <t>Jindal Stainless</t>
  </si>
  <si>
    <t>KEI Industries</t>
  </si>
  <si>
    <t>KNR Constructions</t>
  </si>
  <si>
    <t>241</t>
  </si>
  <si>
    <t>Banks - Private</t>
  </si>
  <si>
    <t>Kuantum Papers</t>
  </si>
  <si>
    <t>Paper</t>
  </si>
  <si>
    <t>95</t>
  </si>
  <si>
    <t>Short Term Pick</t>
  </si>
  <si>
    <t>L&amp;T Finance Holdings</t>
  </si>
  <si>
    <t>108</t>
  </si>
  <si>
    <t>Lemon Tree Hotels</t>
  </si>
  <si>
    <t>Laxmi Organic Industries</t>
  </si>
  <si>
    <t>800</t>
  </si>
  <si>
    <t>Medium Term Del Buy call</t>
  </si>
  <si>
    <t>Mahindra &amp; Mahindra</t>
  </si>
  <si>
    <t>Automobile</t>
  </si>
  <si>
    <t>Bank of Maharashtra</t>
  </si>
  <si>
    <t>Mawana Sugars</t>
  </si>
  <si>
    <t>55-60</t>
  </si>
  <si>
    <t>Mahanagar Telephone Nigam</t>
  </si>
  <si>
    <t>Muthoot Finance</t>
  </si>
  <si>
    <t>1560</t>
  </si>
  <si>
    <t>Angel</t>
  </si>
  <si>
    <t>Natco Pharma</t>
  </si>
  <si>
    <t>National Aluminium</t>
  </si>
  <si>
    <t>National Aluminium Company</t>
  </si>
  <si>
    <t>Non Ferrous Metals</t>
  </si>
  <si>
    <t>News Article</t>
  </si>
  <si>
    <t>NBCC (India)</t>
  </si>
  <si>
    <t>65</t>
  </si>
  <si>
    <t>180</t>
  </si>
  <si>
    <t>12 months</t>
  </si>
  <si>
    <t>Short Term Del Buy Call</t>
  </si>
  <si>
    <t>300</t>
  </si>
  <si>
    <t>Patel Engineering</t>
  </si>
  <si>
    <t>Power Finance Corporation</t>
  </si>
  <si>
    <t>Punjab National Bank</t>
  </si>
  <si>
    <t>46</t>
  </si>
  <si>
    <t>PNC Infratech</t>
  </si>
  <si>
    <t>335</t>
  </si>
  <si>
    <t>Polyplex Corporation</t>
  </si>
  <si>
    <t>Packaging</t>
  </si>
  <si>
    <t>Ramco Systems</t>
  </si>
  <si>
    <t>585-590</t>
  </si>
  <si>
    <t>RECLTD</t>
  </si>
  <si>
    <t>Rural Electrification Corp</t>
  </si>
  <si>
    <t>Refineries</t>
  </si>
  <si>
    <t>RELIANCEPP</t>
  </si>
  <si>
    <t>Reliance PP</t>
  </si>
  <si>
    <t>Shree Renuka Sugars</t>
  </si>
  <si>
    <t>Reliance Power</t>
  </si>
  <si>
    <t>NA</t>
  </si>
  <si>
    <t>Sansera Engineering</t>
  </si>
  <si>
    <t>Auto Ancillaries</t>
  </si>
  <si>
    <t>SBI Cards &amp; Payment Services</t>
  </si>
  <si>
    <t>Banks - PSU</t>
  </si>
  <si>
    <t>Schneider Electric Infrastructure</t>
  </si>
  <si>
    <t>Shalimar Paints</t>
  </si>
  <si>
    <t>Paints/Varnish</t>
  </si>
  <si>
    <t>Shyam Metalics &amp; Energy</t>
  </si>
  <si>
    <t>Skipper</t>
  </si>
  <si>
    <t xml:space="preserve">SOBHA </t>
  </si>
  <si>
    <t>Sobha Developer</t>
  </si>
  <si>
    <t>Sona BLW Precision Forgings</t>
  </si>
  <si>
    <t>7700</t>
  </si>
  <si>
    <t xml:space="preserve">Technical Pick FTD </t>
  </si>
  <si>
    <t>Sun TV Network</t>
  </si>
  <si>
    <t>Tata Motors</t>
  </si>
  <si>
    <t>Tata Power</t>
  </si>
  <si>
    <t>Tata Power Company</t>
  </si>
  <si>
    <t>133</t>
  </si>
  <si>
    <t>Power Generation &amp; Distribution</t>
  </si>
  <si>
    <t>AB Capital</t>
  </si>
  <si>
    <t>Tatva Chintan Pharma Chem</t>
  </si>
  <si>
    <t>2745</t>
  </si>
  <si>
    <t>Tata Consultancy Services</t>
  </si>
  <si>
    <t>IT - Software</t>
  </si>
  <si>
    <t>Tiger Logistics (India)</t>
  </si>
  <si>
    <t>Logistics</t>
  </si>
  <si>
    <t>Trent</t>
  </si>
  <si>
    <t>Trident</t>
  </si>
  <si>
    <t>30</t>
  </si>
  <si>
    <t>Mid Term Call</t>
  </si>
  <si>
    <t>Triveni Turbine</t>
  </si>
  <si>
    <t>124</t>
  </si>
  <si>
    <t>Voltamp Transformers</t>
  </si>
  <si>
    <t>Short</t>
  </si>
  <si>
    <t>Vardhman Special Steels</t>
  </si>
  <si>
    <t>Welspun India</t>
  </si>
  <si>
    <t>99</t>
  </si>
  <si>
    <t>Yes Bank</t>
  </si>
  <si>
    <t>Zee Entertainment Enterprises</t>
  </si>
  <si>
    <t>Zen Technologies</t>
  </si>
  <si>
    <t>Dividend Net of Chrgs</t>
  </si>
  <si>
    <t>Demat &amp; other Chrgs</t>
  </si>
  <si>
    <t>Last Posi Sell Date</t>
  </si>
  <si>
    <t>Last Posi Sell Rate</t>
  </si>
  <si>
    <t>PosiCount</t>
  </si>
  <si>
    <t>PosiP&amp;L</t>
  </si>
  <si>
    <t>Last Posi Qty</t>
  </si>
  <si>
    <t>Last Posi P&amp;L</t>
  </si>
  <si>
    <t>IntraCount</t>
  </si>
  <si>
    <t>IntraP&amp;L</t>
  </si>
  <si>
    <t>F&amp;OCount</t>
  </si>
  <si>
    <t>F&amp;O P&amp;L</t>
  </si>
  <si>
    <t>B/S Date</t>
  </si>
  <si>
    <t>B/S Value</t>
  </si>
  <si>
    <t>Profit</t>
  </si>
  <si>
    <t>Simple Return %</t>
  </si>
  <si>
    <t>CAGR %</t>
  </si>
  <si>
    <t>Profit/Difference/Avg Hold Days</t>
  </si>
  <si>
    <t>Sell/Buy/Net Values/CAGR</t>
  </si>
  <si>
    <t>IOB/MAHABANK Loss</t>
  </si>
  <si>
    <t>Day</t>
  </si>
  <si>
    <t>Profit On Buy/Sell</t>
  </si>
  <si>
    <t>Pledge Charge</t>
  </si>
  <si>
    <t>PeakMargin Penalty</t>
  </si>
  <si>
    <t>Exch Days</t>
  </si>
  <si>
    <t>Avg/Day</t>
  </si>
  <si>
    <t>Mth Amt</t>
  </si>
  <si>
    <t>Wrkd Days</t>
  </si>
  <si>
    <t>Nil Earning Days</t>
  </si>
  <si>
    <t>Mthly Profit Rank</t>
  </si>
  <si>
    <t>Daily Avg Rank</t>
  </si>
  <si>
    <t>Mth Days</t>
  </si>
  <si>
    <t>Sr #</t>
  </si>
  <si>
    <t>Profit reinvested net of losses</t>
  </si>
  <si>
    <t>Cost of 2900 SETFGOLD (profit on sell considered above in profit reinvested)</t>
  </si>
  <si>
    <t>Dividend Invested</t>
  </si>
  <si>
    <t>Sunita's A/c net</t>
  </si>
  <si>
    <t>Invested through spg A/c</t>
  </si>
  <si>
    <t>Total of above &gt;&gt;&gt;&gt;&gt;</t>
  </si>
  <si>
    <t>Cost of DCMSHRIRAM shares</t>
  </si>
  <si>
    <t>Uninvested Balance in Zerodha</t>
  </si>
  <si>
    <t>Charges etc</t>
  </si>
  <si>
    <t>Round Off</t>
  </si>
  <si>
    <t>Difference After / Before Demat Chg Adjustment</t>
  </si>
  <si>
    <t>Demat Chrg to be settled on completion of Buy</t>
  </si>
  <si>
    <t>Debit</t>
  </si>
  <si>
    <t>Credit</t>
  </si>
  <si>
    <t>spg</t>
  </si>
  <si>
    <t>IRFC 575 Sell Value</t>
  </si>
  <si>
    <t>DCM Dividend</t>
  </si>
  <si>
    <t>Contra</t>
  </si>
  <si>
    <t>sunita</t>
  </si>
  <si>
    <t>Invested Funds Break-up</t>
  </si>
  <si>
    <t>Industrial Development &amp; Finance Corporation Ltd</t>
  </si>
  <si>
    <t>LIC AJMER DO</t>
  </si>
  <si>
    <t>Bajaj Finance FD</t>
  </si>
  <si>
    <t>SBI Life</t>
  </si>
  <si>
    <t>SBI FD</t>
  </si>
  <si>
    <t>Out of Expenses</t>
  </si>
  <si>
    <t>Kshitiz</t>
  </si>
  <si>
    <t>MF</t>
  </si>
  <si>
    <t>Stocks</t>
  </si>
  <si>
    <t>Holidays for the calendar year 2023 - Equities</t>
  </si>
  <si>
    <t>Holidays</t>
  </si>
  <si>
    <t>Sr.No</t>
  </si>
  <si>
    <t>Republic Day</t>
  </si>
  <si>
    <t>Holi</t>
  </si>
  <si>
    <t>Ram Navami</t>
  </si>
  <si>
    <t>Mahavir Jayanti</t>
  </si>
  <si>
    <t>Good Friday</t>
  </si>
  <si>
    <t>Ambedkar Jayanti</t>
  </si>
  <si>
    <t>Maharashtra Day</t>
  </si>
  <si>
    <t>Bakri Id</t>
  </si>
  <si>
    <t>Independence Day</t>
  </si>
  <si>
    <t>Ganesh Chaturthi</t>
  </si>
  <si>
    <t>Gandhi Jayanti</t>
  </si>
  <si>
    <t>Dussehra</t>
  </si>
  <si>
    <t>Balipratipada</t>
  </si>
  <si>
    <t>Gurunanak Jayanti</t>
  </si>
  <si>
    <t>Christmas</t>
  </si>
  <si>
    <t>Trading Holidays on Saturday/Sunday</t>
  </si>
  <si>
    <t>Mahashivratri</t>
  </si>
  <si>
    <t>Ramzan Id</t>
  </si>
  <si>
    <t>Muharram</t>
  </si>
  <si>
    <t>Laxmi-Pujan</t>
  </si>
  <si>
    <t>Holidays for the calendar year 2022 - Equities</t>
  </si>
  <si>
    <t>Mahavir /Ambedkar Jayanti</t>
  </si>
  <si>
    <t>Ramzan ID</t>
  </si>
  <si>
    <t>Moharram</t>
  </si>
  <si>
    <t>Holidays for the calendar year 2021 - Equities</t>
  </si>
  <si>
    <t>Dr. Baba Saheb Ambedkar Jayanti</t>
  </si>
  <si>
    <t>Id-ul-Fitr (Ramazan Id)</t>
  </si>
  <si>
    <t>Diwali/Laxmi Puja</t>
  </si>
  <si>
    <t>Diwali Balipratipada</t>
  </si>
  <si>
    <t>Mahatma Gandhi Jayanti</t>
  </si>
  <si>
    <t xml:space="preserve">Scrip: </t>
  </si>
  <si>
    <t>banknifty</t>
  </si>
  <si>
    <t>b</t>
  </si>
  <si>
    <t>c</t>
  </si>
  <si>
    <t>d</t>
  </si>
  <si>
    <t>e</t>
  </si>
  <si>
    <t>f</t>
  </si>
  <si>
    <t>Buy (NSE)</t>
  </si>
  <si>
    <t>Sell (NSE)</t>
  </si>
  <si>
    <t>Brokerage</t>
  </si>
  <si>
    <t>FNO Brokerage</t>
  </si>
  <si>
    <t>SEBI</t>
  </si>
  <si>
    <t>nifty</t>
  </si>
  <si>
    <t>H</t>
  </si>
  <si>
    <t>i</t>
  </si>
  <si>
    <t>j</t>
  </si>
  <si>
    <t>k</t>
  </si>
  <si>
    <t>l</t>
  </si>
  <si>
    <t>Buy (NSE)100</t>
  </si>
  <si>
    <t>FNO</t>
  </si>
  <si>
    <t>Total Turnover</t>
  </si>
  <si>
    <t>Intraday Gross P&amp;L</t>
  </si>
  <si>
    <t>Intraday Net P&amp;L</t>
  </si>
  <si>
    <r>
      <rPr>
        <sz val="8"/>
        <color theme="1"/>
        <rFont val="Verdana"/>
        <family val="2"/>
      </rPr>
      <t xml:space="preserve">Brokerage on each lot of </t>
    </r>
    <r>
      <rPr>
        <sz val="8"/>
        <color rgb="FF0000FF"/>
        <rFont val="Verdana"/>
        <family val="2"/>
      </rPr>
      <t>Buy</t>
    </r>
    <r>
      <rPr>
        <sz val="8"/>
        <color theme="1"/>
        <rFont val="Verdana"/>
        <family val="2"/>
      </rPr>
      <t xml:space="preserve"> &amp; </t>
    </r>
    <r>
      <rPr>
        <sz val="8"/>
        <color rgb="FFFF0000"/>
        <rFont val="Verdana"/>
        <family val="2"/>
      </rPr>
      <t>Sell</t>
    </r>
  </si>
  <si>
    <r>
      <rPr>
        <sz val="8"/>
        <color theme="1"/>
        <rFont val="Verdana"/>
        <family val="2"/>
      </rPr>
      <t xml:space="preserve">STT on </t>
    </r>
    <r>
      <rPr>
        <sz val="8"/>
        <color rgb="FFFF0000"/>
        <rFont val="Verdana"/>
        <family val="2"/>
      </rPr>
      <t>Sell</t>
    </r>
    <r>
      <rPr>
        <sz val="8"/>
        <color theme="1"/>
        <rFont val="Verdana"/>
        <family val="2"/>
      </rPr>
      <t xml:space="preserve"> only</t>
    </r>
  </si>
  <si>
    <r>
      <rPr>
        <sz val="8"/>
        <color theme="1"/>
        <rFont val="Verdana"/>
        <family val="2"/>
      </rPr>
      <t xml:space="preserve">STT on </t>
    </r>
    <r>
      <rPr>
        <sz val="8"/>
        <color rgb="FFFF0000"/>
        <rFont val="Verdana"/>
        <family val="2"/>
      </rPr>
      <t>Sell</t>
    </r>
    <r>
      <rPr>
        <sz val="8"/>
        <color theme="1"/>
        <rFont val="Verdana"/>
        <family val="2"/>
      </rPr>
      <t xml:space="preserve"> only (Options)</t>
    </r>
  </si>
  <si>
    <r>
      <rPr>
        <sz val="8"/>
        <color theme="1"/>
        <rFont val="Verdana"/>
        <family val="2"/>
      </rPr>
      <t xml:space="preserve">ExchTranChg on </t>
    </r>
    <r>
      <rPr>
        <sz val="8"/>
        <color rgb="FF0000FF"/>
        <rFont val="Verdana"/>
        <family val="2"/>
      </rPr>
      <t>Buy</t>
    </r>
    <r>
      <rPr>
        <sz val="8"/>
        <color theme="1"/>
        <rFont val="Verdana"/>
        <family val="2"/>
      </rPr>
      <t xml:space="preserve"> &amp; </t>
    </r>
    <r>
      <rPr>
        <sz val="8"/>
        <color rgb="FFFF0000"/>
        <rFont val="Verdana"/>
        <family val="2"/>
      </rPr>
      <t>Sell</t>
    </r>
  </si>
  <si>
    <r>
      <rPr>
        <sz val="8"/>
        <color theme="1"/>
        <rFont val="Verdana"/>
        <family val="2"/>
      </rPr>
      <t xml:space="preserve">ExchTranChg on </t>
    </r>
    <r>
      <rPr>
        <sz val="8"/>
        <color rgb="FF0000FF"/>
        <rFont val="Verdana"/>
        <family val="2"/>
      </rPr>
      <t>Buy</t>
    </r>
    <r>
      <rPr>
        <sz val="8"/>
        <color theme="1"/>
        <rFont val="Verdana"/>
        <family val="2"/>
      </rPr>
      <t xml:space="preserve"> &amp; </t>
    </r>
    <r>
      <rPr>
        <sz val="8"/>
        <color rgb="FFFF0000"/>
        <rFont val="Verdana"/>
        <family val="2"/>
      </rPr>
      <t>Sell (Options)</t>
    </r>
  </si>
  <si>
    <r>
      <rPr>
        <sz val="8"/>
        <color theme="1"/>
        <rFont val="Verdana"/>
        <family val="2"/>
      </rPr>
      <t xml:space="preserve">Stamp Duty on </t>
    </r>
    <r>
      <rPr>
        <sz val="8"/>
        <color rgb="FF0000FF"/>
        <rFont val="Verdana"/>
        <family val="2"/>
      </rPr>
      <t>Buy</t>
    </r>
    <r>
      <rPr>
        <sz val="8"/>
        <color theme="1"/>
        <rFont val="Verdana"/>
        <family val="2"/>
      </rPr>
      <t xml:space="preserve"> only</t>
    </r>
  </si>
  <si>
    <r>
      <rPr>
        <sz val="8"/>
        <color theme="1"/>
        <rFont val="Verdana"/>
        <family val="2"/>
      </rPr>
      <t xml:space="preserve">SEBI Trnovr Fee on </t>
    </r>
    <r>
      <rPr>
        <sz val="8"/>
        <color rgb="FF0000FF"/>
        <rFont val="Verdana"/>
        <family val="2"/>
      </rPr>
      <t>Buy</t>
    </r>
    <r>
      <rPr>
        <sz val="8"/>
        <color theme="1"/>
        <rFont val="Verdana"/>
        <family val="2"/>
      </rPr>
      <t xml:space="preserve"> &amp; </t>
    </r>
    <r>
      <rPr>
        <sz val="8"/>
        <color rgb="FFFF0000"/>
        <rFont val="Verdana"/>
        <family val="2"/>
      </rPr>
      <t>Sell</t>
    </r>
  </si>
  <si>
    <t>GST on Brokerage &amp; ETC</t>
  </si>
  <si>
    <t>Sold Holding</t>
  </si>
  <si>
    <t>Avg Rate</t>
  </si>
  <si>
    <t>Delivery</t>
  </si>
  <si>
    <t>Total STT</t>
  </si>
  <si>
    <t>Bought for Holding</t>
  </si>
  <si>
    <t>High/Tgt</t>
  </si>
  <si>
    <t>Low/SL</t>
  </si>
  <si>
    <t>Reco/Open</t>
  </si>
  <si>
    <t>Open/High</t>
  </si>
  <si>
    <t>Rating Overall</t>
  </si>
  <si>
    <t>Low Below SL%</t>
  </si>
  <si>
    <t>Margin % from Reco Rate</t>
  </si>
  <si>
    <t>Stop Loss % from Reco Rate</t>
  </si>
  <si>
    <t>Margin if Tgt Hit</t>
  </si>
  <si>
    <t>Loss if SL Triggered</t>
  </si>
  <si>
    <t>Reco Date</t>
  </si>
  <si>
    <t>Yes' if SL Hit prior to Tgt Hit</t>
  </si>
  <si>
    <t>Option Name</t>
  </si>
  <si>
    <t>Reco Rate</t>
  </si>
  <si>
    <t>SL</t>
  </si>
  <si>
    <t>Open</t>
  </si>
  <si>
    <t>High</t>
  </si>
  <si>
    <t>Low</t>
  </si>
  <si>
    <t>Reco/Open %</t>
  </si>
  <si>
    <t>Open/High %</t>
  </si>
  <si>
    <t>High/Target %</t>
  </si>
  <si>
    <t>Low/SL %</t>
  </si>
  <si>
    <t>2nd Day High</t>
  </si>
  <si>
    <t>3rd Day High</t>
  </si>
  <si>
    <t>4th Day High</t>
  </si>
  <si>
    <t>Ashish</t>
  </si>
  <si>
    <t>SRTRANSFIN</t>
  </si>
  <si>
    <t>OCT</t>
  </si>
  <si>
    <t>PE</t>
  </si>
  <si>
    <t>@53</t>
  </si>
  <si>
    <t>T-63</t>
  </si>
  <si>
    <t>SL-49</t>
  </si>
  <si>
    <t>O-53</t>
  </si>
  <si>
    <t>H-71</t>
  </si>
  <si>
    <t>L-49</t>
  </si>
  <si>
    <t>Kushal</t>
  </si>
  <si>
    <t>CE</t>
  </si>
  <si>
    <t>@94</t>
  </si>
  <si>
    <t>T-110</t>
  </si>
  <si>
    <t>SL-85</t>
  </si>
  <si>
    <t>O-109</t>
  </si>
  <si>
    <t>H-109</t>
  </si>
  <si>
    <t>L-65</t>
  </si>
  <si>
    <t>@3.05</t>
  </si>
  <si>
    <t>T-3.70</t>
  </si>
  <si>
    <t>SL-2.80</t>
  </si>
  <si>
    <t>O-4.25</t>
  </si>
  <si>
    <t>H-4.35</t>
  </si>
  <si>
    <t>L-3.50</t>
  </si>
  <si>
    <t>@102.40</t>
  </si>
  <si>
    <t>T-115</t>
  </si>
  <si>
    <t>SL-95</t>
  </si>
  <si>
    <t>O-118.95</t>
  </si>
  <si>
    <t>H-161.40</t>
  </si>
  <si>
    <t>L-115.55</t>
  </si>
  <si>
    <t>@48</t>
  </si>
  <si>
    <t>T-60</t>
  </si>
  <si>
    <t>SL-40</t>
  </si>
  <si>
    <t>O-56.15</t>
  </si>
  <si>
    <t>H-62.50</t>
  </si>
  <si>
    <t>L-27.90</t>
  </si>
  <si>
    <t>Varun</t>
  </si>
  <si>
    <t>WIPRO</t>
  </si>
  <si>
    <t>@7.60</t>
  </si>
  <si>
    <t>T-10</t>
  </si>
  <si>
    <t>SL-6</t>
  </si>
  <si>
    <t>O-7.50</t>
  </si>
  <si>
    <t>H-11.80</t>
  </si>
  <si>
    <t>L-5.80</t>
  </si>
  <si>
    <t>@57</t>
  </si>
  <si>
    <t>T-70</t>
  </si>
  <si>
    <t>SL-50</t>
  </si>
  <si>
    <t>O-70</t>
  </si>
  <si>
    <t>H- 78.25</t>
  </si>
  <si>
    <t>L-63.05</t>
  </si>
  <si>
    <t>@9.20</t>
  </si>
  <si>
    <t>T-12</t>
  </si>
  <si>
    <t>SL-8</t>
  </si>
  <si>
    <t>O-9.90</t>
  </si>
  <si>
    <t>H-13.20</t>
  </si>
  <si>
    <t>L-9.20</t>
  </si>
  <si>
    <t>BERGEPAINT</t>
  </si>
  <si>
    <t>@12</t>
  </si>
  <si>
    <t>T-22</t>
  </si>
  <si>
    <t>O-13.55</t>
  </si>
  <si>
    <t>H-15.65</t>
  </si>
  <si>
    <t>L-9.80</t>
  </si>
  <si>
    <t>@61</t>
  </si>
  <si>
    <t>T-80</t>
  </si>
  <si>
    <t>SL-55</t>
  </si>
  <si>
    <t>O-66.05</t>
  </si>
  <si>
    <t>H-71.80</t>
  </si>
  <si>
    <t>L-50</t>
  </si>
  <si>
    <t>NOV</t>
  </si>
  <si>
    <t>@5.20</t>
  </si>
  <si>
    <t>T-23</t>
  </si>
  <si>
    <t>SL-10</t>
  </si>
  <si>
    <t>O-5.60</t>
  </si>
  <si>
    <t>H-6.45</t>
  </si>
  <si>
    <t>L-5.00</t>
  </si>
  <si>
    <t>@3.30</t>
  </si>
  <si>
    <t>T-5</t>
  </si>
  <si>
    <t>SL-3</t>
  </si>
  <si>
    <t>O-4.60</t>
  </si>
  <si>
    <t>H-3.95</t>
  </si>
  <si>
    <t>L-4.60</t>
  </si>
  <si>
    <t>@30</t>
  </si>
  <si>
    <t>T-42</t>
  </si>
  <si>
    <t>SL-24</t>
  </si>
  <si>
    <t>O-30.00</t>
  </si>
  <si>
    <t>H-31.80</t>
  </si>
  <si>
    <t>L-17.65</t>
  </si>
  <si>
    <t>@53.60</t>
  </si>
  <si>
    <t>SL-48</t>
  </si>
  <si>
    <t>O-68.95</t>
  </si>
  <si>
    <t>H-83</t>
  </si>
  <si>
    <t>L-64.05</t>
  </si>
  <si>
    <t>@81.90</t>
  </si>
  <si>
    <t>T-96</t>
  </si>
  <si>
    <t>SL-60</t>
  </si>
  <si>
    <t>O-90.00</t>
  </si>
  <si>
    <t>H-104.95</t>
  </si>
  <si>
    <t>L-81.00</t>
  </si>
  <si>
    <t>@4.00</t>
  </si>
  <si>
    <t>T-5.00</t>
  </si>
  <si>
    <t>SL-3.50</t>
  </si>
  <si>
    <t>O-5.05</t>
  </si>
  <si>
    <t>H-6.00</t>
  </si>
  <si>
    <t>L-3.60</t>
  </si>
  <si>
    <t>SUNPHARMA</t>
  </si>
  <si>
    <t>@28.90</t>
  </si>
  <si>
    <t>T-41</t>
  </si>
  <si>
    <t>SL-23.65</t>
  </si>
  <si>
    <t>O-30.90</t>
  </si>
  <si>
    <t>H-46.30</t>
  </si>
  <si>
    <t>L-28.95</t>
  </si>
  <si>
    <t>@3.15</t>
  </si>
  <si>
    <t>T-4.50</t>
  </si>
  <si>
    <t>SL-3.00</t>
  </si>
  <si>
    <t>O-4.05</t>
  </si>
  <si>
    <t>H-4.25</t>
  </si>
  <si>
    <t>L-2.60</t>
  </si>
  <si>
    <t>@3.55</t>
  </si>
  <si>
    <t>SL-2.95</t>
  </si>
  <si>
    <t>O-3.55</t>
  </si>
  <si>
    <t>H-3.90</t>
  </si>
  <si>
    <t>L-2.50</t>
  </si>
  <si>
    <t>@27.50</t>
  </si>
  <si>
    <t>T-37.50</t>
  </si>
  <si>
    <t>SL-21</t>
  </si>
  <si>
    <t>O-28.45</t>
  </si>
  <si>
    <t>H-55.80</t>
  </si>
  <si>
    <t>L-27.55</t>
  </si>
  <si>
    <t>BATAINDIA</t>
  </si>
  <si>
    <t>@57.35</t>
  </si>
  <si>
    <t>T-67</t>
  </si>
  <si>
    <t>O-59.10</t>
  </si>
  <si>
    <t>H-68.55</t>
  </si>
  <si>
    <t>L-49.60</t>
  </si>
  <si>
    <t>ICICI</t>
  </si>
  <si>
    <t>@64</t>
  </si>
  <si>
    <t>T-150</t>
  </si>
  <si>
    <t>SL-18.80</t>
  </si>
  <si>
    <t>O-72.60</t>
  </si>
  <si>
    <t>H-215</t>
  </si>
  <si>
    <t>L-36</t>
  </si>
  <si>
    <t>VEDL</t>
  </si>
  <si>
    <t>@11.10</t>
  </si>
  <si>
    <t>T-15.00</t>
  </si>
  <si>
    <t>SL-10.00</t>
  </si>
  <si>
    <t>O-13</t>
  </si>
  <si>
    <t>H-14.45</t>
  </si>
  <si>
    <t>L-7.90</t>
  </si>
  <si>
    <t>@4.65</t>
  </si>
  <si>
    <t>T-6.00</t>
  </si>
  <si>
    <t>SL-3.30</t>
  </si>
  <si>
    <t>O-4.95</t>
  </si>
  <si>
    <t>H-5.50</t>
  </si>
  <si>
    <t>L-3.70</t>
  </si>
  <si>
    <t>@5.15</t>
  </si>
  <si>
    <t>T-7.00</t>
  </si>
  <si>
    <t>SL-4.50</t>
  </si>
  <si>
    <t>O-6.65</t>
  </si>
  <si>
    <t>H-11.00</t>
  </si>
  <si>
    <t>L-5.90</t>
  </si>
  <si>
    <t>@15.00</t>
  </si>
  <si>
    <t>T-25.00</t>
  </si>
  <si>
    <t>O-15.55</t>
  </si>
  <si>
    <t>H-20.35</t>
  </si>
  <si>
    <t>L-12.35</t>
  </si>
  <si>
    <t>@22.10</t>
  </si>
  <si>
    <t>T-30</t>
  </si>
  <si>
    <t>SL-20</t>
  </si>
  <si>
    <t>O-25.00</t>
  </si>
  <si>
    <t>H-29.15</t>
  </si>
  <si>
    <t>L-17.05</t>
  </si>
  <si>
    <t>@2.80</t>
  </si>
  <si>
    <t>T-5.90</t>
  </si>
  <si>
    <t>SL-1.45</t>
  </si>
  <si>
    <t>O-2.75</t>
  </si>
  <si>
    <t>H-3.70</t>
  </si>
  <si>
    <t>L-2.25</t>
  </si>
  <si>
    <t>@1.30</t>
  </si>
  <si>
    <t>T-3.00</t>
  </si>
  <si>
    <t>SL-0.80</t>
  </si>
  <si>
    <t>O-1.15</t>
  </si>
  <si>
    <t>H-1.70</t>
  </si>
  <si>
    <t>L-1.10</t>
  </si>
  <si>
    <t>LALPATHLAB</t>
  </si>
  <si>
    <t>@70.20</t>
  </si>
  <si>
    <t>T-90</t>
  </si>
  <si>
    <t>O-71</t>
  </si>
  <si>
    <t>H-80</t>
  </si>
  <si>
    <t>L-9.50</t>
  </si>
  <si>
    <t>@62.00</t>
  </si>
  <si>
    <t>T-75</t>
  </si>
  <si>
    <t>O-60.80</t>
  </si>
  <si>
    <t>H-81.00</t>
  </si>
  <si>
    <t>L-60.80</t>
  </si>
  <si>
    <t>@1.25</t>
  </si>
  <si>
    <t>T-2.90</t>
  </si>
  <si>
    <t>SL-0.65</t>
  </si>
  <si>
    <t>O-1.00</t>
  </si>
  <si>
    <t>H-3.15</t>
  </si>
  <si>
    <t>L-0.95</t>
  </si>
  <si>
    <t>@19.00</t>
  </si>
  <si>
    <t>SL-15.00</t>
  </si>
  <si>
    <t>O-20.10</t>
  </si>
  <si>
    <t>H-28.00</t>
  </si>
  <si>
    <t>L-18.00</t>
  </si>
  <si>
    <t>@72.00</t>
  </si>
  <si>
    <t>T-85.00</t>
  </si>
  <si>
    <t>SL-65.00</t>
  </si>
  <si>
    <t>O-104.75</t>
  </si>
  <si>
    <t>H-104.75</t>
  </si>
  <si>
    <t>L-47.00</t>
  </si>
  <si>
    <t>@7.00</t>
  </si>
  <si>
    <t>T-10.00</t>
  </si>
  <si>
    <t>SL-6.00</t>
  </si>
  <si>
    <t>O-8.50</t>
  </si>
  <si>
    <t>H-19.35</t>
  </si>
  <si>
    <t>L-8.20</t>
  </si>
  <si>
    <t>LTI</t>
  </si>
  <si>
    <t>@101.25</t>
  </si>
  <si>
    <t>T-130.00</t>
  </si>
  <si>
    <t>SL-88.00</t>
  </si>
  <si>
    <t>O-131.00</t>
  </si>
  <si>
    <t>H-247.60</t>
  </si>
  <si>
    <t>L-128.50</t>
  </si>
  <si>
    <t>@4.20</t>
  </si>
  <si>
    <t>T-7.80</t>
  </si>
  <si>
    <t>SL-2.20</t>
  </si>
  <si>
    <t>O-2.55</t>
  </si>
  <si>
    <t>H-4.95</t>
  </si>
  <si>
    <t>L-2.55</t>
  </si>
  <si>
    <t>@3.10</t>
  </si>
  <si>
    <t>T-3.80</t>
  </si>
  <si>
    <t>SL-2.40</t>
  </si>
  <si>
    <t>O-4.30</t>
  </si>
  <si>
    <t>H-5.20</t>
  </si>
  <si>
    <t>L-2.35</t>
  </si>
  <si>
    <t>GLENMARK</t>
  </si>
  <si>
    <t>@12.40</t>
  </si>
  <si>
    <t>T-16.00</t>
  </si>
  <si>
    <t>O-16.00</t>
  </si>
  <si>
    <t>H-26.20</t>
  </si>
  <si>
    <t>L-15.80</t>
  </si>
  <si>
    <t>HINDCOPPER</t>
  </si>
  <si>
    <t>@3.80</t>
  </si>
  <si>
    <t>T-7.50</t>
  </si>
  <si>
    <t>SL-2.45</t>
  </si>
  <si>
    <t>O-3.70</t>
  </si>
  <si>
    <t>H-5.00</t>
  </si>
  <si>
    <t>L-4.00</t>
  </si>
  <si>
    <t>@7.40</t>
  </si>
  <si>
    <t>O-8.05</t>
  </si>
  <si>
    <t>H-9.85</t>
  </si>
  <si>
    <t>L-7.40</t>
  </si>
  <si>
    <t>Yes</t>
  </si>
  <si>
    <t>LUPIN</t>
  </si>
  <si>
    <t>@15.70</t>
  </si>
  <si>
    <t>T-21.75</t>
  </si>
  <si>
    <t>SL-14.00</t>
  </si>
  <si>
    <t>O-17.00</t>
  </si>
  <si>
    <t>H-17.90</t>
  </si>
  <si>
    <t>L-10.65</t>
  </si>
  <si>
    <t>@8.00</t>
  </si>
  <si>
    <t>T-17.90</t>
  </si>
  <si>
    <t>SL-4.40</t>
  </si>
  <si>
    <t>@11.15</t>
  </si>
  <si>
    <t>SL-9.00</t>
  </si>
  <si>
    <t>O-11.40</t>
  </si>
  <si>
    <t>H-14.25</t>
  </si>
  <si>
    <t>L-7.00</t>
  </si>
  <si>
    <t>@1.50</t>
  </si>
  <si>
    <t>T-2.30</t>
  </si>
  <si>
    <t>SL-1.30</t>
  </si>
  <si>
    <t>O-1.65</t>
  </si>
  <si>
    <t>H-1.80</t>
  </si>
  <si>
    <t>CHAMBLFERT</t>
  </si>
  <si>
    <t>@6.50</t>
  </si>
  <si>
    <t>T-13.90</t>
  </si>
  <si>
    <t>SL-3.80</t>
  </si>
  <si>
    <t>O-8.00</t>
  </si>
  <si>
    <t>H-9.50</t>
  </si>
  <si>
    <t>L-8.00</t>
  </si>
  <si>
    <t>@2.20</t>
  </si>
  <si>
    <t>T-3.25</t>
  </si>
  <si>
    <t>SL-1.80</t>
  </si>
  <si>
    <t>H-2.80</t>
  </si>
  <si>
    <t>L-1.35</t>
  </si>
  <si>
    <t>@6.30</t>
  </si>
  <si>
    <t>T-9.00</t>
  </si>
  <si>
    <t>SL-5.50</t>
  </si>
  <si>
    <t>O-10.90</t>
  </si>
  <si>
    <t>H-17.20</t>
  </si>
  <si>
    <t>L-6.90</t>
  </si>
  <si>
    <t>@31.40</t>
  </si>
  <si>
    <t>T-45.00</t>
  </si>
  <si>
    <t>SL-30.00</t>
  </si>
  <si>
    <t>O-40.95</t>
  </si>
  <si>
    <t>H-57.80</t>
  </si>
  <si>
    <t>L-27.35</t>
  </si>
  <si>
    <t>@0.95</t>
  </si>
  <si>
    <t>T-1.60</t>
  </si>
  <si>
    <t>O-0.95</t>
  </si>
  <si>
    <t>H-1.25</t>
  </si>
  <si>
    <t>L-0.90</t>
  </si>
  <si>
    <t>@6.00</t>
  </si>
  <si>
    <t>T-13.50</t>
  </si>
  <si>
    <t>O-6.00</t>
  </si>
  <si>
    <t>H-6.90</t>
  </si>
  <si>
    <t>L-4.20</t>
  </si>
  <si>
    <t>Arman</t>
  </si>
  <si>
    <t>HCLTECH</t>
  </si>
  <si>
    <t>@13.00</t>
  </si>
  <si>
    <t>SL-8.00</t>
  </si>
  <si>
    <t>O-23.15</t>
  </si>
  <si>
    <t>H-23.15</t>
  </si>
  <si>
    <t>L-5.25</t>
  </si>
  <si>
    <t>@17.75</t>
  </si>
  <si>
    <t>T-27.00</t>
  </si>
  <si>
    <t>O-21.00</t>
  </si>
  <si>
    <t>H-40.00</t>
  </si>
  <si>
    <t>L-20.15</t>
  </si>
  <si>
    <t>@13.90</t>
  </si>
  <si>
    <t>O-3.05</t>
  </si>
  <si>
    <t>H-3.05</t>
  </si>
  <si>
    <t>DEC</t>
  </si>
  <si>
    <t>@60.80</t>
  </si>
  <si>
    <t>T-70.00</t>
  </si>
  <si>
    <t>SL-50.00</t>
  </si>
  <si>
    <t>O-61</t>
  </si>
  <si>
    <t>H-76.35</t>
  </si>
  <si>
    <t>L-43</t>
  </si>
  <si>
    <t>COFORGE</t>
  </si>
  <si>
    <t>@150</t>
  </si>
  <si>
    <t>T-180</t>
  </si>
  <si>
    <t>SL-13</t>
  </si>
  <si>
    <t>O-152</t>
  </si>
  <si>
    <t>H-204.05</t>
  </si>
  <si>
    <t>L-138</t>
  </si>
  <si>
    <t>LTTS</t>
  </si>
  <si>
    <t>@90.80</t>
  </si>
  <si>
    <t>T-120.00</t>
  </si>
  <si>
    <t>SL-80</t>
  </si>
  <si>
    <t>O-98</t>
  </si>
  <si>
    <t>H-105</t>
  </si>
  <si>
    <t>L-84.50</t>
  </si>
  <si>
    <t>@25.90</t>
  </si>
  <si>
    <t>T-30.00</t>
  </si>
  <si>
    <t>SL-18.00</t>
  </si>
  <si>
    <t>O-26.00</t>
  </si>
  <si>
    <t>H-29.80</t>
  </si>
  <si>
    <t>L-25.00</t>
  </si>
  <si>
    <t>BALRAMCHIN</t>
  </si>
  <si>
    <t>@19.30</t>
  </si>
  <si>
    <t>O-21.60</t>
  </si>
  <si>
    <t>H-30.60</t>
  </si>
  <si>
    <t>L-21.60</t>
  </si>
  <si>
    <t>@48.00</t>
  </si>
  <si>
    <t>SL-35.00</t>
  </si>
  <si>
    <t>O-41.95</t>
  </si>
  <si>
    <t>H-60.00</t>
  </si>
  <si>
    <t>L-40.00</t>
  </si>
  <si>
    <t>BRITANNIA</t>
  </si>
  <si>
    <t>@108.00</t>
  </si>
  <si>
    <t>T-132.00</t>
  </si>
  <si>
    <t>SL-98.00</t>
  </si>
  <si>
    <t>O-110.05</t>
  </si>
  <si>
    <t>H-114.00</t>
  </si>
  <si>
    <t>L-90.30</t>
  </si>
  <si>
    <t>@40.45</t>
  </si>
  <si>
    <t>T-48.00</t>
  </si>
  <si>
    <t>O-44.40</t>
  </si>
  <si>
    <t>H-47.90</t>
  </si>
  <si>
    <t>L-35.35</t>
  </si>
  <si>
    <t>@16.00</t>
  </si>
  <si>
    <t>SL-11.00</t>
  </si>
  <si>
    <t>O-14.85</t>
  </si>
  <si>
    <t>H-19.50</t>
  </si>
  <si>
    <t>L-14.85</t>
  </si>
  <si>
    <t>EXIDEIND</t>
  </si>
  <si>
    <t>@7.70</t>
  </si>
  <si>
    <t>SL-6.50</t>
  </si>
  <si>
    <t>O-7.75</t>
  </si>
  <si>
    <t>H-8.80</t>
  </si>
  <si>
    <t>L-6.40</t>
  </si>
  <si>
    <t>@13.35</t>
  </si>
  <si>
    <t>T-19.50</t>
  </si>
  <si>
    <t>O-13.95</t>
  </si>
  <si>
    <t>H-15.45</t>
  </si>
  <si>
    <t>L-11.15</t>
  </si>
  <si>
    <t>@16.40</t>
  </si>
  <si>
    <t>T-21.00</t>
  </si>
  <si>
    <t>SL-12.00</t>
  </si>
  <si>
    <t>O-17.05</t>
  </si>
  <si>
    <t>H-25.70</t>
  </si>
  <si>
    <t>L-16.55</t>
  </si>
  <si>
    <t>BANDHANBNK</t>
  </si>
  <si>
    <t>@6.60</t>
  </si>
  <si>
    <t>T-13.00</t>
  </si>
  <si>
    <t>SL-4.80</t>
  </si>
  <si>
    <t>O-6.90</t>
  </si>
  <si>
    <t>H-10.15</t>
  </si>
  <si>
    <t>L-6.25</t>
  </si>
  <si>
    <t>@21.10</t>
  </si>
  <si>
    <t>SL-19.00</t>
  </si>
  <si>
    <t>O-22.05</t>
  </si>
  <si>
    <t>H-26.00</t>
  </si>
  <si>
    <t>L-19.05</t>
  </si>
  <si>
    <t>@12.00</t>
  </si>
  <si>
    <t>T-26.00</t>
  </si>
  <si>
    <t>O-13.00</t>
  </si>
  <si>
    <t>H-14.00</t>
  </si>
  <si>
    <t>L-11.10</t>
  </si>
  <si>
    <t>@2.35</t>
  </si>
  <si>
    <t>SL-2.10</t>
  </si>
  <si>
    <t>O-2.80</t>
  </si>
  <si>
    <t>H-3.40</t>
  </si>
  <si>
    <t>L-2.75</t>
  </si>
  <si>
    <t>@80.00</t>
  </si>
  <si>
    <t>T-95.00</t>
  </si>
  <si>
    <t>SL-70.00</t>
  </si>
  <si>
    <t>O-80.00</t>
  </si>
  <si>
    <t>H-127.15</t>
  </si>
  <si>
    <t>L-80</t>
  </si>
  <si>
    <t>@7.80</t>
  </si>
  <si>
    <t>O-8.60</t>
  </si>
  <si>
    <t>H-9.00</t>
  </si>
  <si>
    <t>L-7.55</t>
  </si>
  <si>
    <t>H-10.55</t>
  </si>
  <si>
    <t>H-9.90</t>
  </si>
  <si>
    <t>H-10.80</t>
  </si>
  <si>
    <t>DIVISLAB</t>
  </si>
  <si>
    <t>@68.35</t>
  </si>
  <si>
    <t>T-88.00</t>
  </si>
  <si>
    <t>SL-66</t>
  </si>
  <si>
    <t>H-108.75</t>
  </si>
  <si>
    <t>L-79.00</t>
  </si>
  <si>
    <t>@4.30</t>
  </si>
  <si>
    <t>SL-4.00</t>
  </si>
  <si>
    <t>H-7.90</t>
  </si>
  <si>
    <t>L-4.90</t>
  </si>
  <si>
    <t>@9.00</t>
  </si>
  <si>
    <t>T-19.80</t>
  </si>
  <si>
    <t>SL-6.80</t>
  </si>
  <si>
    <t>O-10.60</t>
  </si>
  <si>
    <t>H-12.80</t>
  </si>
  <si>
    <t>L-9.35</t>
  </si>
  <si>
    <t>H-13.00</t>
  </si>
  <si>
    <t>H-10.00</t>
  </si>
  <si>
    <t>H-8.05</t>
  </si>
  <si>
    <t>@12.60</t>
  </si>
  <si>
    <t>T-17.00</t>
  </si>
  <si>
    <t>O-15.20</t>
  </si>
  <si>
    <t>H-23.30</t>
  </si>
  <si>
    <t>L-15.05</t>
  </si>
  <si>
    <t>VOLTAS</t>
  </si>
  <si>
    <t>@22.50</t>
  </si>
  <si>
    <t>T-50.00</t>
  </si>
  <si>
    <t>O-27.00</t>
  </si>
  <si>
    <t>H-29.05</t>
  </si>
  <si>
    <t>L-20.80</t>
  </si>
  <si>
    <t>T-14.80</t>
  </si>
  <si>
    <t>O-7.35</t>
  </si>
  <si>
    <t>H-7.70</t>
  </si>
  <si>
    <t>L-6.15</t>
  </si>
  <si>
    <t>H-8.90</t>
  </si>
  <si>
    <t>H-9.80</t>
  </si>
  <si>
    <t>@13.60</t>
  </si>
  <si>
    <t>O-17.15</t>
  </si>
  <si>
    <t>H-19.60</t>
  </si>
  <si>
    <t>L-15.55</t>
  </si>
  <si>
    <t>@29.60</t>
  </si>
  <si>
    <t>T-38.60</t>
  </si>
  <si>
    <t>SL-26.60</t>
  </si>
  <si>
    <t>O-34.80</t>
  </si>
  <si>
    <t>H-44.25</t>
  </si>
  <si>
    <t>L-34.80</t>
  </si>
  <si>
    <t>@7.55</t>
  </si>
  <si>
    <t>L-8.15</t>
  </si>
  <si>
    <t>@65.50</t>
  </si>
  <si>
    <t>O-73.25</t>
  </si>
  <si>
    <t>H-106.90</t>
  </si>
  <si>
    <t>L-72.50</t>
  </si>
  <si>
    <t>@18.25</t>
  </si>
  <si>
    <t>SL-16.00</t>
  </si>
  <si>
    <t>O-19.00</t>
  </si>
  <si>
    <t>H-21.25</t>
  </si>
  <si>
    <t>L-17.85</t>
  </si>
  <si>
    <t>EICHERMOT</t>
  </si>
  <si>
    <t>@114.00</t>
  </si>
  <si>
    <t>T-135.00</t>
  </si>
  <si>
    <t>SL-105.00</t>
  </si>
  <si>
    <t>O-123.00</t>
  </si>
  <si>
    <t>H-153.95</t>
  </si>
  <si>
    <t>L-120.05</t>
  </si>
  <si>
    <t>GMRINFRA</t>
  </si>
  <si>
    <t>@1.10</t>
  </si>
  <si>
    <t>T-2.80</t>
  </si>
  <si>
    <t>O-1.25</t>
  </si>
  <si>
    <t>H-1.40</t>
  </si>
  <si>
    <t>L-1.25</t>
  </si>
  <si>
    <t>H-1.50</t>
  </si>
  <si>
    <t>@32.20</t>
  </si>
  <si>
    <t>SL-23.00</t>
  </si>
  <si>
    <t>O-35.75</t>
  </si>
  <si>
    <t>H-38.00</t>
  </si>
  <si>
    <t>L-13.80</t>
  </si>
  <si>
    <t>O-8.10</t>
  </si>
  <si>
    <t>H-8.10</t>
  </si>
  <si>
    <t>L-3.40</t>
  </si>
  <si>
    <t>T-8.00</t>
  </si>
  <si>
    <t>SL-5.00</t>
  </si>
  <si>
    <t>O-6.40</t>
  </si>
  <si>
    <t>H-9.30</t>
  </si>
  <si>
    <t>L-4.65</t>
  </si>
  <si>
    <t>@16.80</t>
  </si>
  <si>
    <t>O-19.05</t>
  </si>
  <si>
    <t>H-20.20</t>
  </si>
  <si>
    <t>L-10.40</t>
  </si>
  <si>
    <t>O-9.00</t>
  </si>
  <si>
    <t>H-10.05</t>
  </si>
  <si>
    <t>L-8.50</t>
  </si>
  <si>
    <t>@108</t>
  </si>
  <si>
    <t>T-129</t>
  </si>
  <si>
    <t>SL-100</t>
  </si>
  <si>
    <t>O-115.05</t>
  </si>
  <si>
    <t>H-121.90</t>
  </si>
  <si>
    <t>L-100.10</t>
  </si>
  <si>
    <t>@37.55</t>
  </si>
  <si>
    <t>T-50</t>
  </si>
  <si>
    <t>SL-30</t>
  </si>
  <si>
    <t>O-42.00</t>
  </si>
  <si>
    <t>H-45.00</t>
  </si>
  <si>
    <t>L-31.35</t>
  </si>
  <si>
    <t>@8</t>
  </si>
  <si>
    <t>T-16</t>
  </si>
  <si>
    <t>SL-5</t>
  </si>
  <si>
    <t>O-9</t>
  </si>
  <si>
    <t>H-11.45</t>
  </si>
  <si>
    <t>L-8.85</t>
  </si>
  <si>
    <t>@112</t>
  </si>
  <si>
    <t>O-120</t>
  </si>
  <si>
    <t>H-198.05</t>
  </si>
  <si>
    <t>L-120</t>
  </si>
  <si>
    <t>@13.55</t>
  </si>
  <si>
    <t>T-16.50</t>
  </si>
  <si>
    <t>SL-10.80</t>
  </si>
  <si>
    <t>O-14.05</t>
  </si>
  <si>
    <t>H-15.10</t>
  </si>
  <si>
    <t>L-12.20</t>
  </si>
  <si>
    <t>@12.80</t>
  </si>
  <si>
    <t>SL-9</t>
  </si>
  <si>
    <t>O-13.60</t>
  </si>
  <si>
    <t>H-20.40</t>
  </si>
  <si>
    <t>L-11.60</t>
  </si>
  <si>
    <t>NAVINFLUOR</t>
  </si>
  <si>
    <t>@114.80</t>
  </si>
  <si>
    <t>T-138</t>
  </si>
  <si>
    <t>SL-98</t>
  </si>
  <si>
    <t>O-136.15</t>
  </si>
  <si>
    <t>H-195.05</t>
  </si>
  <si>
    <t>L-127.40</t>
  </si>
  <si>
    <t>@10.45</t>
  </si>
  <si>
    <t>SL-7</t>
  </si>
  <si>
    <t>O-11.50</t>
  </si>
  <si>
    <t>H-20.95</t>
  </si>
  <si>
    <t>@7.50</t>
  </si>
  <si>
    <t>O-7.55</t>
  </si>
  <si>
    <t>H-7.80</t>
  </si>
  <si>
    <t>L-3.30</t>
  </si>
  <si>
    <t>@24.70</t>
  </si>
  <si>
    <t>T-33</t>
  </si>
  <si>
    <t>SL-22</t>
  </si>
  <si>
    <t>O-29.05</t>
  </si>
  <si>
    <t>H-39</t>
  </si>
  <si>
    <t>L-24.60</t>
  </si>
  <si>
    <t>@9.65</t>
  </si>
  <si>
    <t>T-11</t>
  </si>
  <si>
    <t>H-19.40</t>
  </si>
  <si>
    <t>L-8.95</t>
  </si>
  <si>
    <t>@1.70</t>
  </si>
  <si>
    <t>T-2.20</t>
  </si>
  <si>
    <t>SL-1.50</t>
  </si>
  <si>
    <t>O-1.90</t>
  </si>
  <si>
    <t>H-2.05</t>
  </si>
  <si>
    <t>L-1.05</t>
  </si>
  <si>
    <t>NAUKRI</t>
  </si>
  <si>
    <t>@62</t>
  </si>
  <si>
    <t>T-83</t>
  </si>
  <si>
    <t>O-69.55</t>
  </si>
  <si>
    <t>H-88.85</t>
  </si>
  <si>
    <t>L-35</t>
  </si>
  <si>
    <t>@18.50</t>
  </si>
  <si>
    <t>SL-15</t>
  </si>
  <si>
    <t>O-17</t>
  </si>
  <si>
    <t>H-21.75</t>
  </si>
  <si>
    <t>L-7.85</t>
  </si>
  <si>
    <t>@32.40</t>
  </si>
  <si>
    <t>T-51</t>
  </si>
  <si>
    <t>SL-26</t>
  </si>
  <si>
    <t>O-42.05</t>
  </si>
  <si>
    <t>H-50.25</t>
  </si>
  <si>
    <t>L-26.40</t>
  </si>
  <si>
    <t>@6.40</t>
  </si>
  <si>
    <t>T-9</t>
  </si>
  <si>
    <t>O-8</t>
  </si>
  <si>
    <t>H-9.95</t>
  </si>
  <si>
    <t>@4.75</t>
  </si>
  <si>
    <t>T-7</t>
  </si>
  <si>
    <t>SL-4</t>
  </si>
  <si>
    <t>O-6.10</t>
  </si>
  <si>
    <t>H-12.95</t>
  </si>
  <si>
    <t>T-10.15</t>
  </si>
  <si>
    <t>O-7.65</t>
  </si>
  <si>
    <t>H-17.50</t>
  </si>
  <si>
    <t>L-7.65</t>
  </si>
  <si>
    <t>@5.80</t>
  </si>
  <si>
    <t>T-11.25</t>
  </si>
  <si>
    <t>SL-2.35</t>
  </si>
  <si>
    <t>O-7</t>
  </si>
  <si>
    <t>H-12.50</t>
  </si>
  <si>
    <t>L-5.70</t>
  </si>
  <si>
    <t>SIEMENS</t>
  </si>
  <si>
    <t>@36.30</t>
  </si>
  <si>
    <t>SL-32</t>
  </si>
  <si>
    <t>O-49</t>
  </si>
  <si>
    <t>H-106.60</t>
  </si>
  <si>
    <t>@4.55</t>
  </si>
  <si>
    <t>T-6</t>
  </si>
  <si>
    <t>O-4.40</t>
  </si>
  <si>
    <t>H-6.95</t>
  </si>
  <si>
    <t>L-3.15</t>
  </si>
  <si>
    <t>JAN</t>
  </si>
  <si>
    <t>@7.85</t>
  </si>
  <si>
    <t>O-8.95</t>
  </si>
  <si>
    <t>H-11.05</t>
  </si>
  <si>
    <t>L-8.40</t>
  </si>
  <si>
    <t>@9.80</t>
  </si>
  <si>
    <t>T-13</t>
  </si>
  <si>
    <t>SL-8.50</t>
  </si>
  <si>
    <t>O-11</t>
  </si>
  <si>
    <t>H-18.90</t>
  </si>
  <si>
    <t>L-8.70</t>
  </si>
  <si>
    <t>LTIM</t>
  </si>
  <si>
    <t>@139</t>
  </si>
  <si>
    <t>SL-125</t>
  </si>
  <si>
    <t>O-165</t>
  </si>
  <si>
    <t>H-185</t>
  </si>
  <si>
    <t>L-150</t>
  </si>
  <si>
    <t>@2.55</t>
  </si>
  <si>
    <t>T-3.50</t>
  </si>
  <si>
    <t>SL-2.30</t>
  </si>
  <si>
    <t>O-2.90</t>
  </si>
  <si>
    <t>L-2.05</t>
  </si>
  <si>
    <t>T-28</t>
  </si>
  <si>
    <t>O-20.05</t>
  </si>
  <si>
    <t>H-23.25</t>
  </si>
  <si>
    <t>L-15.45</t>
  </si>
  <si>
    <t>@11.55</t>
  </si>
  <si>
    <t>SL-11</t>
  </si>
  <si>
    <t>O-15</t>
  </si>
  <si>
    <t>H-18.60</t>
  </si>
  <si>
    <t>L-14</t>
  </si>
  <si>
    <t>@44.35</t>
  </si>
  <si>
    <t>SL-38</t>
  </si>
  <si>
    <t>O-47</t>
  </si>
  <si>
    <t>H-53.15</t>
  </si>
  <si>
    <t>L-37.90</t>
  </si>
  <si>
    <t>IPCALAB</t>
  </si>
  <si>
    <t>@19</t>
  </si>
  <si>
    <t>O-21.05</t>
  </si>
  <si>
    <t>H-27.90</t>
  </si>
  <si>
    <t>L-19.30</t>
  </si>
  <si>
    <t>@83.70</t>
  </si>
  <si>
    <t>T-104</t>
  </si>
  <si>
    <t>SL-74</t>
  </si>
  <si>
    <t>O-113</t>
  </si>
  <si>
    <t>H-115.75</t>
  </si>
  <si>
    <t>L-75.30</t>
  </si>
  <si>
    <t>@10.20</t>
  </si>
  <si>
    <t>O-10.75</t>
  </si>
  <si>
    <t>H-11.50</t>
  </si>
  <si>
    <t>L-8.10</t>
  </si>
  <si>
    <t>RAIN</t>
  </si>
  <si>
    <t>@12.85</t>
  </si>
  <si>
    <t>T-26</t>
  </si>
  <si>
    <t>H-14.90</t>
  </si>
  <si>
    <t>L-11.45</t>
  </si>
  <si>
    <t>@25.75</t>
  </si>
  <si>
    <t>T-40</t>
  </si>
  <si>
    <t>O-26.45</t>
  </si>
  <si>
    <t>L-20.90</t>
  </si>
  <si>
    <t>MCDOWELL-N</t>
  </si>
  <si>
    <t>@8.40</t>
  </si>
  <si>
    <t>T-21.60</t>
  </si>
  <si>
    <t>O-9.15</t>
  </si>
  <si>
    <t>H-14.75</t>
  </si>
  <si>
    <t>@23.25</t>
  </si>
  <si>
    <t>T-37</t>
  </si>
  <si>
    <t>SL-18</t>
  </si>
  <si>
    <t>O-26</t>
  </si>
  <si>
    <t>L-20.60</t>
  </si>
  <si>
    <t>@70.15</t>
  </si>
  <si>
    <t>T-93</t>
  </si>
  <si>
    <t>SL-57</t>
  </si>
  <si>
    <t>O-69.80</t>
  </si>
  <si>
    <t>H-81.95</t>
  </si>
  <si>
    <t>L-55.15</t>
  </si>
  <si>
    <t>@17.90</t>
  </si>
  <si>
    <t>SL-14</t>
  </si>
  <si>
    <t>O-18.20</t>
  </si>
  <si>
    <t>H-25.20</t>
  </si>
  <si>
    <t>L-16.85</t>
  </si>
  <si>
    <t>INTELLECT</t>
  </si>
  <si>
    <t>@14.80</t>
  </si>
  <si>
    <t>T-20.50</t>
  </si>
  <si>
    <t>L-14.50</t>
  </si>
  <si>
    <t>@3.65</t>
  </si>
  <si>
    <t>T-4.75</t>
  </si>
  <si>
    <t>O-4.10</t>
  </si>
  <si>
    <t>H-4.85</t>
  </si>
  <si>
    <t>@17</t>
  </si>
  <si>
    <t>SL-12</t>
  </si>
  <si>
    <t>O-19.15</t>
  </si>
  <si>
    <t>H-28.50</t>
  </si>
  <si>
    <t>L-19.15</t>
  </si>
  <si>
    <t>@13.20</t>
  </si>
  <si>
    <t>T-25</t>
  </si>
  <si>
    <t>O-22</t>
  </si>
  <si>
    <t>H-22</t>
  </si>
  <si>
    <t>L-14.25</t>
  </si>
  <si>
    <t>O-4</t>
  </si>
  <si>
    <t>RBLBANK</t>
  </si>
  <si>
    <t>@7.15</t>
  </si>
  <si>
    <t>L-6</t>
  </si>
  <si>
    <t>@17.50</t>
  </si>
  <si>
    <t>O-18.60</t>
  </si>
  <si>
    <t>H-23.90</t>
  </si>
  <si>
    <t>L-18</t>
  </si>
  <si>
    <t>T-6.20</t>
  </si>
  <si>
    <t>L-3</t>
  </si>
  <si>
    <t>@20</t>
  </si>
  <si>
    <t>O-21.20</t>
  </si>
  <si>
    <t>L-16</t>
  </si>
  <si>
    <t>@8.60</t>
  </si>
  <si>
    <t>T-12.50</t>
  </si>
  <si>
    <t>SL-6.20</t>
  </si>
  <si>
    <t>O-10</t>
  </si>
  <si>
    <t>H-19.45</t>
  </si>
  <si>
    <t>L-6.85</t>
  </si>
  <si>
    <t>@9.10</t>
  </si>
  <si>
    <t>T-18</t>
  </si>
  <si>
    <t>H-20.30</t>
  </si>
  <si>
    <t>@16.70</t>
  </si>
  <si>
    <t>O-18.95</t>
  </si>
  <si>
    <t>H-19.70</t>
  </si>
  <si>
    <t>L-12.10</t>
  </si>
  <si>
    <t>GRANULES</t>
  </si>
  <si>
    <t>O-8.65</t>
  </si>
  <si>
    <t>DIXON</t>
  </si>
  <si>
    <t>@50</t>
  </si>
  <si>
    <t>T-65</t>
  </si>
  <si>
    <t>O-54.05</t>
  </si>
  <si>
    <t>L-35.90</t>
  </si>
  <si>
    <t>@19.35</t>
  </si>
  <si>
    <t>SL-17</t>
  </si>
  <si>
    <t>O-34.85</t>
  </si>
  <si>
    <t>H-34.85</t>
  </si>
  <si>
    <t>L-21.50</t>
  </si>
  <si>
    <t>@1.85</t>
  </si>
  <si>
    <t>T-2.50</t>
  </si>
  <si>
    <t>SL-1.70</t>
  </si>
  <si>
    <t>O-2.10</t>
  </si>
  <si>
    <t>H-4.10</t>
  </si>
  <si>
    <t>@10.70</t>
  </si>
  <si>
    <t>T-20</t>
  </si>
  <si>
    <t>O-12.50</t>
  </si>
  <si>
    <t>H-20</t>
  </si>
  <si>
    <t>@6</t>
  </si>
  <si>
    <t>SL-2</t>
  </si>
  <si>
    <t>T-15</t>
  </si>
  <si>
    <t>H-15</t>
  </si>
  <si>
    <t>L-7.20</t>
  </si>
  <si>
    <t>@33.40</t>
  </si>
  <si>
    <t>O-110</t>
  </si>
  <si>
    <t>H-118</t>
  </si>
  <si>
    <t>L-63</t>
  </si>
  <si>
    <t>@9.25</t>
  </si>
  <si>
    <t>O-9.25</t>
  </si>
  <si>
    <t>H-13.50</t>
  </si>
  <si>
    <t>L-7.75</t>
  </si>
  <si>
    <t>@70</t>
  </si>
  <si>
    <t>O-134.90</t>
  </si>
  <si>
    <t>H-134.90</t>
  </si>
  <si>
    <t>@3.50</t>
  </si>
  <si>
    <t>O-5</t>
  </si>
  <si>
    <t>L-4.40</t>
  </si>
  <si>
    <t>O-4.85</t>
  </si>
  <si>
    <t>L-1.85</t>
  </si>
  <si>
    <t>@9.75</t>
  </si>
  <si>
    <t>O-14.60</t>
  </si>
  <si>
    <t>H-23.55</t>
  </si>
  <si>
    <t>L-13.70</t>
  </si>
  <si>
    <t>Kushal BAJAJ-AUTO FEB 3740 CE @108 T-150 SL-90 O-200 H-285.05 L-200</t>
  </si>
  <si>
    <t>Varun APOLLOTYRE FEB 325 CE @6 T-13 SL-8 O-12 H-17.95 L-5</t>
  </si>
  <si>
    <t>Varun NTPC FEB 167.5 CE @5.60 T-5 SL-3.30 O- H- L-</t>
  </si>
  <si>
    <t>Kushal ITC FEB 345 CE @10.15 T-16 SL-7 O-10.75 H-13.85 L-8.70</t>
  </si>
  <si>
    <t>Kushal APOLLOTYRE FEB 315 CE @11.60 T-18 SL-7 O-12.50 H-17.95 L-11.60</t>
  </si>
  <si>
    <t>Rate just after Reco time 12:27</t>
  </si>
  <si>
    <t>Lowest Rate after Reco time 12:27</t>
  </si>
  <si>
    <t>H-</t>
  </si>
  <si>
    <t>SL Hit</t>
  </si>
  <si>
    <t xml:space="preserve">Reco to Open </t>
  </si>
  <si>
    <t>Open to High</t>
  </si>
  <si>
    <r>
      <rPr>
        <sz val="11"/>
        <color theme="1"/>
        <rFont val="Calibri"/>
        <family val="2"/>
      </rPr>
      <t xml:space="preserve">Open + &lt;=0.50% from Reco </t>
    </r>
    <r>
      <rPr>
        <b/>
        <sz val="11"/>
        <color rgb="FFC00000"/>
        <rFont val="Calibri"/>
        <family val="2"/>
      </rPr>
      <t>10</t>
    </r>
    <r>
      <rPr>
        <sz val="11"/>
        <color theme="1"/>
        <rFont val="Calibri"/>
        <family val="2"/>
      </rPr>
      <t xml:space="preserve"> Star</t>
    </r>
  </si>
  <si>
    <r>
      <rPr>
        <sz val="11"/>
        <color theme="1"/>
        <rFont val="Calibri"/>
        <family val="2"/>
      </rPr>
      <t xml:space="preserve">High + &gt;50% from Open </t>
    </r>
    <r>
      <rPr>
        <b/>
        <sz val="11"/>
        <color rgb="FFC00000"/>
        <rFont val="Calibri"/>
        <family val="2"/>
      </rPr>
      <t>10</t>
    </r>
    <r>
      <rPr>
        <sz val="11"/>
        <color theme="1"/>
        <rFont val="Calibri"/>
        <family val="2"/>
      </rPr>
      <t xml:space="preserve"> Star</t>
    </r>
  </si>
  <si>
    <r>
      <rPr>
        <sz val="11"/>
        <color theme="1"/>
        <rFont val="Calibri"/>
        <family val="2"/>
      </rPr>
      <t xml:space="preserve">Open + 0.50% - 1% from Reco </t>
    </r>
    <r>
      <rPr>
        <b/>
        <sz val="11"/>
        <color rgb="FFC00000"/>
        <rFont val="Calibri"/>
        <family val="2"/>
      </rPr>
      <t>9</t>
    </r>
    <r>
      <rPr>
        <sz val="11"/>
        <color theme="1"/>
        <rFont val="Calibri"/>
        <family val="2"/>
      </rPr>
      <t xml:space="preserve"> Star</t>
    </r>
  </si>
  <si>
    <r>
      <rPr>
        <sz val="11"/>
        <color theme="1"/>
        <rFont val="Calibri"/>
        <family val="2"/>
      </rPr>
      <t xml:space="preserve">High + 50% - 40% from Open </t>
    </r>
    <r>
      <rPr>
        <b/>
        <sz val="11"/>
        <color rgb="FFC00000"/>
        <rFont val="Calibri"/>
        <family val="2"/>
      </rPr>
      <t>9</t>
    </r>
    <r>
      <rPr>
        <sz val="11"/>
        <color theme="1"/>
        <rFont val="Calibri"/>
        <family val="2"/>
      </rPr>
      <t xml:space="preserve"> Star</t>
    </r>
  </si>
  <si>
    <r>
      <rPr>
        <sz val="11"/>
        <color theme="1"/>
        <rFont val="Calibri"/>
        <family val="2"/>
      </rPr>
      <t xml:space="preserve">Open + 1% - 2% from Reco </t>
    </r>
    <r>
      <rPr>
        <b/>
        <sz val="11"/>
        <color rgb="FFC00000"/>
        <rFont val="Calibri"/>
        <family val="2"/>
      </rPr>
      <t>8</t>
    </r>
    <r>
      <rPr>
        <sz val="11"/>
        <color theme="1"/>
        <rFont val="Calibri"/>
        <family val="2"/>
      </rPr>
      <t xml:space="preserve"> Star</t>
    </r>
  </si>
  <si>
    <r>
      <rPr>
        <sz val="11"/>
        <color theme="1"/>
        <rFont val="Calibri"/>
        <family val="2"/>
      </rPr>
      <t xml:space="preserve">High + 40% - 30% from Open </t>
    </r>
    <r>
      <rPr>
        <b/>
        <sz val="11"/>
        <color rgb="FFC00000"/>
        <rFont val="Calibri"/>
        <family val="2"/>
      </rPr>
      <t>8</t>
    </r>
    <r>
      <rPr>
        <sz val="11"/>
        <color theme="1"/>
        <rFont val="Calibri"/>
        <family val="2"/>
      </rPr>
      <t xml:space="preserve"> Star</t>
    </r>
  </si>
  <si>
    <r>
      <rPr>
        <sz val="11"/>
        <color theme="1"/>
        <rFont val="Calibri"/>
        <family val="2"/>
      </rPr>
      <t xml:space="preserve">Open + 2% - 5% from Reco </t>
    </r>
    <r>
      <rPr>
        <b/>
        <sz val="11"/>
        <color rgb="FFC00000"/>
        <rFont val="Calibri"/>
        <family val="2"/>
      </rPr>
      <t>7</t>
    </r>
    <r>
      <rPr>
        <sz val="11"/>
        <color theme="1"/>
        <rFont val="Calibri"/>
        <family val="2"/>
      </rPr>
      <t xml:space="preserve"> Star</t>
    </r>
  </si>
  <si>
    <r>
      <rPr>
        <sz val="11"/>
        <color theme="1"/>
        <rFont val="Calibri"/>
        <family val="2"/>
      </rPr>
      <t xml:space="preserve">High + 30% - 20% from Open </t>
    </r>
    <r>
      <rPr>
        <b/>
        <sz val="11"/>
        <color rgb="FFC00000"/>
        <rFont val="Calibri"/>
        <family val="2"/>
      </rPr>
      <t>7</t>
    </r>
    <r>
      <rPr>
        <sz val="11"/>
        <color theme="1"/>
        <rFont val="Calibri"/>
        <family val="2"/>
      </rPr>
      <t xml:space="preserve"> Star</t>
    </r>
  </si>
  <si>
    <r>
      <rPr>
        <sz val="11"/>
        <color theme="1"/>
        <rFont val="Calibri"/>
        <family val="2"/>
      </rPr>
      <t>Open + 5% - 10% from Reco</t>
    </r>
    <r>
      <rPr>
        <b/>
        <sz val="11"/>
        <color rgb="FFC55A11"/>
        <rFont val="Calibri"/>
        <family val="2"/>
      </rPr>
      <t xml:space="preserve"> </t>
    </r>
    <r>
      <rPr>
        <b/>
        <sz val="11"/>
        <color rgb="FFC00000"/>
        <rFont val="Calibri"/>
        <family val="2"/>
      </rPr>
      <t>6</t>
    </r>
    <r>
      <rPr>
        <sz val="11"/>
        <color theme="1"/>
        <rFont val="Calibri"/>
        <family val="2"/>
      </rPr>
      <t xml:space="preserve"> Star</t>
    </r>
  </si>
  <si>
    <r>
      <rPr>
        <sz val="11"/>
        <color theme="1"/>
        <rFont val="Calibri"/>
        <family val="2"/>
      </rPr>
      <t xml:space="preserve">High + 20% - 10% from Open </t>
    </r>
    <r>
      <rPr>
        <b/>
        <sz val="11"/>
        <color rgb="FFC00000"/>
        <rFont val="Calibri"/>
        <family val="2"/>
      </rPr>
      <t>6</t>
    </r>
    <r>
      <rPr>
        <sz val="11"/>
        <color theme="1"/>
        <rFont val="Calibri"/>
        <family val="2"/>
      </rPr>
      <t xml:space="preserve"> Star</t>
    </r>
  </si>
  <si>
    <r>
      <rPr>
        <sz val="11"/>
        <color theme="1"/>
        <rFont val="Calibri"/>
        <family val="2"/>
      </rPr>
      <t xml:space="preserve">Open + 10% - 20% from Reco </t>
    </r>
    <r>
      <rPr>
        <b/>
        <sz val="11"/>
        <color rgb="FFC00000"/>
        <rFont val="Calibri"/>
        <family val="2"/>
      </rPr>
      <t>5</t>
    </r>
    <r>
      <rPr>
        <sz val="11"/>
        <color theme="1"/>
        <rFont val="Calibri"/>
        <family val="2"/>
      </rPr>
      <t xml:space="preserve"> Star</t>
    </r>
  </si>
  <si>
    <r>
      <rPr>
        <sz val="11"/>
        <color theme="1"/>
        <rFont val="Calibri"/>
        <family val="2"/>
      </rPr>
      <t xml:space="preserve">High + 10% - 5% from Open </t>
    </r>
    <r>
      <rPr>
        <b/>
        <sz val="11"/>
        <color rgb="FFC00000"/>
        <rFont val="Calibri"/>
        <family val="2"/>
      </rPr>
      <t>5</t>
    </r>
    <r>
      <rPr>
        <sz val="11"/>
        <color theme="1"/>
        <rFont val="Calibri"/>
        <family val="2"/>
      </rPr>
      <t xml:space="preserve"> Star</t>
    </r>
  </si>
  <si>
    <r>
      <rPr>
        <sz val="11"/>
        <color theme="1"/>
        <rFont val="Calibri"/>
        <family val="2"/>
      </rPr>
      <t xml:space="preserve">Open + 20% - 30% from Reco </t>
    </r>
    <r>
      <rPr>
        <b/>
        <sz val="11"/>
        <color rgb="FFC00000"/>
        <rFont val="Calibri"/>
        <family val="2"/>
      </rPr>
      <t>4</t>
    </r>
    <r>
      <rPr>
        <sz val="11"/>
        <color theme="1"/>
        <rFont val="Calibri"/>
        <family val="2"/>
      </rPr>
      <t xml:space="preserve"> Star</t>
    </r>
  </si>
  <si>
    <r>
      <rPr>
        <sz val="11"/>
        <color theme="1"/>
        <rFont val="Calibri"/>
        <family val="2"/>
      </rPr>
      <t xml:space="preserve">High + 5% - 4% from Open </t>
    </r>
    <r>
      <rPr>
        <b/>
        <sz val="11"/>
        <color rgb="FFC00000"/>
        <rFont val="Calibri"/>
        <family val="2"/>
      </rPr>
      <t>4</t>
    </r>
    <r>
      <rPr>
        <sz val="11"/>
        <color theme="1"/>
        <rFont val="Calibri"/>
        <family val="2"/>
      </rPr>
      <t xml:space="preserve"> Star</t>
    </r>
  </si>
  <si>
    <r>
      <rPr>
        <sz val="11"/>
        <color theme="1"/>
        <rFont val="Calibri"/>
        <family val="2"/>
      </rPr>
      <t xml:space="preserve">Open + 30% - 40% from Reco </t>
    </r>
    <r>
      <rPr>
        <b/>
        <sz val="11"/>
        <color rgb="FFC00000"/>
        <rFont val="Calibri"/>
        <family val="2"/>
      </rPr>
      <t>3</t>
    </r>
    <r>
      <rPr>
        <sz val="11"/>
        <color theme="1"/>
        <rFont val="Calibri"/>
        <family val="2"/>
      </rPr>
      <t xml:space="preserve"> Star</t>
    </r>
  </si>
  <si>
    <r>
      <rPr>
        <sz val="11"/>
        <color theme="1"/>
        <rFont val="Calibri"/>
        <family val="2"/>
      </rPr>
      <t xml:space="preserve">High + 4% - 3% from Open </t>
    </r>
    <r>
      <rPr>
        <b/>
        <sz val="11"/>
        <color rgb="FFC00000"/>
        <rFont val="Calibri"/>
        <family val="2"/>
      </rPr>
      <t>3</t>
    </r>
    <r>
      <rPr>
        <sz val="11"/>
        <color theme="1"/>
        <rFont val="Calibri"/>
        <family val="2"/>
      </rPr>
      <t xml:space="preserve"> Star</t>
    </r>
  </si>
  <si>
    <r>
      <rPr>
        <sz val="11"/>
        <color theme="1"/>
        <rFont val="Calibri"/>
        <family val="2"/>
      </rPr>
      <t xml:space="preserve">Open + 40% - 50% from Reco </t>
    </r>
    <r>
      <rPr>
        <b/>
        <sz val="11"/>
        <color rgb="FFC00000"/>
        <rFont val="Calibri"/>
        <family val="2"/>
      </rPr>
      <t>2</t>
    </r>
    <r>
      <rPr>
        <sz val="11"/>
        <color theme="1"/>
        <rFont val="Calibri"/>
        <family val="2"/>
      </rPr>
      <t xml:space="preserve"> Star</t>
    </r>
  </si>
  <si>
    <r>
      <rPr>
        <sz val="11"/>
        <color theme="1"/>
        <rFont val="Calibri"/>
        <family val="2"/>
      </rPr>
      <t xml:space="preserve">High + 3% - 2% from Open </t>
    </r>
    <r>
      <rPr>
        <b/>
        <sz val="11"/>
        <color rgb="FFC00000"/>
        <rFont val="Calibri"/>
        <family val="2"/>
      </rPr>
      <t>2</t>
    </r>
    <r>
      <rPr>
        <sz val="11"/>
        <color theme="1"/>
        <rFont val="Calibri"/>
        <family val="2"/>
      </rPr>
      <t xml:space="preserve"> Star</t>
    </r>
  </si>
  <si>
    <r>
      <rPr>
        <sz val="11"/>
        <color theme="1"/>
        <rFont val="Calibri"/>
        <family val="2"/>
      </rPr>
      <t xml:space="preserve">Open + &gt;50% from Reco </t>
    </r>
    <r>
      <rPr>
        <b/>
        <sz val="11"/>
        <color rgb="FFC00000"/>
        <rFont val="Calibri"/>
        <family val="2"/>
      </rPr>
      <t>1</t>
    </r>
    <r>
      <rPr>
        <sz val="11"/>
        <color theme="1"/>
        <rFont val="Calibri"/>
        <family val="2"/>
      </rPr>
      <t xml:space="preserve"> Star</t>
    </r>
  </si>
  <si>
    <r>
      <rPr>
        <sz val="11"/>
        <color theme="1"/>
        <rFont val="Calibri"/>
        <family val="2"/>
      </rPr>
      <t xml:space="preserve">High + &lt;2% from Open </t>
    </r>
    <r>
      <rPr>
        <b/>
        <sz val="11"/>
        <color rgb="FFC00000"/>
        <rFont val="Calibri"/>
        <family val="2"/>
      </rPr>
      <t>1</t>
    </r>
    <r>
      <rPr>
        <sz val="11"/>
        <color theme="1"/>
        <rFont val="Calibri"/>
        <family val="2"/>
      </rPr>
      <t xml:space="preserve"> Star</t>
    </r>
  </si>
  <si>
    <t>High Away from Target</t>
  </si>
  <si>
    <t xml:space="preserve">Low Away from Stoploss </t>
  </si>
  <si>
    <r>
      <rPr>
        <sz val="11"/>
        <color theme="1"/>
        <rFont val="Calibri"/>
        <family val="2"/>
      </rPr>
      <t>High</t>
    </r>
    <r>
      <rPr>
        <sz val="11"/>
        <color theme="1"/>
        <rFont val="Calibri"/>
        <family val="2"/>
      </rPr>
      <t xml:space="preserve"> &gt;45% away from Target </t>
    </r>
    <r>
      <rPr>
        <b/>
        <sz val="11"/>
        <color rgb="FFC00000"/>
        <rFont val="Calibri"/>
        <family val="2"/>
      </rPr>
      <t>1</t>
    </r>
    <r>
      <rPr>
        <sz val="11"/>
        <color theme="1"/>
        <rFont val="Calibri"/>
        <family val="2"/>
      </rPr>
      <t xml:space="preserve"> Star</t>
    </r>
  </si>
  <si>
    <r>
      <rPr>
        <sz val="11"/>
        <color theme="1"/>
        <rFont val="Calibri"/>
        <family val="2"/>
      </rPr>
      <t>Low</t>
    </r>
    <r>
      <rPr>
        <sz val="11"/>
        <color theme="1"/>
        <rFont val="Calibri"/>
        <family val="2"/>
      </rPr>
      <t xml:space="preserve"> &gt;20% away from SL </t>
    </r>
    <r>
      <rPr>
        <b/>
        <sz val="11"/>
        <color rgb="FFFF0000"/>
        <rFont val="Calibri"/>
        <family val="2"/>
      </rPr>
      <t>10</t>
    </r>
    <r>
      <rPr>
        <sz val="11"/>
        <color theme="1"/>
        <rFont val="Calibri"/>
        <family val="2"/>
      </rPr>
      <t xml:space="preserve"> Star</t>
    </r>
  </si>
  <si>
    <r>
      <rPr>
        <sz val="11"/>
        <color theme="1"/>
        <rFont val="Calibri"/>
        <family val="2"/>
      </rPr>
      <t xml:space="preserve">High 35% - 45% away from Tgt </t>
    </r>
    <r>
      <rPr>
        <b/>
        <sz val="11"/>
        <color rgb="FFC00000"/>
        <rFont val="Calibri"/>
        <family val="2"/>
      </rPr>
      <t>2</t>
    </r>
    <r>
      <rPr>
        <sz val="11"/>
        <color theme="1"/>
        <rFont val="Calibri"/>
        <family val="2"/>
      </rPr>
      <t xml:space="preserve"> Star</t>
    </r>
  </si>
  <si>
    <r>
      <rPr>
        <sz val="11"/>
        <color theme="1"/>
        <rFont val="Calibri"/>
        <family val="2"/>
      </rPr>
      <t>Low</t>
    </r>
    <r>
      <rPr>
        <sz val="11"/>
        <color theme="1"/>
        <rFont val="Calibri"/>
        <family val="2"/>
      </rPr>
      <t xml:space="preserve"> 10% - 20% away from SL </t>
    </r>
    <r>
      <rPr>
        <b/>
        <sz val="11"/>
        <color rgb="FFFF0000"/>
        <rFont val="Calibri"/>
        <family val="2"/>
      </rPr>
      <t>8</t>
    </r>
    <r>
      <rPr>
        <sz val="11"/>
        <color theme="1"/>
        <rFont val="Calibri"/>
        <family val="2"/>
      </rPr>
      <t xml:space="preserve"> Star</t>
    </r>
  </si>
  <si>
    <r>
      <rPr>
        <sz val="11"/>
        <color theme="1"/>
        <rFont val="Calibri"/>
        <family val="2"/>
      </rPr>
      <t xml:space="preserve">High 25% - 35% away from Tgt </t>
    </r>
    <r>
      <rPr>
        <b/>
        <sz val="11"/>
        <color rgb="FFC00000"/>
        <rFont val="Calibri"/>
        <family val="2"/>
      </rPr>
      <t>4</t>
    </r>
    <r>
      <rPr>
        <sz val="11"/>
        <color theme="1"/>
        <rFont val="Calibri"/>
        <family val="2"/>
      </rPr>
      <t xml:space="preserve"> Star</t>
    </r>
  </si>
  <si>
    <r>
      <rPr>
        <sz val="11"/>
        <color theme="1"/>
        <rFont val="Calibri"/>
        <family val="2"/>
      </rPr>
      <t>Low</t>
    </r>
    <r>
      <rPr>
        <sz val="11"/>
        <color theme="1"/>
        <rFont val="Calibri"/>
        <family val="2"/>
      </rPr>
      <t xml:space="preserve"> 5% - 10% away from SL </t>
    </r>
    <r>
      <rPr>
        <b/>
        <sz val="11"/>
        <color rgb="FFFF0000"/>
        <rFont val="Calibri"/>
        <family val="2"/>
      </rPr>
      <t>7</t>
    </r>
    <r>
      <rPr>
        <sz val="11"/>
        <color theme="1"/>
        <rFont val="Calibri"/>
        <family val="2"/>
      </rPr>
      <t xml:space="preserve"> Star</t>
    </r>
  </si>
  <si>
    <r>
      <rPr>
        <sz val="11"/>
        <color theme="1"/>
        <rFont val="Calibri"/>
        <family val="2"/>
      </rPr>
      <t xml:space="preserve">High 15% - 25% away from Tgt </t>
    </r>
    <r>
      <rPr>
        <b/>
        <sz val="11"/>
        <color rgb="FFC00000"/>
        <rFont val="Calibri"/>
        <family val="2"/>
      </rPr>
      <t>5</t>
    </r>
    <r>
      <rPr>
        <sz val="11"/>
        <color theme="1"/>
        <rFont val="Calibri"/>
        <family val="2"/>
      </rPr>
      <t xml:space="preserve"> Star</t>
    </r>
  </si>
  <si>
    <r>
      <rPr>
        <sz val="11"/>
        <color theme="1"/>
        <rFont val="Calibri"/>
        <family val="2"/>
      </rPr>
      <t>Low</t>
    </r>
    <r>
      <rPr>
        <sz val="11"/>
        <color theme="1"/>
        <rFont val="Calibri"/>
        <family val="2"/>
      </rPr>
      <t xml:space="preserve"> 2% - 5% away from SL </t>
    </r>
    <r>
      <rPr>
        <b/>
        <sz val="11"/>
        <color rgb="FFFF0000"/>
        <rFont val="Calibri"/>
        <family val="2"/>
      </rPr>
      <t>5</t>
    </r>
    <r>
      <rPr>
        <sz val="11"/>
        <color theme="1"/>
        <rFont val="Calibri"/>
        <family val="2"/>
      </rPr>
      <t xml:space="preserve"> Star</t>
    </r>
  </si>
  <si>
    <r>
      <rPr>
        <sz val="11"/>
        <color theme="1"/>
        <rFont val="Calibri"/>
        <family val="2"/>
      </rPr>
      <t xml:space="preserve">High 5% - 15% away from Tgt </t>
    </r>
    <r>
      <rPr>
        <b/>
        <sz val="11"/>
        <color rgb="FFC00000"/>
        <rFont val="Calibri"/>
        <family val="2"/>
      </rPr>
      <t>7</t>
    </r>
    <r>
      <rPr>
        <sz val="11"/>
        <color theme="1"/>
        <rFont val="Calibri"/>
        <family val="2"/>
      </rPr>
      <t xml:space="preserve"> Star</t>
    </r>
  </si>
  <si>
    <r>
      <rPr>
        <sz val="11"/>
        <color theme="1"/>
        <rFont val="Calibri"/>
        <family val="2"/>
      </rPr>
      <t>Low</t>
    </r>
    <r>
      <rPr>
        <sz val="11"/>
        <color theme="1"/>
        <rFont val="Calibri"/>
        <family val="2"/>
      </rPr>
      <t xml:space="preserve"> 0.5% - 2% away from SL </t>
    </r>
    <r>
      <rPr>
        <b/>
        <sz val="11"/>
        <color rgb="FFFF0000"/>
        <rFont val="Calibri"/>
        <family val="2"/>
      </rPr>
      <t xml:space="preserve">4 </t>
    </r>
    <r>
      <rPr>
        <sz val="11"/>
        <color theme="1"/>
        <rFont val="Calibri"/>
        <family val="2"/>
      </rPr>
      <t>Star</t>
    </r>
  </si>
  <si>
    <r>
      <rPr>
        <sz val="11"/>
        <color theme="1"/>
        <rFont val="Calibri"/>
        <family val="2"/>
      </rPr>
      <t>High</t>
    </r>
    <r>
      <rPr>
        <sz val="11"/>
        <color theme="1"/>
        <rFont val="Calibri"/>
        <family val="2"/>
      </rPr>
      <t xml:space="preserve"> &lt;=5% away from Target </t>
    </r>
    <r>
      <rPr>
        <b/>
        <sz val="11"/>
        <color rgb="FFC00000"/>
        <rFont val="Calibri"/>
        <family val="2"/>
      </rPr>
      <t>8</t>
    </r>
    <r>
      <rPr>
        <sz val="11"/>
        <color theme="1"/>
        <rFont val="Calibri"/>
        <family val="2"/>
      </rPr>
      <t xml:space="preserve"> Star</t>
    </r>
  </si>
  <si>
    <r>
      <rPr>
        <sz val="11"/>
        <color theme="1"/>
        <rFont val="Calibri"/>
        <family val="2"/>
      </rPr>
      <t>Low</t>
    </r>
    <r>
      <rPr>
        <sz val="11"/>
        <color theme="1"/>
        <rFont val="Calibri"/>
        <family val="2"/>
      </rPr>
      <t xml:space="preserve"> &lt;=0.5% away from SL </t>
    </r>
    <r>
      <rPr>
        <b/>
        <sz val="11"/>
        <color rgb="FFFF0000"/>
        <rFont val="Calibri"/>
        <family val="2"/>
      </rPr>
      <t>2</t>
    </r>
    <r>
      <rPr>
        <sz val="11"/>
        <color theme="1"/>
        <rFont val="Calibri"/>
        <family val="2"/>
      </rPr>
      <t xml:space="preserve"> Star</t>
    </r>
  </si>
  <si>
    <r>
      <rPr>
        <sz val="11"/>
        <color theme="1"/>
        <rFont val="Calibri"/>
        <family val="2"/>
      </rPr>
      <t xml:space="preserve">Target Hit or Exceeded </t>
    </r>
    <r>
      <rPr>
        <b/>
        <sz val="11"/>
        <color rgb="FFC00000"/>
        <rFont val="Calibri"/>
        <family val="2"/>
      </rPr>
      <t>10</t>
    </r>
    <r>
      <rPr>
        <sz val="11"/>
        <color theme="1"/>
        <rFont val="Calibri"/>
        <family val="2"/>
      </rPr>
      <t xml:space="preserve"> Star</t>
    </r>
  </si>
  <si>
    <r>
      <rPr>
        <sz val="11"/>
        <color theme="1"/>
        <rFont val="Calibri"/>
        <family val="2"/>
      </rPr>
      <t xml:space="preserve">SL Hit or Below SL </t>
    </r>
    <r>
      <rPr>
        <b/>
        <sz val="11"/>
        <color theme="1"/>
        <rFont val="Calibri"/>
        <family val="2"/>
      </rPr>
      <t>1</t>
    </r>
    <r>
      <rPr>
        <sz val="11"/>
        <color theme="1"/>
        <rFont val="Calibri"/>
        <family val="2"/>
      </rPr>
      <t xml:space="preserve"> Star</t>
    </r>
  </si>
  <si>
    <t>s#</t>
  </si>
  <si>
    <t>Market Cap</t>
  </si>
  <si>
    <t>Invest</t>
  </si>
  <si>
    <t>CMP</t>
  </si>
  <si>
    <t>No. of Shares</t>
  </si>
  <si>
    <t>approved</t>
  </si>
  <si>
    <t>Mid</t>
  </si>
  <si>
    <t>Large</t>
  </si>
  <si>
    <t>opp</t>
  </si>
  <si>
    <t>Small</t>
  </si>
  <si>
    <t>KARURVYSYA</t>
  </si>
  <si>
    <t>RSWM</t>
  </si>
  <si>
    <t>RVNL</t>
  </si>
  <si>
    <t>COALINDIA</t>
  </si>
  <si>
    <t>SBILIFE</t>
  </si>
  <si>
    <t>TTML</t>
  </si>
  <si>
    <t>MISHRA DHATU</t>
  </si>
  <si>
    <t>F&amp;O Lot Size (Downloaded from StockeZee website)</t>
  </si>
  <si>
    <t>S#</t>
  </si>
  <si>
    <t>(Jan-23)</t>
  </si>
  <si>
    <t>(Nov-22)</t>
  </si>
  <si>
    <t>(Dec-22)</t>
  </si>
  <si>
    <t>NIFTY BANK</t>
  </si>
  <si>
    <t>NIFTY FINANCIAL SERVICES</t>
  </si>
  <si>
    <t>NIFTY MID SELECT</t>
  </si>
  <si>
    <t>MIDCPNIFTY</t>
  </si>
  <si>
    <t>NIFTY 50</t>
  </si>
  <si>
    <t>AARTI INDUSTRIES</t>
  </si>
  <si>
    <t>ABB INDIA</t>
  </si>
  <si>
    <t>ABBOTT INDIA</t>
  </si>
  <si>
    <t>ABBOTINDIA</t>
  </si>
  <si>
    <t>ADITYA BIRLA CAPITAL</t>
  </si>
  <si>
    <t>ADITYA BIRLA FASHION &amp; RT</t>
  </si>
  <si>
    <t>ABFRL</t>
  </si>
  <si>
    <t>ACC</t>
  </si>
  <si>
    <t>ADANI ENTERPRISES</t>
  </si>
  <si>
    <t>ADANI PORT &amp; SEZ</t>
  </si>
  <si>
    <t>ALKEM LABORATORIES.</t>
  </si>
  <si>
    <t>ALKEM</t>
  </si>
  <si>
    <t>AMARA RAJA BATTERIES</t>
  </si>
  <si>
    <t>AMARAJABAT</t>
  </si>
  <si>
    <t>AMBUJA CEMENTS</t>
  </si>
  <si>
    <t>AMBUJACEM</t>
  </si>
  <si>
    <t>APOLLO HOSPITALS ENTER</t>
  </si>
  <si>
    <t>APOLLO TYRES</t>
  </si>
  <si>
    <t>ASHOK LEYLAND</t>
  </si>
  <si>
    <t>ASIAN PAINTS</t>
  </si>
  <si>
    <t>ASTRAL</t>
  </si>
  <si>
    <t>ATUL</t>
  </si>
  <si>
    <t>AU SMALL FINANCE BANK</t>
  </si>
  <si>
    <t>AUROBINDO PHARMA</t>
  </si>
  <si>
    <t>AXIS BANK</t>
  </si>
  <si>
    <t>BAJAJ AUTO</t>
  </si>
  <si>
    <t>BAJAJ-AUTO</t>
  </si>
  <si>
    <t>BAJAJ FINSERV.</t>
  </si>
  <si>
    <t>BAJAJ FINANCE</t>
  </si>
  <si>
    <t>BALKRISHNA IND.</t>
  </si>
  <si>
    <t>BALKRISIND</t>
  </si>
  <si>
    <t>BALRAMPUR CHINI MILLS</t>
  </si>
  <si>
    <t>BANDHAN BANK</t>
  </si>
  <si>
    <t>BANK OF BARODA</t>
  </si>
  <si>
    <t>BATA INDIA</t>
  </si>
  <si>
    <t>BHARAT ELECTRONICS</t>
  </si>
  <si>
    <t>BERGER PAINTS (I)</t>
  </si>
  <si>
    <t>BHARAT FORGE</t>
  </si>
  <si>
    <t>BHARATFORG</t>
  </si>
  <si>
    <t>BHARTI AIRTEL</t>
  </si>
  <si>
    <t>BHARTIARTL</t>
  </si>
  <si>
    <t>BIOCON.</t>
  </si>
  <si>
    <t>BOSCH</t>
  </si>
  <si>
    <t>BOSCHLTD</t>
  </si>
  <si>
    <t>BHARAT PETROLEUM CORP</t>
  </si>
  <si>
    <t>BRITANNIA INDUSTRIES</t>
  </si>
  <si>
    <t>BIRLASOFT</t>
  </si>
  <si>
    <t>CANARA BANK</t>
  </si>
  <si>
    <t>CAN FIN HOMES</t>
  </si>
  <si>
    <t>CHAMBAL FERTILIZERS</t>
  </si>
  <si>
    <t>CHOLAMANDALAM IN &amp; FIN CO</t>
  </si>
  <si>
    <t>COAL INDIA</t>
  </si>
  <si>
    <t>COLGATE PALMOLIVE</t>
  </si>
  <si>
    <t>COLPAL</t>
  </si>
  <si>
    <t>CONTAINER CORP OF IND</t>
  </si>
  <si>
    <t>COROMANDEL INTERNTL.</t>
  </si>
  <si>
    <t>CROMPT GREA CON ELEC</t>
  </si>
  <si>
    <t>CITY UNION BANK</t>
  </si>
  <si>
    <t>CUB</t>
  </si>
  <si>
    <t>CUMMINS INDIA</t>
  </si>
  <si>
    <t>DABUR INDIA</t>
  </si>
  <si>
    <t>DALMIA BHARAT</t>
  </si>
  <si>
    <t>DALBHARAT</t>
  </si>
  <si>
    <t>DEEPAK NITRITE</t>
  </si>
  <si>
    <t>DEEPAKNTR</t>
  </si>
  <si>
    <t>DELTA CORP</t>
  </si>
  <si>
    <t>DELTACORP</t>
  </si>
  <si>
    <t>DIVI S LABORATORIES</t>
  </si>
  <si>
    <t>DIXON TECHNO (INDIA)</t>
  </si>
  <si>
    <t>DR. REDDY S LABORATORIES</t>
  </si>
  <si>
    <t>DRREDDY</t>
  </si>
  <si>
    <t>EICHER MOTORS</t>
  </si>
  <si>
    <t>ESCORTS KUBOTA</t>
  </si>
  <si>
    <t>EXIDE INDUSTRIES</t>
  </si>
  <si>
    <t>FEDERAL BANK</t>
  </si>
  <si>
    <t>FIRSTSOURCE SOLU..</t>
  </si>
  <si>
    <t>FSL</t>
  </si>
  <si>
    <t>GAIL (INDIA)</t>
  </si>
  <si>
    <t>GLENMARK PHARMACEUTICALS</t>
  </si>
  <si>
    <t>GMR AIRPORTS INFRA</t>
  </si>
  <si>
    <t>GUJ NAR VAL FER &amp; CHEM L</t>
  </si>
  <si>
    <t>GNFC</t>
  </si>
  <si>
    <t>GODREJ CONSUMER PRODUCTS</t>
  </si>
  <si>
    <t>GODREJ PROPERTIES</t>
  </si>
  <si>
    <t>GODREJPROP</t>
  </si>
  <si>
    <t>GRANULES INDIA</t>
  </si>
  <si>
    <t>GRASIM INDUSTRIES</t>
  </si>
  <si>
    <t>GUJARAT STATE PETRO</t>
  </si>
  <si>
    <t>GSPL</t>
  </si>
  <si>
    <t>GUJARAT GAS</t>
  </si>
  <si>
    <t>GUJGASLTD</t>
  </si>
  <si>
    <t>HINDUSTAN AERONAUTICS</t>
  </si>
  <si>
    <t>HAL</t>
  </si>
  <si>
    <t>HAVELLS INDIA</t>
  </si>
  <si>
    <t>HCL TECHNOLOGIES</t>
  </si>
  <si>
    <t>HDFC AMC</t>
  </si>
  <si>
    <t>HDFCAMC</t>
  </si>
  <si>
    <t>HDFC BANK</t>
  </si>
  <si>
    <t>HDFC LIFE INS CO</t>
  </si>
  <si>
    <t>HDFCLIFE</t>
  </si>
  <si>
    <t>HERO MOTOCORP</t>
  </si>
  <si>
    <t>HINDALCO INDUSTRIES</t>
  </si>
  <si>
    <t>HINDUSTAN COPPER</t>
  </si>
  <si>
    <t>HINDUSTAN PETROLEUM CORP</t>
  </si>
  <si>
    <t>HINDUSTAN UNILEVER.</t>
  </si>
  <si>
    <t>HONEYWELL AUTOMATION IND</t>
  </si>
  <si>
    <t>HONAUT</t>
  </si>
  <si>
    <t>INDIABULLS HSG FIN</t>
  </si>
  <si>
    <t>ICICI BANK.</t>
  </si>
  <si>
    <t>ICICI LOMBARD GIC</t>
  </si>
  <si>
    <t>ICICIGI</t>
  </si>
  <si>
    <t>ICICI PRU LIFE INS CO</t>
  </si>
  <si>
    <t>ICICIPRULI</t>
  </si>
  <si>
    <t>VODAFONE IDEA</t>
  </si>
  <si>
    <t>IDFC FIRST BANK</t>
  </si>
  <si>
    <t>INDIAN ENERGY EXC</t>
  </si>
  <si>
    <t>INDRAPRASTHA GAS</t>
  </si>
  <si>
    <t>THE INDIAN HOTELS CO</t>
  </si>
  <si>
    <t>THE INDIA CEMENTS</t>
  </si>
  <si>
    <t>INDIAMART INTERMESH</t>
  </si>
  <si>
    <t>INDIAMART</t>
  </si>
  <si>
    <t>INTERGLOBE AVIATION</t>
  </si>
  <si>
    <t>INDUSIND BANK</t>
  </si>
  <si>
    <t>INDUS TOWERS</t>
  </si>
  <si>
    <t>INDUSTOWER</t>
  </si>
  <si>
    <t>INFOSYS</t>
  </si>
  <si>
    <t>INTELLECT DESIGN ARENA</t>
  </si>
  <si>
    <t>INDIAN OIL CORP</t>
  </si>
  <si>
    <t>IPCA LABORATORIES</t>
  </si>
  <si>
    <t>INDIAN RAIL TOUR CORP</t>
  </si>
  <si>
    <t>JINDAL STEEL &amp; POWER</t>
  </si>
  <si>
    <t>JK CEMENT</t>
  </si>
  <si>
    <t>JKCEMENT</t>
  </si>
  <si>
    <t>JSW STEEL</t>
  </si>
  <si>
    <t>JUBILANT FOODWORKS</t>
  </si>
  <si>
    <t>KOTAK MAHINDRA BANK</t>
  </si>
  <si>
    <t>KOTAKBANK</t>
  </si>
  <si>
    <t>L&amp;T FINANCE HOLDINGS</t>
  </si>
  <si>
    <t>DR. LAL PATH LABS.</t>
  </si>
  <si>
    <t>LAURUS LABS</t>
  </si>
  <si>
    <t>LAURUSLABS</t>
  </si>
  <si>
    <t>LIC HOUSING FINANCE</t>
  </si>
  <si>
    <t>LARSEN &amp; TOUBRO</t>
  </si>
  <si>
    <t>L&amp;T INFOTECH</t>
  </si>
  <si>
    <t>L&amp;T TECHNOLOGY SER..</t>
  </si>
  <si>
    <t>MAHINDRA &amp; MAHINDRA</t>
  </si>
  <si>
    <t>M&amp;M FIN. SERVICES</t>
  </si>
  <si>
    <t>M&amp;MFIN</t>
  </si>
  <si>
    <t>MANAPPURAM FINANCE</t>
  </si>
  <si>
    <t>MANAPPURAM</t>
  </si>
  <si>
    <t>MARICO</t>
  </si>
  <si>
    <t>MARUTI SUZUKI INDIA.</t>
  </si>
  <si>
    <t>MARUTI</t>
  </si>
  <si>
    <t>UNITED SPIRITS</t>
  </si>
  <si>
    <t>MULTI COMMODITY EXCHANGE</t>
  </si>
  <si>
    <t>METROPOLIS HEALTHCARE</t>
  </si>
  <si>
    <t>METROPOLIS</t>
  </si>
  <si>
    <t>MAX FINANCIAL SERV</t>
  </si>
  <si>
    <t>MFSL</t>
  </si>
  <si>
    <t>MAHANAGAR GAS.</t>
  </si>
  <si>
    <t>MINDTREE</t>
  </si>
  <si>
    <t>SAMVRDHNA MTHRSN INTL</t>
  </si>
  <si>
    <t>MRF</t>
  </si>
  <si>
    <t>MUTHOOT FINANCE</t>
  </si>
  <si>
    <t>NATIONAL ALUMINIUM CO</t>
  </si>
  <si>
    <t>INFO EDGE (I)</t>
  </si>
  <si>
    <t>NAVIN FLUORINE INT.</t>
  </si>
  <si>
    <t>NESTLE INDIA</t>
  </si>
  <si>
    <t>NESTLEIND</t>
  </si>
  <si>
    <t>NMDC.</t>
  </si>
  <si>
    <t>OBEROI REALTY</t>
  </si>
  <si>
    <t>OBEROIRLTY</t>
  </si>
  <si>
    <t>ORACLE FIN SERV SOFT.</t>
  </si>
  <si>
    <t>OFSS</t>
  </si>
  <si>
    <t>OIL AND NATURAL GAS CORP.</t>
  </si>
  <si>
    <t>PAGE INDUSTRIES</t>
  </si>
  <si>
    <t>PAGEIND</t>
  </si>
  <si>
    <t>PIRAMAL ENTERPRISES</t>
  </si>
  <si>
    <t>PEL</t>
  </si>
  <si>
    <t>PERSISTENT SYSTEMS</t>
  </si>
  <si>
    <t>PERSISTENT</t>
  </si>
  <si>
    <t>PETRONET LNG</t>
  </si>
  <si>
    <t>PETRONET</t>
  </si>
  <si>
    <t>POWER FIN CORP.</t>
  </si>
  <si>
    <t>PIDILITE INDUSTRIES</t>
  </si>
  <si>
    <t>PI INDUSTRIES</t>
  </si>
  <si>
    <t>PIIND</t>
  </si>
  <si>
    <t>PUNJAB NATIONAL BANK</t>
  </si>
  <si>
    <t>POLYCAB INDIA</t>
  </si>
  <si>
    <t>POLYCAB</t>
  </si>
  <si>
    <t>POWER GRID CORP.</t>
  </si>
  <si>
    <t>RAIN INDUSTRIES</t>
  </si>
  <si>
    <t>THE RAMCO CEMENTS</t>
  </si>
  <si>
    <t>RAMCOCEM</t>
  </si>
  <si>
    <t>RBL BANK</t>
  </si>
  <si>
    <t>RELIANCE INDUSTRIES</t>
  </si>
  <si>
    <t>STEEL AUTHORITY OF INDIA</t>
  </si>
  <si>
    <t>SBI CARDS &amp; PAY SER</t>
  </si>
  <si>
    <t>SBI LIFE INSURANCE CO</t>
  </si>
  <si>
    <t>STATE BANK OF INDIA</t>
  </si>
  <si>
    <t>SHREE CEMENT</t>
  </si>
  <si>
    <t>SHREECEM</t>
  </si>
  <si>
    <t>SHRIRAM TRANSPORT FIN CO.</t>
  </si>
  <si>
    <t>SUN PHARMACEUTICAL IND L</t>
  </si>
  <si>
    <t>SUN TV NETWORK</t>
  </si>
  <si>
    <t>SYNGENE INTERNATIONAL</t>
  </si>
  <si>
    <t>SYNGENE</t>
  </si>
  <si>
    <t>TATA CHEMICALS</t>
  </si>
  <si>
    <t>TATA COMMUNICATIONS</t>
  </si>
  <si>
    <t>TATA CONSUMER PRODUCT</t>
  </si>
  <si>
    <t>TATA MOTORS</t>
  </si>
  <si>
    <t>TATA POWER CO</t>
  </si>
  <si>
    <t>TATA STEEL</t>
  </si>
  <si>
    <t>TATA CONSULTANCY SERV</t>
  </si>
  <si>
    <t>TECH MAHINDRA</t>
  </si>
  <si>
    <t>TECHM</t>
  </si>
  <si>
    <t>TITAN COMPANY</t>
  </si>
  <si>
    <t>TORRENT PHARMACEUTICALS</t>
  </si>
  <si>
    <t>TORRENT POWER</t>
  </si>
  <si>
    <t>TORNTPOWER</t>
  </si>
  <si>
    <t>TVS MOTOR COMPANY</t>
  </si>
  <si>
    <t>UNITED BREWERIES</t>
  </si>
  <si>
    <t>UBL</t>
  </si>
  <si>
    <t>ULTRATECH CEMENT</t>
  </si>
  <si>
    <t>ULTRACEMCO</t>
  </si>
  <si>
    <t>VEDANTA</t>
  </si>
  <si>
    <t>WHIRLPOOL OF INDIA</t>
  </si>
  <si>
    <t>WHIRLPOOL</t>
  </si>
  <si>
    <t>ZEE ENTERTAINMENT ENT</t>
  </si>
  <si>
    <t>ZYDUS LIFESCIENCES</t>
  </si>
  <si>
    <t>ZYDUSLIFE</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</si>
</sst>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164" formatCode="d/m/yyyy"/>
    <numFmt numFmtId="165" formatCode="_ * #,##0_ ;_ * \-#,##0_ ;_ * &quot;-&quot;??_ ;_ @_ "/>
    <numFmt numFmtId="166" formatCode="[$£-809]#,##0.00"/>
    <numFmt numFmtId="167" formatCode="_ * #,##0.00_ ;_ * \-#,##0.00_ ;_ * &quot;-&quot;??.00_ ;_ @_ "/>
    <numFmt numFmtId="168" formatCode="[Blue]#,##0.00_);[Red]#,##0.00_);_(* &quot;-&quot;??_)"/>
    <numFmt numFmtId="169" formatCode="[Blue]0.00_);[Red]0.00_);_(* &quot;-&quot;??_)"/>
    <numFmt numFmtId="170" formatCode="_ * #,##0.00_ ;_ * \-#,##0.00_ ;_ * &quot;-&quot;??_ ;_ @_ "/>
    <numFmt numFmtId="171" formatCode="[Blue]#,##0_);[Red]#,##0_);_(* &quot;-&quot;??_)"/>
    <numFmt numFmtId="172" formatCode="0.0000"/>
    <numFmt numFmtId="173" formatCode="[Black]0.00"/>
    <numFmt numFmtId="174" formatCode="[Blue]0_);[Red]0_);_(* &quot;-&quot;??_)"/>
    <numFmt numFmtId="175" formatCode="[Blue]0.00_);[Red]\(0.00\)_);_(* &quot;-&quot;??_)"/>
    <numFmt numFmtId="176" formatCode="0.0000%"/>
    <numFmt numFmtId="177" formatCode="ddd"/>
    <numFmt numFmtId="178" formatCode="###0_);\(###0\);_(* &quot;-&quot;_)"/>
    <numFmt numFmtId="179" formatCode="d&quot;-&quot;mmm&quot;-&quot;yy"/>
    <numFmt numFmtId="180" formatCode="\(00.00\);00.00"/>
    <numFmt numFmtId="181" formatCode="ddmmm"/>
    <numFmt numFmtId="182" formatCode="dmmm"/>
    <numFmt numFmtId="183" formatCode="ddmmmm"/>
    <numFmt numFmtId="184" formatCode="[Blue]#,##0.00;[Red]#,##0.00;* &quot;-&quot;????"/>
    <numFmt numFmtId="185" formatCode="0.00_);[Red]\(0.00\)"/>
    <numFmt numFmtId="186" formatCode="[Blue]0.00;[Red]0.00;* &quot;-&quot;????"/>
    <numFmt numFmtId="187" formatCode="[Black]0.00_);[Red]0.00_);_(* &quot;-&quot;??_)"/>
    <numFmt numFmtId="188" formatCode="###0.00_);\(###0.00\);_(* &quot;-&quot;_)"/>
    <numFmt numFmtId="189" formatCode="0.00;[Red]0.00"/>
    <numFmt numFmtId="190" formatCode="0.000%"/>
    <numFmt numFmtId="191" formatCode="0.00000%"/>
    <numFmt numFmtId="192" formatCode="0.000000%"/>
    <numFmt numFmtId="193" formatCode="0\ &quot;Day(s)&quot;"/>
    <numFmt numFmtId="194" formatCode="0.00;[Magenta]____@"/>
    <numFmt numFmtId="195" formatCode="0.00%;[Red]\(0.00%\)"/>
    <numFmt numFmtId="196" formatCode="0.0%"/>
    <numFmt numFmtId="197" formatCode="&quot;Rs.&quot;#,##0"/>
    <numFmt numFmtId="198" formatCode="_(* ###0_);_(* \(###0\);_(* &quot;-&quot;??_);_(@_)"/>
    <numFmt numFmtId="199" formatCode="[Blue]0.00%;[Red]0.00%"/>
    <numFmt numFmtId="200" formatCode="00\ &quot;Y&quot;"/>
    <numFmt numFmtId="201" formatCode="00\ &quot;M&quot;"/>
    <numFmt numFmtId="202" formatCode="00\ &quot;D&quot;"/>
    <numFmt numFmtId="203" formatCode="0.00;0.00;_(* &quot;-&quot;??_)"/>
    <numFmt numFmtId="204" formatCode="[Blue]0.00;[Red]0.00;_(* &quot;-&quot;??_)"/>
    <numFmt numFmtId="205" formatCode="[Blue]0;[Red]0;* &quot;-&quot;?"/>
    <numFmt numFmtId="206" formatCode="0.00_);\(0.00\)"/>
    <numFmt numFmtId="207" formatCode="0_);\(0\)"/>
    <numFmt numFmtId="208" formatCode="mmmm\ d\,\ yyyy"/>
    <numFmt numFmtId="209" formatCode="d\-mmm\-yyyy"/>
    <numFmt numFmtId="210" formatCode="_(* #,##0.00_);_(* \(#,##0.00\);_(* &quot;-&quot;??_);_(@_)"/>
    <numFmt numFmtId="211" formatCode="###0.0000_);\(###0.0000\);_(* &quot;-&quot;_)"/>
    <numFmt numFmtId="212" formatCode="0.0%;[Red]0.0%"/>
  </numFmts>
  <fonts count="60">
    <font>
      <sz val="11"/>
      <color theme="1"/>
      <name val="Calibri"/>
      <scheme val="minor"/>
    </font>
    <font>
      <sz val="8"/>
      <color rgb="FFFFFFFF"/>
      <name val="Verdana"/>
      <family val="2"/>
    </font>
    <font>
      <sz val="11"/>
      <color theme="1"/>
      <name val="Arial"/>
      <family val="2"/>
    </font>
    <font>
      <sz val="8"/>
      <color theme="1"/>
      <name val="Verdana"/>
      <family val="2"/>
    </font>
    <font>
      <sz val="8"/>
      <color rgb="FFFF0000"/>
      <name val="Verdana"/>
      <family val="2"/>
    </font>
    <font>
      <sz val="11"/>
      <color theme="1"/>
      <name val="Calibri"/>
      <family val="2"/>
    </font>
    <font>
      <sz val="8"/>
      <color rgb="FFB6D7A8"/>
      <name val="Verdana"/>
      <family val="2"/>
    </font>
    <font>
      <sz val="8"/>
      <color rgb="FF000000"/>
      <name val="Verdana"/>
      <family val="2"/>
    </font>
    <font>
      <u/>
      <sz val="8"/>
      <color theme="1"/>
      <name val="Verdana"/>
      <family val="2"/>
    </font>
    <font>
      <b/>
      <sz val="8"/>
      <color theme="1"/>
      <name val="Verdana"/>
      <family val="2"/>
    </font>
    <font>
      <sz val="8"/>
      <color rgb="FF85200C"/>
      <name val="Verdana"/>
      <family val="2"/>
    </font>
    <font>
      <i/>
      <u/>
      <sz val="8"/>
      <color theme="1"/>
      <name val="Verdana"/>
      <family val="2"/>
    </font>
    <font>
      <i/>
      <u/>
      <sz val="8"/>
      <color theme="1"/>
      <name val="Verdana"/>
      <family val="2"/>
    </font>
    <font>
      <i/>
      <u/>
      <sz val="8"/>
      <color theme="1"/>
      <name val="Verdana"/>
      <family val="2"/>
    </font>
    <font>
      <i/>
      <u/>
      <sz val="8"/>
      <color theme="1"/>
      <name val="Verdana"/>
      <family val="2"/>
    </font>
    <font>
      <i/>
      <u/>
      <sz val="8"/>
      <color rgb="FF008000"/>
      <name val="Verdana"/>
      <family val="2"/>
    </font>
    <font>
      <i/>
      <u/>
      <sz val="8"/>
      <color theme="1"/>
      <name val="Verdana"/>
      <family val="2"/>
    </font>
    <font>
      <sz val="8"/>
      <color rgb="FF0000FF"/>
      <name val="Verdana"/>
      <family val="2"/>
    </font>
    <font>
      <sz val="8"/>
      <color rgb="FF0000CC"/>
      <name val="Verdana"/>
      <family val="2"/>
    </font>
    <font>
      <sz val="11"/>
      <color theme="1"/>
      <name val="Calibri"/>
      <family val="2"/>
      <scheme val="minor"/>
    </font>
    <font>
      <sz val="11"/>
      <name val="Calibri"/>
      <family val="2"/>
    </font>
    <font>
      <i/>
      <sz val="8"/>
      <color theme="1"/>
      <name val="Verdana"/>
      <family val="2"/>
    </font>
    <font>
      <sz val="8"/>
      <color rgb="FF008000"/>
      <name val="Verdana"/>
      <family val="2"/>
    </font>
    <font>
      <u/>
      <sz val="8"/>
      <color rgb="FFFF6600"/>
      <name val="Verdana"/>
      <family val="2"/>
    </font>
    <font>
      <u/>
      <sz val="8"/>
      <color rgb="FFFF6600"/>
      <name val="Verdana"/>
      <family val="2"/>
    </font>
    <font>
      <sz val="8"/>
      <color rgb="FFFF6600"/>
      <name val="Verdana"/>
      <family val="2"/>
    </font>
    <font>
      <u/>
      <sz val="8"/>
      <color rgb="FF808000"/>
      <name val="Verdana"/>
      <family val="2"/>
    </font>
    <font>
      <u/>
      <sz val="8"/>
      <color rgb="FF808000"/>
      <name val="Verdana"/>
      <family val="2"/>
    </font>
    <font>
      <sz val="8"/>
      <color rgb="FF808000"/>
      <name val="Verdana"/>
      <family val="2"/>
    </font>
    <font>
      <u/>
      <sz val="8"/>
      <color rgb="FF008000"/>
      <name val="Verdana"/>
      <family val="2"/>
    </font>
    <font>
      <u/>
      <sz val="8"/>
      <color rgb="FF008000"/>
      <name val="Verdana"/>
      <family val="2"/>
    </font>
    <font>
      <u/>
      <sz val="8"/>
      <color rgb="FFFF0000"/>
      <name val="Verdana"/>
      <family val="2"/>
    </font>
    <font>
      <u/>
      <sz val="8"/>
      <color rgb="FF0000FF"/>
      <name val="Verdana"/>
      <family val="2"/>
    </font>
    <font>
      <b/>
      <u/>
      <sz val="8"/>
      <color rgb="FFFF0000"/>
      <name val="Verdana"/>
      <family val="2"/>
    </font>
    <font>
      <u/>
      <sz val="8"/>
      <color rgb="FFFF00FF"/>
      <name val="Verdana"/>
      <family val="2"/>
    </font>
    <font>
      <sz val="8"/>
      <color rgb="FF741B47"/>
      <name val="Verdana"/>
      <family val="2"/>
    </font>
    <font>
      <sz val="8"/>
      <color rgb="FFC55A11"/>
      <name val="Verdana"/>
      <family val="2"/>
    </font>
    <font>
      <sz val="8"/>
      <color rgb="FFFF00FF"/>
      <name val="Verdana"/>
      <family val="2"/>
    </font>
    <font>
      <b/>
      <sz val="8"/>
      <color rgb="FF0000FF"/>
      <name val="Verdana"/>
      <family val="2"/>
    </font>
    <font>
      <b/>
      <sz val="8"/>
      <color rgb="FF000000"/>
      <name val="Verdana"/>
      <family val="2"/>
    </font>
    <font>
      <sz val="8"/>
      <color rgb="FFD9D9D9"/>
      <name val="Verdana"/>
      <family val="2"/>
    </font>
    <font>
      <b/>
      <sz val="8"/>
      <color rgb="FF3A2D7D"/>
      <name val="Verdana"/>
      <family val="2"/>
    </font>
    <font>
      <u/>
      <sz val="8"/>
      <color rgb="FFFFFFFF"/>
      <name val="Verdana"/>
      <family val="2"/>
    </font>
    <font>
      <sz val="8"/>
      <color rgb="FF4A4A4A"/>
      <name val="Verdana"/>
      <family val="2"/>
    </font>
    <font>
      <sz val="8"/>
      <color rgb="FF3A2D7D"/>
      <name val="Verdana"/>
      <family val="2"/>
    </font>
    <font>
      <sz val="8"/>
      <color rgb="FF383838"/>
      <name val="Verdana"/>
      <family val="2"/>
    </font>
    <font>
      <sz val="9"/>
      <color rgb="FF383838"/>
      <name val="Open Sans"/>
    </font>
    <font>
      <b/>
      <sz val="11"/>
      <color theme="1"/>
      <name val="Calibri"/>
      <family val="2"/>
    </font>
    <font>
      <b/>
      <sz val="11"/>
      <color rgb="FF9900FF"/>
      <name val="Calibri"/>
      <family val="2"/>
    </font>
    <font>
      <b/>
      <sz val="11"/>
      <color theme="1"/>
      <name val="Circularxxsub-bold"/>
    </font>
    <font>
      <sz val="11"/>
      <color rgb="FFFFFFFF"/>
      <name val="Calibri"/>
      <family val="2"/>
    </font>
    <font>
      <u/>
      <sz val="11"/>
      <color theme="1"/>
      <name val="Calibri"/>
      <family val="2"/>
    </font>
    <font>
      <i/>
      <u/>
      <sz val="8"/>
      <color rgb="FFFF0000"/>
      <name val="Verdana"/>
      <family val="2"/>
    </font>
    <font>
      <i/>
      <u/>
      <sz val="8"/>
      <color rgb="FF0000FF"/>
      <name val="Verdana"/>
      <family val="2"/>
    </font>
    <font>
      <i/>
      <u/>
      <sz val="8"/>
      <color rgb="FF0000CC"/>
      <name val="Verdana"/>
      <family val="2"/>
    </font>
    <font>
      <i/>
      <sz val="8"/>
      <color rgb="FFFF0000"/>
      <name val="Verdana"/>
      <family val="2"/>
    </font>
    <font>
      <i/>
      <sz val="8"/>
      <color rgb="FF0000FF"/>
      <name val="Verdana"/>
      <family val="2"/>
    </font>
    <font>
      <b/>
      <sz val="11"/>
      <color rgb="FFC00000"/>
      <name val="Calibri"/>
      <family val="2"/>
    </font>
    <font>
      <b/>
      <sz val="11"/>
      <color rgb="FFC55A11"/>
      <name val="Calibri"/>
      <family val="2"/>
    </font>
    <font>
      <b/>
      <sz val="11"/>
      <color rgb="FFFF0000"/>
      <name val="Calibri"/>
      <family val="2"/>
    </font>
  </fonts>
  <fills count="57">
    <fill>
      <patternFill patternType="none"/>
    </fill>
    <fill>
      <patternFill patternType="gray125"/>
    </fill>
    <fill>
      <patternFill patternType="solid">
        <fgColor rgb="FFA5A5A5"/>
        <bgColor rgb="FFA5A5A5"/>
      </patternFill>
    </fill>
    <fill>
      <patternFill patternType="solid">
        <fgColor rgb="FFE2EFD9"/>
        <bgColor rgb="FFE2EFD9"/>
      </patternFill>
    </fill>
    <fill>
      <patternFill patternType="solid">
        <fgColor rgb="FFFEF2CB"/>
        <bgColor rgb="FFFEF2CB"/>
      </patternFill>
    </fill>
    <fill>
      <patternFill patternType="solid">
        <fgColor rgb="FFECECEC"/>
        <bgColor rgb="FFECECEC"/>
      </patternFill>
    </fill>
    <fill>
      <patternFill patternType="solid">
        <fgColor rgb="FFF3F3F3"/>
        <bgColor rgb="FFF3F3F3"/>
      </patternFill>
    </fill>
    <fill>
      <patternFill patternType="solid">
        <fgColor rgb="FFC9DAF8"/>
        <bgColor rgb="FFC9DAF8"/>
      </patternFill>
    </fill>
    <fill>
      <patternFill patternType="solid">
        <fgColor rgb="FFEFEFEF"/>
        <bgColor rgb="FFEFEFEF"/>
      </patternFill>
    </fill>
    <fill>
      <patternFill patternType="solid">
        <fgColor rgb="FFFFFFCC"/>
        <bgColor rgb="FFFFFFCC"/>
      </patternFill>
    </fill>
    <fill>
      <patternFill patternType="solid">
        <fgColor rgb="FFF2F2F2"/>
        <bgColor rgb="FFF2F2F2"/>
      </patternFill>
    </fill>
    <fill>
      <patternFill patternType="solid">
        <fgColor rgb="FFD9EAD3"/>
        <bgColor rgb="FFD9EAD3"/>
      </patternFill>
    </fill>
    <fill>
      <patternFill patternType="solid">
        <fgColor rgb="FFDAF6FE"/>
        <bgColor rgb="FFDAF6FE"/>
      </patternFill>
    </fill>
    <fill>
      <patternFill patternType="solid">
        <fgColor rgb="FFFEF0F2"/>
        <bgColor rgb="FFFEF0F2"/>
      </patternFill>
    </fill>
    <fill>
      <patternFill patternType="solid">
        <fgColor rgb="FFFFE598"/>
        <bgColor rgb="FFFFE598"/>
      </patternFill>
    </fill>
    <fill>
      <patternFill patternType="solid">
        <fgColor rgb="FFE2E2E2"/>
        <bgColor rgb="FFE2E2E2"/>
      </patternFill>
    </fill>
    <fill>
      <patternFill patternType="solid">
        <fgColor rgb="FFFBE4D5"/>
        <bgColor rgb="FFFBE4D5"/>
      </patternFill>
    </fill>
    <fill>
      <patternFill patternType="solid">
        <fgColor rgb="FFE5DFEC"/>
        <bgColor rgb="FFE5DFEC"/>
      </patternFill>
    </fill>
    <fill>
      <patternFill patternType="solid">
        <fgColor rgb="FFD8D8D8"/>
        <bgColor rgb="FFD8D8D8"/>
      </patternFill>
    </fill>
    <fill>
      <patternFill patternType="solid">
        <fgColor rgb="FFD9E2F3"/>
        <bgColor rgb="FFD9E2F3"/>
      </patternFill>
    </fill>
    <fill>
      <patternFill patternType="solid">
        <fgColor rgb="FFE9EDF7"/>
        <bgColor rgb="FFE9EDF7"/>
      </patternFill>
    </fill>
    <fill>
      <patternFill patternType="solid">
        <fgColor rgb="FFDDD9C3"/>
        <bgColor rgb="FFDDD9C3"/>
      </patternFill>
    </fill>
    <fill>
      <patternFill patternType="solid">
        <fgColor rgb="FFC5E0B3"/>
        <bgColor rgb="FFC5E0B3"/>
      </patternFill>
    </fill>
    <fill>
      <patternFill patternType="solid">
        <fgColor rgb="FFFCE5CD"/>
        <bgColor rgb="FFFCE5CD"/>
      </patternFill>
    </fill>
    <fill>
      <patternFill patternType="solid">
        <fgColor rgb="FFFDE9D9"/>
        <bgColor rgb="FFFDE9D9"/>
      </patternFill>
    </fill>
    <fill>
      <patternFill patternType="solid">
        <fgColor rgb="FFDAEEF3"/>
        <bgColor rgb="FFDAEEF3"/>
      </patternFill>
    </fill>
    <fill>
      <patternFill patternType="solid">
        <fgColor rgb="FFEAF1DD"/>
        <bgColor rgb="FFEAF1DD"/>
      </patternFill>
    </fill>
    <fill>
      <patternFill patternType="solid">
        <fgColor rgb="FFF2DBDB"/>
        <bgColor rgb="FFF2DBDB"/>
      </patternFill>
    </fill>
    <fill>
      <patternFill patternType="solid">
        <fgColor rgb="FFD9D9D9"/>
        <bgColor rgb="FFD9D9D9"/>
      </patternFill>
    </fill>
    <fill>
      <patternFill patternType="solid">
        <fgColor rgb="FFFFD965"/>
        <bgColor rgb="FFFFD965"/>
      </patternFill>
    </fill>
    <fill>
      <patternFill patternType="solid">
        <fgColor rgb="FFCFE2F3"/>
        <bgColor rgb="FFCFE2F3"/>
      </patternFill>
    </fill>
    <fill>
      <patternFill patternType="solid">
        <fgColor rgb="FFFFFF00"/>
        <bgColor rgb="FFFFFF00"/>
      </patternFill>
    </fill>
    <fill>
      <patternFill patternType="solid">
        <fgColor rgb="FFFFF2CC"/>
        <bgColor rgb="FFFFF2CC"/>
      </patternFill>
    </fill>
    <fill>
      <patternFill patternType="solid">
        <fgColor rgb="FFFFFFFF"/>
        <bgColor rgb="FFFFFFFF"/>
      </patternFill>
    </fill>
    <fill>
      <patternFill patternType="solid">
        <fgColor rgb="FF3A2D7D"/>
        <bgColor rgb="FF3A2D7D"/>
      </patternFill>
    </fill>
    <fill>
      <patternFill patternType="solid">
        <fgColor rgb="FFF4B083"/>
        <bgColor rgb="FFF4B083"/>
      </patternFill>
    </fill>
    <fill>
      <patternFill patternType="solid">
        <fgColor rgb="FF99CC00"/>
        <bgColor rgb="FF99CC00"/>
      </patternFill>
    </fill>
    <fill>
      <patternFill patternType="solid">
        <fgColor rgb="FFE5B8B7"/>
        <bgColor rgb="FFE5B8B7"/>
      </patternFill>
    </fill>
    <fill>
      <patternFill patternType="solid">
        <fgColor rgb="FF00FFFF"/>
        <bgColor rgb="FF00FFFF"/>
      </patternFill>
    </fill>
    <fill>
      <patternFill patternType="solid">
        <fgColor rgb="FFF4CCCC"/>
        <bgColor rgb="FFF4CCCC"/>
      </patternFill>
    </fill>
    <fill>
      <patternFill patternType="solid">
        <fgColor rgb="FFE1F0DC"/>
        <bgColor rgb="FFE1F0DC"/>
      </patternFill>
    </fill>
    <fill>
      <patternFill patternType="solid">
        <fgColor rgb="FFFFF0C8"/>
        <bgColor rgb="FFFFF0C8"/>
      </patternFill>
    </fill>
    <fill>
      <patternFill patternType="solid">
        <fgColor rgb="FFD7D7D7"/>
        <bgColor rgb="FFD7D7D7"/>
      </patternFill>
    </fill>
    <fill>
      <patternFill patternType="solid">
        <fgColor rgb="FFE1FFCD"/>
        <bgColor rgb="FFE1FFCD"/>
      </patternFill>
    </fill>
    <fill>
      <patternFill patternType="solid">
        <fgColor rgb="FFCDEBFF"/>
        <bgColor rgb="FFCDEBFF"/>
      </patternFill>
    </fill>
    <fill>
      <patternFill patternType="solid">
        <fgColor rgb="FF9BBEE6"/>
        <bgColor rgb="FF9BBEE6"/>
      </patternFill>
    </fill>
    <fill>
      <patternFill patternType="solid">
        <fgColor rgb="FFCDDCB4"/>
        <bgColor rgb="FFCDDCB4"/>
      </patternFill>
    </fill>
    <fill>
      <patternFill patternType="solid">
        <fgColor rgb="FF96C864"/>
        <bgColor rgb="FF96C864"/>
      </patternFill>
    </fill>
    <fill>
      <patternFill patternType="solid">
        <fgColor rgb="FFFFC832"/>
        <bgColor rgb="FFFFC832"/>
      </patternFill>
    </fill>
    <fill>
      <patternFill patternType="solid">
        <fgColor rgb="FFFFDCBE"/>
        <bgColor rgb="FFFFDCBE"/>
      </patternFill>
    </fill>
    <fill>
      <patternFill patternType="solid">
        <fgColor rgb="FFC8C8FF"/>
        <bgColor rgb="FFC8C8FF"/>
      </patternFill>
    </fill>
    <fill>
      <patternFill patternType="solid">
        <fgColor rgb="FFFFFF78"/>
        <bgColor rgb="FFFFFF78"/>
      </patternFill>
    </fill>
    <fill>
      <patternFill patternType="solid">
        <fgColor rgb="FFFFC8C8"/>
        <bgColor rgb="FFFFC8C8"/>
      </patternFill>
    </fill>
    <fill>
      <patternFill patternType="solid">
        <fgColor rgb="FFC8AAE1"/>
        <bgColor rgb="FFC8AAE1"/>
      </patternFill>
    </fill>
    <fill>
      <patternFill patternType="solid">
        <fgColor rgb="FFB4E6F0"/>
        <bgColor rgb="FFB4E6F0"/>
      </patternFill>
    </fill>
    <fill>
      <patternFill patternType="solid">
        <fgColor rgb="FFFF7878"/>
        <bgColor rgb="FFFF7878"/>
      </patternFill>
    </fill>
    <fill>
      <patternFill patternType="solid">
        <fgColor rgb="FF2E4760"/>
        <bgColor rgb="FF2E4760"/>
      </patternFill>
    </fill>
  </fills>
  <borders count="84">
    <border>
      <left/>
      <right/>
      <top/>
      <bottom/>
      <diagonal/>
    </border>
    <border>
      <left style="thin">
        <color rgb="FFD8D8D8"/>
      </left>
      <right style="thin">
        <color rgb="FFD8D8D8"/>
      </right>
      <top style="thin">
        <color rgb="FFD8D8D8"/>
      </top>
      <bottom/>
      <diagonal/>
    </border>
    <border>
      <left style="thin">
        <color rgb="FFD8D8D8"/>
      </left>
      <right style="thin">
        <color rgb="FFCCCCCC"/>
      </right>
      <top style="thin">
        <color rgb="FFD8D8D8"/>
      </top>
      <bottom/>
      <diagonal/>
    </border>
    <border>
      <left style="thin">
        <color rgb="FFCCCCCC"/>
      </left>
      <right style="thin">
        <color rgb="FFCCCCCC"/>
      </right>
      <top style="thin">
        <color rgb="FFCCCCCC"/>
      </top>
      <bottom style="thin">
        <color rgb="FFCCCCCC"/>
      </bottom>
      <diagonal/>
    </border>
    <border>
      <left style="thin">
        <color rgb="FFCCCCCC"/>
      </left>
      <right style="thin">
        <color rgb="FFCCCCCC"/>
      </right>
      <top style="thin">
        <color rgb="FFCCCCCC"/>
      </top>
      <bottom/>
      <diagonal/>
    </border>
    <border>
      <left style="thin">
        <color rgb="FFD8D8D8"/>
      </left>
      <right style="thin">
        <color rgb="FFD8D8D8"/>
      </right>
      <top/>
      <bottom/>
      <diagonal/>
    </border>
    <border>
      <left style="thin">
        <color rgb="FFD8D8D8"/>
      </left>
      <right style="thin">
        <color rgb="FFD8D8D8"/>
      </right>
      <top style="thin">
        <color rgb="FF000000"/>
      </top>
      <bottom style="medium">
        <color rgb="FF000000"/>
      </bottom>
      <diagonal/>
    </border>
    <border>
      <left style="thin">
        <color rgb="FFD8D8D8"/>
      </left>
      <right style="thin">
        <color rgb="FFD8D8D8"/>
      </right>
      <top style="thin">
        <color rgb="FFD8D8D8"/>
      </top>
      <bottom style="thin">
        <color rgb="FFD8D8D8"/>
      </bottom>
      <diagonal/>
    </border>
    <border>
      <left style="thin">
        <color rgb="FFD8D8D8"/>
      </left>
      <right style="thin">
        <color rgb="FFCCCCCC"/>
      </right>
      <top style="thin">
        <color rgb="FFD8D8D8"/>
      </top>
      <bottom style="thin">
        <color rgb="FFD8D8D8"/>
      </bottom>
      <diagonal/>
    </border>
    <border>
      <left/>
      <right style="thin">
        <color rgb="FFD8D8D8"/>
      </right>
      <top style="thin">
        <color rgb="FFD8D8D8"/>
      </top>
      <bottom/>
      <diagonal/>
    </border>
    <border>
      <left style="thin">
        <color rgb="FFD9D9D9"/>
      </left>
      <right style="thin">
        <color rgb="FFD9D9D9"/>
      </right>
      <top style="thin">
        <color rgb="FFD9D9D9"/>
      </top>
      <bottom style="thin">
        <color rgb="FFD9D9D9"/>
      </bottom>
      <diagonal/>
    </border>
    <border>
      <left style="thin">
        <color rgb="FFD8D8D8"/>
      </left>
      <right/>
      <top style="thin">
        <color rgb="FFD8D8D8"/>
      </top>
      <bottom style="thin">
        <color rgb="FFD8D8D8"/>
      </bottom>
      <diagonal/>
    </border>
    <border>
      <left/>
      <right style="thin">
        <color rgb="FFCCCCCC"/>
      </right>
      <top style="thin">
        <color rgb="FFCCCCCC"/>
      </top>
      <bottom style="thin">
        <color rgb="FFCCCCCC"/>
      </bottom>
      <diagonal/>
    </border>
    <border>
      <left style="thin">
        <color rgb="FFCCCCCC"/>
      </left>
      <right style="thin">
        <color rgb="FFCCCCCC"/>
      </right>
      <top style="thin">
        <color rgb="FF000000"/>
      </top>
      <bottom style="medium">
        <color rgb="FF000000"/>
      </bottom>
      <diagonal/>
    </border>
    <border>
      <left style="thin">
        <color rgb="FFCCCCCC"/>
      </left>
      <right style="thin">
        <color rgb="FFCCCCCC"/>
      </right>
      <top style="thin">
        <color rgb="FFCCCCCC"/>
      </top>
      <bottom/>
      <diagonal/>
    </border>
    <border>
      <left style="thin">
        <color rgb="FFCCCCCC"/>
      </left>
      <right/>
      <top/>
      <bottom/>
      <diagonal/>
    </border>
    <border>
      <left style="thin">
        <color rgb="FFCCCCCC"/>
      </left>
      <right style="thin">
        <color rgb="FFCCCCCC"/>
      </right>
      <top/>
      <bottom style="thin">
        <color rgb="FFCCCCCC"/>
      </bottom>
      <diagonal/>
    </border>
    <border>
      <left style="thin">
        <color rgb="FFCCCCCC"/>
      </left>
      <right/>
      <top style="thin">
        <color rgb="FFCCCCCC"/>
      </top>
      <bottom style="thin">
        <color rgb="FFCCCCCC"/>
      </bottom>
      <diagonal/>
    </border>
    <border>
      <left style="thin">
        <color rgb="FFD9D9D9"/>
      </left>
      <right style="thin">
        <color rgb="FFD9D9D9"/>
      </right>
      <top style="thin">
        <color rgb="FFD9D9D9"/>
      </top>
      <bottom/>
      <diagonal/>
    </border>
    <border>
      <left/>
      <right style="thin">
        <color rgb="FFCCCCCC"/>
      </right>
      <top style="thin">
        <color rgb="FFCCCCCC"/>
      </top>
      <bottom/>
      <diagonal/>
    </border>
    <border>
      <left/>
      <right style="thin">
        <color rgb="FFCCCCCC"/>
      </right>
      <top style="thin">
        <color rgb="FF000000"/>
      </top>
      <bottom style="medium">
        <color rgb="FF000000"/>
      </bottom>
      <diagonal/>
    </border>
    <border>
      <left style="thin">
        <color rgb="FFD9D9D9"/>
      </left>
      <right style="thin">
        <color rgb="FFD9D9D9"/>
      </right>
      <top/>
      <bottom style="thin">
        <color rgb="FFD9D9D9"/>
      </bottom>
      <diagonal/>
    </border>
    <border>
      <left style="thin">
        <color rgb="FFD9D9D9"/>
      </left>
      <right style="thin">
        <color rgb="FFD9D9D9"/>
      </right>
      <top style="thin">
        <color rgb="FFD9D9D9"/>
      </top>
      <bottom/>
      <diagonal/>
    </border>
    <border>
      <left style="thin">
        <color rgb="FFD9D9D9"/>
      </left>
      <right style="thin">
        <color rgb="FFD9D9D9"/>
      </right>
      <top/>
      <bottom style="thin">
        <color rgb="FFD9D9D9"/>
      </bottom>
      <diagonal/>
    </border>
    <border>
      <left style="thin">
        <color rgb="FFD9D9D9"/>
      </left>
      <right/>
      <top/>
      <bottom style="thin">
        <color rgb="FFD9D9D9"/>
      </bottom>
      <diagonal/>
    </border>
    <border>
      <left style="thin">
        <color rgb="FFD9D9D9"/>
      </left>
      <right/>
      <top/>
      <bottom/>
      <diagonal/>
    </border>
    <border>
      <left style="thin">
        <color rgb="FFD9D9D9"/>
      </left>
      <right/>
      <top style="thin">
        <color rgb="FFD9D9D9"/>
      </top>
      <bottom style="thin">
        <color rgb="FFD9D9D9"/>
      </bottom>
      <diagonal/>
    </border>
    <border>
      <left/>
      <right/>
      <top/>
      <bottom/>
      <diagonal/>
    </border>
    <border>
      <left style="thin">
        <color rgb="FFD9D9D9"/>
      </left>
      <right/>
      <top style="thin">
        <color rgb="FFD9D9D9"/>
      </top>
      <bottom style="thin">
        <color rgb="FFD9D9D9"/>
      </bottom>
      <diagonal/>
    </border>
    <border>
      <left style="thin">
        <color rgb="FFCCCCCC"/>
      </left>
      <right/>
      <top style="thin">
        <color rgb="FFCCCCCC"/>
      </top>
      <bottom style="thin">
        <color rgb="FFCCCCCC"/>
      </bottom>
      <diagonal/>
    </border>
    <border>
      <left/>
      <right/>
      <top style="thin">
        <color rgb="FFCCCCCC"/>
      </top>
      <bottom style="thin">
        <color rgb="FFCCCCCC"/>
      </bottom>
      <diagonal/>
    </border>
    <border>
      <left/>
      <right style="thin">
        <color rgb="FFCCCCCC"/>
      </right>
      <top style="thin">
        <color rgb="FFCCCCCC"/>
      </top>
      <bottom style="thin">
        <color rgb="FFCCCCCC"/>
      </bottom>
      <diagonal/>
    </border>
    <border>
      <left/>
      <right/>
      <top/>
      <bottom/>
      <diagonal/>
    </border>
    <border>
      <left/>
      <right/>
      <top/>
      <bottom/>
      <diagonal/>
    </border>
    <border>
      <left/>
      <right/>
      <top/>
      <bottom/>
      <diagonal/>
    </border>
    <border>
      <left style="thin">
        <color rgb="FFCCCCCC"/>
      </left>
      <right/>
      <top style="thin">
        <color rgb="FFCCCCCC"/>
      </top>
      <bottom/>
      <diagonal/>
    </border>
    <border>
      <left/>
      <right/>
      <top style="thin">
        <color rgb="FFCCCCCC"/>
      </top>
      <bottom/>
      <diagonal/>
    </border>
    <border>
      <left/>
      <right style="thin">
        <color rgb="FFCCCCCC"/>
      </right>
      <top style="thin">
        <color rgb="FFCCCCCC"/>
      </top>
      <bottom/>
      <diagonal/>
    </border>
    <border>
      <left/>
      <right/>
      <top style="thin">
        <color rgb="FFCCCCCC"/>
      </top>
      <bottom style="thin">
        <color rgb="FFCCCCCC"/>
      </bottom>
      <diagonal/>
    </border>
    <border>
      <left/>
      <right style="thin">
        <color rgb="FFCCCCCC"/>
      </right>
      <top/>
      <bottom/>
      <diagonal/>
    </border>
    <border>
      <left style="thin">
        <color rgb="FFCCCCCC"/>
      </left>
      <right style="thin">
        <color rgb="FFCCCCCC"/>
      </right>
      <top/>
      <bottom/>
      <diagonal/>
    </border>
    <border>
      <left/>
      <right/>
      <top style="thin">
        <color rgb="FFCCCCCC"/>
      </top>
      <bottom/>
      <diagonal/>
    </border>
    <border>
      <left/>
      <right style="thin">
        <color rgb="FFCCCCCC"/>
      </right>
      <top style="thin">
        <color rgb="FFCCCCCC"/>
      </top>
      <bottom/>
      <diagonal/>
    </border>
    <border>
      <left style="thin">
        <color rgb="FFCCCCCC"/>
      </left>
      <right/>
      <top/>
      <bottom style="thin">
        <color rgb="FFCCCCCC"/>
      </bottom>
      <diagonal/>
    </border>
    <border>
      <left/>
      <right/>
      <top/>
      <bottom style="thin">
        <color rgb="FFCCCCCC"/>
      </bottom>
      <diagonal/>
    </border>
    <border>
      <left/>
      <right style="thin">
        <color rgb="FFCCCCCC"/>
      </right>
      <top/>
      <bottom style="thin">
        <color rgb="FFCCCCCC"/>
      </bottom>
      <diagonal/>
    </border>
    <border>
      <left style="thin">
        <color rgb="FFCCCCCC"/>
      </left>
      <right style="thin">
        <color rgb="FFCCCCCC"/>
      </right>
      <top style="thin">
        <color rgb="FFD9D9D9"/>
      </top>
      <bottom/>
      <diagonal/>
    </border>
    <border>
      <left/>
      <right style="thin">
        <color rgb="FFCCCCCC"/>
      </right>
      <top style="thin">
        <color rgb="FFD9D9D9"/>
      </top>
      <bottom/>
      <diagonal/>
    </border>
    <border>
      <left style="thin">
        <color rgb="FFCCCCCC"/>
      </left>
      <right style="thin">
        <color rgb="FFCCCCCC"/>
      </right>
      <top/>
      <bottom/>
      <diagonal/>
    </border>
    <border>
      <left style="thin">
        <color rgb="FFCCCCCC"/>
      </left>
      <right/>
      <top/>
      <bottom/>
      <diagonal/>
    </border>
    <border>
      <left style="thin">
        <color rgb="FFCCCCCC"/>
      </left>
      <right/>
      <top style="thin">
        <color rgb="FFCCCCCC"/>
      </top>
      <bottom/>
      <diagonal/>
    </border>
    <border>
      <left/>
      <right style="thin">
        <color rgb="FFCCCCCC"/>
      </right>
      <top/>
      <bottom/>
      <diagonal/>
    </border>
    <border>
      <left style="thin">
        <color rgb="FFCCCCCC"/>
      </left>
      <right style="thin">
        <color rgb="FFCCCCCC"/>
      </right>
      <top/>
      <bottom/>
      <diagonal/>
    </border>
    <border>
      <left style="thin">
        <color rgb="FFCCCCCC"/>
      </left>
      <right/>
      <top/>
      <bottom/>
      <diagonal/>
    </border>
    <border>
      <left style="thin">
        <color rgb="FFCCCCCC"/>
      </left>
      <right/>
      <top/>
      <bottom/>
      <diagonal/>
    </border>
    <border>
      <left style="thin">
        <color rgb="FFCCCCCC"/>
      </left>
      <right/>
      <top/>
      <bottom style="thin">
        <color rgb="FFCCCCCC"/>
      </bottom>
      <diagonal/>
    </border>
    <border>
      <left/>
      <right/>
      <top style="thin">
        <color rgb="FFCCCCCC"/>
      </top>
      <bottom style="thin">
        <color rgb="FF00FF00"/>
      </bottom>
      <diagonal/>
    </border>
    <border>
      <left/>
      <right style="thin">
        <color rgb="FFCCCCCC"/>
      </right>
      <top style="thin">
        <color rgb="FFCCCCCC"/>
      </top>
      <bottom style="thin">
        <color rgb="FF00FF00"/>
      </bottom>
      <diagonal/>
    </border>
    <border>
      <left style="thin">
        <color rgb="FFD9D9D9"/>
      </left>
      <right style="thin">
        <color rgb="FFD9D9D9"/>
      </right>
      <top style="thin">
        <color rgb="FFD9D9D9"/>
      </top>
      <bottom style="thin">
        <color rgb="FF00FF00"/>
      </bottom>
      <diagonal/>
    </border>
    <border>
      <left style="thin">
        <color rgb="FFCCCCCC"/>
      </left>
      <right/>
      <top style="thin">
        <color rgb="FF000000"/>
      </top>
      <bottom style="thin">
        <color rgb="FF000000"/>
      </bottom>
      <diagonal/>
    </border>
    <border>
      <left/>
      <right style="thin">
        <color rgb="FFCCCCCC"/>
      </right>
      <top/>
      <bottom style="thin">
        <color rgb="FFCCCCCC"/>
      </bottom>
      <diagonal/>
    </border>
    <border>
      <left/>
      <right/>
      <top/>
      <bottom style="thin">
        <color rgb="FFCCCCCC"/>
      </bottom>
      <diagonal/>
    </border>
    <border>
      <left/>
      <right style="thin">
        <color rgb="FFCCCCCC"/>
      </right>
      <top/>
      <bottom style="thin">
        <color rgb="FFCCCCCC"/>
      </bottom>
      <diagonal/>
    </border>
    <border>
      <left style="thin">
        <color rgb="FFCCCCCC"/>
      </left>
      <right style="thin">
        <color rgb="FFCCCCCC"/>
      </right>
      <top/>
      <bottom style="thin">
        <color rgb="FFCCCCCC"/>
      </bottom>
      <diagonal/>
    </border>
    <border>
      <left/>
      <right style="thin">
        <color rgb="FFCCCCCC"/>
      </right>
      <top/>
      <bottom/>
      <diagonal/>
    </border>
    <border>
      <left/>
      <right style="thin">
        <color rgb="FFCCCCCC"/>
      </right>
      <top/>
      <bottom style="thin">
        <color rgb="FFCCCCCC"/>
      </bottom>
      <diagonal/>
    </border>
    <border>
      <left style="thin">
        <color rgb="FFCCCCCC"/>
      </left>
      <right style="thin">
        <color rgb="FFCCCCCC"/>
      </right>
      <top style="thin">
        <color rgb="FF000000"/>
      </top>
      <bottom style="thin">
        <color rgb="FF000000"/>
      </bottom>
      <diagonal/>
    </border>
    <border>
      <left style="thin">
        <color rgb="FFCCCCCC"/>
      </left>
      <right style="thin">
        <color rgb="FFCCCCCC"/>
      </right>
      <top/>
      <bottom style="thin">
        <color rgb="FFD9D9D9"/>
      </bottom>
      <diagonal/>
    </border>
    <border>
      <left/>
      <right style="thin">
        <color rgb="FFCCCCCC"/>
      </right>
      <top/>
      <bottom style="thin">
        <color rgb="FFD9D9D9"/>
      </bottom>
      <diagonal/>
    </border>
    <border>
      <left/>
      <right style="thin">
        <color rgb="FFD9D9D9"/>
      </right>
      <top style="thin">
        <color rgb="FFD9D9D9"/>
      </top>
      <bottom style="thin">
        <color rgb="FFD9D9D9"/>
      </bottom>
      <diagonal/>
    </border>
    <border>
      <left style="thin">
        <color rgb="FFD9D9D9"/>
      </left>
      <right style="thin">
        <color rgb="FFD9D9D9"/>
      </right>
      <top/>
      <bottom/>
      <diagonal/>
    </border>
    <border>
      <left style="thin">
        <color rgb="FFD9D9D9"/>
      </left>
      <right style="thin">
        <color rgb="FFD9D9D9"/>
      </right>
      <top/>
      <bottom/>
      <diagonal/>
    </border>
    <border>
      <left style="thin">
        <color rgb="FFCCCCCC"/>
      </left>
      <right style="thin">
        <color rgb="FFCCCCCC"/>
      </right>
      <top style="thin">
        <color rgb="FFD9D9D9"/>
      </top>
      <bottom style="thin">
        <color rgb="FFCCCCCC"/>
      </bottom>
      <diagonal/>
    </border>
    <border>
      <left style="thin">
        <color rgb="FFCCCCCC"/>
      </left>
      <right/>
      <top style="thin">
        <color rgb="FFD9D9D9"/>
      </top>
      <bottom/>
      <diagonal/>
    </border>
    <border>
      <left/>
      <right/>
      <top style="thin">
        <color rgb="FFD9D9D9"/>
      </top>
      <bottom/>
      <diagonal/>
    </border>
    <border>
      <left/>
      <right/>
      <top/>
      <bottom/>
      <diagonal/>
    </border>
    <border>
      <left/>
      <right style="thin">
        <color rgb="FFD9D9D9"/>
      </right>
      <top style="thin">
        <color rgb="FFD9D9D9"/>
      </top>
      <bottom style="thin">
        <color rgb="FFD9D9D9"/>
      </bottom>
      <diagonal/>
    </border>
    <border>
      <left style="thin">
        <color rgb="FFD8D8D8"/>
      </left>
      <right style="thin">
        <color rgb="FFD8D8D8"/>
      </right>
      <top/>
      <bottom/>
      <diagonal/>
    </border>
    <border>
      <left style="thin">
        <color rgb="FFD8D8D8"/>
      </left>
      <right/>
      <top/>
      <bottom/>
      <diagonal/>
    </border>
    <border>
      <left style="thin">
        <color rgb="FFCCCCCC"/>
      </left>
      <right style="thin">
        <color rgb="FFCCCCCC"/>
      </right>
      <top style="thin">
        <color rgb="FF000000"/>
      </top>
      <bottom style="double">
        <color rgb="FF000000"/>
      </bottom>
      <diagonal/>
    </border>
    <border>
      <left/>
      <right/>
      <top style="thin">
        <color rgb="FF000000"/>
      </top>
      <bottom style="thin">
        <color rgb="FF000000"/>
      </bottom>
      <diagonal/>
    </border>
    <border>
      <left style="thin">
        <color rgb="FFCCCCCC"/>
      </left>
      <right/>
      <top/>
      <bottom style="thin">
        <color rgb="FFCCCCCC"/>
      </bottom>
      <diagonal/>
    </border>
    <border>
      <left/>
      <right/>
      <top/>
      <bottom style="thin">
        <color rgb="FFCCCCCC"/>
      </bottom>
      <diagonal/>
    </border>
    <border>
      <left style="thin">
        <color rgb="FFB7B7B7"/>
      </left>
      <right style="thin">
        <color rgb="FFB7B7B7"/>
      </right>
      <top style="thin">
        <color rgb="FFB7B7B7"/>
      </top>
      <bottom style="thin">
        <color rgb="FFB7B7B7"/>
      </bottom>
      <diagonal/>
    </border>
  </borders>
  <cellStyleXfs count="1">
    <xf numFmtId="0" fontId="0" fillId="0" borderId="0"/>
  </cellStyleXfs>
  <cellXfs count="744">
    <xf numFmtId="0" fontId="0" fillId="0" borderId="0" xfId="0" applyFont="1" applyAlignment="1"/>
    <xf numFmtId="164" fontId="1" fillId="2" borderId="1" xfId="0" applyNumberFormat="1" applyFont="1" applyFill="1" applyBorder="1" applyAlignment="1">
      <alignment horizontal="left"/>
    </xf>
    <xf numFmtId="164" fontId="1" fillId="2" borderId="1" xfId="0" applyNumberFormat="1" applyFont="1" applyFill="1" applyBorder="1" applyAlignment="1">
      <alignment horizontal="center"/>
    </xf>
    <xf numFmtId="164" fontId="1" fillId="2" borderId="2" xfId="0" applyNumberFormat="1" applyFont="1" applyFill="1" applyBorder="1" applyAlignment="1">
      <alignment horizontal="left"/>
    </xf>
    <xf numFmtId="0" fontId="2" fillId="0" borderId="0" xfId="0" applyFont="1"/>
    <xf numFmtId="15" fontId="3" fillId="3" borderId="3" xfId="0" applyNumberFormat="1" applyFont="1" applyFill="1" applyBorder="1"/>
    <xf numFmtId="165" fontId="3" fillId="3" borderId="3" xfId="0" applyNumberFormat="1" applyFont="1" applyFill="1" applyBorder="1"/>
    <xf numFmtId="0" fontId="3" fillId="3" borderId="3" xfId="0" applyFont="1" applyFill="1" applyBorder="1"/>
    <xf numFmtId="165" fontId="3" fillId="3" borderId="4" xfId="0" applyNumberFormat="1" applyFont="1" applyFill="1" applyBorder="1"/>
    <xf numFmtId="166" fontId="3" fillId="3" borderId="3" xfId="0" applyNumberFormat="1" applyFont="1" applyFill="1" applyBorder="1"/>
    <xf numFmtId="164" fontId="3" fillId="3" borderId="5" xfId="0" applyNumberFormat="1" applyFont="1" applyFill="1" applyBorder="1"/>
    <xf numFmtId="165" fontId="3" fillId="3" borderId="6" xfId="0" applyNumberFormat="1" applyFont="1" applyFill="1" applyBorder="1"/>
    <xf numFmtId="167" fontId="3" fillId="3" borderId="5" xfId="0" applyNumberFormat="1" applyFont="1" applyFill="1" applyBorder="1"/>
    <xf numFmtId="10" fontId="4" fillId="4" borderId="7" xfId="0" applyNumberFormat="1" applyFont="1" applyFill="1" applyBorder="1" applyAlignment="1">
      <alignment horizontal="center"/>
    </xf>
    <xf numFmtId="164" fontId="1" fillId="2" borderId="7" xfId="0" applyNumberFormat="1" applyFont="1" applyFill="1" applyBorder="1" applyAlignment="1">
      <alignment horizontal="left"/>
    </xf>
    <xf numFmtId="164" fontId="1" fillId="2" borderId="7" xfId="0" applyNumberFormat="1" applyFont="1" applyFill="1"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2" borderId="4" xfId="0" applyFont="1" applyFill="1" applyBorder="1" applyAlignment="1">
      <alignment horizontal="left"/>
    </xf>
    <xf numFmtId="164" fontId="1" fillId="2" borderId="3" xfId="0" applyNumberFormat="1" applyFont="1" applyFill="1" applyBorder="1" applyAlignment="1">
      <alignment horizontal="left"/>
    </xf>
    <xf numFmtId="164" fontId="1" fillId="2" borderId="9" xfId="0" applyNumberFormat="1" applyFont="1" applyFill="1" applyBorder="1" applyAlignment="1">
      <alignment horizontal="center"/>
    </xf>
    <xf numFmtId="15" fontId="3" fillId="4" borderId="7" xfId="0" applyNumberFormat="1" applyFont="1" applyFill="1" applyBorder="1"/>
    <xf numFmtId="168" fontId="3" fillId="4" borderId="10" xfId="0" applyNumberFormat="1" applyFont="1" applyFill="1" applyBorder="1"/>
    <xf numFmtId="0" fontId="3" fillId="4" borderId="7" xfId="0" applyFont="1" applyFill="1" applyBorder="1"/>
    <xf numFmtId="39" fontId="3" fillId="4" borderId="7" xfId="0" applyNumberFormat="1" applyFont="1" applyFill="1" applyBorder="1"/>
    <xf numFmtId="37" fontId="3" fillId="4" borderId="7" xfId="0" applyNumberFormat="1" applyFont="1" applyFill="1" applyBorder="1"/>
    <xf numFmtId="37" fontId="3" fillId="4" borderId="11" xfId="0" applyNumberFormat="1" applyFont="1" applyFill="1" applyBorder="1"/>
    <xf numFmtId="0" fontId="3" fillId="4" borderId="8" xfId="0" applyFont="1" applyFill="1" applyBorder="1"/>
    <xf numFmtId="164" fontId="3" fillId="5" borderId="3" xfId="0" applyNumberFormat="1" applyFont="1" applyFill="1" applyBorder="1"/>
    <xf numFmtId="164" fontId="3" fillId="5" borderId="12" xfId="0" applyNumberFormat="1" applyFont="1" applyFill="1" applyBorder="1"/>
    <xf numFmtId="39" fontId="3" fillId="5" borderId="3" xfId="0" applyNumberFormat="1" applyFont="1" applyFill="1" applyBorder="1"/>
    <xf numFmtId="0" fontId="3" fillId="5" borderId="3" xfId="0" applyFont="1" applyFill="1" applyBorder="1"/>
    <xf numFmtId="15" fontId="3" fillId="4" borderId="1" xfId="0" applyNumberFormat="1" applyFont="1" applyFill="1" applyBorder="1"/>
    <xf numFmtId="39" fontId="3" fillId="5" borderId="4" xfId="0" applyNumberFormat="1" applyFont="1" applyFill="1" applyBorder="1"/>
    <xf numFmtId="169" fontId="3" fillId="4" borderId="7" xfId="0" applyNumberFormat="1" applyFont="1" applyFill="1" applyBorder="1"/>
    <xf numFmtId="0" fontId="3" fillId="4" borderId="1" xfId="0" applyFont="1" applyFill="1" applyBorder="1"/>
    <xf numFmtId="168" fontId="3" fillId="4" borderId="13" xfId="0" applyNumberFormat="1" applyFont="1" applyFill="1" applyBorder="1"/>
    <xf numFmtId="39" fontId="3" fillId="4" borderId="6" xfId="0" applyNumberFormat="1" applyFont="1" applyFill="1" applyBorder="1"/>
    <xf numFmtId="39" fontId="3" fillId="5" borderId="13" xfId="0" applyNumberFormat="1" applyFont="1" applyFill="1" applyBorder="1"/>
    <xf numFmtId="4" fontId="5" fillId="0" borderId="0" xfId="0" applyNumberFormat="1" applyFont="1"/>
    <xf numFmtId="0" fontId="5" fillId="0" borderId="0" xfId="0" applyFont="1"/>
    <xf numFmtId="0" fontId="3" fillId="0" borderId="0" xfId="0" applyFont="1" applyAlignment="1">
      <alignment horizontal="center"/>
    </xf>
    <xf numFmtId="168" fontId="3" fillId="0" borderId="0" xfId="0" applyNumberFormat="1" applyFont="1"/>
    <xf numFmtId="0" fontId="3" fillId="0" borderId="3" xfId="0" applyFont="1" applyBorder="1"/>
    <xf numFmtId="168" fontId="3" fillId="0" borderId="3" xfId="0" applyNumberFormat="1" applyFont="1" applyBorder="1"/>
    <xf numFmtId="39" fontId="3" fillId="6" borderId="7" xfId="0" applyNumberFormat="1" applyFont="1" applyFill="1" applyBorder="1"/>
    <xf numFmtId="168" fontId="3" fillId="0" borderId="10" xfId="0" applyNumberFormat="1" applyFont="1" applyBorder="1"/>
    <xf numFmtId="170" fontId="3" fillId="0" borderId="3" xfId="0" applyNumberFormat="1" applyFont="1" applyBorder="1"/>
    <xf numFmtId="168" fontId="3" fillId="0" borderId="14" xfId="0" applyNumberFormat="1" applyFont="1" applyBorder="1"/>
    <xf numFmtId="49" fontId="3" fillId="0" borderId="0" xfId="0" applyNumberFormat="1" applyFont="1"/>
    <xf numFmtId="0" fontId="3" fillId="7" borderId="10" xfId="0" applyFont="1" applyFill="1" applyBorder="1" applyAlignment="1">
      <alignment horizontal="right"/>
    </xf>
    <xf numFmtId="0" fontId="3" fillId="7" borderId="10" xfId="0" applyFont="1" applyFill="1" applyBorder="1" applyAlignment="1">
      <alignment horizontal="center"/>
    </xf>
    <xf numFmtId="17" fontId="3" fillId="8" borderId="10" xfId="0" applyNumberFormat="1" applyFont="1" applyFill="1" applyBorder="1"/>
    <xf numFmtId="168" fontId="3" fillId="8" borderId="10" xfId="0" applyNumberFormat="1" applyFont="1" applyFill="1" applyBorder="1"/>
    <xf numFmtId="169" fontId="3" fillId="0" borderId="14" xfId="0" applyNumberFormat="1" applyFont="1" applyBorder="1"/>
    <xf numFmtId="0" fontId="3" fillId="9" borderId="3" xfId="0" applyFont="1" applyFill="1" applyBorder="1"/>
    <xf numFmtId="168" fontId="3" fillId="9" borderId="10" xfId="0" applyNumberFormat="1" applyFont="1" applyFill="1" applyBorder="1"/>
    <xf numFmtId="17" fontId="3" fillId="0" borderId="10" xfId="0" applyNumberFormat="1" applyFont="1" applyBorder="1"/>
    <xf numFmtId="168" fontId="3" fillId="0" borderId="13" xfId="0" applyNumberFormat="1" applyFont="1" applyBorder="1"/>
    <xf numFmtId="170" fontId="3" fillId="0" borderId="15" xfId="0" applyNumberFormat="1" applyFont="1" applyBorder="1"/>
    <xf numFmtId="15" fontId="6" fillId="6" borderId="10" xfId="0" applyNumberFormat="1" applyFont="1" applyFill="1" applyBorder="1" applyAlignment="1">
      <alignment horizontal="center"/>
    </xf>
    <xf numFmtId="0" fontId="3" fillId="0" borderId="16" xfId="0" applyFont="1" applyBorder="1" applyAlignment="1">
      <alignment horizontal="right"/>
    </xf>
    <xf numFmtId="168" fontId="3" fillId="0" borderId="6" xfId="0" applyNumberFormat="1" applyFont="1" applyBorder="1"/>
    <xf numFmtId="0" fontId="3" fillId="6" borderId="10" xfId="0" applyFont="1" applyFill="1" applyBorder="1"/>
    <xf numFmtId="168" fontId="3" fillId="6" borderId="10" xfId="0" applyNumberFormat="1" applyFont="1" applyFill="1" applyBorder="1"/>
    <xf numFmtId="169" fontId="3" fillId="9" borderId="3" xfId="0" applyNumberFormat="1" applyFont="1" applyFill="1" applyBorder="1"/>
    <xf numFmtId="168" fontId="3" fillId="0" borderId="17" xfId="0" applyNumberFormat="1" applyFont="1" applyBorder="1"/>
    <xf numFmtId="168" fontId="3" fillId="6" borderId="18" xfId="0" applyNumberFormat="1" applyFont="1" applyFill="1" applyBorder="1"/>
    <xf numFmtId="168" fontId="3" fillId="6" borderId="13" xfId="0" applyNumberFormat="1" applyFont="1" applyFill="1" applyBorder="1"/>
    <xf numFmtId="0" fontId="5" fillId="0" borderId="10" xfId="0" applyFont="1" applyBorder="1"/>
    <xf numFmtId="0" fontId="3" fillId="0" borderId="10" xfId="0" applyFont="1" applyBorder="1"/>
    <xf numFmtId="0" fontId="7" fillId="3" borderId="3" xfId="0" applyFont="1" applyFill="1" applyBorder="1"/>
    <xf numFmtId="0" fontId="1" fillId="2" borderId="3" xfId="0" applyFont="1" applyFill="1" applyBorder="1" applyAlignment="1">
      <alignment horizontal="left"/>
    </xf>
    <xf numFmtId="15" fontId="3" fillId="5" borderId="3" xfId="0" applyNumberFormat="1" applyFont="1" applyFill="1" applyBorder="1"/>
    <xf numFmtId="39" fontId="3" fillId="5" borderId="12" xfId="0" applyNumberFormat="1" applyFont="1" applyFill="1" applyBorder="1"/>
    <xf numFmtId="0" fontId="3" fillId="10" borderId="3" xfId="0" applyFont="1" applyFill="1" applyBorder="1"/>
    <xf numFmtId="0" fontId="8" fillId="5" borderId="3" xfId="0" applyFont="1" applyFill="1" applyBorder="1"/>
    <xf numFmtId="169" fontId="3" fillId="5" borderId="3" xfId="0" applyNumberFormat="1" applyFont="1" applyFill="1" applyBorder="1"/>
    <xf numFmtId="15" fontId="3" fillId="5" borderId="3" xfId="0" applyNumberFormat="1" applyFont="1" applyFill="1" applyBorder="1" applyAlignment="1"/>
    <xf numFmtId="39" fontId="3" fillId="5" borderId="19" xfId="0" applyNumberFormat="1" applyFont="1" applyFill="1" applyBorder="1"/>
    <xf numFmtId="170" fontId="3" fillId="4" borderId="7" xfId="0" applyNumberFormat="1" applyFont="1" applyFill="1" applyBorder="1"/>
    <xf numFmtId="15" fontId="3" fillId="4" borderId="1" xfId="0" applyNumberFormat="1" applyFont="1" applyFill="1" applyBorder="1" applyAlignment="1"/>
    <xf numFmtId="168" fontId="3" fillId="4" borderId="10" xfId="0" applyNumberFormat="1" applyFont="1" applyFill="1" applyBorder="1" applyAlignment="1"/>
    <xf numFmtId="39" fontId="3" fillId="4" borderId="7" xfId="0" applyNumberFormat="1" applyFont="1" applyFill="1" applyBorder="1" applyAlignment="1"/>
    <xf numFmtId="39" fontId="3" fillId="5" borderId="20" xfId="0" applyNumberFormat="1" applyFont="1" applyFill="1" applyBorder="1"/>
    <xf numFmtId="171" fontId="3" fillId="6" borderId="10" xfId="0" applyNumberFormat="1" applyFont="1" applyFill="1" applyBorder="1"/>
    <xf numFmtId="0" fontId="9" fillId="11" borderId="3" xfId="0" applyFont="1" applyFill="1" applyBorder="1" applyAlignment="1">
      <alignment horizontal="right"/>
    </xf>
    <xf numFmtId="0" fontId="9" fillId="11" borderId="3" xfId="0" applyFont="1" applyFill="1" applyBorder="1" applyAlignment="1">
      <alignment horizontal="center"/>
    </xf>
    <xf numFmtId="17" fontId="3" fillId="0" borderId="21" xfId="0" applyNumberFormat="1" applyFont="1" applyBorder="1"/>
    <xf numFmtId="168" fontId="3" fillId="0" borderId="21" xfId="0" applyNumberFormat="1" applyFont="1" applyBorder="1"/>
    <xf numFmtId="15" fontId="10" fillId="6" borderId="10" xfId="0" applyNumberFormat="1" applyFont="1" applyFill="1" applyBorder="1" applyAlignment="1">
      <alignment horizontal="center"/>
    </xf>
    <xf numFmtId="170" fontId="3" fillId="12" borderId="3" xfId="0" applyNumberFormat="1" applyFont="1" applyFill="1" applyBorder="1"/>
    <xf numFmtId="170" fontId="3" fillId="13" borderId="3" xfId="0" applyNumberFormat="1" applyFont="1" applyFill="1" applyBorder="1"/>
    <xf numFmtId="170" fontId="3" fillId="0" borderId="14" xfId="0" applyNumberFormat="1" applyFont="1" applyBorder="1"/>
    <xf numFmtId="168" fontId="3" fillId="9" borderId="3" xfId="0" applyNumberFormat="1" applyFont="1" applyFill="1" applyBorder="1"/>
    <xf numFmtId="170" fontId="3" fillId="12" borderId="4" xfId="0" applyNumberFormat="1" applyFont="1" applyFill="1" applyBorder="1"/>
    <xf numFmtId="170" fontId="3" fillId="13" borderId="4" xfId="0" applyNumberFormat="1" applyFont="1" applyFill="1" applyBorder="1"/>
    <xf numFmtId="168" fontId="3" fillId="0" borderId="10" xfId="0" applyNumberFormat="1" applyFont="1" applyBorder="1" applyAlignment="1">
      <alignment horizontal="right"/>
    </xf>
    <xf numFmtId="0" fontId="3" fillId="0" borderId="0" xfId="0" applyFont="1"/>
    <xf numFmtId="0" fontId="3" fillId="0" borderId="10" xfId="0" applyFont="1" applyBorder="1" applyAlignment="1">
      <alignment horizontal="center"/>
    </xf>
    <xf numFmtId="168" fontId="3" fillId="0" borderId="22" xfId="0" applyNumberFormat="1" applyFont="1" applyBorder="1"/>
    <xf numFmtId="0" fontId="3" fillId="5" borderId="12" xfId="0" applyFont="1" applyFill="1" applyBorder="1"/>
    <xf numFmtId="15" fontId="3" fillId="5" borderId="12" xfId="0" applyNumberFormat="1" applyFont="1" applyFill="1" applyBorder="1"/>
    <xf numFmtId="15" fontId="5" fillId="0" borderId="0" xfId="0" applyNumberFormat="1" applyFont="1"/>
    <xf numFmtId="0" fontId="11" fillId="14" borderId="10" xfId="0" applyFont="1" applyFill="1" applyBorder="1" applyAlignment="1">
      <alignment horizontal="center"/>
    </xf>
    <xf numFmtId="0" fontId="12" fillId="14" borderId="10" xfId="0" applyFont="1" applyFill="1" applyBorder="1" applyAlignment="1">
      <alignment horizontal="left"/>
    </xf>
    <xf numFmtId="0" fontId="13" fillId="14" borderId="10" xfId="0" applyFont="1" applyFill="1" applyBorder="1"/>
    <xf numFmtId="0" fontId="14" fillId="14" borderId="10" xfId="0" applyFont="1" applyFill="1" applyBorder="1" applyAlignment="1">
      <alignment horizontal="right"/>
    </xf>
    <xf numFmtId="0" fontId="15" fillId="14" borderId="10" xfId="0" applyFont="1" applyFill="1" applyBorder="1" applyAlignment="1">
      <alignment horizontal="center"/>
    </xf>
    <xf numFmtId="0" fontId="16" fillId="0" borderId="0" xfId="0" applyFont="1" applyAlignment="1">
      <alignment horizontal="center"/>
    </xf>
    <xf numFmtId="15" fontId="3" fillId="13" borderId="23" xfId="0" applyNumberFormat="1" applyFont="1" applyFill="1" applyBorder="1"/>
    <xf numFmtId="0" fontId="3" fillId="13" borderId="23" xfId="0" applyFont="1" applyFill="1" applyBorder="1"/>
    <xf numFmtId="0" fontId="7" fillId="13" borderId="10" xfId="0" applyFont="1" applyFill="1" applyBorder="1"/>
    <xf numFmtId="0" fontId="4" fillId="13" borderId="23" xfId="0" applyFont="1" applyFill="1" applyBorder="1"/>
    <xf numFmtId="1" fontId="4" fillId="13" borderId="23" xfId="0" applyNumberFormat="1" applyFont="1" applyFill="1" applyBorder="1"/>
    <xf numFmtId="172" fontId="4" fillId="13" borderId="23" xfId="0" applyNumberFormat="1" applyFont="1" applyFill="1" applyBorder="1"/>
    <xf numFmtId="2" fontId="3" fillId="13" borderId="23" xfId="0" applyNumberFormat="1" applyFont="1" applyFill="1" applyBorder="1"/>
    <xf numFmtId="173" fontId="4" fillId="13" borderId="23" xfId="0" applyNumberFormat="1" applyFont="1" applyFill="1" applyBorder="1"/>
    <xf numFmtId="169" fontId="3" fillId="13" borderId="23" xfId="0" applyNumberFormat="1" applyFont="1" applyFill="1" applyBorder="1"/>
    <xf numFmtId="174" fontId="3" fillId="13" borderId="23" xfId="0" applyNumberFormat="1" applyFont="1" applyFill="1" applyBorder="1"/>
    <xf numFmtId="175" fontId="3" fillId="13" borderId="23" xfId="0" applyNumberFormat="1" applyFont="1" applyFill="1" applyBorder="1" applyAlignment="1">
      <alignment horizontal="right"/>
    </xf>
    <xf numFmtId="176" fontId="3" fillId="13" borderId="23" xfId="0" applyNumberFormat="1" applyFont="1" applyFill="1" applyBorder="1" applyAlignment="1">
      <alignment horizontal="center"/>
    </xf>
    <xf numFmtId="177" fontId="3" fillId="13" borderId="23" xfId="0" applyNumberFormat="1" applyFont="1" applyFill="1" applyBorder="1"/>
    <xf numFmtId="0" fontId="3" fillId="13" borderId="24" xfId="0" applyFont="1" applyFill="1" applyBorder="1" applyAlignment="1">
      <alignment horizontal="center"/>
    </xf>
    <xf numFmtId="0" fontId="3" fillId="0" borderId="25" xfId="0" applyFont="1" applyBorder="1" applyAlignment="1">
      <alignment horizontal="center"/>
    </xf>
    <xf numFmtId="15" fontId="3" fillId="13" borderId="10" xfId="0" applyNumberFormat="1" applyFont="1" applyFill="1" applyBorder="1"/>
    <xf numFmtId="0" fontId="3" fillId="13" borderId="10" xfId="0" applyFont="1" applyFill="1" applyBorder="1"/>
    <xf numFmtId="0" fontId="4" fillId="13" borderId="10" xfId="0" applyFont="1" applyFill="1" applyBorder="1"/>
    <xf numFmtId="1" fontId="4" fillId="13" borderId="10" xfId="0" applyNumberFormat="1" applyFont="1" applyFill="1" applyBorder="1"/>
    <xf numFmtId="172" fontId="4" fillId="13" borderId="10" xfId="0" applyNumberFormat="1" applyFont="1" applyFill="1" applyBorder="1"/>
    <xf numFmtId="2" fontId="3" fillId="13" borderId="10" xfId="0" applyNumberFormat="1" applyFont="1" applyFill="1" applyBorder="1"/>
    <xf numFmtId="173" fontId="4" fillId="13" borderId="10" xfId="0" applyNumberFormat="1" applyFont="1" applyFill="1" applyBorder="1"/>
    <xf numFmtId="169" fontId="3" fillId="13" borderId="10" xfId="0" applyNumberFormat="1" applyFont="1" applyFill="1" applyBorder="1"/>
    <xf numFmtId="174" fontId="3" fillId="13" borderId="10" xfId="0" applyNumberFormat="1" applyFont="1" applyFill="1" applyBorder="1"/>
    <xf numFmtId="175" fontId="3" fillId="13" borderId="10" xfId="0" applyNumberFormat="1" applyFont="1" applyFill="1" applyBorder="1" applyAlignment="1">
      <alignment horizontal="right"/>
    </xf>
    <xf numFmtId="176" fontId="3" fillId="13" borderId="10" xfId="0" applyNumberFormat="1" applyFont="1" applyFill="1" applyBorder="1" applyAlignment="1">
      <alignment horizontal="center"/>
    </xf>
    <xf numFmtId="177" fontId="3" fillId="13" borderId="10" xfId="0" applyNumberFormat="1" applyFont="1" applyFill="1" applyBorder="1"/>
    <xf numFmtId="0" fontId="3" fillId="13" borderId="26" xfId="0" applyFont="1" applyFill="1" applyBorder="1" applyAlignment="1">
      <alignment horizontal="center"/>
    </xf>
    <xf numFmtId="15" fontId="3" fillId="12" borderId="10" xfId="0" applyNumberFormat="1" applyFont="1" applyFill="1" applyBorder="1"/>
    <xf numFmtId="0" fontId="3" fillId="12" borderId="10" xfId="0" applyFont="1" applyFill="1" applyBorder="1"/>
    <xf numFmtId="0" fontId="7" fillId="12" borderId="10" xfId="0" applyFont="1" applyFill="1" applyBorder="1"/>
    <xf numFmtId="0" fontId="17" fillId="12" borderId="10" xfId="0" applyFont="1" applyFill="1" applyBorder="1"/>
    <xf numFmtId="1" fontId="17" fillId="12" borderId="10" xfId="0" applyNumberFormat="1" applyFont="1" applyFill="1" applyBorder="1"/>
    <xf numFmtId="172" fontId="17" fillId="12" borderId="10" xfId="0" applyNumberFormat="1" applyFont="1" applyFill="1" applyBorder="1"/>
    <xf numFmtId="2" fontId="3" fillId="12" borderId="10" xfId="0" applyNumberFormat="1" applyFont="1" applyFill="1" applyBorder="1"/>
    <xf numFmtId="173" fontId="18" fillId="12" borderId="10" xfId="0" applyNumberFormat="1" applyFont="1" applyFill="1" applyBorder="1"/>
    <xf numFmtId="173" fontId="17" fillId="12" borderId="10" xfId="0" applyNumberFormat="1" applyFont="1" applyFill="1" applyBorder="1"/>
    <xf numFmtId="169" fontId="3" fillId="12" borderId="10" xfId="0" applyNumberFormat="1" applyFont="1" applyFill="1" applyBorder="1"/>
    <xf numFmtId="174" fontId="3" fillId="12" borderId="10" xfId="0" applyNumberFormat="1" applyFont="1" applyFill="1" applyBorder="1"/>
    <xf numFmtId="175" fontId="3" fillId="12" borderId="10" xfId="0" applyNumberFormat="1" applyFont="1" applyFill="1" applyBorder="1" applyAlignment="1">
      <alignment horizontal="right"/>
    </xf>
    <xf numFmtId="176" fontId="3" fillId="12" borderId="10" xfId="0" applyNumberFormat="1" applyFont="1" applyFill="1" applyBorder="1" applyAlignment="1">
      <alignment horizontal="center"/>
    </xf>
    <xf numFmtId="177" fontId="3" fillId="12" borderId="10" xfId="0" applyNumberFormat="1" applyFont="1" applyFill="1" applyBorder="1"/>
    <xf numFmtId="0" fontId="3" fillId="12" borderId="26" xfId="0" applyFont="1" applyFill="1" applyBorder="1" applyAlignment="1">
      <alignment horizontal="center"/>
    </xf>
    <xf numFmtId="169" fontId="3" fillId="12" borderId="10" xfId="0" applyNumberFormat="1" applyFont="1" applyFill="1" applyBorder="1" applyAlignment="1">
      <alignment horizontal="right" vertical="center"/>
    </xf>
    <xf numFmtId="15" fontId="7" fillId="12" borderId="10" xfId="0" applyNumberFormat="1" applyFont="1" applyFill="1" applyBorder="1"/>
    <xf numFmtId="15" fontId="7" fillId="13" borderId="10" xfId="0" applyNumberFormat="1" applyFont="1" applyFill="1" applyBorder="1"/>
    <xf numFmtId="178" fontId="17" fillId="12" borderId="10" xfId="0" applyNumberFormat="1" applyFont="1" applyFill="1" applyBorder="1"/>
    <xf numFmtId="2" fontId="17" fillId="12" borderId="10" xfId="0" applyNumberFormat="1" applyFont="1" applyFill="1" applyBorder="1"/>
    <xf numFmtId="2" fontId="4" fillId="13" borderId="10" xfId="0" applyNumberFormat="1" applyFont="1" applyFill="1" applyBorder="1"/>
    <xf numFmtId="0" fontId="7" fillId="13" borderId="27" xfId="0" applyFont="1" applyFill="1" applyBorder="1"/>
    <xf numFmtId="179" fontId="7" fillId="12" borderId="10" xfId="0" applyNumberFormat="1" applyFont="1" applyFill="1" applyBorder="1"/>
    <xf numFmtId="15" fontId="7" fillId="13" borderId="10" xfId="0" applyNumberFormat="1" applyFont="1" applyFill="1" applyBorder="1" applyAlignment="1"/>
    <xf numFmtId="0" fontId="7" fillId="13" borderId="10" xfId="0" applyFont="1" applyFill="1" applyBorder="1" applyAlignment="1"/>
    <xf numFmtId="1" fontId="4" fillId="13" borderId="10" xfId="0" applyNumberFormat="1" applyFont="1" applyFill="1" applyBorder="1" applyAlignment="1"/>
    <xf numFmtId="172" fontId="4" fillId="13" borderId="10" xfId="0" applyNumberFormat="1" applyFont="1" applyFill="1" applyBorder="1" applyAlignment="1"/>
    <xf numFmtId="15" fontId="7" fillId="0" borderId="10" xfId="0" applyNumberFormat="1" applyFont="1" applyBorder="1"/>
    <xf numFmtId="0" fontId="7" fillId="0" borderId="10" xfId="0" applyFont="1" applyBorder="1"/>
    <xf numFmtId="0" fontId="17" fillId="0" borderId="10" xfId="0" applyFont="1" applyBorder="1"/>
    <xf numFmtId="1" fontId="17" fillId="0" borderId="10" xfId="0" applyNumberFormat="1" applyFont="1" applyBorder="1"/>
    <xf numFmtId="172" fontId="17" fillId="0" borderId="10" xfId="0" applyNumberFormat="1" applyFont="1" applyBorder="1"/>
    <xf numFmtId="2" fontId="3" fillId="0" borderId="10" xfId="0" applyNumberFormat="1" applyFont="1" applyBorder="1"/>
    <xf numFmtId="173" fontId="18" fillId="0" borderId="10" xfId="0" applyNumberFormat="1" applyFont="1" applyBorder="1"/>
    <xf numFmtId="173" fontId="17" fillId="0" borderId="10" xfId="0" applyNumberFormat="1" applyFont="1" applyBorder="1"/>
    <xf numFmtId="169" fontId="3" fillId="0" borderId="10" xfId="0" applyNumberFormat="1" applyFont="1" applyBorder="1"/>
    <xf numFmtId="174" fontId="3" fillId="0" borderId="10" xfId="0" applyNumberFormat="1" applyFont="1" applyBorder="1"/>
    <xf numFmtId="175" fontId="3" fillId="0" borderId="10" xfId="0" applyNumberFormat="1" applyFont="1" applyBorder="1" applyAlignment="1">
      <alignment horizontal="right"/>
    </xf>
    <xf numFmtId="15" fontId="3" fillId="0" borderId="10" xfId="0" applyNumberFormat="1" applyFont="1" applyBorder="1"/>
    <xf numFmtId="176" fontId="3" fillId="0" borderId="10" xfId="0" applyNumberFormat="1" applyFont="1" applyBorder="1" applyAlignment="1">
      <alignment horizontal="center"/>
    </xf>
    <xf numFmtId="177" fontId="3" fillId="0" borderId="10" xfId="0" applyNumberFormat="1" applyFont="1" applyBorder="1"/>
    <xf numFmtId="0" fontId="3" fillId="0" borderId="28" xfId="0" applyFont="1" applyBorder="1" applyAlignment="1">
      <alignment horizontal="center"/>
    </xf>
    <xf numFmtId="15" fontId="3" fillId="0" borderId="0" xfId="0" applyNumberFormat="1" applyFont="1"/>
    <xf numFmtId="2" fontId="3" fillId="0" borderId="0" xfId="0" applyNumberFormat="1" applyFont="1"/>
    <xf numFmtId="2" fontId="3" fillId="0" borderId="0" xfId="0" applyNumberFormat="1" applyFont="1" applyAlignment="1">
      <alignment horizontal="right"/>
    </xf>
    <xf numFmtId="180" fontId="3" fillId="0" borderId="0" xfId="0" applyNumberFormat="1" applyFont="1" applyAlignment="1">
      <alignment horizontal="center"/>
    </xf>
    <xf numFmtId="15" fontId="3" fillId="0" borderId="0" xfId="0" applyNumberFormat="1" applyFont="1" applyAlignment="1">
      <alignment horizontal="right"/>
    </xf>
    <xf numFmtId="176" fontId="3" fillId="0" borderId="0" xfId="0" applyNumberFormat="1" applyFont="1" applyAlignment="1">
      <alignment horizontal="center"/>
    </xf>
    <xf numFmtId="173" fontId="4" fillId="0" borderId="0" xfId="0" applyNumberFormat="1" applyFont="1"/>
    <xf numFmtId="15" fontId="3" fillId="15" borderId="3" xfId="0" applyNumberFormat="1" applyFont="1" applyFill="1" applyBorder="1"/>
    <xf numFmtId="0" fontId="3" fillId="15" borderId="3" xfId="0" applyFont="1" applyFill="1" applyBorder="1"/>
    <xf numFmtId="1" fontId="3" fillId="15" borderId="3" xfId="0" applyNumberFormat="1" applyFont="1" applyFill="1" applyBorder="1"/>
    <xf numFmtId="172" fontId="17" fillId="15" borderId="3" xfId="0" applyNumberFormat="1" applyFont="1" applyFill="1" applyBorder="1"/>
    <xf numFmtId="172" fontId="4" fillId="15" borderId="3" xfId="0" applyNumberFormat="1" applyFont="1" applyFill="1" applyBorder="1"/>
    <xf numFmtId="2" fontId="3" fillId="15" borderId="3" xfId="0" applyNumberFormat="1" applyFont="1" applyFill="1" applyBorder="1" applyAlignment="1">
      <alignment horizontal="right"/>
    </xf>
    <xf numFmtId="2" fontId="3" fillId="15" borderId="3" xfId="0" applyNumberFormat="1" applyFont="1" applyFill="1" applyBorder="1"/>
    <xf numFmtId="175" fontId="3" fillId="15" borderId="3" xfId="0" applyNumberFormat="1" applyFont="1" applyFill="1" applyBorder="1"/>
    <xf numFmtId="169" fontId="3" fillId="15" borderId="3" xfId="0" applyNumberFormat="1" applyFont="1" applyFill="1" applyBorder="1"/>
    <xf numFmtId="175" fontId="3" fillId="15" borderId="3" xfId="0" applyNumberFormat="1" applyFont="1" applyFill="1" applyBorder="1" applyAlignment="1">
      <alignment horizontal="right"/>
    </xf>
    <xf numFmtId="176" fontId="3" fillId="15" borderId="3" xfId="0" applyNumberFormat="1" applyFont="1" applyFill="1" applyBorder="1"/>
    <xf numFmtId="176" fontId="3" fillId="15" borderId="3" xfId="0" applyNumberFormat="1" applyFont="1" applyFill="1" applyBorder="1" applyAlignment="1">
      <alignment horizontal="center"/>
    </xf>
    <xf numFmtId="0" fontId="3" fillId="15" borderId="29" xfId="0" applyFont="1" applyFill="1" applyBorder="1" applyAlignment="1">
      <alignment horizontal="center"/>
    </xf>
    <xf numFmtId="0" fontId="7" fillId="15" borderId="10" xfId="0" applyFont="1" applyFill="1" applyBorder="1"/>
    <xf numFmtId="15" fontId="3" fillId="15" borderId="3" xfId="0" applyNumberFormat="1" applyFont="1" applyFill="1" applyBorder="1" applyAlignment="1"/>
    <xf numFmtId="0" fontId="3" fillId="15" borderId="3" xfId="0" applyFont="1" applyFill="1" applyBorder="1" applyAlignment="1"/>
    <xf numFmtId="1" fontId="3" fillId="15" borderId="3" xfId="0" applyNumberFormat="1" applyFont="1" applyFill="1" applyBorder="1" applyAlignment="1"/>
    <xf numFmtId="172" fontId="17" fillId="15" borderId="3" xfId="0" applyNumberFormat="1" applyFont="1" applyFill="1" applyBorder="1" applyAlignment="1"/>
    <xf numFmtId="172" fontId="4" fillId="15" borderId="3" xfId="0" applyNumberFormat="1" applyFont="1" applyFill="1" applyBorder="1" applyAlignment="1"/>
    <xf numFmtId="169" fontId="3" fillId="15" borderId="3" xfId="0" applyNumberFormat="1" applyFont="1" applyFill="1" applyBorder="1" applyAlignment="1"/>
    <xf numFmtId="15" fontId="3" fillId="0" borderId="3" xfId="0" applyNumberFormat="1" applyFont="1" applyBorder="1"/>
    <xf numFmtId="1" fontId="3" fillId="0" borderId="3" xfId="0" applyNumberFormat="1" applyFont="1" applyBorder="1"/>
    <xf numFmtId="172" fontId="17" fillId="0" borderId="3" xfId="0" applyNumberFormat="1" applyFont="1" applyBorder="1"/>
    <xf numFmtId="172" fontId="4" fillId="0" borderId="3" xfId="0" applyNumberFormat="1" applyFont="1" applyBorder="1"/>
    <xf numFmtId="2" fontId="3" fillId="0" borderId="3" xfId="0" applyNumberFormat="1" applyFont="1" applyBorder="1" applyAlignment="1">
      <alignment horizontal="right"/>
    </xf>
    <xf numFmtId="2" fontId="3" fillId="0" borderId="3" xfId="0" applyNumberFormat="1" applyFont="1" applyBorder="1"/>
    <xf numFmtId="175" fontId="3" fillId="0" borderId="3" xfId="0" applyNumberFormat="1" applyFont="1" applyBorder="1"/>
    <xf numFmtId="169" fontId="3" fillId="0" borderId="3" xfId="0" applyNumberFormat="1" applyFont="1" applyBorder="1"/>
    <xf numFmtId="175" fontId="3" fillId="0" borderId="3" xfId="0" applyNumberFormat="1" applyFont="1" applyBorder="1" applyAlignment="1">
      <alignment horizontal="right"/>
    </xf>
    <xf numFmtId="176" fontId="3" fillId="0" borderId="3" xfId="0" applyNumberFormat="1" applyFont="1" applyBorder="1"/>
    <xf numFmtId="176" fontId="3" fillId="0" borderId="3" xfId="0" applyNumberFormat="1" applyFont="1" applyBorder="1" applyAlignment="1">
      <alignment horizontal="center"/>
    </xf>
    <xf numFmtId="0" fontId="3" fillId="0" borderId="17" xfId="0" applyFont="1" applyBorder="1" applyAlignment="1">
      <alignment horizontal="center"/>
    </xf>
    <xf numFmtId="172" fontId="3" fillId="0" borderId="0" xfId="0" applyNumberFormat="1" applyFont="1"/>
    <xf numFmtId="15" fontId="3" fillId="3" borderId="10" xfId="0" applyNumberFormat="1" applyFont="1" applyFill="1" applyBorder="1"/>
    <xf numFmtId="0" fontId="3" fillId="3" borderId="10" xfId="0" applyFont="1" applyFill="1" applyBorder="1"/>
    <xf numFmtId="181" fontId="3" fillId="3" borderId="10" xfId="0" applyNumberFormat="1" applyFont="1" applyFill="1" applyBorder="1"/>
    <xf numFmtId="0" fontId="3" fillId="3" borderId="10" xfId="0" applyFont="1" applyFill="1" applyBorder="1" applyAlignment="1">
      <alignment horizontal="right"/>
    </xf>
    <xf numFmtId="1" fontId="3" fillId="3" borderId="10" xfId="0" applyNumberFormat="1" applyFont="1" applyFill="1" applyBorder="1" applyAlignment="1">
      <alignment horizontal="center"/>
    </xf>
    <xf numFmtId="1" fontId="3" fillId="3" borderId="10" xfId="0" applyNumberFormat="1" applyFont="1" applyFill="1" applyBorder="1"/>
    <xf numFmtId="172" fontId="17" fillId="3" borderId="10" xfId="0" applyNumberFormat="1" applyFont="1" applyFill="1" applyBorder="1"/>
    <xf numFmtId="172" fontId="4" fillId="3" borderId="10" xfId="0" applyNumberFormat="1" applyFont="1" applyFill="1" applyBorder="1"/>
    <xf numFmtId="2" fontId="3" fillId="3" borderId="10" xfId="0" applyNumberFormat="1" applyFont="1" applyFill="1" applyBorder="1" applyAlignment="1">
      <alignment horizontal="right"/>
    </xf>
    <xf numFmtId="2" fontId="3" fillId="3" borderId="10" xfId="0" applyNumberFormat="1" applyFont="1" applyFill="1" applyBorder="1"/>
    <xf numFmtId="175" fontId="3" fillId="3" borderId="10" xfId="0" applyNumberFormat="1" applyFont="1" applyFill="1" applyBorder="1"/>
    <xf numFmtId="169" fontId="3" fillId="3" borderId="10" xfId="0" applyNumberFormat="1" applyFont="1" applyFill="1" applyBorder="1"/>
    <xf numFmtId="175" fontId="3" fillId="3" borderId="10" xfId="0" applyNumberFormat="1" applyFont="1" applyFill="1" applyBorder="1" applyAlignment="1">
      <alignment horizontal="right"/>
    </xf>
    <xf numFmtId="176" fontId="3" fillId="3" borderId="10" xfId="0" applyNumberFormat="1" applyFont="1" applyFill="1" applyBorder="1"/>
    <xf numFmtId="176" fontId="3" fillId="3" borderId="10" xfId="0" applyNumberFormat="1" applyFont="1" applyFill="1" applyBorder="1" applyAlignment="1">
      <alignment horizontal="center"/>
    </xf>
    <xf numFmtId="0" fontId="3" fillId="3" borderId="26" xfId="0" applyFont="1" applyFill="1" applyBorder="1" applyAlignment="1">
      <alignment horizontal="center"/>
    </xf>
    <xf numFmtId="182" fontId="3" fillId="3" borderId="10" xfId="0" applyNumberFormat="1" applyFont="1" applyFill="1" applyBorder="1"/>
    <xf numFmtId="0" fontId="7" fillId="3" borderId="10" xfId="0" applyFont="1" applyFill="1" applyBorder="1"/>
    <xf numFmtId="183" fontId="3" fillId="3" borderId="10" xfId="0" applyNumberFormat="1" applyFont="1" applyFill="1" applyBorder="1"/>
    <xf numFmtId="0" fontId="3" fillId="0" borderId="10" xfId="0" applyFont="1" applyBorder="1" applyAlignment="1">
      <alignment horizontal="right"/>
    </xf>
    <xf numFmtId="1" fontId="3" fillId="0" borderId="10" xfId="0" applyNumberFormat="1" applyFont="1" applyBorder="1" applyAlignment="1">
      <alignment horizontal="center"/>
    </xf>
    <xf numFmtId="1" fontId="3" fillId="0" borderId="10" xfId="0" applyNumberFormat="1" applyFont="1" applyBorder="1"/>
    <xf numFmtId="172" fontId="4" fillId="0" borderId="10" xfId="0" applyNumberFormat="1" applyFont="1" applyBorder="1"/>
    <xf numFmtId="2" fontId="3" fillId="0" borderId="10" xfId="0" applyNumberFormat="1" applyFont="1" applyBorder="1" applyAlignment="1">
      <alignment horizontal="right"/>
    </xf>
    <xf numFmtId="175" fontId="3" fillId="0" borderId="10" xfId="0" applyNumberFormat="1" applyFont="1" applyBorder="1"/>
    <xf numFmtId="176" fontId="3" fillId="0" borderId="10" xfId="0" applyNumberFormat="1" applyFont="1" applyBorder="1"/>
    <xf numFmtId="176" fontId="3" fillId="0" borderId="0" xfId="0" applyNumberFormat="1" applyFont="1"/>
    <xf numFmtId="184" fontId="3" fillId="15" borderId="3" xfId="0" applyNumberFormat="1" applyFont="1" applyFill="1" applyBorder="1"/>
    <xf numFmtId="15" fontId="9" fillId="15" borderId="3" xfId="0" applyNumberFormat="1" applyFont="1" applyFill="1" applyBorder="1"/>
    <xf numFmtId="1" fontId="3" fillId="15" borderId="3" xfId="0" applyNumberFormat="1" applyFont="1" applyFill="1" applyBorder="1" applyAlignment="1">
      <alignment horizontal="center"/>
    </xf>
    <xf numFmtId="0" fontId="19" fillId="0" borderId="3" xfId="0" applyFont="1" applyBorder="1"/>
    <xf numFmtId="15" fontId="7" fillId="12" borderId="3" xfId="0" applyNumberFormat="1" applyFont="1" applyFill="1" applyBorder="1"/>
    <xf numFmtId="169" fontId="3" fillId="0" borderId="0" xfId="0" applyNumberFormat="1" applyFont="1" applyAlignment="1">
      <alignment horizontal="center"/>
    </xf>
    <xf numFmtId="0" fontId="3" fillId="15" borderId="3" xfId="0" applyFont="1" applyFill="1" applyBorder="1" applyAlignment="1"/>
    <xf numFmtId="2" fontId="3" fillId="15" borderId="3" xfId="0" applyNumberFormat="1" applyFont="1" applyFill="1" applyBorder="1" applyAlignment="1">
      <alignment horizontal="center"/>
    </xf>
    <xf numFmtId="0" fontId="3" fillId="0" borderId="3" xfId="0" applyFont="1" applyBorder="1"/>
    <xf numFmtId="15" fontId="7" fillId="13" borderId="3" xfId="0" applyNumberFormat="1" applyFont="1" applyFill="1" applyBorder="1"/>
    <xf numFmtId="0" fontId="3" fillId="19" borderId="3" xfId="0" applyFont="1" applyFill="1" applyBorder="1" applyAlignment="1">
      <alignment horizontal="left"/>
    </xf>
    <xf numFmtId="169" fontId="3" fillId="19" borderId="3" xfId="0" applyNumberFormat="1" applyFont="1" applyFill="1" applyBorder="1"/>
    <xf numFmtId="186" fontId="3" fillId="19" borderId="3" xfId="0" applyNumberFormat="1" applyFont="1" applyFill="1" applyBorder="1"/>
    <xf numFmtId="169" fontId="3" fillId="19" borderId="3" xfId="0" applyNumberFormat="1" applyFont="1" applyFill="1" applyBorder="1" applyAlignment="1">
      <alignment vertical="center"/>
    </xf>
    <xf numFmtId="15" fontId="3" fillId="15" borderId="3" xfId="0" applyNumberFormat="1" applyFont="1" applyFill="1" applyBorder="1"/>
    <xf numFmtId="186" fontId="3" fillId="15" borderId="3" xfId="0" applyNumberFormat="1" applyFont="1" applyFill="1" applyBorder="1"/>
    <xf numFmtId="169" fontId="3" fillId="4" borderId="3" xfId="0" applyNumberFormat="1" applyFont="1" applyFill="1" applyBorder="1" applyAlignment="1">
      <alignment vertical="center"/>
    </xf>
    <xf numFmtId="187" fontId="3" fillId="3" borderId="3" xfId="0" applyNumberFormat="1" applyFont="1" applyFill="1" applyBorder="1"/>
    <xf numFmtId="2" fontId="3" fillId="3" borderId="12" xfId="0" applyNumberFormat="1" applyFont="1" applyFill="1" applyBorder="1"/>
    <xf numFmtId="2" fontId="3" fillId="3" borderId="3" xfId="0" applyNumberFormat="1" applyFont="1" applyFill="1" applyBorder="1"/>
    <xf numFmtId="169" fontId="3" fillId="20" borderId="4" xfId="0" applyNumberFormat="1" applyFont="1" applyFill="1" applyBorder="1"/>
    <xf numFmtId="169" fontId="3" fillId="0" borderId="0" xfId="0" applyNumberFormat="1" applyFont="1"/>
    <xf numFmtId="0" fontId="5" fillId="3" borderId="27" xfId="0" applyFont="1" applyFill="1" applyBorder="1"/>
    <xf numFmtId="0" fontId="9" fillId="3" borderId="3" xfId="0" applyFont="1" applyFill="1" applyBorder="1"/>
    <xf numFmtId="15" fontId="9" fillId="3" borderId="3" xfId="0" applyNumberFormat="1" applyFont="1" applyFill="1" applyBorder="1"/>
    <xf numFmtId="0" fontId="3" fillId="21" borderId="3" xfId="0" applyFont="1" applyFill="1" applyBorder="1" applyAlignment="1">
      <alignment horizontal="left"/>
    </xf>
    <xf numFmtId="169" fontId="3" fillId="21" borderId="3" xfId="0" applyNumberFormat="1" applyFont="1" applyFill="1" applyBorder="1"/>
    <xf numFmtId="2" fontId="3" fillId="21" borderId="12" xfId="0" applyNumberFormat="1" applyFont="1" applyFill="1" applyBorder="1"/>
    <xf numFmtId="2" fontId="3" fillId="21" borderId="29" xfId="0" applyNumberFormat="1" applyFont="1" applyFill="1" applyBorder="1"/>
    <xf numFmtId="0" fontId="3" fillId="3" borderId="26" xfId="0" applyFont="1" applyFill="1" applyBorder="1" applyAlignment="1">
      <alignment horizontal="right"/>
    </xf>
    <xf numFmtId="184" fontId="3" fillId="3" borderId="3" xfId="0" applyNumberFormat="1" applyFont="1" applyFill="1" applyBorder="1"/>
    <xf numFmtId="0" fontId="3" fillId="3" borderId="3" xfId="0" applyFont="1" applyFill="1" applyBorder="1" applyAlignment="1">
      <alignment horizontal="center"/>
    </xf>
    <xf numFmtId="2" fontId="3" fillId="19" borderId="12" xfId="0" applyNumberFormat="1" applyFont="1" applyFill="1" applyBorder="1"/>
    <xf numFmtId="2" fontId="3" fillId="19" borderId="3" xfId="0" applyNumberFormat="1" applyFont="1" applyFill="1" applyBorder="1"/>
    <xf numFmtId="188" fontId="3" fillId="10" borderId="3" xfId="0" applyNumberFormat="1" applyFont="1" applyFill="1" applyBorder="1"/>
    <xf numFmtId="169" fontId="3" fillId="4" borderId="3" xfId="0" applyNumberFormat="1" applyFont="1" applyFill="1" applyBorder="1"/>
    <xf numFmtId="0" fontId="3" fillId="3" borderId="3" xfId="0" applyFont="1" applyFill="1" applyBorder="1" applyAlignment="1"/>
    <xf numFmtId="189" fontId="3" fillId="0" borderId="0" xfId="0" applyNumberFormat="1" applyFont="1"/>
    <xf numFmtId="1" fontId="3" fillId="3" borderId="3" xfId="0" applyNumberFormat="1" applyFont="1" applyFill="1" applyBorder="1" applyAlignment="1">
      <alignment horizontal="center"/>
    </xf>
    <xf numFmtId="0" fontId="3" fillId="19" borderId="3" xfId="0" applyFont="1" applyFill="1" applyBorder="1" applyAlignment="1">
      <alignment horizontal="center"/>
    </xf>
    <xf numFmtId="187" fontId="3" fillId="19" borderId="3" xfId="0" applyNumberFormat="1" applyFont="1" applyFill="1" applyBorder="1" applyAlignment="1">
      <alignment horizontal="center"/>
    </xf>
    <xf numFmtId="169" fontId="3" fillId="3" borderId="26" xfId="0" applyNumberFormat="1" applyFont="1" applyFill="1" applyBorder="1"/>
    <xf numFmtId="169" fontId="3" fillId="3" borderId="3" xfId="0" applyNumberFormat="1" applyFont="1" applyFill="1" applyBorder="1"/>
    <xf numFmtId="0" fontId="3" fillId="3" borderId="29" xfId="0" applyFont="1" applyFill="1" applyBorder="1"/>
    <xf numFmtId="184" fontId="3" fillId="12" borderId="3" xfId="0" applyNumberFormat="1" applyFont="1" applyFill="1" applyBorder="1"/>
    <xf numFmtId="0" fontId="9" fillId="12" borderId="3" xfId="0" applyFont="1" applyFill="1" applyBorder="1"/>
    <xf numFmtId="1" fontId="3" fillId="12" borderId="14" xfId="0" applyNumberFormat="1" applyFont="1" applyFill="1" applyBorder="1" applyAlignment="1">
      <alignment horizontal="center"/>
    </xf>
    <xf numFmtId="0" fontId="2" fillId="0" borderId="3" xfId="0" applyFont="1" applyBorder="1"/>
    <xf numFmtId="187" fontId="3" fillId="22" borderId="3" xfId="0" applyNumberFormat="1" applyFont="1" applyFill="1" applyBorder="1"/>
    <xf numFmtId="169" fontId="3" fillId="22" borderId="26" xfId="0" applyNumberFormat="1" applyFont="1" applyFill="1" applyBorder="1"/>
    <xf numFmtId="2" fontId="21" fillId="19" borderId="3" xfId="0" applyNumberFormat="1" applyFont="1" applyFill="1" applyBorder="1" applyAlignment="1">
      <alignment horizontal="center" vertical="center" wrapText="1"/>
    </xf>
    <xf numFmtId="0" fontId="3" fillId="12" borderId="3" xfId="0" applyFont="1" applyFill="1" applyBorder="1" applyAlignment="1"/>
    <xf numFmtId="1" fontId="3" fillId="12" borderId="40" xfId="0" applyNumberFormat="1" applyFont="1" applyFill="1" applyBorder="1" applyAlignment="1">
      <alignment horizontal="center"/>
    </xf>
    <xf numFmtId="0" fontId="22" fillId="0" borderId="0" xfId="0" applyFont="1"/>
    <xf numFmtId="169" fontId="3" fillId="9" borderId="58" xfId="0" applyNumberFormat="1" applyFont="1" applyFill="1" applyBorder="1"/>
    <xf numFmtId="169" fontId="3" fillId="3" borderId="59" xfId="0" applyNumberFormat="1" applyFont="1" applyFill="1" applyBorder="1"/>
    <xf numFmtId="15" fontId="3" fillId="12" borderId="3" xfId="0" applyNumberFormat="1" applyFont="1" applyFill="1" applyBorder="1"/>
    <xf numFmtId="1" fontId="3" fillId="12" borderId="16" xfId="0" applyNumberFormat="1" applyFont="1" applyFill="1" applyBorder="1" applyAlignment="1">
      <alignment horizontal="center"/>
    </xf>
    <xf numFmtId="0" fontId="3" fillId="19" borderId="63" xfId="0" applyFont="1" applyFill="1" applyBorder="1" applyAlignment="1">
      <alignment horizontal="center"/>
    </xf>
    <xf numFmtId="187" fontId="3" fillId="19" borderId="63" xfId="0" applyNumberFormat="1" applyFont="1" applyFill="1" applyBorder="1" applyAlignment="1">
      <alignment horizontal="center"/>
    </xf>
    <xf numFmtId="184" fontId="3" fillId="3" borderId="29" xfId="0" applyNumberFormat="1" applyFont="1" applyFill="1" applyBorder="1"/>
    <xf numFmtId="184" fontId="3" fillId="13" borderId="3" xfId="0" applyNumberFormat="1" applyFont="1" applyFill="1" applyBorder="1"/>
    <xf numFmtId="0" fontId="9" fillId="13" borderId="3" xfId="0" applyFont="1" applyFill="1" applyBorder="1"/>
    <xf numFmtId="1" fontId="3" fillId="13" borderId="14" xfId="0" applyNumberFormat="1" applyFont="1" applyFill="1" applyBorder="1" applyAlignment="1">
      <alignment horizontal="center"/>
    </xf>
    <xf numFmtId="187" fontId="3" fillId="12" borderId="63" xfId="0" applyNumberFormat="1" applyFont="1" applyFill="1" applyBorder="1"/>
    <xf numFmtId="0" fontId="3" fillId="3" borderId="65" xfId="0" applyFont="1" applyFill="1" applyBorder="1" applyAlignment="1">
      <alignment horizontal="left"/>
    </xf>
    <xf numFmtId="184" fontId="3" fillId="3" borderId="66" xfId="0" applyNumberFormat="1" applyFont="1" applyFill="1" applyBorder="1"/>
    <xf numFmtId="0" fontId="3" fillId="13" borderId="3" xfId="0" applyFont="1" applyFill="1" applyBorder="1" applyAlignment="1"/>
    <xf numFmtId="1" fontId="3" fillId="13" borderId="40" xfId="0" applyNumberFormat="1" applyFont="1" applyFill="1" applyBorder="1" applyAlignment="1">
      <alignment horizontal="center"/>
    </xf>
    <xf numFmtId="187" fontId="3" fillId="13" borderId="3" xfId="0" applyNumberFormat="1" applyFont="1" applyFill="1" applyBorder="1"/>
    <xf numFmtId="15" fontId="3" fillId="13" borderId="3" xfId="0" applyNumberFormat="1" applyFont="1" applyFill="1" applyBorder="1"/>
    <xf numFmtId="1" fontId="3" fillId="13" borderId="16" xfId="0" applyNumberFormat="1" applyFont="1" applyFill="1" applyBorder="1" applyAlignment="1">
      <alignment horizontal="center"/>
    </xf>
    <xf numFmtId="187" fontId="3" fillId="15" borderId="3" xfId="0" applyNumberFormat="1" applyFont="1" applyFill="1" applyBorder="1"/>
    <xf numFmtId="184" fontId="3" fillId="23" borderId="3" xfId="0" applyNumberFormat="1" applyFont="1" applyFill="1" applyBorder="1"/>
    <xf numFmtId="0" fontId="9" fillId="23" borderId="3" xfId="0" applyFont="1" applyFill="1" applyBorder="1"/>
    <xf numFmtId="1" fontId="3" fillId="23" borderId="14" xfId="0" applyNumberFormat="1" applyFont="1" applyFill="1" applyBorder="1" applyAlignment="1">
      <alignment horizontal="center"/>
    </xf>
    <xf numFmtId="0" fontId="22" fillId="0" borderId="17" xfId="0" applyFont="1" applyBorder="1"/>
    <xf numFmtId="187" fontId="3" fillId="21" borderId="3" xfId="0" applyNumberFormat="1" applyFont="1" applyFill="1" applyBorder="1"/>
    <xf numFmtId="0" fontId="3" fillId="23" borderId="3" xfId="0" applyFont="1" applyFill="1" applyBorder="1" applyAlignment="1"/>
    <xf numFmtId="1" fontId="3" fillId="23" borderId="40" xfId="0" applyNumberFormat="1" applyFont="1" applyFill="1" applyBorder="1" applyAlignment="1">
      <alignment horizontal="center"/>
    </xf>
    <xf numFmtId="164" fontId="3" fillId="0" borderId="0" xfId="0" applyNumberFormat="1" applyFont="1"/>
    <xf numFmtId="169" fontId="3" fillId="22" borderId="3" xfId="0" applyNumberFormat="1" applyFont="1" applyFill="1" applyBorder="1"/>
    <xf numFmtId="15" fontId="3" fillId="23" borderId="3" xfId="0" applyNumberFormat="1" applyFont="1" applyFill="1" applyBorder="1"/>
    <xf numFmtId="1" fontId="3" fillId="23" borderId="16" xfId="0" applyNumberFormat="1" applyFont="1" applyFill="1" applyBorder="1" applyAlignment="1">
      <alignment horizontal="center"/>
    </xf>
    <xf numFmtId="0" fontId="3" fillId="24" borderId="3" xfId="0" applyFont="1" applyFill="1" applyBorder="1" applyAlignment="1">
      <alignment horizontal="left"/>
    </xf>
    <xf numFmtId="10" fontId="3" fillId="24" borderId="3" xfId="0" applyNumberFormat="1" applyFont="1" applyFill="1" applyBorder="1"/>
    <xf numFmtId="0" fontId="3" fillId="24" borderId="3" xfId="0" applyFont="1" applyFill="1" applyBorder="1"/>
    <xf numFmtId="190" fontId="3" fillId="24" borderId="3" xfId="0" applyNumberFormat="1" applyFont="1" applyFill="1" applyBorder="1"/>
    <xf numFmtId="10" fontId="3" fillId="0" borderId="0" xfId="0" applyNumberFormat="1" applyFont="1"/>
    <xf numFmtId="0" fontId="3" fillId="25" borderId="3" xfId="0" applyFont="1" applyFill="1" applyBorder="1" applyAlignment="1">
      <alignment horizontal="left"/>
    </xf>
    <xf numFmtId="10" fontId="3" fillId="25" borderId="3" xfId="0" applyNumberFormat="1" applyFont="1" applyFill="1" applyBorder="1"/>
    <xf numFmtId="1" fontId="3" fillId="0" borderId="0" xfId="0" applyNumberFormat="1" applyFont="1"/>
    <xf numFmtId="0" fontId="3" fillId="17" borderId="3" xfId="0" applyFont="1" applyFill="1" applyBorder="1" applyAlignment="1">
      <alignment horizontal="left"/>
    </xf>
    <xf numFmtId="190" fontId="3" fillId="17" borderId="3" xfId="0" applyNumberFormat="1" applyFont="1" applyFill="1" applyBorder="1"/>
    <xf numFmtId="0" fontId="3" fillId="17" borderId="3" xfId="0" applyFont="1" applyFill="1" applyBorder="1"/>
    <xf numFmtId="10" fontId="3" fillId="17" borderId="3" xfId="0" applyNumberFormat="1" applyFont="1" applyFill="1" applyBorder="1"/>
    <xf numFmtId="0" fontId="3" fillId="26" borderId="3" xfId="0" applyFont="1" applyFill="1" applyBorder="1" applyAlignment="1">
      <alignment horizontal="left"/>
    </xf>
    <xf numFmtId="191" fontId="3" fillId="26" borderId="3" xfId="0" applyNumberFormat="1" applyFont="1" applyFill="1" applyBorder="1"/>
    <xf numFmtId="10" fontId="3" fillId="26" borderId="3" xfId="0" applyNumberFormat="1" applyFont="1" applyFill="1" applyBorder="1"/>
    <xf numFmtId="0" fontId="3" fillId="27" borderId="3" xfId="0" applyFont="1" applyFill="1" applyBorder="1" applyAlignment="1">
      <alignment horizontal="left"/>
    </xf>
    <xf numFmtId="176" fontId="3" fillId="27" borderId="3" xfId="0" applyNumberFormat="1" applyFont="1" applyFill="1" applyBorder="1"/>
    <xf numFmtId="10" fontId="3" fillId="27" borderId="3" xfId="0" applyNumberFormat="1" applyFont="1" applyFill="1" applyBorder="1"/>
    <xf numFmtId="192" fontId="3" fillId="21" borderId="3" xfId="0" applyNumberFormat="1" applyFont="1" applyFill="1" applyBorder="1"/>
    <xf numFmtId="10" fontId="3" fillId="21" borderId="3" xfId="0" applyNumberFormat="1" applyFont="1" applyFill="1" applyBorder="1"/>
    <xf numFmtId="176" fontId="3" fillId="21" borderId="3" xfId="0" applyNumberFormat="1" applyFont="1" applyFill="1" applyBorder="1"/>
    <xf numFmtId="0" fontId="23" fillId="0" borderId="0" xfId="0" applyFont="1"/>
    <xf numFmtId="0" fontId="24" fillId="0" borderId="0" xfId="0" applyFont="1" applyAlignment="1">
      <alignment horizontal="center"/>
    </xf>
    <xf numFmtId="0" fontId="25" fillId="0" borderId="0" xfId="0" applyFont="1"/>
    <xf numFmtId="2" fontId="3" fillId="0" borderId="0" xfId="0" applyNumberFormat="1" applyFont="1" applyAlignment="1">
      <alignment horizontal="center"/>
    </xf>
    <xf numFmtId="2" fontId="17" fillId="0" borderId="0" xfId="0" applyNumberFormat="1" applyFont="1" applyAlignment="1">
      <alignment horizontal="center"/>
    </xf>
    <xf numFmtId="193" fontId="3" fillId="0" borderId="0" xfId="0" applyNumberFormat="1" applyFont="1" applyAlignment="1">
      <alignment horizontal="center"/>
    </xf>
    <xf numFmtId="0" fontId="26" fillId="0" borderId="0" xfId="0" applyFont="1" applyAlignment="1">
      <alignment horizontal="left"/>
    </xf>
    <xf numFmtId="0" fontId="27" fillId="0" borderId="0" xfId="0" applyFont="1" applyAlignment="1">
      <alignment horizontal="center"/>
    </xf>
    <xf numFmtId="0" fontId="28" fillId="0" borderId="0" xfId="0" applyFont="1"/>
    <xf numFmtId="194" fontId="3" fillId="0" borderId="0" xfId="0" applyNumberFormat="1" applyFont="1"/>
    <xf numFmtId="185" fontId="3" fillId="0" borderId="0" xfId="0" applyNumberFormat="1" applyFont="1"/>
    <xf numFmtId="195" fontId="3" fillId="0" borderId="0" xfId="0" applyNumberFormat="1" applyFont="1"/>
    <xf numFmtId="1" fontId="17" fillId="0" borderId="0" xfId="0" applyNumberFormat="1" applyFont="1" applyAlignment="1">
      <alignment horizontal="center"/>
    </xf>
    <xf numFmtId="0" fontId="29" fillId="0" borderId="0" xfId="0" applyFont="1" applyAlignment="1">
      <alignment horizontal="left"/>
    </xf>
    <xf numFmtId="0" fontId="30" fillId="0" borderId="0" xfId="0" applyFont="1" applyAlignment="1">
      <alignment horizontal="center"/>
    </xf>
    <xf numFmtId="0" fontId="31" fillId="0" borderId="0" xfId="0" applyFont="1" applyAlignment="1">
      <alignment horizontal="center"/>
    </xf>
    <xf numFmtId="0" fontId="9" fillId="0" borderId="0" xfId="0" applyFont="1" applyAlignment="1">
      <alignment horizontal="left"/>
    </xf>
    <xf numFmtId="0" fontId="9" fillId="0" borderId="0" xfId="0" applyFont="1"/>
    <xf numFmtId="2" fontId="9" fillId="0" borderId="0" xfId="0" applyNumberFormat="1" applyFont="1"/>
    <xf numFmtId="0" fontId="3" fillId="0" borderId="0" xfId="0" applyFont="1" applyAlignment="1">
      <alignment horizontal="left"/>
    </xf>
    <xf numFmtId="3" fontId="3" fillId="0" borderId="0" xfId="0" applyNumberFormat="1" applyFont="1"/>
    <xf numFmtId="190" fontId="3" fillId="0" borderId="0" xfId="0" applyNumberFormat="1" applyFont="1"/>
    <xf numFmtId="196" fontId="3" fillId="0" borderId="0" xfId="0" applyNumberFormat="1" applyFont="1"/>
    <xf numFmtId="197" fontId="3" fillId="0" borderId="0" xfId="0" applyNumberFormat="1" applyFont="1"/>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9" fillId="28" borderId="27" xfId="0" applyFont="1" applyFill="1" applyBorder="1" applyAlignment="1">
      <alignment vertical="center" wrapText="1"/>
    </xf>
    <xf numFmtId="0" fontId="9" fillId="28" borderId="27" xfId="0" applyFont="1" applyFill="1" applyBorder="1" applyAlignment="1">
      <alignment horizontal="center" vertical="center" wrapText="1"/>
    </xf>
    <xf numFmtId="15" fontId="9" fillId="28" borderId="27" xfId="0" applyNumberFormat="1" applyFont="1" applyFill="1" applyBorder="1" applyAlignment="1">
      <alignment vertical="center" wrapText="1"/>
    </xf>
    <xf numFmtId="49" fontId="3" fillId="13" borderId="10" xfId="0" applyNumberFormat="1" applyFont="1" applyFill="1" applyBorder="1" applyAlignment="1">
      <alignment horizontal="left"/>
    </xf>
    <xf numFmtId="49" fontId="3" fillId="13" borderId="10" xfId="0" applyNumberFormat="1" applyFont="1" applyFill="1" applyBorder="1" applyAlignment="1">
      <alignment horizontal="center"/>
    </xf>
    <xf numFmtId="10" fontId="3" fillId="13" borderId="10" xfId="0" applyNumberFormat="1" applyFont="1" applyFill="1" applyBorder="1" applyAlignment="1">
      <alignment horizontal="right"/>
    </xf>
    <xf numFmtId="2" fontId="17" fillId="13" borderId="10" xfId="0" applyNumberFormat="1" applyFont="1" applyFill="1" applyBorder="1"/>
    <xf numFmtId="198" fontId="4" fillId="13" borderId="10" xfId="0" applyNumberFormat="1" applyFont="1" applyFill="1" applyBorder="1"/>
    <xf numFmtId="15" fontId="4" fillId="13" borderId="10" xfId="0" applyNumberFormat="1" applyFont="1" applyFill="1" applyBorder="1"/>
    <xf numFmtId="169" fontId="3" fillId="13" borderId="26" xfId="0" applyNumberFormat="1" applyFont="1" applyFill="1" applyBorder="1"/>
    <xf numFmtId="199" fontId="3" fillId="13" borderId="10" xfId="0" applyNumberFormat="1" applyFont="1" applyFill="1" applyBorder="1"/>
    <xf numFmtId="200" fontId="35" fillId="13" borderId="69" xfId="0" applyNumberFormat="1" applyFont="1" applyFill="1" applyBorder="1"/>
    <xf numFmtId="201" fontId="36" fillId="13" borderId="10" xfId="0" applyNumberFormat="1" applyFont="1" applyFill="1" applyBorder="1"/>
    <xf numFmtId="202" fontId="37" fillId="13" borderId="10" xfId="0" applyNumberFormat="1" applyFont="1" applyFill="1" applyBorder="1"/>
    <xf numFmtId="1" fontId="3" fillId="12" borderId="10" xfId="0" applyNumberFormat="1" applyFont="1" applyFill="1" applyBorder="1" applyAlignment="1">
      <alignment horizontal="center"/>
    </xf>
    <xf numFmtId="10" fontId="3" fillId="12" borderId="10" xfId="0" applyNumberFormat="1" applyFont="1" applyFill="1" applyBorder="1" applyAlignment="1">
      <alignment horizontal="right"/>
    </xf>
    <xf numFmtId="1" fontId="3" fillId="12" borderId="10" xfId="0" applyNumberFormat="1" applyFont="1" applyFill="1" applyBorder="1"/>
    <xf numFmtId="172" fontId="4" fillId="12" borderId="10" xfId="0" applyNumberFormat="1" applyFont="1" applyFill="1" applyBorder="1"/>
    <xf numFmtId="2" fontId="4" fillId="12" borderId="10" xfId="0" applyNumberFormat="1" applyFont="1" applyFill="1" applyBorder="1"/>
    <xf numFmtId="198" fontId="4" fillId="12" borderId="10" xfId="0" applyNumberFormat="1" applyFont="1" applyFill="1" applyBorder="1"/>
    <xf numFmtId="15" fontId="4" fillId="12" borderId="10" xfId="0" applyNumberFormat="1" applyFont="1" applyFill="1" applyBorder="1"/>
    <xf numFmtId="169" fontId="3" fillId="12" borderId="26" xfId="0" applyNumberFormat="1" applyFont="1" applyFill="1" applyBorder="1"/>
    <xf numFmtId="199" fontId="3" fillId="12" borderId="10" xfId="0" applyNumberFormat="1" applyFont="1" applyFill="1" applyBorder="1"/>
    <xf numFmtId="200" fontId="35" fillId="12" borderId="69" xfId="0" applyNumberFormat="1" applyFont="1" applyFill="1" applyBorder="1"/>
    <xf numFmtId="201" fontId="36" fillId="12" borderId="10" xfId="0" applyNumberFormat="1" applyFont="1" applyFill="1" applyBorder="1"/>
    <xf numFmtId="202" fontId="37" fillId="12" borderId="10" xfId="0" applyNumberFormat="1" applyFont="1" applyFill="1" applyBorder="1"/>
    <xf numFmtId="0" fontId="3" fillId="29" borderId="10" xfId="0" applyFont="1" applyFill="1" applyBorder="1"/>
    <xf numFmtId="0" fontId="3" fillId="4" borderId="10" xfId="0" applyFont="1" applyFill="1" applyBorder="1"/>
    <xf numFmtId="199" fontId="3" fillId="12" borderId="70" xfId="0" applyNumberFormat="1" applyFont="1" applyFill="1" applyBorder="1"/>
    <xf numFmtId="15" fontId="3" fillId="29" borderId="10" xfId="0" applyNumberFormat="1" applyFont="1" applyFill="1" applyBorder="1"/>
    <xf numFmtId="10" fontId="3" fillId="0" borderId="10" xfId="0" applyNumberFormat="1" applyFont="1" applyBorder="1" applyAlignment="1">
      <alignment horizontal="right"/>
    </xf>
    <xf numFmtId="2" fontId="17" fillId="0" borderId="10" xfId="0" applyNumberFormat="1" applyFont="1" applyBorder="1"/>
    <xf numFmtId="2" fontId="4" fillId="0" borderId="10" xfId="0" applyNumberFormat="1" applyFont="1" applyBorder="1"/>
    <xf numFmtId="198" fontId="4" fillId="0" borderId="10" xfId="0" applyNumberFormat="1" applyFont="1" applyBorder="1"/>
    <xf numFmtId="15" fontId="4" fillId="0" borderId="10" xfId="0" applyNumberFormat="1" applyFont="1" applyBorder="1"/>
    <xf numFmtId="199" fontId="3" fillId="0" borderId="71" xfId="0" applyNumberFormat="1" applyFont="1" applyBorder="1"/>
    <xf numFmtId="200" fontId="35" fillId="0" borderId="10" xfId="0" applyNumberFormat="1" applyFont="1" applyBorder="1"/>
    <xf numFmtId="201" fontId="36" fillId="0" borderId="10" xfId="0" applyNumberFormat="1" applyFont="1" applyBorder="1"/>
    <xf numFmtId="202" fontId="37" fillId="0" borderId="10" xfId="0" applyNumberFormat="1" applyFont="1" applyBorder="1"/>
    <xf numFmtId="199" fontId="3" fillId="0" borderId="10" xfId="0" applyNumberFormat="1" applyFont="1" applyBorder="1"/>
    <xf numFmtId="1" fontId="38" fillId="4" borderId="72" xfId="0" applyNumberFormat="1" applyFont="1" applyFill="1" applyBorder="1" applyAlignment="1">
      <alignment horizontal="center"/>
    </xf>
    <xf numFmtId="0" fontId="39" fillId="4" borderId="72" xfId="0" applyFont="1" applyFill="1" applyBorder="1"/>
    <xf numFmtId="15" fontId="7" fillId="4" borderId="72" xfId="0" applyNumberFormat="1" applyFont="1" applyFill="1" applyBorder="1"/>
    <xf numFmtId="0" fontId="7" fillId="4" borderId="72" xfId="0" applyFont="1" applyFill="1" applyBorder="1"/>
    <xf numFmtId="174" fontId="3" fillId="0" borderId="73" xfId="0" applyNumberFormat="1" applyFont="1" applyBorder="1"/>
    <xf numFmtId="174" fontId="39" fillId="4" borderId="72" xfId="0" applyNumberFormat="1" applyFont="1" applyFill="1" applyBorder="1"/>
    <xf numFmtId="15" fontId="7" fillId="0" borderId="74" xfId="0" applyNumberFormat="1" applyFont="1" applyBorder="1"/>
    <xf numFmtId="172" fontId="3" fillId="0" borderId="74" xfId="0" applyNumberFormat="1" applyFont="1" applyBorder="1"/>
    <xf numFmtId="2" fontId="4" fillId="0" borderId="74" xfId="0" applyNumberFormat="1" applyFont="1" applyBorder="1"/>
    <xf numFmtId="169" fontId="3" fillId="0" borderId="74" xfId="0" applyNumberFormat="1" applyFont="1" applyBorder="1"/>
    <xf numFmtId="15" fontId="3" fillId="0" borderId="74" xfId="0" applyNumberFormat="1" applyFont="1" applyBorder="1"/>
    <xf numFmtId="2" fontId="3" fillId="0" borderId="74" xfId="0" applyNumberFormat="1" applyFont="1" applyBorder="1"/>
    <xf numFmtId="199" fontId="3" fillId="0" borderId="0" xfId="0" applyNumberFormat="1" applyFont="1"/>
    <xf numFmtId="0" fontId="3" fillId="0" borderId="74" xfId="0" applyFont="1" applyBorder="1"/>
    <xf numFmtId="199" fontId="3" fillId="0" borderId="74" xfId="0" applyNumberFormat="1" applyFont="1" applyBorder="1"/>
    <xf numFmtId="15" fontId="9" fillId="28" borderId="75" xfId="0" applyNumberFormat="1" applyFont="1" applyFill="1" applyBorder="1" applyAlignment="1">
      <alignment vertical="center" wrapText="1"/>
    </xf>
    <xf numFmtId="0" fontId="9" fillId="28" borderId="75" xfId="0" applyFont="1" applyFill="1" applyBorder="1" applyAlignment="1">
      <alignment vertical="center" wrapText="1"/>
    </xf>
    <xf numFmtId="0" fontId="9" fillId="28" borderId="75" xfId="0" applyFont="1" applyFill="1" applyBorder="1" applyAlignment="1">
      <alignment horizontal="center" vertical="center" wrapText="1"/>
    </xf>
    <xf numFmtId="15" fontId="4" fillId="13" borderId="28" xfId="0" applyNumberFormat="1" applyFont="1" applyFill="1" applyBorder="1"/>
    <xf numFmtId="2" fontId="3" fillId="13" borderId="10" xfId="0" applyNumberFormat="1" applyFont="1" applyFill="1" applyBorder="1"/>
    <xf numFmtId="203" fontId="3" fillId="13" borderId="10" xfId="0" applyNumberFormat="1" applyFont="1" applyFill="1" applyBorder="1"/>
    <xf numFmtId="169" fontId="3" fillId="13" borderId="10" xfId="0" applyNumberFormat="1" applyFont="1" applyFill="1" applyBorder="1"/>
    <xf numFmtId="169" fontId="3" fillId="13" borderId="76" xfId="0" applyNumberFormat="1" applyFont="1" applyFill="1" applyBorder="1"/>
    <xf numFmtId="200" fontId="35" fillId="13" borderId="10" xfId="0" applyNumberFormat="1" applyFont="1" applyFill="1" applyBorder="1"/>
    <xf numFmtId="2" fontId="4" fillId="12" borderId="10" xfId="0" applyNumberFormat="1" applyFont="1" applyFill="1" applyBorder="1" applyAlignment="1"/>
    <xf numFmtId="15" fontId="3" fillId="12" borderId="10" xfId="0" applyNumberFormat="1" applyFont="1" applyFill="1" applyBorder="1" applyAlignment="1"/>
    <xf numFmtId="15" fontId="4" fillId="12" borderId="10" xfId="0" applyNumberFormat="1" applyFont="1" applyFill="1" applyBorder="1" applyAlignment="1"/>
    <xf numFmtId="49" fontId="3" fillId="0" borderId="0" xfId="0" applyNumberFormat="1" applyFont="1" applyAlignment="1">
      <alignment horizontal="center"/>
    </xf>
    <xf numFmtId="172" fontId="17" fillId="0" borderId="0" xfId="0" applyNumberFormat="1" applyFont="1"/>
    <xf numFmtId="15" fontId="17" fillId="0" borderId="0" xfId="0" applyNumberFormat="1" applyFont="1"/>
    <xf numFmtId="172" fontId="4" fillId="0" borderId="0" xfId="0" applyNumberFormat="1" applyFont="1"/>
    <xf numFmtId="15" fontId="4" fillId="0" borderId="0" xfId="0" applyNumberFormat="1" applyFont="1"/>
    <xf numFmtId="200" fontId="35" fillId="0" borderId="0" xfId="0" applyNumberFormat="1" applyFont="1"/>
    <xf numFmtId="201" fontId="36" fillId="0" borderId="0" xfId="0" applyNumberFormat="1" applyFont="1"/>
    <xf numFmtId="202" fontId="37" fillId="0" borderId="0" xfId="0" applyNumberFormat="1" applyFont="1"/>
    <xf numFmtId="170" fontId="3" fillId="0" borderId="0" xfId="0" applyNumberFormat="1" applyFont="1"/>
    <xf numFmtId="0" fontId="3" fillId="13" borderId="10" xfId="0" applyFont="1" applyFill="1" applyBorder="1"/>
    <xf numFmtId="0" fontId="2" fillId="0" borderId="10" xfId="0" applyFont="1" applyBorder="1"/>
    <xf numFmtId="0" fontId="19" fillId="0" borderId="10" xfId="0" applyFont="1" applyBorder="1"/>
    <xf numFmtId="186" fontId="3" fillId="13" borderId="10" xfId="0" applyNumberFormat="1" applyFont="1" applyFill="1" applyBorder="1"/>
    <xf numFmtId="15" fontId="3" fillId="13" borderId="10" xfId="0" applyNumberFormat="1" applyFont="1" applyFill="1" applyBorder="1" applyAlignment="1">
      <alignment horizontal="center"/>
    </xf>
    <xf numFmtId="172" fontId="3" fillId="0" borderId="10" xfId="0" applyNumberFormat="1" applyFont="1" applyBorder="1"/>
    <xf numFmtId="15" fontId="7" fillId="13" borderId="10" xfId="0" applyNumberFormat="1" applyFont="1" applyFill="1" applyBorder="1"/>
    <xf numFmtId="0" fontId="3" fillId="3" borderId="10" xfId="0" applyFont="1" applyFill="1" applyBorder="1" applyAlignment="1">
      <alignment horizontal="left"/>
    </xf>
    <xf numFmtId="2" fontId="3" fillId="3" borderId="10" xfId="0" applyNumberFormat="1" applyFont="1" applyFill="1" applyBorder="1"/>
    <xf numFmtId="203" fontId="3" fillId="3" borderId="10" xfId="0" applyNumberFormat="1" applyFont="1" applyFill="1" applyBorder="1"/>
    <xf numFmtId="169" fontId="3" fillId="3" borderId="10" xfId="0" applyNumberFormat="1" applyFont="1" applyFill="1" applyBorder="1"/>
    <xf numFmtId="0" fontId="3" fillId="30" borderId="10" xfId="0" applyFont="1" applyFill="1" applyBorder="1"/>
    <xf numFmtId="0" fontId="5" fillId="30" borderId="10" xfId="0" applyFont="1" applyFill="1" applyBorder="1"/>
    <xf numFmtId="204" fontId="3" fillId="30" borderId="10" xfId="0" applyNumberFormat="1" applyFont="1" applyFill="1" applyBorder="1"/>
    <xf numFmtId="169" fontId="3" fillId="30" borderId="10" xfId="0" applyNumberFormat="1" applyFont="1" applyFill="1" applyBorder="1"/>
    <xf numFmtId="15" fontId="3" fillId="0" borderId="10" xfId="0" applyNumberFormat="1" applyFont="1" applyBorder="1"/>
    <xf numFmtId="0" fontId="3" fillId="8" borderId="10" xfId="0" applyFont="1" applyFill="1" applyBorder="1"/>
    <xf numFmtId="0" fontId="3" fillId="8" borderId="10" xfId="0" applyFont="1" applyFill="1" applyBorder="1" applyAlignment="1">
      <alignment horizontal="center"/>
    </xf>
    <xf numFmtId="0" fontId="3" fillId="0" borderId="10" xfId="0" applyFont="1" applyBorder="1" applyAlignment="1">
      <alignment horizontal="center"/>
    </xf>
    <xf numFmtId="0" fontId="5" fillId="0" borderId="10" xfId="0" applyFont="1" applyBorder="1"/>
    <xf numFmtId="2" fontId="3" fillId="8" borderId="10" xfId="0" applyNumberFormat="1" applyFont="1" applyFill="1" applyBorder="1"/>
    <xf numFmtId="169" fontId="3" fillId="0" borderId="10" xfId="0" applyNumberFormat="1" applyFont="1" applyBorder="1"/>
    <xf numFmtId="170" fontId="3" fillId="0" borderId="10" xfId="0" applyNumberFormat="1" applyFont="1" applyBorder="1"/>
    <xf numFmtId="0" fontId="3" fillId="13" borderId="10" xfId="0" applyFont="1" applyFill="1" applyBorder="1" applyAlignment="1"/>
    <xf numFmtId="184" fontId="3" fillId="13" borderId="10" xfId="0" applyNumberFormat="1" applyFont="1" applyFill="1" applyBorder="1"/>
    <xf numFmtId="1" fontId="3" fillId="13" borderId="10" xfId="0" applyNumberFormat="1" applyFont="1" applyFill="1" applyBorder="1" applyAlignment="1">
      <alignment horizontal="center"/>
    </xf>
    <xf numFmtId="1" fontId="3" fillId="13" borderId="10" xfId="0" applyNumberFormat="1" applyFont="1" applyFill="1" applyBorder="1" applyAlignment="1">
      <alignment horizontal="right"/>
    </xf>
    <xf numFmtId="205" fontId="3" fillId="13" borderId="10" xfId="0" applyNumberFormat="1" applyFont="1" applyFill="1" applyBorder="1"/>
    <xf numFmtId="0" fontId="3" fillId="0" borderId="77" xfId="0" applyFont="1" applyBorder="1"/>
    <xf numFmtId="49" fontId="3" fillId="0" borderId="77" xfId="0" applyNumberFormat="1" applyFont="1" applyBorder="1" applyAlignment="1">
      <alignment horizontal="center"/>
    </xf>
    <xf numFmtId="0" fontId="3" fillId="0" borderId="78" xfId="0" applyFont="1" applyBorder="1"/>
    <xf numFmtId="0" fontId="9" fillId="28" borderId="27" xfId="0" applyFont="1" applyFill="1" applyBorder="1" applyAlignment="1">
      <alignment horizontal="right" vertical="center" wrapText="1"/>
    </xf>
    <xf numFmtId="0" fontId="5" fillId="12" borderId="10" xfId="0" applyFont="1" applyFill="1" applyBorder="1"/>
    <xf numFmtId="49" fontId="5" fillId="12" borderId="10" xfId="0" applyNumberFormat="1" applyFont="1" applyFill="1" applyBorder="1"/>
    <xf numFmtId="1" fontId="3" fillId="13" borderId="10" xfId="0" applyNumberFormat="1" applyFont="1" applyFill="1" applyBorder="1"/>
    <xf numFmtId="10" fontId="7" fillId="13" borderId="10" xfId="0" applyNumberFormat="1" applyFont="1" applyFill="1" applyBorder="1"/>
    <xf numFmtId="49" fontId="3" fillId="12" borderId="10" xfId="0" applyNumberFormat="1" applyFont="1" applyFill="1" applyBorder="1" applyAlignment="1">
      <alignment horizontal="center"/>
    </xf>
    <xf numFmtId="15" fontId="3" fillId="12" borderId="10" xfId="0" applyNumberFormat="1" applyFont="1" applyFill="1" applyBorder="1" applyAlignment="1">
      <alignment horizontal="right"/>
    </xf>
    <xf numFmtId="1" fontId="3" fillId="12" borderId="10" xfId="0" applyNumberFormat="1" applyFont="1" applyFill="1" applyBorder="1" applyAlignment="1">
      <alignment horizontal="right"/>
    </xf>
    <xf numFmtId="1" fontId="5" fillId="12" borderId="10" xfId="0" applyNumberFormat="1" applyFont="1" applyFill="1" applyBorder="1"/>
    <xf numFmtId="15" fontId="3" fillId="13" borderId="10" xfId="0" applyNumberFormat="1" applyFont="1" applyFill="1" applyBorder="1" applyAlignment="1">
      <alignment horizontal="right"/>
    </xf>
    <xf numFmtId="1" fontId="3" fillId="13" borderId="10" xfId="0" applyNumberFormat="1" applyFont="1" applyFill="1" applyBorder="1" applyAlignment="1">
      <alignment horizontal="right"/>
    </xf>
    <xf numFmtId="0" fontId="5" fillId="12" borderId="69" xfId="0" applyFont="1" applyFill="1" applyBorder="1"/>
    <xf numFmtId="49" fontId="5" fillId="12" borderId="69" xfId="0" applyNumberFormat="1" applyFont="1" applyFill="1" applyBorder="1"/>
    <xf numFmtId="49" fontId="3" fillId="12" borderId="69" xfId="0" applyNumberFormat="1" applyFont="1" applyFill="1" applyBorder="1" applyAlignment="1">
      <alignment horizontal="center"/>
    </xf>
    <xf numFmtId="170" fontId="3" fillId="31" borderId="3" xfId="0" applyNumberFormat="1" applyFont="1" applyFill="1" applyBorder="1"/>
    <xf numFmtId="2" fontId="40" fillId="0" borderId="0" xfId="0" applyNumberFormat="1" applyFont="1"/>
    <xf numFmtId="10" fontId="7" fillId="0" borderId="10" xfId="0" applyNumberFormat="1" applyFont="1" applyBorder="1"/>
    <xf numFmtId="49" fontId="3" fillId="0" borderId="10" xfId="0" applyNumberFormat="1" applyFont="1" applyBorder="1" applyAlignment="1">
      <alignment horizontal="center"/>
    </xf>
    <xf numFmtId="0" fontId="3" fillId="28" borderId="3" xfId="0" applyFont="1" applyFill="1" applyBorder="1" applyAlignment="1">
      <alignment horizontal="center" vertical="center"/>
    </xf>
    <xf numFmtId="0" fontId="3" fillId="28" borderId="3" xfId="0" applyFont="1" applyFill="1" applyBorder="1" applyAlignment="1">
      <alignment vertical="center"/>
    </xf>
    <xf numFmtId="0" fontId="3" fillId="28" borderId="3" xfId="0" applyFont="1" applyFill="1" applyBorder="1" applyAlignment="1">
      <alignment horizontal="center" vertical="center" wrapText="1"/>
    </xf>
    <xf numFmtId="186" fontId="3" fillId="0" borderId="0" xfId="0" applyNumberFormat="1" applyFont="1"/>
    <xf numFmtId="177" fontId="3" fillId="13" borderId="23" xfId="0" applyNumberFormat="1" applyFont="1" applyFill="1" applyBorder="1" applyAlignment="1">
      <alignment horizontal="left"/>
    </xf>
    <xf numFmtId="186" fontId="3" fillId="13" borderId="3" xfId="0" applyNumberFormat="1" applyFont="1" applyFill="1" applyBorder="1"/>
    <xf numFmtId="177" fontId="3" fillId="13" borderId="10" xfId="0" applyNumberFormat="1" applyFont="1" applyFill="1" applyBorder="1" applyAlignment="1">
      <alignment horizontal="left"/>
    </xf>
    <xf numFmtId="186" fontId="3" fillId="13" borderId="12" xfId="0" applyNumberFormat="1" applyFont="1" applyFill="1" applyBorder="1"/>
    <xf numFmtId="15" fontId="3" fillId="13" borderId="29" xfId="0" applyNumberFormat="1" applyFont="1" applyFill="1" applyBorder="1"/>
    <xf numFmtId="177" fontId="3" fillId="13" borderId="3" xfId="0" applyNumberFormat="1" applyFont="1" applyFill="1" applyBorder="1" applyAlignment="1">
      <alignment horizontal="left"/>
    </xf>
    <xf numFmtId="0" fontId="3" fillId="13" borderId="29" xfId="0" applyFont="1" applyFill="1" applyBorder="1"/>
    <xf numFmtId="15" fontId="3" fillId="13" borderId="3" xfId="0" applyNumberFormat="1" applyFont="1" applyFill="1" applyBorder="1" applyAlignment="1">
      <alignment horizontal="center"/>
    </xf>
    <xf numFmtId="15" fontId="3" fillId="0" borderId="0" xfId="0" applyNumberFormat="1" applyFont="1" applyAlignment="1">
      <alignment horizontal="center"/>
    </xf>
    <xf numFmtId="186" fontId="3" fillId="0" borderId="3" xfId="0" applyNumberFormat="1" applyFont="1" applyBorder="1"/>
    <xf numFmtId="186" fontId="3" fillId="0" borderId="0" xfId="0" applyNumberFormat="1" applyFont="1" applyAlignment="1">
      <alignment horizontal="center"/>
    </xf>
    <xf numFmtId="186" fontId="3" fillId="0" borderId="0" xfId="0" applyNumberFormat="1" applyFont="1" applyAlignment="1">
      <alignment horizontal="left"/>
    </xf>
    <xf numFmtId="17" fontId="3" fillId="8" borderId="3" xfId="0" applyNumberFormat="1" applyFont="1" applyFill="1" applyBorder="1"/>
    <xf numFmtId="1" fontId="3" fillId="13" borderId="3" xfId="0" applyNumberFormat="1" applyFont="1" applyFill="1" applyBorder="1" applyAlignment="1">
      <alignment horizontal="center"/>
    </xf>
    <xf numFmtId="1" fontId="3" fillId="23" borderId="3" xfId="0" applyNumberFormat="1" applyFont="1" applyFill="1" applyBorder="1" applyAlignment="1">
      <alignment horizontal="right"/>
    </xf>
    <xf numFmtId="1" fontId="3" fillId="8" borderId="3" xfId="0" applyNumberFormat="1" applyFont="1" applyFill="1" applyBorder="1" applyAlignment="1">
      <alignment horizontal="center"/>
    </xf>
    <xf numFmtId="15" fontId="3" fillId="13" borderId="4" xfId="0" applyNumberFormat="1" applyFont="1" applyFill="1" applyBorder="1"/>
    <xf numFmtId="1" fontId="3" fillId="0" borderId="3" xfId="0" applyNumberFormat="1" applyFont="1" applyBorder="1" applyAlignment="1">
      <alignment horizontal="center"/>
    </xf>
    <xf numFmtId="206" fontId="3" fillId="13" borderId="3" xfId="0" applyNumberFormat="1" applyFont="1" applyFill="1" applyBorder="1"/>
    <xf numFmtId="0" fontId="7" fillId="0" borderId="3" xfId="0" applyFont="1" applyBorder="1"/>
    <xf numFmtId="206" fontId="3" fillId="13" borderId="4" xfId="0" applyNumberFormat="1" applyFont="1" applyFill="1" applyBorder="1"/>
    <xf numFmtId="206" fontId="7" fillId="0" borderId="79" xfId="0" applyNumberFormat="1" applyFont="1" applyBorder="1" applyAlignment="1">
      <alignment horizontal="right"/>
    </xf>
    <xf numFmtId="206" fontId="7" fillId="13" borderId="3" xfId="0" applyNumberFormat="1" applyFont="1" applyFill="1" applyBorder="1" applyAlignment="1">
      <alignment horizontal="right"/>
    </xf>
    <xf numFmtId="186" fontId="7" fillId="32" borderId="27" xfId="0" applyNumberFormat="1" applyFont="1" applyFill="1" applyBorder="1"/>
    <xf numFmtId="186" fontId="3" fillId="0" borderId="16" xfId="0" applyNumberFormat="1" applyFont="1" applyBorder="1"/>
    <xf numFmtId="186" fontId="7" fillId="0" borderId="0" xfId="0" applyNumberFormat="1" applyFont="1"/>
    <xf numFmtId="207" fontId="7" fillId="0" borderId="0" xfId="0" applyNumberFormat="1" applyFont="1" applyAlignment="1">
      <alignment horizontal="right"/>
    </xf>
    <xf numFmtId="0" fontId="7" fillId="0" borderId="0" xfId="0" applyFont="1"/>
    <xf numFmtId="207" fontId="3" fillId="0" borderId="0" xfId="0" applyNumberFormat="1" applyFont="1"/>
    <xf numFmtId="207" fontId="7" fillId="0" borderId="0" xfId="0" applyNumberFormat="1" applyFont="1"/>
    <xf numFmtId="0" fontId="7" fillId="0" borderId="0" xfId="0" applyFont="1" applyAlignment="1">
      <alignment vertical="center"/>
    </xf>
    <xf numFmtId="0" fontId="7" fillId="0" borderId="79" xfId="0" applyFont="1" applyBorder="1" applyAlignment="1">
      <alignment horizontal="right"/>
    </xf>
    <xf numFmtId="0" fontId="41" fillId="33" borderId="3" xfId="0" applyFont="1" applyFill="1" applyBorder="1" applyAlignment="1">
      <alignment horizontal="left"/>
    </xf>
    <xf numFmtId="0" fontId="1" fillId="34" borderId="3" xfId="0" applyFont="1" applyFill="1" applyBorder="1"/>
    <xf numFmtId="0" fontId="1" fillId="34" borderId="3" xfId="0" applyFont="1" applyFill="1" applyBorder="1" applyAlignment="1">
      <alignment horizontal="center"/>
    </xf>
    <xf numFmtId="0" fontId="42" fillId="34" borderId="3" xfId="0" applyFont="1" applyFill="1" applyBorder="1" applyAlignment="1">
      <alignment horizontal="center"/>
    </xf>
    <xf numFmtId="0" fontId="43" fillId="0" borderId="3" xfId="0" applyFont="1" applyBorder="1" applyAlignment="1">
      <alignment horizontal="left"/>
    </xf>
    <xf numFmtId="177" fontId="3" fillId="0" borderId="10" xfId="0" applyNumberFormat="1" applyFont="1" applyBorder="1" applyAlignment="1">
      <alignment horizontal="right"/>
    </xf>
    <xf numFmtId="0" fontId="43" fillId="33" borderId="3" xfId="0" applyFont="1" applyFill="1" applyBorder="1" applyAlignment="1">
      <alignment horizontal="left"/>
    </xf>
    <xf numFmtId="0" fontId="43" fillId="8" borderId="3" xfId="0" applyFont="1" applyFill="1" applyBorder="1" applyAlignment="1">
      <alignment horizontal="left"/>
    </xf>
    <xf numFmtId="177" fontId="3" fillId="8" borderId="10" xfId="0" applyNumberFormat="1" applyFont="1" applyFill="1" applyBorder="1" applyAlignment="1">
      <alignment horizontal="right"/>
    </xf>
    <xf numFmtId="15" fontId="3" fillId="8" borderId="3" xfId="0" applyNumberFormat="1" applyFont="1" applyFill="1" applyBorder="1"/>
    <xf numFmtId="0" fontId="44" fillId="33" borderId="3" xfId="0" applyFont="1" applyFill="1" applyBorder="1" applyAlignment="1">
      <alignment horizontal="left"/>
    </xf>
    <xf numFmtId="208" fontId="45" fillId="0" borderId="3" xfId="0" applyNumberFormat="1" applyFont="1" applyBorder="1" applyAlignment="1">
      <alignment horizontal="left"/>
    </xf>
    <xf numFmtId="0" fontId="45" fillId="0" borderId="3" xfId="0" applyFont="1" applyBorder="1" applyAlignment="1">
      <alignment horizontal="left"/>
    </xf>
    <xf numFmtId="209" fontId="43" fillId="33" borderId="3" xfId="0" applyNumberFormat="1" applyFont="1" applyFill="1" applyBorder="1" applyAlignment="1">
      <alignment horizontal="center"/>
    </xf>
    <xf numFmtId="0" fontId="7" fillId="33" borderId="3" xfId="0" applyFont="1" applyFill="1" applyBorder="1" applyAlignment="1">
      <alignment horizontal="left"/>
    </xf>
    <xf numFmtId="0" fontId="46" fillId="10" borderId="27" xfId="0" applyFont="1" applyFill="1" applyBorder="1"/>
    <xf numFmtId="208" fontId="46" fillId="10" borderId="27" xfId="0" applyNumberFormat="1" applyFont="1" applyFill="1" applyBorder="1"/>
    <xf numFmtId="0" fontId="3" fillId="18" borderId="27" xfId="0" applyFont="1" applyFill="1" applyBorder="1"/>
    <xf numFmtId="178" fontId="3" fillId="12" borderId="3" xfId="0" applyNumberFormat="1" applyFont="1" applyFill="1" applyBorder="1"/>
    <xf numFmtId="188" fontId="3" fillId="12" borderId="63" xfId="0" applyNumberFormat="1" applyFont="1" applyFill="1" applyBorder="1"/>
    <xf numFmtId="210" fontId="3" fillId="12" borderId="3" xfId="0" applyNumberFormat="1" applyFont="1" applyFill="1" applyBorder="1"/>
    <xf numFmtId="178" fontId="3" fillId="13" borderId="63" xfId="0" applyNumberFormat="1" applyFont="1" applyFill="1" applyBorder="1"/>
    <xf numFmtId="188" fontId="3" fillId="13" borderId="3" xfId="0" applyNumberFormat="1" applyFont="1" applyFill="1" applyBorder="1"/>
    <xf numFmtId="210" fontId="3" fillId="13" borderId="3" xfId="0" applyNumberFormat="1" applyFont="1" applyFill="1" applyBorder="1"/>
    <xf numFmtId="178" fontId="3" fillId="18" borderId="27" xfId="0" applyNumberFormat="1" applyFont="1" applyFill="1" applyBorder="1"/>
    <xf numFmtId="188" fontId="3" fillId="12" borderId="3" xfId="0" applyNumberFormat="1" applyFont="1" applyFill="1" applyBorder="1"/>
    <xf numFmtId="210" fontId="3" fillId="12" borderId="63" xfId="0" applyNumberFormat="1" applyFont="1" applyFill="1" applyBorder="1"/>
    <xf numFmtId="178" fontId="3" fillId="13" borderId="3" xfId="0" applyNumberFormat="1" applyFont="1" applyFill="1" applyBorder="1"/>
    <xf numFmtId="210" fontId="3" fillId="13" borderId="63" xfId="0" applyNumberFormat="1" applyFont="1" applyFill="1" applyBorder="1"/>
    <xf numFmtId="178" fontId="3" fillId="12" borderId="3" xfId="0" applyNumberFormat="1" applyFont="1" applyFill="1" applyBorder="1" applyAlignment="1">
      <alignment horizontal="right"/>
    </xf>
    <xf numFmtId="188" fontId="3" fillId="12" borderId="12" xfId="0" applyNumberFormat="1" applyFont="1" applyFill="1" applyBorder="1" applyAlignment="1">
      <alignment horizontal="right"/>
    </xf>
    <xf numFmtId="188" fontId="3" fillId="13" borderId="63" xfId="0" applyNumberFormat="1" applyFont="1" applyFill="1" applyBorder="1"/>
    <xf numFmtId="178" fontId="3" fillId="12" borderId="63" xfId="0" applyNumberFormat="1" applyFont="1" applyFill="1" applyBorder="1"/>
    <xf numFmtId="188" fontId="3" fillId="0" borderId="0" xfId="0" applyNumberFormat="1" applyFont="1"/>
    <xf numFmtId="188" fontId="7" fillId="12" borderId="3" xfId="0" applyNumberFormat="1" applyFont="1" applyFill="1" applyBorder="1"/>
    <xf numFmtId="178" fontId="3" fillId="12" borderId="63" xfId="0" applyNumberFormat="1" applyFont="1" applyFill="1" applyBorder="1" applyAlignment="1">
      <alignment horizontal="right"/>
    </xf>
    <xf numFmtId="188" fontId="3" fillId="12" borderId="65" xfId="0" applyNumberFormat="1" applyFont="1" applyFill="1" applyBorder="1" applyAlignment="1">
      <alignment horizontal="right"/>
    </xf>
    <xf numFmtId="188" fontId="7" fillId="12" borderId="63" xfId="0" applyNumberFormat="1" applyFont="1" applyFill="1" applyBorder="1"/>
    <xf numFmtId="178" fontId="3" fillId="12" borderId="66" xfId="0" applyNumberFormat="1" applyFont="1" applyFill="1" applyBorder="1"/>
    <xf numFmtId="172" fontId="3" fillId="12" borderId="66" xfId="0" applyNumberFormat="1" applyFont="1" applyFill="1" applyBorder="1"/>
    <xf numFmtId="210" fontId="3" fillId="12" borderId="66" xfId="0" applyNumberFormat="1" applyFont="1" applyFill="1" applyBorder="1"/>
    <xf numFmtId="178" fontId="3" fillId="13" borderId="66" xfId="0" applyNumberFormat="1" applyFont="1" applyFill="1" applyBorder="1"/>
    <xf numFmtId="172" fontId="3" fillId="13" borderId="66" xfId="0" applyNumberFormat="1" applyFont="1" applyFill="1" applyBorder="1"/>
    <xf numFmtId="210" fontId="3" fillId="13" borderId="66" xfId="0" applyNumberFormat="1" applyFont="1" applyFill="1" applyBorder="1"/>
    <xf numFmtId="188" fontId="3" fillId="0" borderId="80" xfId="0" applyNumberFormat="1" applyFont="1" applyBorder="1"/>
    <xf numFmtId="178" fontId="3" fillId="26" borderId="3" xfId="0" applyNumberFormat="1" applyFont="1" applyFill="1" applyBorder="1"/>
    <xf numFmtId="178" fontId="3" fillId="24" borderId="3" xfId="0" applyNumberFormat="1" applyFont="1" applyFill="1" applyBorder="1"/>
    <xf numFmtId="178" fontId="3" fillId="31" borderId="3" xfId="0" applyNumberFormat="1" applyFont="1" applyFill="1" applyBorder="1"/>
    <xf numFmtId="2" fontId="3" fillId="25" borderId="3" xfId="0" applyNumberFormat="1" applyFont="1" applyFill="1" applyBorder="1"/>
    <xf numFmtId="2" fontId="3" fillId="17" borderId="3" xfId="0" applyNumberFormat="1" applyFont="1" applyFill="1" applyBorder="1"/>
    <xf numFmtId="178" fontId="3" fillId="36" borderId="3" xfId="0" applyNumberFormat="1" applyFont="1" applyFill="1" applyBorder="1"/>
    <xf numFmtId="2" fontId="3" fillId="37" borderId="3" xfId="0" applyNumberFormat="1" applyFont="1" applyFill="1" applyBorder="1"/>
    <xf numFmtId="2" fontId="3" fillId="30" borderId="3" xfId="0" applyNumberFormat="1" applyFont="1" applyFill="1" applyBorder="1"/>
    <xf numFmtId="10" fontId="3" fillId="18" borderId="27" xfId="0" applyNumberFormat="1" applyFont="1" applyFill="1" applyBorder="1" applyAlignment="1">
      <alignment horizontal="center"/>
    </xf>
    <xf numFmtId="0" fontId="3" fillId="38" borderId="3" xfId="0" applyFont="1" applyFill="1" applyBorder="1"/>
    <xf numFmtId="2" fontId="3" fillId="32" borderId="3" xfId="0" applyNumberFormat="1" applyFont="1" applyFill="1" applyBorder="1"/>
    <xf numFmtId="188" fontId="7" fillId="13" borderId="3" xfId="0" applyNumberFormat="1" applyFont="1" applyFill="1" applyBorder="1"/>
    <xf numFmtId="4" fontId="3" fillId="6" borderId="29" xfId="0" applyNumberFormat="1" applyFont="1" applyFill="1" applyBorder="1" applyAlignment="1">
      <alignment horizontal="right"/>
    </xf>
    <xf numFmtId="4" fontId="3" fillId="0" borderId="0" xfId="0" applyNumberFormat="1" applyFont="1"/>
    <xf numFmtId="0" fontId="3" fillId="25" borderId="27" xfId="0" applyFont="1" applyFill="1" applyBorder="1"/>
    <xf numFmtId="0" fontId="3" fillId="17" borderId="27" xfId="0" applyFont="1" applyFill="1" applyBorder="1"/>
    <xf numFmtId="0" fontId="3" fillId="37" borderId="27" xfId="0" applyFont="1" applyFill="1" applyBorder="1"/>
    <xf numFmtId="0" fontId="3" fillId="24" borderId="27" xfId="0" applyFont="1" applyFill="1" applyBorder="1"/>
    <xf numFmtId="190" fontId="3" fillId="24" borderId="27" xfId="0" applyNumberFormat="1" applyFont="1" applyFill="1" applyBorder="1"/>
    <xf numFmtId="190" fontId="3" fillId="17" borderId="27" xfId="0" applyNumberFormat="1" applyFont="1" applyFill="1" applyBorder="1"/>
    <xf numFmtId="0" fontId="3" fillId="26" borderId="27" xfId="0" applyFont="1" applyFill="1" applyBorder="1"/>
    <xf numFmtId="190" fontId="3" fillId="26" borderId="27" xfId="0" applyNumberFormat="1" applyFont="1" applyFill="1" applyBorder="1"/>
    <xf numFmtId="211" fontId="3" fillId="0" borderId="0" xfId="0" applyNumberFormat="1" applyFont="1"/>
    <xf numFmtId="210" fontId="3" fillId="0" borderId="0" xfId="0" applyNumberFormat="1" applyFont="1"/>
    <xf numFmtId="0" fontId="9" fillId="0" borderId="3" xfId="0" applyFont="1" applyBorder="1"/>
    <xf numFmtId="188" fontId="3" fillId="13" borderId="27" xfId="0" applyNumberFormat="1" applyFont="1" applyFill="1" applyBorder="1"/>
    <xf numFmtId="172" fontId="3" fillId="31" borderId="27" xfId="0" applyNumberFormat="1" applyFont="1" applyFill="1" applyBorder="1"/>
    <xf numFmtId="2" fontId="3" fillId="13" borderId="27" xfId="0" applyNumberFormat="1" applyFont="1" applyFill="1" applyBorder="1"/>
    <xf numFmtId="188" fontId="3" fillId="31" borderId="27" xfId="0" applyNumberFormat="1" applyFont="1" applyFill="1" applyBorder="1"/>
    <xf numFmtId="0" fontId="5" fillId="28" borderId="83" xfId="0" applyFont="1" applyFill="1" applyBorder="1" applyAlignment="1">
      <alignment wrapText="1"/>
    </xf>
    <xf numFmtId="0" fontId="5" fillId="11" borderId="83" xfId="0" applyFont="1" applyFill="1" applyBorder="1" applyAlignment="1">
      <alignment wrapText="1"/>
    </xf>
    <xf numFmtId="0" fontId="5" fillId="39" borderId="83" xfId="0" applyFont="1" applyFill="1" applyBorder="1" applyAlignment="1">
      <alignment wrapText="1"/>
    </xf>
    <xf numFmtId="0" fontId="48" fillId="8" borderId="83" xfId="0" applyFont="1" applyFill="1" applyBorder="1" applyAlignment="1">
      <alignment horizontal="center" wrapText="1"/>
    </xf>
    <xf numFmtId="0" fontId="5" fillId="28" borderId="83" xfId="0" quotePrefix="1" applyFont="1" applyFill="1" applyBorder="1" applyAlignment="1">
      <alignment wrapText="1"/>
    </xf>
    <xf numFmtId="0" fontId="5" fillId="40" borderId="69" xfId="0" applyFont="1" applyFill="1" applyBorder="1" applyAlignment="1">
      <alignment wrapText="1"/>
    </xf>
    <xf numFmtId="0" fontId="5" fillId="41" borderId="10" xfId="0" applyFont="1" applyFill="1" applyBorder="1" applyAlignment="1">
      <alignment wrapText="1"/>
    </xf>
    <xf numFmtId="0" fontId="5" fillId="30" borderId="10" xfId="0" applyFont="1" applyFill="1" applyBorder="1" applyAlignment="1">
      <alignment wrapText="1"/>
    </xf>
    <xf numFmtId="0" fontId="5" fillId="40" borderId="10" xfId="0" applyFont="1" applyFill="1" applyBorder="1" applyAlignment="1">
      <alignment wrapText="1"/>
    </xf>
    <xf numFmtId="0" fontId="5" fillId="3" borderId="3" xfId="0" applyFont="1" applyFill="1" applyBorder="1"/>
    <xf numFmtId="0" fontId="5" fillId="4" borderId="3" xfId="0" applyFont="1" applyFill="1" applyBorder="1"/>
    <xf numFmtId="196" fontId="5" fillId="0" borderId="3" xfId="0" applyNumberFormat="1" applyFont="1" applyBorder="1"/>
    <xf numFmtId="196" fontId="5" fillId="11" borderId="3" xfId="0" applyNumberFormat="1" applyFont="1" applyFill="1" applyBorder="1"/>
    <xf numFmtId="196" fontId="5" fillId="39" borderId="3" xfId="0" applyNumberFormat="1" applyFont="1" applyFill="1" applyBorder="1"/>
    <xf numFmtId="0" fontId="5" fillId="11" borderId="3" xfId="0" applyFont="1" applyFill="1" applyBorder="1"/>
    <xf numFmtId="0" fontId="5" fillId="39" borderId="3" xfId="0" applyFont="1" applyFill="1" applyBorder="1"/>
    <xf numFmtId="3" fontId="48" fillId="8" borderId="3" xfId="0" applyNumberFormat="1" applyFont="1" applyFill="1" applyBorder="1"/>
    <xf numFmtId="15" fontId="5" fillId="0" borderId="3" xfId="0" applyNumberFormat="1" applyFont="1" applyBorder="1"/>
    <xf numFmtId="0" fontId="5" fillId="0" borderId="3" xfId="0" applyFont="1" applyBorder="1"/>
    <xf numFmtId="0" fontId="5" fillId="40" borderId="3" xfId="0" applyFont="1" applyFill="1" applyBorder="1"/>
    <xf numFmtId="0" fontId="5" fillId="41" borderId="3" xfId="0" applyFont="1" applyFill="1" applyBorder="1"/>
    <xf numFmtId="0" fontId="5" fillId="30" borderId="3" xfId="0" applyFont="1" applyFill="1" applyBorder="1"/>
    <xf numFmtId="212" fontId="5" fillId="0" borderId="3" xfId="0" applyNumberFormat="1" applyFont="1" applyBorder="1"/>
    <xf numFmtId="0" fontId="5" fillId="39" borderId="27" xfId="0" applyFont="1" applyFill="1" applyBorder="1"/>
    <xf numFmtId="177" fontId="5" fillId="0" borderId="10" xfId="0" applyNumberFormat="1" applyFont="1" applyBorder="1" applyAlignment="1">
      <alignment horizontal="left"/>
    </xf>
    <xf numFmtId="0" fontId="5" fillId="31" borderId="3" xfId="0" applyFont="1" applyFill="1" applyBorder="1"/>
    <xf numFmtId="9" fontId="5" fillId="11" borderId="27" xfId="0" applyNumberFormat="1" applyFont="1" applyFill="1" applyBorder="1"/>
    <xf numFmtId="9" fontId="5" fillId="39" borderId="27" xfId="0" applyNumberFormat="1" applyFont="1" applyFill="1" applyBorder="1"/>
    <xf numFmtId="9" fontId="5" fillId="8" borderId="27" xfId="0" applyNumberFormat="1" applyFont="1" applyFill="1" applyBorder="1"/>
    <xf numFmtId="0" fontId="5" fillId="8" borderId="27" xfId="0" applyFont="1" applyFill="1" applyBorder="1" applyAlignment="1">
      <alignment horizontal="center"/>
    </xf>
    <xf numFmtId="0" fontId="5" fillId="8" borderId="27" xfId="0" applyFont="1" applyFill="1" applyBorder="1"/>
    <xf numFmtId="0" fontId="5" fillId="31" borderId="27" xfId="0" applyFont="1" applyFill="1" applyBorder="1"/>
    <xf numFmtId="0" fontId="5" fillId="0" borderId="0" xfId="0" applyFont="1" applyAlignment="1">
      <alignment wrapText="1"/>
    </xf>
    <xf numFmtId="0" fontId="47" fillId="40" borderId="3" xfId="0" applyFont="1" applyFill="1" applyBorder="1"/>
    <xf numFmtId="0" fontId="5" fillId="42" borderId="3" xfId="0" applyFont="1" applyFill="1" applyBorder="1"/>
    <xf numFmtId="0" fontId="5" fillId="43" borderId="3" xfId="0" applyFont="1" applyFill="1" applyBorder="1"/>
    <xf numFmtId="0" fontId="5" fillId="44" borderId="3" xfId="0" applyFont="1" applyFill="1" applyBorder="1"/>
    <xf numFmtId="0" fontId="5" fillId="45" borderId="3" xfId="0" applyFont="1" applyFill="1" applyBorder="1"/>
    <xf numFmtId="0" fontId="5" fillId="46" borderId="3" xfId="0" applyFont="1" applyFill="1" applyBorder="1"/>
    <xf numFmtId="0" fontId="5" fillId="47" borderId="3" xfId="0" applyFont="1" applyFill="1" applyBorder="1"/>
    <xf numFmtId="0" fontId="5" fillId="48" borderId="3" xfId="0" applyFont="1" applyFill="1" applyBorder="1"/>
    <xf numFmtId="0" fontId="5" fillId="49" borderId="3" xfId="0" applyFont="1" applyFill="1" applyBorder="1"/>
    <xf numFmtId="0" fontId="5" fillId="50" borderId="3" xfId="0" applyFont="1" applyFill="1" applyBorder="1"/>
    <xf numFmtId="0" fontId="5" fillId="51" borderId="3" xfId="0" applyFont="1" applyFill="1" applyBorder="1"/>
    <xf numFmtId="0" fontId="47" fillId="41" borderId="3" xfId="0" applyFont="1" applyFill="1" applyBorder="1"/>
    <xf numFmtId="0" fontId="5" fillId="52" borderId="3" xfId="0" applyFont="1" applyFill="1" applyBorder="1"/>
    <xf numFmtId="0" fontId="5" fillId="53" borderId="3" xfId="0" applyFont="1" applyFill="1" applyBorder="1"/>
    <xf numFmtId="0" fontId="5" fillId="54" borderId="3" xfId="0" applyFont="1" applyFill="1" applyBorder="1"/>
    <xf numFmtId="0" fontId="5" fillId="55" borderId="3" xfId="0" applyFont="1" applyFill="1" applyBorder="1"/>
    <xf numFmtId="15" fontId="2" fillId="0" borderId="0" xfId="0" applyNumberFormat="1" applyFont="1"/>
    <xf numFmtId="49" fontId="2" fillId="0" borderId="0" xfId="0" applyNumberFormat="1" applyFont="1"/>
    <xf numFmtId="3" fontId="2" fillId="0" borderId="0" xfId="0" applyNumberFormat="1" applyFont="1"/>
    <xf numFmtId="0" fontId="49" fillId="0" borderId="0" xfId="0" applyFont="1"/>
    <xf numFmtId="0" fontId="50" fillId="56" borderId="27" xfId="0" applyFont="1" applyFill="1" applyBorder="1"/>
    <xf numFmtId="0" fontId="50" fillId="56" borderId="27" xfId="0" applyFont="1" applyFill="1" applyBorder="1" applyAlignment="1">
      <alignment horizontal="center"/>
    </xf>
    <xf numFmtId="17" fontId="50" fillId="56" borderId="27" xfId="0" applyNumberFormat="1" applyFont="1" applyFill="1" applyBorder="1" applyAlignment="1">
      <alignment horizontal="center"/>
    </xf>
    <xf numFmtId="0" fontId="51" fillId="0" borderId="0" xfId="0" applyFont="1"/>
    <xf numFmtId="3" fontId="5" fillId="0" borderId="10" xfId="0" applyNumberFormat="1" applyFont="1" applyBorder="1"/>
    <xf numFmtId="0" fontId="3" fillId="19" borderId="61" xfId="0" applyFont="1" applyFill="1" applyBorder="1" applyAlignment="1">
      <alignment horizontal="center"/>
    </xf>
    <xf numFmtId="0" fontId="20" fillId="0" borderId="62" xfId="0" applyFont="1" applyBorder="1"/>
    <xf numFmtId="0" fontId="3" fillId="12" borderId="61" xfId="0" applyFont="1" applyFill="1" applyBorder="1" applyAlignment="1">
      <alignment horizontal="center"/>
    </xf>
    <xf numFmtId="0" fontId="3" fillId="13" borderId="38" xfId="0" applyFont="1" applyFill="1" applyBorder="1" applyAlignment="1">
      <alignment horizontal="center"/>
    </xf>
    <xf numFmtId="0" fontId="20" fillId="0" borderId="31" xfId="0" applyFont="1" applyBorder="1"/>
    <xf numFmtId="185" fontId="3" fillId="16" borderId="17" xfId="0" applyNumberFormat="1" applyFont="1" applyFill="1" applyBorder="1" applyAlignment="1">
      <alignment horizontal="center" vertical="center"/>
    </xf>
    <xf numFmtId="0" fontId="20" fillId="0" borderId="30" xfId="0" applyFont="1" applyBorder="1"/>
    <xf numFmtId="0" fontId="3" fillId="16" borderId="32" xfId="0" applyFont="1" applyFill="1" applyBorder="1" applyAlignment="1">
      <alignment horizontal="center"/>
    </xf>
    <xf numFmtId="0" fontId="20" fillId="0" borderId="33" xfId="0" applyFont="1" applyBorder="1"/>
    <xf numFmtId="0" fontId="20" fillId="0" borderId="34" xfId="0" applyFont="1" applyBorder="1"/>
    <xf numFmtId="0" fontId="3" fillId="18" borderId="14" xfId="0" applyFont="1" applyFill="1" applyBorder="1" applyAlignment="1">
      <alignment horizontal="center" vertical="center"/>
    </xf>
    <xf numFmtId="0" fontId="20" fillId="0" borderId="40" xfId="0" applyFont="1" applyBorder="1"/>
    <xf numFmtId="0" fontId="20" fillId="0" borderId="16" xfId="0" applyFont="1" applyBorder="1"/>
    <xf numFmtId="15" fontId="3" fillId="17" borderId="35" xfId="0" applyNumberFormat="1" applyFont="1" applyFill="1" applyBorder="1" applyAlignment="1">
      <alignment horizontal="center" vertical="center"/>
    </xf>
    <xf numFmtId="0" fontId="20" fillId="0" borderId="36" xfId="0" applyFont="1" applyBorder="1"/>
    <xf numFmtId="0" fontId="20" fillId="0" borderId="37" xfId="0" applyFont="1" applyBorder="1"/>
    <xf numFmtId="0" fontId="20" fillId="0" borderId="15" xfId="0" applyFont="1" applyBorder="1"/>
    <xf numFmtId="0" fontId="0" fillId="0" borderId="0" xfId="0" applyFont="1" applyAlignment="1"/>
    <xf numFmtId="0" fontId="20" fillId="0" borderId="39" xfId="0" applyFont="1" applyBorder="1"/>
    <xf numFmtId="0" fontId="20" fillId="0" borderId="43" xfId="0" applyFont="1" applyBorder="1"/>
    <xf numFmtId="0" fontId="20" fillId="0" borderId="44" xfId="0" applyFont="1" applyBorder="1"/>
    <xf numFmtId="0" fontId="20" fillId="0" borderId="45" xfId="0" applyFont="1" applyBorder="1"/>
    <xf numFmtId="0" fontId="3" fillId="19" borderId="38" xfId="0" applyFont="1" applyFill="1" applyBorder="1" applyAlignment="1">
      <alignment horizontal="center" vertical="center"/>
    </xf>
    <xf numFmtId="0" fontId="3" fillId="4" borderId="38" xfId="0" applyFont="1" applyFill="1" applyBorder="1" applyAlignment="1">
      <alignment horizontal="center" vertical="center"/>
    </xf>
    <xf numFmtId="2" fontId="21" fillId="19" borderId="48" xfId="0" applyNumberFormat="1" applyFont="1" applyFill="1" applyBorder="1" applyAlignment="1">
      <alignment horizontal="center" vertical="center" wrapText="1"/>
    </xf>
    <xf numFmtId="2" fontId="21" fillId="19" borderId="50" xfId="0" applyNumberFormat="1" applyFont="1" applyFill="1" applyBorder="1" applyAlignment="1">
      <alignment horizontal="center" vertical="center" wrapText="1"/>
    </xf>
    <xf numFmtId="0" fontId="20" fillId="0" borderId="54" xfId="0" applyFont="1" applyBorder="1"/>
    <xf numFmtId="0" fontId="20" fillId="0" borderId="55" xfId="0" applyFont="1" applyBorder="1"/>
    <xf numFmtId="2" fontId="21" fillId="19" borderId="35" xfId="0" applyNumberFormat="1" applyFont="1" applyFill="1" applyBorder="1" applyAlignment="1">
      <alignment horizontal="center" vertical="center" wrapText="1"/>
    </xf>
    <xf numFmtId="2" fontId="21" fillId="19" borderId="48" xfId="0" applyNumberFormat="1" applyFont="1" applyFill="1" applyBorder="1" applyAlignment="1">
      <alignment horizontal="center" vertical="top" wrapText="1"/>
    </xf>
    <xf numFmtId="15" fontId="3" fillId="17" borderId="46" xfId="0" applyNumberFormat="1" applyFont="1" applyFill="1" applyBorder="1" applyAlignment="1">
      <alignment horizontal="center" vertical="center"/>
    </xf>
    <xf numFmtId="0" fontId="20" fillId="0" borderId="67" xfId="0" applyFont="1" applyBorder="1"/>
    <xf numFmtId="0" fontId="3" fillId="17" borderId="47" xfId="0" applyFont="1" applyFill="1" applyBorder="1" applyAlignment="1">
      <alignment horizontal="center" vertical="center"/>
    </xf>
    <xf numFmtId="0" fontId="20" fillId="0" borderId="51" xfId="0" applyFont="1" applyBorder="1"/>
    <xf numFmtId="0" fontId="20" fillId="0" borderId="60" xfId="0" applyFont="1" applyBorder="1"/>
    <xf numFmtId="0" fontId="3" fillId="17" borderId="64" xfId="0" applyFont="1" applyFill="1" applyBorder="1" applyAlignment="1">
      <alignment horizontal="center" vertical="center"/>
    </xf>
    <xf numFmtId="0" fontId="20" fillId="0" borderId="68" xfId="0" applyFont="1" applyBorder="1"/>
    <xf numFmtId="0" fontId="3" fillId="20" borderId="41" xfId="0" applyFont="1" applyFill="1" applyBorder="1" applyAlignment="1">
      <alignment horizontal="center" vertical="center"/>
    </xf>
    <xf numFmtId="0" fontId="20" fillId="0" borderId="42" xfId="0" applyFont="1" applyBorder="1"/>
    <xf numFmtId="0" fontId="20" fillId="0" borderId="52" xfId="0" applyFont="1" applyBorder="1"/>
    <xf numFmtId="2" fontId="21" fillId="19" borderId="49" xfId="0" applyNumberFormat="1" applyFont="1" applyFill="1" applyBorder="1" applyAlignment="1">
      <alignment horizontal="center" vertical="center" wrapText="1"/>
    </xf>
    <xf numFmtId="0" fontId="20" fillId="0" borderId="53" xfId="0" applyFont="1" applyBorder="1"/>
    <xf numFmtId="185" fontId="3" fillId="14" borderId="32" xfId="0" applyNumberFormat="1" applyFont="1" applyFill="1" applyBorder="1" applyAlignment="1">
      <alignment horizontal="center" vertical="center"/>
    </xf>
    <xf numFmtId="0" fontId="3" fillId="15" borderId="38" xfId="0" applyFont="1" applyFill="1" applyBorder="1" applyAlignment="1">
      <alignment horizontal="center"/>
    </xf>
    <xf numFmtId="0" fontId="3" fillId="21" borderId="38" xfId="0" applyFont="1" applyFill="1" applyBorder="1" applyAlignment="1">
      <alignment horizontal="center"/>
    </xf>
    <xf numFmtId="0" fontId="3" fillId="22" borderId="38" xfId="0" applyFont="1" applyFill="1" applyBorder="1" applyAlignment="1">
      <alignment horizontal="center"/>
    </xf>
    <xf numFmtId="2" fontId="3" fillId="9" borderId="56" xfId="0" applyNumberFormat="1" applyFont="1" applyFill="1" applyBorder="1" applyAlignment="1">
      <alignment horizontal="center"/>
    </xf>
    <xf numFmtId="0" fontId="20" fillId="0" borderId="57" xfId="0" applyFont="1" applyBorder="1"/>
    <xf numFmtId="0" fontId="3" fillId="19" borderId="38" xfId="0" applyFont="1" applyFill="1" applyBorder="1" applyAlignment="1">
      <alignment horizontal="center"/>
    </xf>
    <xf numFmtId="0" fontId="3" fillId="3" borderId="38" xfId="0" applyFont="1" applyFill="1" applyBorder="1" applyAlignment="1">
      <alignment horizontal="center"/>
    </xf>
    <xf numFmtId="15" fontId="3" fillId="23" borderId="17" xfId="0" applyNumberFormat="1" applyFont="1" applyFill="1" applyBorder="1" applyAlignment="1">
      <alignment horizontal="center"/>
    </xf>
    <xf numFmtId="207" fontId="3" fillId="0" borderId="0" xfId="0" applyNumberFormat="1" applyFont="1" applyAlignment="1">
      <alignment vertical="center"/>
    </xf>
    <xf numFmtId="188" fontId="3" fillId="22" borderId="17" xfId="0" applyNumberFormat="1" applyFont="1" applyFill="1" applyBorder="1" applyAlignment="1">
      <alignment horizontal="center"/>
    </xf>
    <xf numFmtId="188" fontId="3" fillId="18" borderId="17" xfId="0" applyNumberFormat="1" applyFont="1" applyFill="1" applyBorder="1" applyAlignment="1">
      <alignment horizontal="center"/>
    </xf>
    <xf numFmtId="0" fontId="3" fillId="12" borderId="17" xfId="0" applyFont="1" applyFill="1" applyBorder="1" applyAlignment="1">
      <alignment horizontal="center"/>
    </xf>
    <xf numFmtId="0" fontId="3" fillId="13" borderId="17" xfId="0" applyFont="1" applyFill="1" applyBorder="1" applyAlignment="1">
      <alignment horizontal="center"/>
    </xf>
    <xf numFmtId="0" fontId="3" fillId="12" borderId="81" xfId="0" applyFont="1" applyFill="1" applyBorder="1" applyAlignment="1">
      <alignment horizontal="center"/>
    </xf>
    <xf numFmtId="0" fontId="20" fillId="0" borderId="82" xfId="0" applyFont="1" applyBorder="1"/>
    <xf numFmtId="0" fontId="3" fillId="13" borderId="81" xfId="0" applyFont="1" applyFill="1" applyBorder="1" applyAlignment="1">
      <alignment horizontal="center"/>
    </xf>
    <xf numFmtId="0" fontId="9" fillId="29" borderId="32" xfId="0" applyFont="1" applyFill="1" applyBorder="1" applyAlignment="1">
      <alignment horizontal="center"/>
    </xf>
    <xf numFmtId="0" fontId="9" fillId="29" borderId="32" xfId="0" applyFont="1" applyFill="1" applyBorder="1" applyAlignment="1">
      <alignment horizontal="left"/>
    </xf>
    <xf numFmtId="0" fontId="3" fillId="0" borderId="0" xfId="0" applyFont="1" applyAlignment="1">
      <alignment horizontal="center"/>
    </xf>
    <xf numFmtId="10" fontId="3" fillId="26" borderId="32" xfId="0" applyNumberFormat="1" applyFont="1" applyFill="1" applyBorder="1" applyAlignment="1">
      <alignment horizontal="right"/>
    </xf>
    <xf numFmtId="0" fontId="47" fillId="0" borderId="0" xfId="0" applyFont="1" applyAlignment="1">
      <alignment horizontal="center"/>
    </xf>
    <xf numFmtId="0" fontId="3" fillId="0" borderId="0" xfId="0" applyFont="1"/>
    <xf numFmtId="190" fontId="3" fillId="25" borderId="32" xfId="0" applyNumberFormat="1" applyFont="1" applyFill="1" applyBorder="1" applyAlignment="1">
      <alignment horizontal="right"/>
    </xf>
    <xf numFmtId="190" fontId="3" fillId="17" borderId="32" xfId="0" applyNumberFormat="1" applyFont="1" applyFill="1" applyBorder="1" applyAlignment="1">
      <alignment horizontal="right" wrapText="1"/>
    </xf>
    <xf numFmtId="191" fontId="3" fillId="37" borderId="32" xfId="0" applyNumberFormat="1" applyFont="1" applyFill="1" applyBorder="1" applyAlignment="1">
      <alignment horizontal="right"/>
    </xf>
    <xf numFmtId="191" fontId="3" fillId="24" borderId="32" xfId="0" applyNumberFormat="1" applyFont="1" applyFill="1" applyBorder="1" applyAlignment="1">
      <alignment horizontal="right"/>
    </xf>
    <xf numFmtId="191" fontId="3" fillId="17" borderId="32" xfId="0" applyNumberFormat="1" applyFont="1" applyFill="1" applyBorder="1" applyAlignment="1">
      <alignment horizontal="right"/>
    </xf>
    <xf numFmtId="0" fontId="9" fillId="35" borderId="32" xfId="0" applyFont="1" applyFill="1" applyBorder="1" applyAlignment="1">
      <alignment horizontal="left"/>
    </xf>
    <xf numFmtId="0" fontId="9" fillId="35" borderId="32" xfId="0" applyFont="1" applyFill="1" applyBorder="1" applyAlignment="1">
      <alignment horizontal="center"/>
    </xf>
  </cellXfs>
  <cellStyles count="1">
    <cellStyle name="Standard" xfId="0" builtinId="0"/>
  </cellStyles>
  <dxfs count="46">
    <dxf>
      <fill>
        <patternFill patternType="solid">
          <fgColor rgb="FFFFDCBE"/>
          <bgColor rgb="FFFFDCBE"/>
        </patternFill>
      </fill>
    </dxf>
    <dxf>
      <fill>
        <patternFill patternType="solid">
          <fgColor rgb="FFC8C8FF"/>
          <bgColor rgb="FFC8C8FF"/>
        </patternFill>
      </fill>
    </dxf>
    <dxf>
      <fill>
        <patternFill patternType="solid">
          <fgColor rgb="FFFFFF78"/>
          <bgColor rgb="FFFFFF78"/>
        </patternFill>
      </fill>
    </dxf>
    <dxf>
      <fill>
        <patternFill patternType="solid">
          <fgColor rgb="FFFFC8C8"/>
          <bgColor rgb="FFFFC8C8"/>
        </patternFill>
      </fill>
    </dxf>
    <dxf>
      <fill>
        <patternFill patternType="solid">
          <fgColor rgb="FFC8AAE1"/>
          <bgColor rgb="FFC8AAE1"/>
        </patternFill>
      </fill>
    </dxf>
    <dxf>
      <fill>
        <patternFill patternType="solid">
          <fgColor rgb="FFB4E6F0"/>
          <bgColor rgb="FFB4E6F0"/>
        </patternFill>
      </fill>
    </dxf>
    <dxf>
      <fill>
        <patternFill patternType="solid">
          <fgColor rgb="FFFF7878"/>
          <bgColor rgb="FFFF7878"/>
        </patternFill>
      </fill>
    </dxf>
    <dxf>
      <fill>
        <patternFill patternType="solid">
          <fgColor rgb="FFD7D7D7"/>
          <bgColor rgb="FFD7D7D7"/>
        </patternFill>
      </fill>
    </dxf>
    <dxf>
      <fill>
        <patternFill patternType="solid">
          <fgColor rgb="FFE1FFCD"/>
          <bgColor rgb="FFE1FFCD"/>
        </patternFill>
      </fill>
    </dxf>
    <dxf>
      <fill>
        <patternFill patternType="solid">
          <fgColor rgb="FFCDEBFF"/>
          <bgColor rgb="FFCDEBFF"/>
        </patternFill>
      </fill>
    </dxf>
    <dxf>
      <fill>
        <patternFill patternType="solid">
          <fgColor rgb="FF9BBEE6"/>
          <bgColor rgb="FF9BBEE6"/>
        </patternFill>
      </fill>
    </dxf>
    <dxf>
      <fill>
        <patternFill patternType="solid">
          <fgColor rgb="FFCDDCB4"/>
          <bgColor rgb="FFCDDCB4"/>
        </patternFill>
      </fill>
    </dxf>
    <dxf>
      <fill>
        <patternFill patternType="solid">
          <fgColor rgb="FF96C864"/>
          <bgColor rgb="FF96C864"/>
        </patternFill>
      </fill>
    </dxf>
    <dxf>
      <fill>
        <patternFill patternType="solid">
          <fgColor rgb="FFFFC832"/>
          <bgColor rgb="FFFFC832"/>
        </patternFill>
      </fill>
    </dxf>
    <dxf>
      <fill>
        <patternFill patternType="solid">
          <fgColor rgb="FFFFDCBE"/>
          <bgColor rgb="FFFFDCBE"/>
        </patternFill>
      </fill>
    </dxf>
    <dxf>
      <fill>
        <patternFill patternType="solid">
          <fgColor rgb="FFC8C8FF"/>
          <bgColor rgb="FFC8C8FF"/>
        </patternFill>
      </fill>
    </dxf>
    <dxf>
      <fill>
        <patternFill patternType="solid">
          <fgColor rgb="FFFFFF78"/>
          <bgColor rgb="FFFFFF78"/>
        </patternFill>
      </fill>
    </dxf>
    <dxf>
      <fill>
        <patternFill patternType="solid">
          <fgColor rgb="FFFFC8C8"/>
          <bgColor rgb="FFFFC8C8"/>
        </patternFill>
      </fill>
    </dxf>
    <dxf>
      <fill>
        <patternFill patternType="solid">
          <fgColor rgb="FFC8AAE1"/>
          <bgColor rgb="FFC8AAE1"/>
        </patternFill>
      </fill>
    </dxf>
    <dxf>
      <fill>
        <patternFill patternType="solid">
          <fgColor rgb="FFB4E6F0"/>
          <bgColor rgb="FFB4E6F0"/>
        </patternFill>
      </fill>
    </dxf>
    <dxf>
      <fill>
        <patternFill patternType="solid">
          <fgColor rgb="FFFF7878"/>
          <bgColor rgb="FFFF7878"/>
        </patternFill>
      </fill>
    </dxf>
    <dxf>
      <fill>
        <patternFill patternType="solid">
          <fgColor rgb="FFFFDCBE"/>
          <bgColor rgb="FFFFDCBE"/>
        </patternFill>
      </fill>
    </dxf>
    <dxf>
      <fill>
        <patternFill patternType="solid">
          <fgColor rgb="FFC8C8FF"/>
          <bgColor rgb="FFC8C8FF"/>
        </patternFill>
      </fill>
    </dxf>
    <dxf>
      <fill>
        <patternFill patternType="solid">
          <fgColor rgb="FFFFFF78"/>
          <bgColor rgb="FFFFFF78"/>
        </patternFill>
      </fill>
    </dxf>
    <dxf>
      <fill>
        <patternFill patternType="solid">
          <fgColor rgb="FFFFC8C8"/>
          <bgColor rgb="FFFFC8C8"/>
        </patternFill>
      </fill>
    </dxf>
    <dxf>
      <fill>
        <patternFill patternType="solid">
          <fgColor rgb="FFC8AAE1"/>
          <bgColor rgb="FFC8AAE1"/>
        </patternFill>
      </fill>
    </dxf>
    <dxf>
      <fill>
        <patternFill patternType="solid">
          <fgColor rgb="FFB4E6F0"/>
          <bgColor rgb="FFB4E6F0"/>
        </patternFill>
      </fill>
    </dxf>
    <dxf>
      <fill>
        <patternFill patternType="solid">
          <fgColor rgb="FFFF7878"/>
          <bgColor rgb="FFFF7878"/>
        </patternFill>
      </fill>
    </dxf>
    <dxf>
      <fill>
        <patternFill patternType="solid">
          <fgColor rgb="FFFFC832"/>
          <bgColor rgb="FFFFC832"/>
        </patternFill>
      </fill>
    </dxf>
    <dxf>
      <fill>
        <patternFill patternType="solid">
          <fgColor rgb="FFFFC832"/>
          <bgColor rgb="FFFFC832"/>
        </patternFill>
      </fill>
    </dxf>
    <dxf>
      <fill>
        <patternFill patternType="solid">
          <fgColor rgb="FF96C864"/>
          <bgColor rgb="FF96C864"/>
        </patternFill>
      </fill>
    </dxf>
    <dxf>
      <fill>
        <patternFill patternType="solid">
          <fgColor rgb="FFCDDCB4"/>
          <bgColor rgb="FFCDDCB4"/>
        </patternFill>
      </fill>
    </dxf>
    <dxf>
      <fill>
        <patternFill patternType="solid">
          <fgColor rgb="FF9BBEE6"/>
          <bgColor rgb="FF9BBEE6"/>
        </patternFill>
      </fill>
    </dxf>
    <dxf>
      <fill>
        <patternFill patternType="solid">
          <fgColor rgb="FFCDEBFF"/>
          <bgColor rgb="FFCDEBFF"/>
        </patternFill>
      </fill>
    </dxf>
    <dxf>
      <fill>
        <patternFill patternType="solid">
          <fgColor rgb="FFE1FFCD"/>
          <bgColor rgb="FFE1FFCD"/>
        </patternFill>
      </fill>
    </dxf>
    <dxf>
      <fill>
        <patternFill patternType="solid">
          <fgColor rgb="FFD7D7D7"/>
          <bgColor rgb="FFD7D7D7"/>
        </patternFill>
      </fill>
    </dxf>
    <dxf>
      <fill>
        <patternFill patternType="solid">
          <fgColor rgb="FF00FF00"/>
          <bgColor rgb="FF00FF00"/>
        </patternFill>
      </fill>
    </dxf>
    <dxf>
      <fill>
        <patternFill patternType="solid">
          <fgColor rgb="FFFFFF00"/>
          <bgColor rgb="FFFFFF00"/>
        </patternFill>
      </fill>
    </dxf>
    <dxf>
      <fill>
        <patternFill patternType="solid">
          <fgColor rgb="FF969696"/>
          <bgColor rgb="FF969696"/>
        </patternFill>
      </fill>
    </dxf>
    <dxf>
      <fill>
        <patternFill patternType="solid">
          <fgColor rgb="FFFFFFFF"/>
          <bgColor rgb="FFFFFFFF"/>
        </patternFill>
      </fill>
    </dxf>
    <dxf>
      <fill>
        <patternFill patternType="solid">
          <fgColor rgb="FFC0C0C0"/>
          <bgColor rgb="FFC0C0C0"/>
        </patternFill>
      </fill>
    </dxf>
    <dxf>
      <fill>
        <patternFill patternType="solid">
          <fgColor rgb="FF969696"/>
          <bgColor rgb="FF969696"/>
        </patternFill>
      </fill>
    </dxf>
    <dxf>
      <fill>
        <patternFill patternType="solid">
          <fgColor rgb="FFFFFFFF"/>
          <bgColor rgb="FFFFFFFF"/>
        </patternFill>
      </fill>
    </dxf>
    <dxf>
      <fill>
        <patternFill patternType="solid">
          <fgColor rgb="FFC0C0C0"/>
          <bgColor rgb="FFC0C0C0"/>
        </patternFill>
      </fill>
    </dxf>
    <dxf>
      <font>
        <color rgb="FF0000FF"/>
      </font>
      <fill>
        <patternFill patternType="solid">
          <fgColor rgb="FFE2EFD9"/>
          <bgColor rgb="FFE2EFD9"/>
        </patternFill>
      </fill>
    </dxf>
    <dxf>
      <font>
        <color rgb="FFFF0000"/>
      </font>
      <fill>
        <patternFill patternType="solid">
          <fgColor rgb="FFE2EFD9"/>
          <bgColor rgb="FFE2EF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4.xml.rels><?xml version="1.0" encoding="UTF-8" standalone="yes"?>
<Relationships xmlns="http://schemas.openxmlformats.org/package/2006/relationships"><Relationship Id="rId1" Type="http://customschemas.google.com/relationships/workbookmetadata" Target="commentsmeta0"/></Relationships>
</file>

<file path=xl/_rels/comments5.xml.rels><?xml version="1.0" encoding="UTF-8" standalone="yes"?>
<Relationships xmlns="http://schemas.openxmlformats.org/package/2006/relationships"><Relationship Id="rId1" Type="http://customschemas.google.com/relationships/workbookmetadata" Target="commentsmeta1"/></Relationships>
</file>

<file path=xl/_rels/comments6.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17" Type="http://schemas.openxmlformats.org/officeDocument/2006/relationships/hyperlink" Target="https://stockezee.com/stock/kotakbank" TargetMode="External"/><Relationship Id="rId21" Type="http://schemas.openxmlformats.org/officeDocument/2006/relationships/hyperlink" Target="https://stockezee.com/stock/atul" TargetMode="External"/><Relationship Id="rId42" Type="http://schemas.openxmlformats.org/officeDocument/2006/relationships/hyperlink" Target="https://stockezee.com/stock/bsoft" TargetMode="External"/><Relationship Id="rId63" Type="http://schemas.openxmlformats.org/officeDocument/2006/relationships/hyperlink" Target="https://stockezee.com/stock/drreddy" TargetMode="External"/><Relationship Id="rId84" Type="http://schemas.openxmlformats.org/officeDocument/2006/relationships/hyperlink" Target="https://stockezee.com/stock/hdfcbank" TargetMode="External"/><Relationship Id="rId138" Type="http://schemas.openxmlformats.org/officeDocument/2006/relationships/hyperlink" Target="https://stockezee.com/stock/mphasis" TargetMode="External"/><Relationship Id="rId159" Type="http://schemas.openxmlformats.org/officeDocument/2006/relationships/hyperlink" Target="https://stockezee.com/stock/powergrid" TargetMode="External"/><Relationship Id="rId170" Type="http://schemas.openxmlformats.org/officeDocument/2006/relationships/hyperlink" Target="https://stockezee.com/stock/shreecem" TargetMode="External"/><Relationship Id="rId191" Type="http://schemas.openxmlformats.org/officeDocument/2006/relationships/hyperlink" Target="https://stockezee.com/stock/ultracemco" TargetMode="External"/><Relationship Id="rId107" Type="http://schemas.openxmlformats.org/officeDocument/2006/relationships/hyperlink" Target="https://stockezee.com/stock/infy" TargetMode="External"/><Relationship Id="rId11" Type="http://schemas.openxmlformats.org/officeDocument/2006/relationships/hyperlink" Target="https://stockezee.com/stock/adanient" TargetMode="External"/><Relationship Id="rId32" Type="http://schemas.openxmlformats.org/officeDocument/2006/relationships/hyperlink" Target="https://stockezee.com/stock/bataindia" TargetMode="External"/><Relationship Id="rId53" Type="http://schemas.openxmlformats.org/officeDocument/2006/relationships/hyperlink" Target="https://stockezee.com/stock/crompton" TargetMode="External"/><Relationship Id="rId74" Type="http://schemas.openxmlformats.org/officeDocument/2006/relationships/hyperlink" Target="https://stockezee.com/stock/godrejprop" TargetMode="External"/><Relationship Id="rId128" Type="http://schemas.openxmlformats.org/officeDocument/2006/relationships/hyperlink" Target="https://stockezee.com/stock/manappuram" TargetMode="External"/><Relationship Id="rId149" Type="http://schemas.openxmlformats.org/officeDocument/2006/relationships/hyperlink" Target="https://stockezee.com/stock/ongc" TargetMode="External"/><Relationship Id="rId5" Type="http://schemas.openxmlformats.org/officeDocument/2006/relationships/hyperlink" Target="https://stockezee.com/stock/aartiind" TargetMode="External"/><Relationship Id="rId95" Type="http://schemas.openxmlformats.org/officeDocument/2006/relationships/hyperlink" Target="https://stockezee.com/stock/icicipruli" TargetMode="External"/><Relationship Id="rId160" Type="http://schemas.openxmlformats.org/officeDocument/2006/relationships/hyperlink" Target="https://stockezee.com/stock/pvr" TargetMode="External"/><Relationship Id="rId181" Type="http://schemas.openxmlformats.org/officeDocument/2006/relationships/hyperlink" Target="https://stockezee.com/stock/tatapower" TargetMode="External"/><Relationship Id="rId22" Type="http://schemas.openxmlformats.org/officeDocument/2006/relationships/hyperlink" Target="https://stockezee.com/stock/aubank" TargetMode="External"/><Relationship Id="rId43" Type="http://schemas.openxmlformats.org/officeDocument/2006/relationships/hyperlink" Target="https://stockezee.com/stock/canbk" TargetMode="External"/><Relationship Id="rId64" Type="http://schemas.openxmlformats.org/officeDocument/2006/relationships/hyperlink" Target="https://stockezee.com/stock/eichermot" TargetMode="External"/><Relationship Id="rId118" Type="http://schemas.openxmlformats.org/officeDocument/2006/relationships/hyperlink" Target="https://stockezee.com/stock/l&amp;tfh" TargetMode="External"/><Relationship Id="rId139" Type="http://schemas.openxmlformats.org/officeDocument/2006/relationships/hyperlink" Target="https://stockezee.com/stock/mrf" TargetMode="External"/><Relationship Id="rId85" Type="http://schemas.openxmlformats.org/officeDocument/2006/relationships/hyperlink" Target="https://stockezee.com/stock/hdfclife" TargetMode="External"/><Relationship Id="rId150" Type="http://schemas.openxmlformats.org/officeDocument/2006/relationships/hyperlink" Target="https://stockezee.com/stock/pageind" TargetMode="External"/><Relationship Id="rId171" Type="http://schemas.openxmlformats.org/officeDocument/2006/relationships/hyperlink" Target="https://stockezee.com/stock/siemens" TargetMode="External"/><Relationship Id="rId192" Type="http://schemas.openxmlformats.org/officeDocument/2006/relationships/hyperlink" Target="https://stockezee.com/stock/upl" TargetMode="External"/><Relationship Id="rId12" Type="http://schemas.openxmlformats.org/officeDocument/2006/relationships/hyperlink" Target="https://stockezee.com/stock/adaniports" TargetMode="External"/><Relationship Id="rId33" Type="http://schemas.openxmlformats.org/officeDocument/2006/relationships/hyperlink" Target="https://stockezee.com/stock/bel" TargetMode="External"/><Relationship Id="rId108" Type="http://schemas.openxmlformats.org/officeDocument/2006/relationships/hyperlink" Target="https://stockezee.com/stock/intellect" TargetMode="External"/><Relationship Id="rId129" Type="http://schemas.openxmlformats.org/officeDocument/2006/relationships/hyperlink" Target="https://stockezee.com/stock/marico" TargetMode="External"/><Relationship Id="rId54" Type="http://schemas.openxmlformats.org/officeDocument/2006/relationships/hyperlink" Target="https://stockezee.com/stock/cub" TargetMode="External"/><Relationship Id="rId75" Type="http://schemas.openxmlformats.org/officeDocument/2006/relationships/hyperlink" Target="https://stockezee.com/stock/granules" TargetMode="External"/><Relationship Id="rId96" Type="http://schemas.openxmlformats.org/officeDocument/2006/relationships/hyperlink" Target="https://stockezee.com/stock/idea" TargetMode="External"/><Relationship Id="rId140" Type="http://schemas.openxmlformats.org/officeDocument/2006/relationships/hyperlink" Target="https://stockezee.com/stock/muthootfin" TargetMode="External"/><Relationship Id="rId161" Type="http://schemas.openxmlformats.org/officeDocument/2006/relationships/hyperlink" Target="https://stockezee.com/stock/rain" TargetMode="External"/><Relationship Id="rId182" Type="http://schemas.openxmlformats.org/officeDocument/2006/relationships/hyperlink" Target="https://stockezee.com/stock/tatasteel" TargetMode="External"/><Relationship Id="rId6" Type="http://schemas.openxmlformats.org/officeDocument/2006/relationships/hyperlink" Target="https://stockezee.com/stock/abb" TargetMode="External"/><Relationship Id="rId23" Type="http://schemas.openxmlformats.org/officeDocument/2006/relationships/hyperlink" Target="https://stockezee.com/stock/auropharma" TargetMode="External"/><Relationship Id="rId119" Type="http://schemas.openxmlformats.org/officeDocument/2006/relationships/hyperlink" Target="https://stockezee.com/stock/lalpathlab" TargetMode="External"/><Relationship Id="rId44" Type="http://schemas.openxmlformats.org/officeDocument/2006/relationships/hyperlink" Target="https://stockezee.com/stock/canfinhome" TargetMode="External"/><Relationship Id="rId65" Type="http://schemas.openxmlformats.org/officeDocument/2006/relationships/hyperlink" Target="https://stockezee.com/stock/escorts" TargetMode="External"/><Relationship Id="rId86" Type="http://schemas.openxmlformats.org/officeDocument/2006/relationships/hyperlink" Target="https://stockezee.com/stock/heromotoco" TargetMode="External"/><Relationship Id="rId130" Type="http://schemas.openxmlformats.org/officeDocument/2006/relationships/hyperlink" Target="https://stockezee.com/stock/maruti" TargetMode="External"/><Relationship Id="rId151" Type="http://schemas.openxmlformats.org/officeDocument/2006/relationships/hyperlink" Target="https://stockezee.com/stock/pel" TargetMode="External"/><Relationship Id="rId172" Type="http://schemas.openxmlformats.org/officeDocument/2006/relationships/hyperlink" Target="https://stockezee.com/stock/srf" TargetMode="External"/><Relationship Id="rId193" Type="http://schemas.openxmlformats.org/officeDocument/2006/relationships/hyperlink" Target="https://stockezee.com/stock/vedl" TargetMode="External"/><Relationship Id="rId13" Type="http://schemas.openxmlformats.org/officeDocument/2006/relationships/hyperlink" Target="https://stockezee.com/stock/alkem" TargetMode="External"/><Relationship Id="rId109" Type="http://schemas.openxmlformats.org/officeDocument/2006/relationships/hyperlink" Target="https://stockezee.com/stock/ioc" TargetMode="External"/><Relationship Id="rId34" Type="http://schemas.openxmlformats.org/officeDocument/2006/relationships/hyperlink" Target="https://stockezee.com/stock/bergepaint" TargetMode="External"/><Relationship Id="rId55" Type="http://schemas.openxmlformats.org/officeDocument/2006/relationships/hyperlink" Target="https://stockezee.com/stock/cumminsind" TargetMode="External"/><Relationship Id="rId76" Type="http://schemas.openxmlformats.org/officeDocument/2006/relationships/hyperlink" Target="https://stockezee.com/stock/grasim" TargetMode="External"/><Relationship Id="rId97" Type="http://schemas.openxmlformats.org/officeDocument/2006/relationships/hyperlink" Target="https://stockezee.com/stock/idfc" TargetMode="External"/><Relationship Id="rId120" Type="http://schemas.openxmlformats.org/officeDocument/2006/relationships/hyperlink" Target="https://stockezee.com/stock/lauruslabs" TargetMode="External"/><Relationship Id="rId141" Type="http://schemas.openxmlformats.org/officeDocument/2006/relationships/hyperlink" Target="https://stockezee.com/stock/nationalum" TargetMode="External"/><Relationship Id="rId7" Type="http://schemas.openxmlformats.org/officeDocument/2006/relationships/hyperlink" Target="https://stockezee.com/stock/abbotindia" TargetMode="External"/><Relationship Id="rId71" Type="http://schemas.openxmlformats.org/officeDocument/2006/relationships/hyperlink" Target="https://stockezee.com/stock/gmrinfra" TargetMode="External"/><Relationship Id="rId92" Type="http://schemas.openxmlformats.org/officeDocument/2006/relationships/hyperlink" Target="https://stockezee.com/stock/ibulhsgfin" TargetMode="External"/><Relationship Id="rId162" Type="http://schemas.openxmlformats.org/officeDocument/2006/relationships/hyperlink" Target="https://stockezee.com/stock/ramcocem" TargetMode="External"/><Relationship Id="rId183" Type="http://schemas.openxmlformats.org/officeDocument/2006/relationships/hyperlink" Target="https://stockezee.com/stock/tcs" TargetMode="External"/><Relationship Id="rId2" Type="http://schemas.openxmlformats.org/officeDocument/2006/relationships/hyperlink" Target="https://stockezee.com/stock/finnifty" TargetMode="External"/><Relationship Id="rId29" Type="http://schemas.openxmlformats.org/officeDocument/2006/relationships/hyperlink" Target="https://stockezee.com/stock/balramchin" TargetMode="External"/><Relationship Id="rId24" Type="http://schemas.openxmlformats.org/officeDocument/2006/relationships/hyperlink" Target="https://stockezee.com/stock/axisbank" TargetMode="External"/><Relationship Id="rId40" Type="http://schemas.openxmlformats.org/officeDocument/2006/relationships/hyperlink" Target="https://stockezee.com/stock/bpcl" TargetMode="External"/><Relationship Id="rId45" Type="http://schemas.openxmlformats.org/officeDocument/2006/relationships/hyperlink" Target="https://stockezee.com/stock/chamblfert" TargetMode="External"/><Relationship Id="rId66" Type="http://schemas.openxmlformats.org/officeDocument/2006/relationships/hyperlink" Target="https://stockezee.com/stock/exideind" TargetMode="External"/><Relationship Id="rId87" Type="http://schemas.openxmlformats.org/officeDocument/2006/relationships/hyperlink" Target="https://stockezee.com/stock/hindalco" TargetMode="External"/><Relationship Id="rId110" Type="http://schemas.openxmlformats.org/officeDocument/2006/relationships/hyperlink" Target="https://stockezee.com/stock/ipcalab" TargetMode="External"/><Relationship Id="rId115" Type="http://schemas.openxmlformats.org/officeDocument/2006/relationships/hyperlink" Target="https://stockezee.com/stock/jswsteel" TargetMode="External"/><Relationship Id="rId131" Type="http://schemas.openxmlformats.org/officeDocument/2006/relationships/hyperlink" Target="https://stockezee.com/stock/mcdowell-n" TargetMode="External"/><Relationship Id="rId136" Type="http://schemas.openxmlformats.org/officeDocument/2006/relationships/hyperlink" Target="https://stockezee.com/stock/mindtree" TargetMode="External"/><Relationship Id="rId157" Type="http://schemas.openxmlformats.org/officeDocument/2006/relationships/hyperlink" Target="https://stockezee.com/stock/pnb" TargetMode="External"/><Relationship Id="rId178" Type="http://schemas.openxmlformats.org/officeDocument/2006/relationships/hyperlink" Target="https://stockezee.com/stock/tatacomm" TargetMode="External"/><Relationship Id="rId61" Type="http://schemas.openxmlformats.org/officeDocument/2006/relationships/hyperlink" Target="https://stockezee.com/stock/dixon" TargetMode="External"/><Relationship Id="rId82" Type="http://schemas.openxmlformats.org/officeDocument/2006/relationships/hyperlink" Target="https://stockezee.com/stock/hdfc" TargetMode="External"/><Relationship Id="rId152" Type="http://schemas.openxmlformats.org/officeDocument/2006/relationships/hyperlink" Target="https://stockezee.com/stock/persistent" TargetMode="External"/><Relationship Id="rId173" Type="http://schemas.openxmlformats.org/officeDocument/2006/relationships/hyperlink" Target="https://stockezee.com/stock/srtransfin" TargetMode="External"/><Relationship Id="rId194" Type="http://schemas.openxmlformats.org/officeDocument/2006/relationships/hyperlink" Target="https://stockezee.com/stock/voltas" TargetMode="External"/><Relationship Id="rId19" Type="http://schemas.openxmlformats.org/officeDocument/2006/relationships/hyperlink" Target="https://stockezee.com/stock/asianpaint" TargetMode="External"/><Relationship Id="rId14" Type="http://schemas.openxmlformats.org/officeDocument/2006/relationships/hyperlink" Target="https://stockezee.com/stock/amarajabat" TargetMode="External"/><Relationship Id="rId30" Type="http://schemas.openxmlformats.org/officeDocument/2006/relationships/hyperlink" Target="https://stockezee.com/stock/bandhanbnk" TargetMode="External"/><Relationship Id="rId35" Type="http://schemas.openxmlformats.org/officeDocument/2006/relationships/hyperlink" Target="https://stockezee.com/stock/bharatforg" TargetMode="External"/><Relationship Id="rId56" Type="http://schemas.openxmlformats.org/officeDocument/2006/relationships/hyperlink" Target="https://stockezee.com/stock/dabur" TargetMode="External"/><Relationship Id="rId77" Type="http://schemas.openxmlformats.org/officeDocument/2006/relationships/hyperlink" Target="https://stockezee.com/stock/gspl" TargetMode="External"/><Relationship Id="rId100" Type="http://schemas.openxmlformats.org/officeDocument/2006/relationships/hyperlink" Target="https://stockezee.com/stock/igl" TargetMode="External"/><Relationship Id="rId105" Type="http://schemas.openxmlformats.org/officeDocument/2006/relationships/hyperlink" Target="https://stockezee.com/stock/indusindbk" TargetMode="External"/><Relationship Id="rId126" Type="http://schemas.openxmlformats.org/officeDocument/2006/relationships/hyperlink" Target="https://stockezee.com/stock/m&amp;m" TargetMode="External"/><Relationship Id="rId147" Type="http://schemas.openxmlformats.org/officeDocument/2006/relationships/hyperlink" Target="https://stockezee.com/stock/oberoirlty" TargetMode="External"/><Relationship Id="rId168" Type="http://schemas.openxmlformats.org/officeDocument/2006/relationships/hyperlink" Target="https://stockezee.com/stock/sbilife" TargetMode="External"/><Relationship Id="rId8" Type="http://schemas.openxmlformats.org/officeDocument/2006/relationships/hyperlink" Target="https://stockezee.com/stock/abcapital" TargetMode="External"/><Relationship Id="rId51" Type="http://schemas.openxmlformats.org/officeDocument/2006/relationships/hyperlink" Target="https://stockezee.com/stock/concor" TargetMode="External"/><Relationship Id="rId72" Type="http://schemas.openxmlformats.org/officeDocument/2006/relationships/hyperlink" Target="https://stockezee.com/stock/gnfc" TargetMode="External"/><Relationship Id="rId93" Type="http://schemas.openxmlformats.org/officeDocument/2006/relationships/hyperlink" Target="https://stockezee.com/stock/icicibank" TargetMode="External"/><Relationship Id="rId98" Type="http://schemas.openxmlformats.org/officeDocument/2006/relationships/hyperlink" Target="https://stockezee.com/stock/idfcfirstb" TargetMode="External"/><Relationship Id="rId121" Type="http://schemas.openxmlformats.org/officeDocument/2006/relationships/hyperlink" Target="https://stockezee.com/stock/lichsgfin" TargetMode="External"/><Relationship Id="rId142" Type="http://schemas.openxmlformats.org/officeDocument/2006/relationships/hyperlink" Target="https://stockezee.com/stock/naukri" TargetMode="External"/><Relationship Id="rId163" Type="http://schemas.openxmlformats.org/officeDocument/2006/relationships/hyperlink" Target="https://stockezee.com/stock/rblbank" TargetMode="External"/><Relationship Id="rId184" Type="http://schemas.openxmlformats.org/officeDocument/2006/relationships/hyperlink" Target="https://stockezee.com/stock/techm" TargetMode="External"/><Relationship Id="rId189" Type="http://schemas.openxmlformats.org/officeDocument/2006/relationships/hyperlink" Target="https://stockezee.com/stock/tvsmotor" TargetMode="External"/><Relationship Id="rId3" Type="http://schemas.openxmlformats.org/officeDocument/2006/relationships/hyperlink" Target="https://stockezee.com/stock/midcpnifty" TargetMode="External"/><Relationship Id="rId25" Type="http://schemas.openxmlformats.org/officeDocument/2006/relationships/hyperlink" Target="https://stockezee.com/stock/bajaj-auto" TargetMode="External"/><Relationship Id="rId46" Type="http://schemas.openxmlformats.org/officeDocument/2006/relationships/hyperlink" Target="https://stockezee.com/stock/cholafin" TargetMode="External"/><Relationship Id="rId67" Type="http://schemas.openxmlformats.org/officeDocument/2006/relationships/hyperlink" Target="https://stockezee.com/stock/federalbnk" TargetMode="External"/><Relationship Id="rId116" Type="http://schemas.openxmlformats.org/officeDocument/2006/relationships/hyperlink" Target="https://stockezee.com/stock/jublfood" TargetMode="External"/><Relationship Id="rId137" Type="http://schemas.openxmlformats.org/officeDocument/2006/relationships/hyperlink" Target="https://stockezee.com/stock/motherson" TargetMode="External"/><Relationship Id="rId158" Type="http://schemas.openxmlformats.org/officeDocument/2006/relationships/hyperlink" Target="https://stockezee.com/stock/polycab" TargetMode="External"/><Relationship Id="rId20" Type="http://schemas.openxmlformats.org/officeDocument/2006/relationships/hyperlink" Target="https://stockezee.com/stock/astral" TargetMode="External"/><Relationship Id="rId41" Type="http://schemas.openxmlformats.org/officeDocument/2006/relationships/hyperlink" Target="https://stockezee.com/stock/britannia" TargetMode="External"/><Relationship Id="rId62" Type="http://schemas.openxmlformats.org/officeDocument/2006/relationships/hyperlink" Target="https://stockezee.com/stock/dlf" TargetMode="External"/><Relationship Id="rId83" Type="http://schemas.openxmlformats.org/officeDocument/2006/relationships/hyperlink" Target="https://stockezee.com/stock/hdfcamc" TargetMode="External"/><Relationship Id="rId88" Type="http://schemas.openxmlformats.org/officeDocument/2006/relationships/hyperlink" Target="https://stockezee.com/stock/hindcopper" TargetMode="External"/><Relationship Id="rId111" Type="http://schemas.openxmlformats.org/officeDocument/2006/relationships/hyperlink" Target="https://stockezee.com/stock/irctc" TargetMode="External"/><Relationship Id="rId132" Type="http://schemas.openxmlformats.org/officeDocument/2006/relationships/hyperlink" Target="https://stockezee.com/stock/mcx" TargetMode="External"/><Relationship Id="rId153" Type="http://schemas.openxmlformats.org/officeDocument/2006/relationships/hyperlink" Target="https://stockezee.com/stock/petronet" TargetMode="External"/><Relationship Id="rId174" Type="http://schemas.openxmlformats.org/officeDocument/2006/relationships/hyperlink" Target="https://stockezee.com/stock/sunpharma" TargetMode="External"/><Relationship Id="rId179" Type="http://schemas.openxmlformats.org/officeDocument/2006/relationships/hyperlink" Target="https://stockezee.com/stock/tataconsum" TargetMode="External"/><Relationship Id="rId195" Type="http://schemas.openxmlformats.org/officeDocument/2006/relationships/hyperlink" Target="https://stockezee.com/stock/whirlpool" TargetMode="External"/><Relationship Id="rId190" Type="http://schemas.openxmlformats.org/officeDocument/2006/relationships/hyperlink" Target="https://stockezee.com/stock/ubl" TargetMode="External"/><Relationship Id="rId15" Type="http://schemas.openxmlformats.org/officeDocument/2006/relationships/hyperlink" Target="https://stockezee.com/stock/ambujacem" TargetMode="External"/><Relationship Id="rId36" Type="http://schemas.openxmlformats.org/officeDocument/2006/relationships/hyperlink" Target="https://stockezee.com/stock/bhartiartl" TargetMode="External"/><Relationship Id="rId57" Type="http://schemas.openxmlformats.org/officeDocument/2006/relationships/hyperlink" Target="https://stockezee.com/stock/dalbharat" TargetMode="External"/><Relationship Id="rId106" Type="http://schemas.openxmlformats.org/officeDocument/2006/relationships/hyperlink" Target="https://stockezee.com/stock/industower" TargetMode="External"/><Relationship Id="rId127" Type="http://schemas.openxmlformats.org/officeDocument/2006/relationships/hyperlink" Target="https://stockezee.com/stock/m&amp;mfin" TargetMode="External"/><Relationship Id="rId10" Type="http://schemas.openxmlformats.org/officeDocument/2006/relationships/hyperlink" Target="https://stockezee.com/stock/acc" TargetMode="External"/><Relationship Id="rId31" Type="http://schemas.openxmlformats.org/officeDocument/2006/relationships/hyperlink" Target="https://stockezee.com/stock/bankbaroda" TargetMode="External"/><Relationship Id="rId52" Type="http://schemas.openxmlformats.org/officeDocument/2006/relationships/hyperlink" Target="https://stockezee.com/stock/coromandel" TargetMode="External"/><Relationship Id="rId73" Type="http://schemas.openxmlformats.org/officeDocument/2006/relationships/hyperlink" Target="https://stockezee.com/stock/godrejcp" TargetMode="External"/><Relationship Id="rId78" Type="http://schemas.openxmlformats.org/officeDocument/2006/relationships/hyperlink" Target="https://stockezee.com/stock/gujgasltd" TargetMode="External"/><Relationship Id="rId94" Type="http://schemas.openxmlformats.org/officeDocument/2006/relationships/hyperlink" Target="https://stockezee.com/stock/icicigi" TargetMode="External"/><Relationship Id="rId99" Type="http://schemas.openxmlformats.org/officeDocument/2006/relationships/hyperlink" Target="https://stockezee.com/stock/iex" TargetMode="External"/><Relationship Id="rId101" Type="http://schemas.openxmlformats.org/officeDocument/2006/relationships/hyperlink" Target="https://stockezee.com/stock/indhotel" TargetMode="External"/><Relationship Id="rId122" Type="http://schemas.openxmlformats.org/officeDocument/2006/relationships/hyperlink" Target="https://stockezee.com/stock/lt" TargetMode="External"/><Relationship Id="rId143" Type="http://schemas.openxmlformats.org/officeDocument/2006/relationships/hyperlink" Target="https://stockezee.com/stock/navinfluor" TargetMode="External"/><Relationship Id="rId148" Type="http://schemas.openxmlformats.org/officeDocument/2006/relationships/hyperlink" Target="https://stockezee.com/stock/ofss" TargetMode="External"/><Relationship Id="rId164" Type="http://schemas.openxmlformats.org/officeDocument/2006/relationships/hyperlink" Target="https://stockezee.com/stock/recltd" TargetMode="External"/><Relationship Id="rId169" Type="http://schemas.openxmlformats.org/officeDocument/2006/relationships/hyperlink" Target="https://stockezee.com/stock/sbin" TargetMode="External"/><Relationship Id="rId185" Type="http://schemas.openxmlformats.org/officeDocument/2006/relationships/hyperlink" Target="https://stockezee.com/stock/titan" TargetMode="External"/><Relationship Id="rId4" Type="http://schemas.openxmlformats.org/officeDocument/2006/relationships/hyperlink" Target="https://stockezee.com/stock/nifty" TargetMode="External"/><Relationship Id="rId9" Type="http://schemas.openxmlformats.org/officeDocument/2006/relationships/hyperlink" Target="https://stockezee.com/stock/abfrl" TargetMode="External"/><Relationship Id="rId180" Type="http://schemas.openxmlformats.org/officeDocument/2006/relationships/hyperlink" Target="https://stockezee.com/stock/tatamotors" TargetMode="External"/><Relationship Id="rId26" Type="http://schemas.openxmlformats.org/officeDocument/2006/relationships/hyperlink" Target="https://stockezee.com/stock/bajajfinsv" TargetMode="External"/><Relationship Id="rId47" Type="http://schemas.openxmlformats.org/officeDocument/2006/relationships/hyperlink" Target="https://stockezee.com/stock/cipla" TargetMode="External"/><Relationship Id="rId68" Type="http://schemas.openxmlformats.org/officeDocument/2006/relationships/hyperlink" Target="https://stockezee.com/stock/fsl" TargetMode="External"/><Relationship Id="rId89" Type="http://schemas.openxmlformats.org/officeDocument/2006/relationships/hyperlink" Target="https://stockezee.com/stock/hindpetro" TargetMode="External"/><Relationship Id="rId112" Type="http://schemas.openxmlformats.org/officeDocument/2006/relationships/hyperlink" Target="https://stockezee.com/stock/itc" TargetMode="External"/><Relationship Id="rId133" Type="http://schemas.openxmlformats.org/officeDocument/2006/relationships/hyperlink" Target="https://stockezee.com/stock/metropolis" TargetMode="External"/><Relationship Id="rId154" Type="http://schemas.openxmlformats.org/officeDocument/2006/relationships/hyperlink" Target="https://stockezee.com/stock/pfc" TargetMode="External"/><Relationship Id="rId175" Type="http://schemas.openxmlformats.org/officeDocument/2006/relationships/hyperlink" Target="https://stockezee.com/stock/suntv" TargetMode="External"/><Relationship Id="rId196" Type="http://schemas.openxmlformats.org/officeDocument/2006/relationships/hyperlink" Target="https://stockezee.com/stock/wipro" TargetMode="External"/><Relationship Id="rId16" Type="http://schemas.openxmlformats.org/officeDocument/2006/relationships/hyperlink" Target="https://stockezee.com/stock/apollohosp" TargetMode="External"/><Relationship Id="rId37" Type="http://schemas.openxmlformats.org/officeDocument/2006/relationships/hyperlink" Target="https://stockezee.com/stock/bhel" TargetMode="External"/><Relationship Id="rId58" Type="http://schemas.openxmlformats.org/officeDocument/2006/relationships/hyperlink" Target="https://stockezee.com/stock/deepakntr" TargetMode="External"/><Relationship Id="rId79" Type="http://schemas.openxmlformats.org/officeDocument/2006/relationships/hyperlink" Target="https://stockezee.com/stock/hal" TargetMode="External"/><Relationship Id="rId102" Type="http://schemas.openxmlformats.org/officeDocument/2006/relationships/hyperlink" Target="https://stockezee.com/stock/indiacem" TargetMode="External"/><Relationship Id="rId123" Type="http://schemas.openxmlformats.org/officeDocument/2006/relationships/hyperlink" Target="https://stockezee.com/stock/lti" TargetMode="External"/><Relationship Id="rId144" Type="http://schemas.openxmlformats.org/officeDocument/2006/relationships/hyperlink" Target="https://stockezee.com/stock/nestleind" TargetMode="External"/><Relationship Id="rId90" Type="http://schemas.openxmlformats.org/officeDocument/2006/relationships/hyperlink" Target="https://stockezee.com/stock/hindunilvr" TargetMode="External"/><Relationship Id="rId165" Type="http://schemas.openxmlformats.org/officeDocument/2006/relationships/hyperlink" Target="https://stockezee.com/stock/reliance" TargetMode="External"/><Relationship Id="rId186" Type="http://schemas.openxmlformats.org/officeDocument/2006/relationships/hyperlink" Target="https://stockezee.com/stock/torntpharm" TargetMode="External"/><Relationship Id="rId27" Type="http://schemas.openxmlformats.org/officeDocument/2006/relationships/hyperlink" Target="https://stockezee.com/stock/bajfinance" TargetMode="External"/><Relationship Id="rId48" Type="http://schemas.openxmlformats.org/officeDocument/2006/relationships/hyperlink" Target="https://stockezee.com/stock/coalindia" TargetMode="External"/><Relationship Id="rId69" Type="http://schemas.openxmlformats.org/officeDocument/2006/relationships/hyperlink" Target="https://stockezee.com/stock/gail" TargetMode="External"/><Relationship Id="rId113" Type="http://schemas.openxmlformats.org/officeDocument/2006/relationships/hyperlink" Target="https://stockezee.com/stock/jindalstel" TargetMode="External"/><Relationship Id="rId134" Type="http://schemas.openxmlformats.org/officeDocument/2006/relationships/hyperlink" Target="https://stockezee.com/stock/mfsl" TargetMode="External"/><Relationship Id="rId80" Type="http://schemas.openxmlformats.org/officeDocument/2006/relationships/hyperlink" Target="https://stockezee.com/stock/havells" TargetMode="External"/><Relationship Id="rId155" Type="http://schemas.openxmlformats.org/officeDocument/2006/relationships/hyperlink" Target="https://stockezee.com/stock/pidilitind" TargetMode="External"/><Relationship Id="rId176" Type="http://schemas.openxmlformats.org/officeDocument/2006/relationships/hyperlink" Target="https://stockezee.com/stock/syngene" TargetMode="External"/><Relationship Id="rId197" Type="http://schemas.openxmlformats.org/officeDocument/2006/relationships/hyperlink" Target="https://stockezee.com/stock/zeel" TargetMode="External"/><Relationship Id="rId17" Type="http://schemas.openxmlformats.org/officeDocument/2006/relationships/hyperlink" Target="https://stockezee.com/stock/apollotyre" TargetMode="External"/><Relationship Id="rId38" Type="http://schemas.openxmlformats.org/officeDocument/2006/relationships/hyperlink" Target="https://stockezee.com/stock/biocon" TargetMode="External"/><Relationship Id="rId59" Type="http://schemas.openxmlformats.org/officeDocument/2006/relationships/hyperlink" Target="https://stockezee.com/stock/deltacorp" TargetMode="External"/><Relationship Id="rId103" Type="http://schemas.openxmlformats.org/officeDocument/2006/relationships/hyperlink" Target="https://stockezee.com/stock/indiamart" TargetMode="External"/><Relationship Id="rId124" Type="http://schemas.openxmlformats.org/officeDocument/2006/relationships/hyperlink" Target="https://stockezee.com/stock/ltts" TargetMode="External"/><Relationship Id="rId70" Type="http://schemas.openxmlformats.org/officeDocument/2006/relationships/hyperlink" Target="https://stockezee.com/stock/glenmark" TargetMode="External"/><Relationship Id="rId91" Type="http://schemas.openxmlformats.org/officeDocument/2006/relationships/hyperlink" Target="https://stockezee.com/stock/honaut" TargetMode="External"/><Relationship Id="rId145" Type="http://schemas.openxmlformats.org/officeDocument/2006/relationships/hyperlink" Target="https://stockezee.com/stock/nmdc" TargetMode="External"/><Relationship Id="rId166" Type="http://schemas.openxmlformats.org/officeDocument/2006/relationships/hyperlink" Target="https://stockezee.com/stock/sail" TargetMode="External"/><Relationship Id="rId187" Type="http://schemas.openxmlformats.org/officeDocument/2006/relationships/hyperlink" Target="https://stockezee.com/stock/torntpower" TargetMode="External"/><Relationship Id="rId1" Type="http://schemas.openxmlformats.org/officeDocument/2006/relationships/hyperlink" Target="https://stockezee.com/stock/banknifty" TargetMode="External"/><Relationship Id="rId28" Type="http://schemas.openxmlformats.org/officeDocument/2006/relationships/hyperlink" Target="https://stockezee.com/stock/balkrisind" TargetMode="External"/><Relationship Id="rId49" Type="http://schemas.openxmlformats.org/officeDocument/2006/relationships/hyperlink" Target="https://stockezee.com/stock/coforge" TargetMode="External"/><Relationship Id="rId114" Type="http://schemas.openxmlformats.org/officeDocument/2006/relationships/hyperlink" Target="https://stockezee.com/stock/jkcement" TargetMode="External"/><Relationship Id="rId60" Type="http://schemas.openxmlformats.org/officeDocument/2006/relationships/hyperlink" Target="https://stockezee.com/stock/divislab" TargetMode="External"/><Relationship Id="rId81" Type="http://schemas.openxmlformats.org/officeDocument/2006/relationships/hyperlink" Target="https://stockezee.com/stock/hcltech" TargetMode="External"/><Relationship Id="rId135" Type="http://schemas.openxmlformats.org/officeDocument/2006/relationships/hyperlink" Target="https://stockezee.com/stock/mgl" TargetMode="External"/><Relationship Id="rId156" Type="http://schemas.openxmlformats.org/officeDocument/2006/relationships/hyperlink" Target="https://stockezee.com/stock/piind" TargetMode="External"/><Relationship Id="rId177" Type="http://schemas.openxmlformats.org/officeDocument/2006/relationships/hyperlink" Target="https://stockezee.com/stock/tatachem" TargetMode="External"/><Relationship Id="rId198" Type="http://schemas.openxmlformats.org/officeDocument/2006/relationships/hyperlink" Target="https://stockezee.com/stock/zyduslife" TargetMode="External"/><Relationship Id="rId18" Type="http://schemas.openxmlformats.org/officeDocument/2006/relationships/hyperlink" Target="https://stockezee.com/stock/ashokley" TargetMode="External"/><Relationship Id="rId39" Type="http://schemas.openxmlformats.org/officeDocument/2006/relationships/hyperlink" Target="https://stockezee.com/stock/boschltd" TargetMode="External"/><Relationship Id="rId50" Type="http://schemas.openxmlformats.org/officeDocument/2006/relationships/hyperlink" Target="https://stockezee.com/stock/colpal" TargetMode="External"/><Relationship Id="rId104" Type="http://schemas.openxmlformats.org/officeDocument/2006/relationships/hyperlink" Target="https://stockezee.com/stock/indigo" TargetMode="External"/><Relationship Id="rId125" Type="http://schemas.openxmlformats.org/officeDocument/2006/relationships/hyperlink" Target="https://stockezee.com/stock/lupin" TargetMode="External"/><Relationship Id="rId146" Type="http://schemas.openxmlformats.org/officeDocument/2006/relationships/hyperlink" Target="https://stockezee.com/stock/ntpc" TargetMode="External"/><Relationship Id="rId167" Type="http://schemas.openxmlformats.org/officeDocument/2006/relationships/hyperlink" Target="https://stockezee.com/stock/sbicard" TargetMode="External"/><Relationship Id="rId188" Type="http://schemas.openxmlformats.org/officeDocument/2006/relationships/hyperlink" Target="https://stockezee.com/stock/trent"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hyperlink" Target="http://matrimony.com/"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http://sr.no/" TargetMode="External"/><Relationship Id="rId7" Type="http://schemas.openxmlformats.org/officeDocument/2006/relationships/vmlDrawing" Target="../drawings/vmlDrawing7.vml"/><Relationship Id="rId2" Type="http://schemas.openxmlformats.org/officeDocument/2006/relationships/hyperlink" Target="http://sr.no/" TargetMode="External"/><Relationship Id="rId1" Type="http://schemas.openxmlformats.org/officeDocument/2006/relationships/hyperlink" Target="http://sr.no/" TargetMode="External"/><Relationship Id="rId6" Type="http://schemas.openxmlformats.org/officeDocument/2006/relationships/hyperlink" Target="http://sr.no/" TargetMode="External"/><Relationship Id="rId5" Type="http://schemas.openxmlformats.org/officeDocument/2006/relationships/hyperlink" Target="http://sr.no/" TargetMode="External"/><Relationship Id="rId4" Type="http://schemas.openxmlformats.org/officeDocument/2006/relationships/hyperlink" Target="http://sr.n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rgb="FF8EAADB"/>
  </sheetPr>
  <dimension ref="A1:N53"/>
  <sheetViews>
    <sheetView workbookViewId="0">
      <selection activeCell="B9" sqref="B9:C9 F11 G14:G19 B20 F14:F20 H14:H20 L20 E22 D22:D23 G23:H24 D25 B22:B26 L26 N24:N26 A28 K28:N28 D29 E31:G32 B28:B33 D31:D33"/>
    </sheetView>
  </sheetViews>
  <sheetFormatPr baseColWidth="10" defaultColWidth="14.42578125" defaultRowHeight="15" customHeight="1"/>
  <cols>
    <col min="1" max="1" width="9.28515625" customWidth="1"/>
    <col min="2" max="2" width="10.7109375" customWidth="1"/>
    <col min="3" max="3" width="11.42578125" customWidth="1"/>
    <col min="4" max="4" width="11.7109375" customWidth="1"/>
    <col min="5" max="5" width="7.140625" customWidth="1"/>
    <col min="6" max="6" width="9.5703125" customWidth="1"/>
    <col min="7" max="7" width="11.140625" customWidth="1"/>
    <col min="8" max="8" width="2.140625" customWidth="1"/>
    <col min="9" max="9" width="1.85546875" customWidth="1"/>
    <col min="10" max="11" width="11" customWidth="1"/>
    <col min="12" max="12" width="10" customWidth="1"/>
    <col min="13" max="13" width="10.7109375" customWidth="1"/>
    <col min="14" max="14" width="10" customWidth="1"/>
    <col min="15" max="15" width="10.28515625" customWidth="1"/>
    <col min="16" max="16" width="8.7109375" customWidth="1"/>
  </cols>
  <sheetData>
    <row r="1" spans="1:13" ht="15" customHeight="1">
      <c r="A1" s="1" t="s">
        <v>0</v>
      </c>
      <c r="B1" s="2" t="s">
        <v>1</v>
      </c>
      <c r="C1" s="3" t="s">
        <v>2</v>
      </c>
      <c r="H1" s="4"/>
    </row>
    <row r="2" spans="1:13" ht="14.25" customHeight="1">
      <c r="A2" s="5">
        <v>44792</v>
      </c>
      <c r="B2" s="6">
        <v>21000</v>
      </c>
      <c r="C2" s="7" t="s">
        <v>3</v>
      </c>
      <c r="D2" s="7"/>
      <c r="E2" s="7"/>
      <c r="H2" s="4"/>
    </row>
    <row r="3" spans="1:13" ht="14.25" customHeight="1">
      <c r="A3" s="5">
        <v>44792</v>
      </c>
      <c r="B3" s="6"/>
      <c r="C3" s="7" t="s">
        <v>4</v>
      </c>
      <c r="D3" s="7" t="s">
        <v>5</v>
      </c>
      <c r="E3" s="7"/>
      <c r="H3" s="4"/>
    </row>
    <row r="4" spans="1:13" ht="14.25" customHeight="1">
      <c r="A4" s="5">
        <v>44795</v>
      </c>
      <c r="B4" s="6">
        <v>1000</v>
      </c>
      <c r="C4" s="7" t="s">
        <v>3</v>
      </c>
      <c r="D4" s="7"/>
      <c r="E4" s="7"/>
      <c r="H4" s="4"/>
    </row>
    <row r="5" spans="1:13" ht="14.25" customHeight="1">
      <c r="A5" s="5">
        <v>44795</v>
      </c>
      <c r="B5" s="8"/>
      <c r="C5" s="7" t="s">
        <v>4</v>
      </c>
      <c r="D5" s="9" t="s">
        <v>6</v>
      </c>
      <c r="E5" s="7"/>
      <c r="H5" s="4"/>
    </row>
    <row r="6" spans="1:13" ht="14.25" customHeight="1">
      <c r="A6" s="5">
        <v>44798</v>
      </c>
      <c r="B6" s="8">
        <v>-1800</v>
      </c>
      <c r="C6" s="7" t="s">
        <v>7</v>
      </c>
      <c r="D6" s="9"/>
      <c r="E6" s="7"/>
      <c r="H6" s="4"/>
    </row>
    <row r="7" spans="1:13" ht="14.25" customHeight="1">
      <c r="A7" s="5">
        <v>44831</v>
      </c>
      <c r="B7" s="8">
        <v>-79.739999999999995</v>
      </c>
      <c r="C7" s="7" t="s">
        <v>7</v>
      </c>
      <c r="D7" s="9"/>
      <c r="E7" s="7"/>
      <c r="H7" s="4"/>
    </row>
    <row r="8" spans="1:13" ht="14.25" customHeight="1">
      <c r="A8" s="5"/>
      <c r="B8" s="8"/>
      <c r="C8" s="7"/>
      <c r="D8" s="7"/>
      <c r="E8" s="7"/>
      <c r="H8" s="4"/>
    </row>
    <row r="9" spans="1:13" ht="14.25" customHeight="1">
      <c r="A9" s="10" t="s">
        <v>8</v>
      </c>
      <c r="B9" s="11">
        <f>ROUND(SUM(B2:B8),2)</f>
        <v>20120.259999999998</v>
      </c>
      <c r="C9" s="12">
        <f>SUMIF(C2:C8,"F&amp;O",B2:B8)</f>
        <v>0</v>
      </c>
      <c r="H9" s="4"/>
    </row>
    <row r="10" spans="1:13" ht="3.75" customHeight="1"/>
    <row r="11" spans="1:13" ht="14.25" customHeight="1">
      <c r="F11" s="13">
        <f>5.4%+0.5%</f>
        <v>5.9000000000000004E-2</v>
      </c>
    </row>
    <row r="12" spans="1:13" ht="3.75" customHeight="1"/>
    <row r="13" spans="1:13" ht="14.25" customHeight="1">
      <c r="A13" s="14" t="s">
        <v>0</v>
      </c>
      <c r="B13" s="15" t="s">
        <v>9</v>
      </c>
      <c r="C13" s="14" t="s">
        <v>2</v>
      </c>
      <c r="D13" s="16" t="s">
        <v>10</v>
      </c>
      <c r="E13" s="16" t="s">
        <v>11</v>
      </c>
      <c r="F13" s="16" t="s">
        <v>12</v>
      </c>
      <c r="G13" s="16" t="s">
        <v>13</v>
      </c>
      <c r="H13" s="17"/>
      <c r="J13" s="18" t="s">
        <v>0</v>
      </c>
      <c r="K13" s="19" t="s">
        <v>14</v>
      </c>
      <c r="L13" s="20" t="s">
        <v>15</v>
      </c>
      <c r="M13" s="1" t="s">
        <v>2</v>
      </c>
    </row>
    <row r="14" spans="1:13" ht="14.25" customHeight="1">
      <c r="A14" s="21">
        <v>44792</v>
      </c>
      <c r="B14" s="22">
        <v>841.93</v>
      </c>
      <c r="C14" s="23" t="s">
        <v>4</v>
      </c>
      <c r="D14" s="24">
        <v>2734.93</v>
      </c>
      <c r="E14" s="25"/>
      <c r="F14" s="24">
        <f t="shared" ref="F14:F19" si="0">IF(G14="","", ROUND(G14*F$11/365,2))</f>
        <v>1.77</v>
      </c>
      <c r="G14" s="26">
        <f t="shared" ref="G14:G18" si="1">IF(AND(D14="",E14=""),"",(A15-A14)*(D14+E14))</f>
        <v>10939.72</v>
      </c>
      <c r="H14" s="27" t="str">
        <f t="shared" ref="H14:H19" si="2">IF(OR(C14="",C14="R/O Adjustment",C14="IntraDay",C14="F&amp;O"),"","Positional")</f>
        <v/>
      </c>
      <c r="J14" s="28"/>
      <c r="K14" s="29"/>
      <c r="L14" s="30"/>
      <c r="M14" s="31"/>
    </row>
    <row r="15" spans="1:13" ht="14.25" customHeight="1">
      <c r="A15" s="32">
        <v>44796</v>
      </c>
      <c r="B15" s="22">
        <v>252.11</v>
      </c>
      <c r="C15" s="23" t="s">
        <v>4</v>
      </c>
      <c r="D15" s="24">
        <v>564.14</v>
      </c>
      <c r="E15" s="25"/>
      <c r="F15" s="24">
        <f t="shared" si="0"/>
        <v>0.09</v>
      </c>
      <c r="G15" s="26">
        <f t="shared" si="1"/>
        <v>564.14</v>
      </c>
      <c r="H15" s="27" t="str">
        <f t="shared" si="2"/>
        <v/>
      </c>
      <c r="J15" s="28"/>
      <c r="K15" s="29"/>
      <c r="L15" s="33"/>
      <c r="M15" s="31"/>
    </row>
    <row r="16" spans="1:13" ht="14.25" customHeight="1">
      <c r="A16" s="32">
        <v>44797</v>
      </c>
      <c r="B16" s="22">
        <v>-21214.300000000003</v>
      </c>
      <c r="C16" s="23" t="s">
        <v>4</v>
      </c>
      <c r="D16" s="24">
        <v>1879.74</v>
      </c>
      <c r="E16" s="25"/>
      <c r="F16" s="24">
        <f t="shared" si="0"/>
        <v>0.3</v>
      </c>
      <c r="G16" s="26">
        <f t="shared" si="1"/>
        <v>1879.74</v>
      </c>
      <c r="H16" s="27" t="str">
        <f t="shared" si="2"/>
        <v/>
      </c>
      <c r="J16" s="28"/>
      <c r="K16" s="29"/>
      <c r="L16" s="33"/>
      <c r="M16" s="31"/>
    </row>
    <row r="17" spans="1:14" ht="14.25" customHeight="1">
      <c r="A17" s="32">
        <v>44798</v>
      </c>
      <c r="B17" s="22">
        <v>0</v>
      </c>
      <c r="C17" s="34" t="s">
        <v>16</v>
      </c>
      <c r="D17" s="24">
        <v>79.739999999999995</v>
      </c>
      <c r="E17" s="25"/>
      <c r="F17" s="24">
        <f t="shared" si="0"/>
        <v>0.43</v>
      </c>
      <c r="G17" s="26">
        <f t="shared" si="1"/>
        <v>2631.4199999999996</v>
      </c>
      <c r="H17" s="27" t="str">
        <f t="shared" si="2"/>
        <v/>
      </c>
      <c r="J17" s="28"/>
      <c r="K17" s="29"/>
      <c r="L17" s="33"/>
      <c r="M17" s="31"/>
    </row>
    <row r="18" spans="1:14" ht="14.25" customHeight="1">
      <c r="A18" s="32">
        <v>44831</v>
      </c>
      <c r="B18" s="22">
        <v>0</v>
      </c>
      <c r="C18" s="34" t="s">
        <v>16</v>
      </c>
      <c r="D18" s="24">
        <v>0</v>
      </c>
      <c r="E18" s="25"/>
      <c r="F18" s="24">
        <f t="shared" si="0"/>
        <v>0</v>
      </c>
      <c r="G18" s="26">
        <f t="shared" si="1"/>
        <v>0</v>
      </c>
      <c r="H18" s="27" t="str">
        <f t="shared" si="2"/>
        <v/>
      </c>
      <c r="J18" s="28"/>
      <c r="K18" s="29"/>
      <c r="L18" s="33"/>
      <c r="M18" s="31"/>
    </row>
    <row r="19" spans="1:14" ht="14.25" customHeight="1">
      <c r="A19" s="32">
        <v>44831</v>
      </c>
      <c r="B19" s="22"/>
      <c r="C19" s="23"/>
      <c r="D19" s="24"/>
      <c r="E19" s="25"/>
      <c r="F19" s="24" t="str">
        <f t="shared" si="0"/>
        <v/>
      </c>
      <c r="G19" s="26" t="str">
        <f>IF(AND(D19="",E19=""),"",(#REF!-A19)*(D19+E19))</f>
        <v/>
      </c>
      <c r="H19" s="27" t="str">
        <f t="shared" si="2"/>
        <v/>
      </c>
      <c r="J19" s="28"/>
      <c r="K19" s="29"/>
      <c r="L19" s="33"/>
      <c r="M19" s="31"/>
    </row>
    <row r="20" spans="1:14" ht="14.25" customHeight="1">
      <c r="A20" s="35" t="s">
        <v>17</v>
      </c>
      <c r="B20" s="36">
        <f>ROUND(SUM(B14:B19),2)</f>
        <v>-20120.259999999998</v>
      </c>
      <c r="C20" s="23"/>
      <c r="D20" s="24"/>
      <c r="E20" s="25"/>
      <c r="F20" s="37">
        <f>ROUND(SUM(F14:F19),2)</f>
        <v>2.59</v>
      </c>
      <c r="G20" s="26"/>
      <c r="H20" s="27" t="str">
        <f>IF(AND(C20&lt;&gt;"",C20&lt;&gt;"R/O Adjustment",C20&lt;&gt;"IntraDay",C20&lt;&gt;"F&amp;O"),"Positional","")</f>
        <v/>
      </c>
      <c r="J20" s="28"/>
      <c r="K20" s="31" t="s">
        <v>18</v>
      </c>
      <c r="L20" s="38">
        <f>ROUND(SUM(L14:L19),2)</f>
        <v>0</v>
      </c>
      <c r="M20" s="31"/>
    </row>
    <row r="21" spans="1:14" ht="3.75" customHeight="1">
      <c r="B21" s="39"/>
      <c r="C21" s="40"/>
      <c r="D21" s="39"/>
      <c r="E21" s="41"/>
      <c r="G21" s="42"/>
      <c r="H21" s="40"/>
    </row>
    <row r="22" spans="1:14" ht="15.75" customHeight="1">
      <c r="A22" s="43" t="s">
        <v>19</v>
      </c>
      <c r="B22" s="44">
        <f>ROUND(SUMIF(H14:H19,A22,B14:B19),2)</f>
        <v>0</v>
      </c>
      <c r="D22" s="45">
        <f>D24-C9</f>
        <v>0</v>
      </c>
      <c r="E22" s="25">
        <f>B$35</f>
        <v>0</v>
      </c>
      <c r="J22" s="42"/>
      <c r="K22" s="46"/>
    </row>
    <row r="23" spans="1:14" ht="15" customHeight="1">
      <c r="A23" s="43" t="s">
        <v>20</v>
      </c>
      <c r="B23" s="44">
        <f>ROUND(SUMIF(C14:C19,A23,B14:B19),2)</f>
        <v>0</v>
      </c>
      <c r="C23" s="43" t="s">
        <v>21</v>
      </c>
      <c r="D23" s="47">
        <f>B9+B20-L20</f>
        <v>0</v>
      </c>
      <c r="F23" s="43" t="s">
        <v>22</v>
      </c>
      <c r="G23" s="48">
        <f>ROUND(SUMIFS(B14:B19,C14:C19,A24,B14:B19, "&gt;0"),2)</f>
        <v>1094.04</v>
      </c>
      <c r="H23" s="49">
        <f>COUNTIFS(B14:B19,"&gt;0",C14:C19,A24)</f>
        <v>2</v>
      </c>
      <c r="J23" s="50" t="s">
        <v>23</v>
      </c>
      <c r="K23" s="51" t="s">
        <v>20</v>
      </c>
      <c r="L23" s="51" t="s">
        <v>4</v>
      </c>
      <c r="M23" s="51" t="s">
        <v>19</v>
      </c>
      <c r="N23" s="51" t="s">
        <v>24</v>
      </c>
    </row>
    <row r="24" spans="1:14" ht="15" customHeight="1">
      <c r="A24" s="43" t="s">
        <v>4</v>
      </c>
      <c r="B24" s="48">
        <f>ROUND(SUMIF(C14:C19,A24,B14:B19),2)</f>
        <v>-20120.259999999998</v>
      </c>
      <c r="C24" s="43" t="s">
        <v>25</v>
      </c>
      <c r="D24" s="24">
        <v>0</v>
      </c>
      <c r="F24" s="43" t="s">
        <v>26</v>
      </c>
      <c r="G24" s="48">
        <f>ROUND(SUMIFS(B14:B19,C14:C19,A24,B14:B19, "&lt;0"),2)</f>
        <v>-21214.3</v>
      </c>
      <c r="H24" s="49">
        <f>COUNTIFS(B14:B19,"&lt;0",C14:C19,A24)</f>
        <v>1</v>
      </c>
      <c r="J24" s="52">
        <v>44774</v>
      </c>
      <c r="K24" s="53">
        <v>0</v>
      </c>
      <c r="L24" s="53">
        <v>-20120.259999999998</v>
      </c>
      <c r="M24" s="53">
        <v>0</v>
      </c>
      <c r="N24" s="53">
        <f t="shared" ref="N24:N26" si="3">SUM(K24:M24)</f>
        <v>-20120.259999999998</v>
      </c>
    </row>
    <row r="25" spans="1:14" ht="15" customHeight="1">
      <c r="A25" s="43" t="s">
        <v>16</v>
      </c>
      <c r="B25" s="54">
        <f>ROUND(SUMIF(C14:C19,A25,B14:B19),2)</f>
        <v>0</v>
      </c>
      <c r="C25" s="55" t="s">
        <v>27</v>
      </c>
      <c r="D25" s="56">
        <f>D24-D23</f>
        <v>0</v>
      </c>
      <c r="E25" s="56">
        <v>0</v>
      </c>
      <c r="J25" s="57">
        <v>44805</v>
      </c>
      <c r="K25" s="46">
        <v>0</v>
      </c>
      <c r="L25" s="46">
        <v>0</v>
      </c>
      <c r="M25" s="46">
        <v>0</v>
      </c>
      <c r="N25" s="46">
        <f t="shared" si="3"/>
        <v>0</v>
      </c>
    </row>
    <row r="26" spans="1:14" ht="15.75" customHeight="1">
      <c r="A26" s="43" t="s">
        <v>28</v>
      </c>
      <c r="B26" s="58">
        <f>SUM(B22:B25)</f>
        <v>-20120.259999999998</v>
      </c>
      <c r="J26" s="52">
        <v>44835</v>
      </c>
      <c r="K26" s="53">
        <v>0</v>
      </c>
      <c r="L26" s="53">
        <f>B$33</f>
        <v>0</v>
      </c>
      <c r="M26" s="53">
        <v>0</v>
      </c>
      <c r="N26" s="53">
        <f t="shared" si="3"/>
        <v>0</v>
      </c>
    </row>
    <row r="27" spans="1:14" ht="15.75" customHeight="1">
      <c r="A27" s="43"/>
      <c r="B27" s="59"/>
      <c r="J27" s="42"/>
      <c r="K27" s="46"/>
    </row>
    <row r="28" spans="1:14" ht="15.75" customHeight="1">
      <c r="A28" s="60">
        <f>Zerodha!A1014</f>
        <v>45047</v>
      </c>
      <c r="B28" s="60">
        <f>Zerodha!B1014</f>
        <v>45077</v>
      </c>
      <c r="C28" s="43" t="s">
        <v>29</v>
      </c>
      <c r="D28" s="44"/>
      <c r="J28" s="61" t="s">
        <v>18</v>
      </c>
      <c r="K28" s="62">
        <f t="shared" ref="K28:M28" si="4">SUM(K24:K27)</f>
        <v>0</v>
      </c>
      <c r="L28" s="62">
        <f t="shared" si="4"/>
        <v>-20120.259999999998</v>
      </c>
      <c r="M28" s="62">
        <f t="shared" si="4"/>
        <v>0</v>
      </c>
      <c r="N28" s="62">
        <f>IF(SUM(N22:N27)=B26,B26,"Error")</f>
        <v>-20120.259999999998</v>
      </c>
    </row>
    <row r="29" spans="1:14" ht="15.75" customHeight="1">
      <c r="A29" s="63" t="s">
        <v>20</v>
      </c>
      <c r="B29" s="64">
        <f>ROUND(SUMIFS(B14:B19,C14:C19,A29,A14:A19,"&gt;="&amp;A28,A14:A19,"&lt;="&amp;B28)+B32,2)</f>
        <v>0</v>
      </c>
      <c r="C29" s="55" t="s">
        <v>30</v>
      </c>
      <c r="D29" s="65">
        <f>D28-B22</f>
        <v>0</v>
      </c>
      <c r="J29" s="42"/>
      <c r="K29" s="46"/>
    </row>
    <row r="30" spans="1:14" ht="15.75" customHeight="1">
      <c r="A30" s="63" t="s">
        <v>19</v>
      </c>
      <c r="B30" s="64">
        <f>ROUND(SUMIFS(B14:B19,H14:H19,A30,A14:A19,"&gt;="&amp;A28,A14:A19,"&lt;="&amp;B28),2)</f>
        <v>0</v>
      </c>
      <c r="C30" s="43" t="s">
        <v>31</v>
      </c>
      <c r="D30" s="66"/>
      <c r="J30" s="42"/>
      <c r="K30" s="46"/>
    </row>
    <row r="31" spans="1:14" ht="15.75" customHeight="1">
      <c r="A31" s="63" t="s">
        <v>4</v>
      </c>
      <c r="B31" s="67">
        <f>ROUND(SUMIFS(B14:B19,C14:C19,A31,A14:A19,"&gt;="&amp;A28,A14:A19,"&lt;="&amp;B28),2)</f>
        <v>0</v>
      </c>
      <c r="C31" s="55" t="s">
        <v>30</v>
      </c>
      <c r="D31" s="65">
        <f>D30-B23</f>
        <v>0</v>
      </c>
      <c r="E31" s="49">
        <f>ROUND(COUNTIFS(B14:B19,"&gt;0",C14:C19,A31,A14:A19,"&gt;="&amp;A28,A14:A19,"&lt;="&amp;B28),2)</f>
        <v>0</v>
      </c>
      <c r="F31" s="48">
        <f>ROUND(SUMIFS(B14:B19,C14:C19,A24,B14:B19, "&gt;0",A14:A19,"&gt;="&amp;A28,A14:A19,"&lt;="&amp;B28),2)</f>
        <v>0</v>
      </c>
      <c r="G31" s="48" t="e">
        <f t="shared" ref="G31:G32" si="5">F31/E31</f>
        <v>#DIV/0!</v>
      </c>
      <c r="J31" s="42"/>
      <c r="K31" s="46"/>
    </row>
    <row r="32" spans="1:14" ht="15.75" customHeight="1">
      <c r="A32" s="63" t="s">
        <v>16</v>
      </c>
      <c r="B32" s="64">
        <f>ROUND(SUMIFS(B14:B19,C14:C19,A32,A14:A19,"&gt;="&amp;A28,A14:A19,"&lt;="&amp;B28),2)</f>
        <v>0</v>
      </c>
      <c r="C32" s="43" t="s">
        <v>4</v>
      </c>
      <c r="D32" s="44">
        <f>Trade!Z1796</f>
        <v>-20120.260000000002</v>
      </c>
      <c r="E32" s="49">
        <f>ROUND(COUNTIFS(B14:B19,"&lt;0",C14:C19,A31,A14:A19,"&gt;="&amp;A28,A14:A19,"&lt;="&amp;B28),2)</f>
        <v>0</v>
      </c>
      <c r="F32" s="48">
        <f>ROUND(SUMIFS(B14:B19,C14:C19,A24,B14:B19,"&lt;0",A14:A19,"&gt;="&amp;A28,A14:A19,"&lt;="&amp;B28),2)</f>
        <v>0</v>
      </c>
      <c r="G32" s="48" t="e">
        <f t="shared" si="5"/>
        <v>#DIV/0!</v>
      </c>
      <c r="J32" s="42"/>
      <c r="K32" s="46"/>
    </row>
    <row r="33" spans="1:11" ht="15.75" customHeight="1">
      <c r="A33" s="63" t="s">
        <v>32</v>
      </c>
      <c r="B33" s="68">
        <f>SUM(B29:B31)</f>
        <v>0</v>
      </c>
      <c r="C33" s="55" t="s">
        <v>30</v>
      </c>
      <c r="D33" s="65">
        <f>D32-B24</f>
        <v>0</v>
      </c>
      <c r="J33" s="42"/>
      <c r="K33" s="46"/>
    </row>
    <row r="34" spans="1:11" ht="15.75" customHeight="1">
      <c r="J34" s="42"/>
      <c r="K34" s="46"/>
    </row>
    <row r="35" spans="1:11" ht="15.75" customHeight="1">
      <c r="J35" s="42"/>
      <c r="K35" s="46"/>
    </row>
    <row r="36" spans="1:11" ht="15.75" customHeight="1">
      <c r="J36" s="42"/>
      <c r="K36" s="46"/>
    </row>
    <row r="37" spans="1:11" ht="15.75" customHeight="1">
      <c r="J37" s="42"/>
      <c r="K37" s="46"/>
    </row>
    <row r="38" spans="1:11" ht="15.75" customHeight="1">
      <c r="J38" s="42"/>
      <c r="K38" s="46"/>
    </row>
    <row r="39" spans="1:11" ht="15.75" customHeight="1">
      <c r="J39" s="42"/>
      <c r="K39" s="46"/>
    </row>
    <row r="40" spans="1:11" ht="15.75" customHeight="1">
      <c r="J40" s="42"/>
      <c r="K40" s="46"/>
    </row>
    <row r="41" spans="1:11" ht="15.75" customHeight="1">
      <c r="J41" s="42"/>
      <c r="K41" s="46"/>
    </row>
    <row r="42" spans="1:11" ht="15.75" customHeight="1">
      <c r="J42" s="42"/>
      <c r="K42" s="46"/>
    </row>
    <row r="43" spans="1:11" ht="15.75" customHeight="1">
      <c r="J43" s="42"/>
      <c r="K43" s="46"/>
    </row>
    <row r="44" spans="1:11" ht="15.75" customHeight="1">
      <c r="J44" s="42"/>
      <c r="K44" s="46"/>
    </row>
    <row r="45" spans="1:11" ht="15.75" customHeight="1">
      <c r="J45" s="42"/>
      <c r="K45" s="46"/>
    </row>
    <row r="46" spans="1:11" ht="15.75" customHeight="1">
      <c r="B46" s="39"/>
      <c r="J46" s="42"/>
      <c r="K46" s="46"/>
    </row>
    <row r="47" spans="1:11" ht="15.75" customHeight="1">
      <c r="B47" s="39"/>
      <c r="J47" s="42"/>
      <c r="K47" s="46"/>
    </row>
    <row r="48" spans="1:11" ht="15.75" customHeight="1">
      <c r="B48" s="39"/>
      <c r="C48" s="40"/>
      <c r="D48" s="39"/>
      <c r="J48" s="42"/>
      <c r="K48" s="46"/>
    </row>
    <row r="49" spans="2:11" ht="15.75" customHeight="1">
      <c r="B49" s="39"/>
      <c r="C49" s="40"/>
      <c r="D49" s="39"/>
      <c r="F49" s="69"/>
      <c r="G49" s="70"/>
      <c r="I49" s="69"/>
      <c r="J49" s="46"/>
      <c r="K49" s="46"/>
    </row>
    <row r="50" spans="2:11" ht="15.75" customHeight="1">
      <c r="B50" s="39"/>
      <c r="C50" s="40"/>
      <c r="D50" s="39"/>
      <c r="F50" s="69"/>
      <c r="G50" s="70"/>
      <c r="I50" s="46"/>
      <c r="J50" s="46"/>
      <c r="K50" s="46"/>
    </row>
    <row r="51" spans="2:11" ht="15.75" customHeight="1">
      <c r="B51" s="39"/>
      <c r="C51" s="40"/>
      <c r="D51" s="39"/>
    </row>
    <row r="52" spans="2:11" ht="15.75" customHeight="1">
      <c r="B52" s="39"/>
      <c r="C52" s="40"/>
      <c r="D52" s="39"/>
      <c r="F52" s="69"/>
      <c r="G52" s="70"/>
      <c r="I52" s="69"/>
      <c r="J52" s="46"/>
      <c r="K52" s="46"/>
    </row>
    <row r="53" spans="2:11" ht="15.75" customHeight="1">
      <c r="B53" s="39"/>
      <c r="C53" s="40"/>
      <c r="D53" s="39"/>
      <c r="F53" s="69"/>
      <c r="G53" s="70"/>
      <c r="I53" s="46"/>
      <c r="J53" s="46"/>
      <c r="K53" s="46"/>
    </row>
  </sheetData>
  <dataValidations count="1">
    <dataValidation type="custom" allowBlank="1" showDropDown="1" sqref="A2:A8 A15:A19">
      <formula1>OR(NOT(ISERROR(DATEVALUE(A2))), AND(ISNUMBER(A2), LEFT(CELL("format", A2))="D"))</formula1>
    </dataValidation>
  </dataValidations>
  <pageMargins left="0.7" right="0.7"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tabColor rgb="FFFFFF00"/>
    <outlinePr summaryBelow="0" summaryRight="0"/>
  </sheetPr>
  <dimension ref="A1:AK186"/>
  <sheetViews>
    <sheetView workbookViewId="0"/>
  </sheetViews>
  <sheetFormatPr baseColWidth="10" defaultColWidth="14.42578125" defaultRowHeight="15" customHeight="1" outlineLevelCol="1"/>
  <cols>
    <col min="1" max="5" width="4.42578125" customWidth="1"/>
    <col min="6" max="6" width="6.5703125" customWidth="1" collapsed="1"/>
    <col min="7" max="7" width="7" hidden="1" customWidth="1" outlineLevel="1"/>
    <col min="8" max="10" width="6.7109375" hidden="1" customWidth="1" outlineLevel="1"/>
    <col min="11" max="11" width="6.7109375" customWidth="1"/>
    <col min="12" max="12" width="9.42578125" customWidth="1"/>
    <col min="13" max="13" width="6" customWidth="1" outlineLevel="1"/>
    <col min="14" max="14" width="7.7109375" customWidth="1"/>
    <col min="15" max="15" width="11.85546875" customWidth="1"/>
    <col min="16" max="16" width="4.5703125" customWidth="1" outlineLevel="1"/>
    <col min="17" max="17" width="5.140625" customWidth="1" outlineLevel="1"/>
    <col min="18" max="18" width="3" customWidth="1" outlineLevel="1"/>
    <col min="19" max="23" width="8.7109375" customWidth="1"/>
    <col min="24" max="24" width="8.7109375" customWidth="1" collapsed="1"/>
    <col min="25" max="25" width="6.7109375" hidden="1" customWidth="1" outlineLevel="1"/>
    <col min="26" max="29" width="6.42578125" hidden="1" customWidth="1" outlineLevel="1"/>
    <col min="30" max="31" width="6.5703125" hidden="1" customWidth="1" outlineLevel="1"/>
    <col min="32" max="32" width="7.28515625" hidden="1" customWidth="1" outlineLevel="1"/>
    <col min="33" max="33" width="5.7109375" hidden="1" customWidth="1" outlineLevel="1"/>
    <col min="34" max="34" width="6.28515625" hidden="1" customWidth="1" outlineLevel="1"/>
    <col min="35" max="35" width="7.5703125" customWidth="1"/>
    <col min="36" max="37" width="7.28515625" customWidth="1"/>
  </cols>
  <sheetData>
    <row r="1" spans="1:37" ht="90">
      <c r="A1" s="614" t="s">
        <v>1549</v>
      </c>
      <c r="B1" s="614" t="s">
        <v>1550</v>
      </c>
      <c r="C1" s="614" t="s">
        <v>1551</v>
      </c>
      <c r="D1" s="614" t="s">
        <v>1552</v>
      </c>
      <c r="E1" s="614" t="s">
        <v>1553</v>
      </c>
      <c r="F1" s="614" t="s">
        <v>1554</v>
      </c>
      <c r="G1" s="615" t="s">
        <v>1555</v>
      </c>
      <c r="H1" s="616" t="s">
        <v>1556</v>
      </c>
      <c r="I1" s="615" t="s">
        <v>1557</v>
      </c>
      <c r="J1" s="616" t="s">
        <v>1558</v>
      </c>
      <c r="K1" s="617" t="s">
        <v>736</v>
      </c>
      <c r="L1" s="614" t="s">
        <v>1559</v>
      </c>
      <c r="M1" s="618" t="s">
        <v>1560</v>
      </c>
      <c r="N1" s="614" t="s">
        <v>1120</v>
      </c>
      <c r="O1" s="614" t="s">
        <v>1561</v>
      </c>
      <c r="P1" s="614" t="s">
        <v>733</v>
      </c>
      <c r="Q1" s="614" t="s">
        <v>734</v>
      </c>
      <c r="R1" s="614" t="s">
        <v>735</v>
      </c>
      <c r="S1" s="614" t="s">
        <v>1562</v>
      </c>
      <c r="T1" s="619" t="s">
        <v>1118</v>
      </c>
      <c r="U1" s="620" t="s">
        <v>1563</v>
      </c>
      <c r="V1" s="621" t="s">
        <v>1564</v>
      </c>
      <c r="W1" s="622" t="s">
        <v>1565</v>
      </c>
      <c r="X1" s="620" t="s">
        <v>1566</v>
      </c>
      <c r="Y1" s="614" t="s">
        <v>667</v>
      </c>
      <c r="Z1" s="614" t="s">
        <v>1564</v>
      </c>
      <c r="AA1" s="614" t="s">
        <v>1567</v>
      </c>
      <c r="AB1" s="614" t="s">
        <v>1568</v>
      </c>
      <c r="AC1" s="614" t="s">
        <v>1565</v>
      </c>
      <c r="AD1" s="614" t="s">
        <v>1118</v>
      </c>
      <c r="AE1" s="614" t="s">
        <v>1569</v>
      </c>
      <c r="AF1" s="614" t="s">
        <v>1566</v>
      </c>
      <c r="AG1" s="614" t="s">
        <v>1563</v>
      </c>
      <c r="AH1" s="614" t="s">
        <v>1570</v>
      </c>
      <c r="AI1" s="622" t="s">
        <v>1571</v>
      </c>
      <c r="AJ1" s="622" t="s">
        <v>1572</v>
      </c>
      <c r="AK1" s="622" t="s">
        <v>1573</v>
      </c>
    </row>
    <row r="2" spans="1:37">
      <c r="A2" s="623">
        <f t="shared" ref="A2:A160" si="0">IF(M2="Yes",0,IF(AC2&gt;=AD2,10,IF(AE2&lt;=0.05,8,IF(AND(AE2&gt;=0.05,AE2&lt;=0.15),7,IF(AND(AE2&gt;0.15,AE2&lt;=0.25),5,IF(AND(AE2&gt;0.25,AE2&lt;=0.35),4,IF(AND(AE2&gt;0.35,AE2&lt;=0.45),2,IF(AE2&gt;0.45,1))))))))</f>
        <v>10</v>
      </c>
      <c r="B2" s="624">
        <f t="shared" ref="B2:B3" si="1">IF(AF2&lt;=AG2,1,IF(AH2&lt;=0.005,2,IF(AND(AH2&gt;0.005,AH2&lt;=0.02, L184),4,IF(AND(AH2&gt;0.02,AH2&lt;=0.05),5,IF(AND(AH2&gt;0.05,AH2&lt;=0.1),7,IF(AND(AH2&gt;0.1,AH2&lt;=0.2),8,IF(AH2&gt;0.2,10)))))))</f>
        <v>1</v>
      </c>
      <c r="C2" s="623">
        <f t="shared" ref="C2:C11" si="2">IF(AA2&lt;=0.005,10,IF(AND(AA2&gt;0.005,AA2&lt;=0.01),9,IF(AND(AA2&gt;0.01,AA2&lt;=0.02),8,IF(AND(AA2&gt;0.02,AA2&lt;=0.05),7,IF(AND(AA2&gt;0.05,AA2&lt;=0.1),6,IF(AND(AA2&gt;0.1,AA2&lt;=0.2),5,IF(AND(AA2&gt;0.2,AA2&lt;=0.3),4,IF(AND(AA2&gt;0.3,AA2&lt;=0.4),3,IF(AND(AA2&gt;0.4,AA2&lt;=0.5),2,IF(AA2&gt;0.5,1))))))))))</f>
        <v>10</v>
      </c>
      <c r="D2" s="623">
        <f t="shared" ref="D2:D160" si="3">IF(AB2&gt;0.5,10,IF(AND(AB2&lt;=0.5,AB2&gt;0.4),9,IF(AND(AB2&lt;=0.4,AB2&gt;0.3),8,IF(AND(AB2&lt;=0.3,AB2&gt;0.2),7,IF(AND(AB2&lt;=0.2,AB2&gt;0.1),6,IF(AND(AB2&lt;=0.1,AB2&gt;0.05),5,IF(AND(AB2&lt;=0.05,AB2&gt;0.04),4,IF(AND(AB2&lt;=0.04,AB2&gt;0.03),3,IF(AND(AB2&lt;=0.03,AB2&gt;0.02),2,IF(AB2&lt;=0.02,1))))))))))</f>
        <v>8</v>
      </c>
      <c r="E2" s="624">
        <f t="shared" ref="E2:E99" si="4">IFERROR(IF(O2="","",ROUND((A2*1+B2*1+C2*10+D2*1)/13,1)),"")</f>
        <v>9.1999999999999993</v>
      </c>
      <c r="F2" s="625">
        <f t="shared" ref="F2:F160" si="5">IF(AF2&gt;AG2,"     -",(AG2-AF2)/AG2)</f>
        <v>0</v>
      </c>
      <c r="G2" s="626">
        <f t="shared" ref="G2:G5" si="6">ROUND((AD2/Y2)-1,4)</f>
        <v>0.18870000000000001</v>
      </c>
      <c r="H2" s="627">
        <f t="shared" ref="H2:H33" si="7">ROUND(-(Y2-AG2)/Y2,3)</f>
        <v>-7.4999999999999997E-2</v>
      </c>
      <c r="I2" s="628">
        <f t="shared" ref="I2:I160" si="8">ROUND(K2*(AD2-Y2),0)</f>
        <v>6000</v>
      </c>
      <c r="J2" s="629">
        <f t="shared" ref="J2:J160" si="9">ROUND(K2*(Y2-AG2),0)</f>
        <v>2400</v>
      </c>
      <c r="K2" s="630">
        <v>600</v>
      </c>
      <c r="L2" s="631">
        <v>44837</v>
      </c>
      <c r="M2" s="632"/>
      <c r="N2" s="632" t="s">
        <v>1574</v>
      </c>
      <c r="O2" s="632" t="s">
        <v>1575</v>
      </c>
      <c r="P2" s="632" t="s">
        <v>1576</v>
      </c>
      <c r="Q2" s="632">
        <v>1180</v>
      </c>
      <c r="R2" s="632" t="s">
        <v>1577</v>
      </c>
      <c r="S2" s="632" t="s">
        <v>1578</v>
      </c>
      <c r="T2" s="633" t="s">
        <v>1579</v>
      </c>
      <c r="U2" s="634" t="s">
        <v>1580</v>
      </c>
      <c r="V2" s="635" t="s">
        <v>1581</v>
      </c>
      <c r="W2" s="633" t="s">
        <v>1582</v>
      </c>
      <c r="X2" s="634" t="s">
        <v>1583</v>
      </c>
      <c r="Y2" s="632">
        <f t="shared" ref="Y2:Y160" si="10">IFERROR(VALUE(RIGHT(S2,LEN(S2)-1)),"")</f>
        <v>53</v>
      </c>
      <c r="Z2" s="632">
        <f t="shared" ref="Z2:Z160" si="11">IFERROR(VALUE(RIGHT(V2,LEN(V2)-2)),"")</f>
        <v>53</v>
      </c>
      <c r="AA2" s="636">
        <f t="shared" ref="AA2:AA160" si="12">IFERROR(ROUND((Z2-Y2)/Y2,3),"")</f>
        <v>0</v>
      </c>
      <c r="AB2" s="636">
        <f t="shared" ref="AB2:AB160" si="13">IFERROR(ROUND((AC2-Z2)/Z2,3),"")</f>
        <v>0.34</v>
      </c>
      <c r="AC2" s="632">
        <f t="shared" ref="AC2:AC160" si="14">IFERROR(VALUE(RIGHT(W2,LEN(W2)-2)),0)</f>
        <v>71</v>
      </c>
      <c r="AD2" s="632">
        <f t="shared" ref="AD2:AD160" si="15">IFERROR(VALUE(RIGHT(T2,LEN(T2)-2)),"")</f>
        <v>63</v>
      </c>
      <c r="AE2" s="636" t="str">
        <f t="shared" ref="AE2:AE160" si="16">IFERROR(IF(AC2&gt;=AD2,"Tgt Hit",ROUND((AD2-AC2)/AD2,3)),"")</f>
        <v>Tgt Hit</v>
      </c>
      <c r="AF2" s="632">
        <f t="shared" ref="AF2:AF160" si="17">IFERROR(VALUE(RIGHT(X2,LEN(X2)-2)),"")</f>
        <v>49</v>
      </c>
      <c r="AG2" s="632">
        <f t="shared" ref="AG2:AG160" si="18">IFERROR(VALUE(RIGHT(U2,LEN(U2)-3)),0)</f>
        <v>49</v>
      </c>
      <c r="AH2" s="625" t="str">
        <f t="shared" ref="AH2:AH160" si="19">IFERROR(IF(AF2&lt;=AG2,"SL Hit",ROUND((AF2-AG2)/AG2,3)),"")</f>
        <v>SL Hit</v>
      </c>
    </row>
    <row r="3" spans="1:37">
      <c r="A3" s="623">
        <f t="shared" si="0"/>
        <v>8</v>
      </c>
      <c r="B3" s="624">
        <f t="shared" si="1"/>
        <v>1</v>
      </c>
      <c r="C3" s="623">
        <f t="shared" si="2"/>
        <v>5</v>
      </c>
      <c r="D3" s="623">
        <f t="shared" si="3"/>
        <v>1</v>
      </c>
      <c r="E3" s="624">
        <f t="shared" si="4"/>
        <v>4.5999999999999996</v>
      </c>
      <c r="F3" s="625">
        <f t="shared" si="5"/>
        <v>0.23529411764705882</v>
      </c>
      <c r="G3" s="626">
        <f t="shared" si="6"/>
        <v>0.17019999999999999</v>
      </c>
      <c r="H3" s="627">
        <f t="shared" si="7"/>
        <v>-9.6000000000000002E-2</v>
      </c>
      <c r="I3" s="628">
        <f t="shared" si="8"/>
        <v>8800</v>
      </c>
      <c r="J3" s="629">
        <f t="shared" si="9"/>
        <v>4950</v>
      </c>
      <c r="K3" s="630">
        <v>550</v>
      </c>
      <c r="L3" s="631">
        <v>44837</v>
      </c>
      <c r="M3" s="632"/>
      <c r="N3" s="632" t="s">
        <v>1584</v>
      </c>
      <c r="O3" s="632" t="s">
        <v>684</v>
      </c>
      <c r="P3" s="632" t="s">
        <v>1576</v>
      </c>
      <c r="Q3" s="632">
        <v>2120</v>
      </c>
      <c r="R3" s="632" t="s">
        <v>1585</v>
      </c>
      <c r="S3" s="632" t="s">
        <v>1586</v>
      </c>
      <c r="T3" s="633" t="s">
        <v>1587</v>
      </c>
      <c r="U3" s="634" t="s">
        <v>1588</v>
      </c>
      <c r="V3" s="635" t="s">
        <v>1589</v>
      </c>
      <c r="W3" s="633" t="s">
        <v>1590</v>
      </c>
      <c r="X3" s="634" t="s">
        <v>1591</v>
      </c>
      <c r="Y3" s="632">
        <f t="shared" si="10"/>
        <v>94</v>
      </c>
      <c r="Z3" s="632">
        <f t="shared" si="11"/>
        <v>109</v>
      </c>
      <c r="AA3" s="636">
        <f t="shared" si="12"/>
        <v>0.16</v>
      </c>
      <c r="AB3" s="636">
        <f t="shared" si="13"/>
        <v>0</v>
      </c>
      <c r="AC3" s="632">
        <f t="shared" si="14"/>
        <v>109</v>
      </c>
      <c r="AD3" s="632">
        <f t="shared" si="15"/>
        <v>110</v>
      </c>
      <c r="AE3" s="636">
        <f t="shared" si="16"/>
        <v>8.9999999999999993E-3</v>
      </c>
      <c r="AF3" s="632">
        <f t="shared" si="17"/>
        <v>65</v>
      </c>
      <c r="AG3" s="632">
        <f t="shared" si="18"/>
        <v>85</v>
      </c>
      <c r="AH3" s="625" t="str">
        <f t="shared" si="19"/>
        <v>SL Hit</v>
      </c>
    </row>
    <row r="4" spans="1:37">
      <c r="A4" s="623">
        <f t="shared" si="0"/>
        <v>1</v>
      </c>
      <c r="B4" s="624">
        <f t="shared" ref="B4:B5" si="20">IF(AF4&lt;=AG4,1,IF(AH4&lt;=0.005,2,IF(AND(AH4&gt;0.005,AH4&lt;=0.02, L182),4,IF(AND(AH4&gt;0.02,AH4&lt;=0.05),5,IF(AND(AH4&gt;0.05,AH4&lt;=0.1),7,IF(AND(AH4&gt;0.1,AH4&lt;=0.2),8,IF(AH4&gt;0.2,10)))))))</f>
        <v>1</v>
      </c>
      <c r="C4" s="623">
        <f t="shared" si="2"/>
        <v>8</v>
      </c>
      <c r="D4" s="623">
        <f t="shared" si="3"/>
        <v>1</v>
      </c>
      <c r="E4" s="624">
        <f t="shared" si="4"/>
        <v>6.4</v>
      </c>
      <c r="F4" s="625">
        <f t="shared" si="5"/>
        <v>0.37361547928346778</v>
      </c>
      <c r="G4" s="626">
        <f t="shared" si="6"/>
        <v>-0.43109999999999998</v>
      </c>
      <c r="H4" s="627">
        <f t="shared" si="7"/>
        <v>-0.35099999999999998</v>
      </c>
      <c r="I4" s="628">
        <f t="shared" si="8"/>
        <v>-82539250</v>
      </c>
      <c r="J4" s="629">
        <f t="shared" si="9"/>
        <v>67137250</v>
      </c>
      <c r="K4" s="630">
        <v>4250</v>
      </c>
      <c r="L4" s="631">
        <v>44838</v>
      </c>
      <c r="M4" s="632"/>
      <c r="N4" s="632" t="s">
        <v>1574</v>
      </c>
      <c r="O4" s="632" t="s">
        <v>496</v>
      </c>
      <c r="P4" s="632" t="s">
        <v>1576</v>
      </c>
      <c r="Q4" s="632">
        <v>69</v>
      </c>
      <c r="R4" s="632" t="s">
        <v>1585</v>
      </c>
      <c r="S4" s="632" t="s">
        <v>1592</v>
      </c>
      <c r="T4" s="633" t="s">
        <v>1593</v>
      </c>
      <c r="U4" s="634" t="s">
        <v>1594</v>
      </c>
      <c r="V4" s="635" t="s">
        <v>1595</v>
      </c>
      <c r="W4" s="633" t="s">
        <v>1596</v>
      </c>
      <c r="X4" s="634" t="s">
        <v>1597</v>
      </c>
      <c r="Y4" s="632">
        <f t="shared" si="10"/>
        <v>45049</v>
      </c>
      <c r="Z4" s="632">
        <f t="shared" si="11"/>
        <v>45748</v>
      </c>
      <c r="AA4" s="636">
        <f t="shared" si="12"/>
        <v>1.6E-2</v>
      </c>
      <c r="AB4" s="636">
        <f t="shared" si="13"/>
        <v>-0.71899999999999997</v>
      </c>
      <c r="AC4" s="632">
        <f t="shared" si="14"/>
        <v>12875</v>
      </c>
      <c r="AD4" s="632">
        <f t="shared" si="15"/>
        <v>25628</v>
      </c>
      <c r="AE4" s="636">
        <f t="shared" si="16"/>
        <v>0.498</v>
      </c>
      <c r="AF4" s="632">
        <f t="shared" si="17"/>
        <v>18323</v>
      </c>
      <c r="AG4" s="632">
        <f t="shared" si="18"/>
        <v>29252</v>
      </c>
      <c r="AH4" s="625" t="str">
        <f t="shared" si="19"/>
        <v>SL Hit</v>
      </c>
    </row>
    <row r="5" spans="1:37">
      <c r="A5" s="623">
        <f t="shared" si="0"/>
        <v>1</v>
      </c>
      <c r="B5" s="624">
        <f t="shared" si="20"/>
        <v>10</v>
      </c>
      <c r="C5" s="623">
        <f t="shared" si="2"/>
        <v>1</v>
      </c>
      <c r="D5" s="623">
        <f t="shared" si="3"/>
        <v>10</v>
      </c>
      <c r="E5" s="624">
        <f t="shared" si="4"/>
        <v>2.4</v>
      </c>
      <c r="F5" s="625" t="str">
        <f t="shared" si="5"/>
        <v xml:space="preserve">     -</v>
      </c>
      <c r="G5" s="626" t="e">
        <f t="shared" si="6"/>
        <v>#VALUE!</v>
      </c>
      <c r="H5" s="627" t="e">
        <f t="shared" si="7"/>
        <v>#VALUE!</v>
      </c>
      <c r="I5" s="628" t="e">
        <f t="shared" si="8"/>
        <v>#VALUE!</v>
      </c>
      <c r="J5" s="629" t="e">
        <f t="shared" si="9"/>
        <v>#VALUE!</v>
      </c>
      <c r="K5" s="630">
        <v>150</v>
      </c>
      <c r="L5" s="631">
        <v>44838</v>
      </c>
      <c r="M5" s="632"/>
      <c r="N5" s="632" t="s">
        <v>1584</v>
      </c>
      <c r="O5" s="632" t="s">
        <v>588</v>
      </c>
      <c r="P5" s="632" t="s">
        <v>1576</v>
      </c>
      <c r="Q5" s="632">
        <v>2980</v>
      </c>
      <c r="R5" s="632" t="s">
        <v>1585</v>
      </c>
      <c r="S5" s="632" t="s">
        <v>1598</v>
      </c>
      <c r="T5" s="633" t="s">
        <v>1599</v>
      </c>
      <c r="U5" s="634" t="s">
        <v>1600</v>
      </c>
      <c r="V5" s="635" t="s">
        <v>1601</v>
      </c>
      <c r="W5" s="633" t="s">
        <v>1602</v>
      </c>
      <c r="X5" s="634" t="s">
        <v>1603</v>
      </c>
      <c r="Y5" s="632" t="str">
        <f t="shared" si="10"/>
        <v/>
      </c>
      <c r="Z5" s="632" t="str">
        <f t="shared" si="11"/>
        <v/>
      </c>
      <c r="AA5" s="636" t="str">
        <f t="shared" si="12"/>
        <v/>
      </c>
      <c r="AB5" s="636" t="str">
        <f t="shared" si="13"/>
        <v/>
      </c>
      <c r="AC5" s="632">
        <f t="shared" si="14"/>
        <v>0</v>
      </c>
      <c r="AD5" s="632">
        <f t="shared" si="15"/>
        <v>115</v>
      </c>
      <c r="AE5" s="636">
        <f t="shared" si="16"/>
        <v>1</v>
      </c>
      <c r="AF5" s="632" t="str">
        <f t="shared" si="17"/>
        <v/>
      </c>
      <c r="AG5" s="632">
        <f t="shared" si="18"/>
        <v>95</v>
      </c>
      <c r="AH5" s="625" t="str">
        <f t="shared" si="19"/>
        <v/>
      </c>
    </row>
    <row r="6" spans="1:37">
      <c r="A6" s="623">
        <f t="shared" si="0"/>
        <v>1</v>
      </c>
      <c r="B6" s="624">
        <f t="shared" ref="B6:B7" si="21">IF(AF6&lt;=AG6,1,IF(AH6&lt;=0.005,2,IF(AND(AH6&gt;0.005,AH6&lt;=0.02, L182),4,IF(AND(AH6&gt;0.02,AH6&lt;=0.05),5,IF(AND(AH6&gt;0.05,AH6&lt;=0.1),7,IF(AND(AH6&gt;0.1,AH6&lt;=0.2),8,IF(AH6&gt;0.2,10)))))))</f>
        <v>10</v>
      </c>
      <c r="C6" s="623">
        <f t="shared" si="2"/>
        <v>1</v>
      </c>
      <c r="D6" s="623">
        <f t="shared" si="3"/>
        <v>10</v>
      </c>
      <c r="E6" s="624">
        <f t="shared" si="4"/>
        <v>2.4</v>
      </c>
      <c r="F6" s="625" t="str">
        <f t="shared" si="5"/>
        <v xml:space="preserve">     -</v>
      </c>
      <c r="G6" s="626">
        <f t="shared" ref="G6:G160" si="22">IFERROR(ROUND((AD6/Y6)-1,4),"")</f>
        <v>0.25</v>
      </c>
      <c r="H6" s="627">
        <f t="shared" si="7"/>
        <v>-0.16700000000000001</v>
      </c>
      <c r="I6" s="628">
        <f t="shared" si="8"/>
        <v>3000</v>
      </c>
      <c r="J6" s="629">
        <f t="shared" si="9"/>
        <v>2000</v>
      </c>
      <c r="K6" s="630">
        <v>250</v>
      </c>
      <c r="L6" s="631">
        <v>44851</v>
      </c>
      <c r="M6" s="632"/>
      <c r="N6" s="632" t="s">
        <v>1584</v>
      </c>
      <c r="O6" s="632" t="s">
        <v>474</v>
      </c>
      <c r="P6" s="632" t="s">
        <v>1576</v>
      </c>
      <c r="Q6" s="632">
        <v>2380</v>
      </c>
      <c r="R6" s="632" t="s">
        <v>1577</v>
      </c>
      <c r="S6" s="632" t="s">
        <v>1604</v>
      </c>
      <c r="T6" s="633" t="s">
        <v>1605</v>
      </c>
      <c r="U6" s="634" t="s">
        <v>1606</v>
      </c>
      <c r="V6" s="635" t="s">
        <v>1607</v>
      </c>
      <c r="W6" s="633" t="s">
        <v>1608</v>
      </c>
      <c r="X6" s="634" t="s">
        <v>1609</v>
      </c>
      <c r="Y6" s="632">
        <f t="shared" si="10"/>
        <v>48</v>
      </c>
      <c r="Z6" s="632" t="str">
        <f t="shared" si="11"/>
        <v/>
      </c>
      <c r="AA6" s="636" t="str">
        <f t="shared" si="12"/>
        <v/>
      </c>
      <c r="AB6" s="636" t="str">
        <f t="shared" si="13"/>
        <v/>
      </c>
      <c r="AC6" s="632">
        <f t="shared" si="14"/>
        <v>0</v>
      </c>
      <c r="AD6" s="632">
        <f t="shared" si="15"/>
        <v>60</v>
      </c>
      <c r="AE6" s="636">
        <f t="shared" si="16"/>
        <v>1</v>
      </c>
      <c r="AF6" s="632" t="str">
        <f t="shared" si="17"/>
        <v/>
      </c>
      <c r="AG6" s="632">
        <f t="shared" si="18"/>
        <v>40</v>
      </c>
      <c r="AH6" s="625" t="str">
        <f t="shared" si="19"/>
        <v/>
      </c>
    </row>
    <row r="7" spans="1:37">
      <c r="A7" s="623">
        <f t="shared" si="0"/>
        <v>10</v>
      </c>
      <c r="B7" s="624">
        <f t="shared" si="21"/>
        <v>10</v>
      </c>
      <c r="C7" s="623">
        <f t="shared" si="2"/>
        <v>10</v>
      </c>
      <c r="D7" s="623">
        <f t="shared" si="3"/>
        <v>10</v>
      </c>
      <c r="E7" s="624">
        <f t="shared" si="4"/>
        <v>10</v>
      </c>
      <c r="F7" s="625" t="str">
        <f t="shared" si="5"/>
        <v xml:space="preserve">     -</v>
      </c>
      <c r="G7" s="626">
        <f t="shared" si="22"/>
        <v>-0.99950000000000006</v>
      </c>
      <c r="H7" s="627">
        <f t="shared" si="7"/>
        <v>-1</v>
      </c>
      <c r="I7" s="628">
        <f t="shared" si="8"/>
        <v>-22088000</v>
      </c>
      <c r="J7" s="629">
        <f t="shared" si="9"/>
        <v>22092000</v>
      </c>
      <c r="K7" s="630">
        <v>1000</v>
      </c>
      <c r="L7" s="631">
        <v>44851</v>
      </c>
      <c r="M7" s="632"/>
      <c r="N7" s="632" t="s">
        <v>1610</v>
      </c>
      <c r="O7" s="632" t="s">
        <v>1611</v>
      </c>
      <c r="P7" s="632" t="s">
        <v>1576</v>
      </c>
      <c r="Q7" s="632">
        <v>375</v>
      </c>
      <c r="R7" s="632" t="s">
        <v>1577</v>
      </c>
      <c r="S7" s="632" t="s">
        <v>1612</v>
      </c>
      <c r="T7" s="633" t="s">
        <v>1613</v>
      </c>
      <c r="U7" s="634" t="s">
        <v>1614</v>
      </c>
      <c r="V7" s="635" t="s">
        <v>1615</v>
      </c>
      <c r="W7" s="633" t="s">
        <v>1616</v>
      </c>
      <c r="X7" s="634" t="s">
        <v>1617</v>
      </c>
      <c r="Y7" s="632">
        <f t="shared" si="10"/>
        <v>22098</v>
      </c>
      <c r="Z7" s="632">
        <f t="shared" si="11"/>
        <v>18445</v>
      </c>
      <c r="AA7" s="636">
        <f t="shared" si="12"/>
        <v>-0.16500000000000001</v>
      </c>
      <c r="AB7" s="636">
        <f t="shared" si="13"/>
        <v>0.60099999999999998</v>
      </c>
      <c r="AC7" s="632">
        <f t="shared" si="14"/>
        <v>29526</v>
      </c>
      <c r="AD7" s="632">
        <f t="shared" si="15"/>
        <v>10</v>
      </c>
      <c r="AE7" s="636" t="str">
        <f t="shared" si="16"/>
        <v>Tgt Hit</v>
      </c>
      <c r="AF7" s="632">
        <f t="shared" si="17"/>
        <v>29342</v>
      </c>
      <c r="AG7" s="632">
        <f t="shared" si="18"/>
        <v>6</v>
      </c>
      <c r="AH7" s="625">
        <f t="shared" si="19"/>
        <v>4889.3329999999996</v>
      </c>
    </row>
    <row r="8" spans="1:37">
      <c r="A8" s="623">
        <f t="shared" si="0"/>
        <v>1</v>
      </c>
      <c r="B8" s="624">
        <f t="shared" ref="B8:B9" si="23">IF(AF8&lt;=AG8,1,IF(AH8&lt;=0.005,2,IF(AND(AH8&gt;0.005,AH8&lt;=0.02, L182),4,IF(AND(AH8&gt;0.02,AH8&lt;=0.05),5,IF(AND(AH8&gt;0.05,AH8&lt;=0.1),7,IF(AND(AH8&gt;0.1,AH8&lt;=0.2),8,IF(AH8&gt;0.2,10)))))))</f>
        <v>10</v>
      </c>
      <c r="C8" s="623">
        <f t="shared" si="2"/>
        <v>4</v>
      </c>
      <c r="D8" s="623">
        <f t="shared" si="3"/>
        <v>1</v>
      </c>
      <c r="E8" s="624">
        <f t="shared" si="4"/>
        <v>4</v>
      </c>
      <c r="F8" s="625" t="str">
        <f t="shared" si="5"/>
        <v xml:space="preserve">     -</v>
      </c>
      <c r="G8" s="626">
        <f t="shared" si="22"/>
        <v>0.2281</v>
      </c>
      <c r="H8" s="627">
        <f t="shared" si="7"/>
        <v>-0.123</v>
      </c>
      <c r="I8" s="628">
        <f t="shared" si="8"/>
        <v>1950</v>
      </c>
      <c r="J8" s="629">
        <f t="shared" si="9"/>
        <v>1050</v>
      </c>
      <c r="K8" s="630">
        <v>150</v>
      </c>
      <c r="L8" s="631">
        <v>44852</v>
      </c>
      <c r="M8" s="632"/>
      <c r="N8" s="632" t="s">
        <v>1584</v>
      </c>
      <c r="O8" s="632" t="s">
        <v>588</v>
      </c>
      <c r="P8" s="632" t="s">
        <v>1576</v>
      </c>
      <c r="Q8" s="632">
        <v>3100</v>
      </c>
      <c r="R8" s="632" t="s">
        <v>1585</v>
      </c>
      <c r="S8" s="632" t="s">
        <v>1618</v>
      </c>
      <c r="T8" s="633" t="s">
        <v>1619</v>
      </c>
      <c r="U8" s="634" t="s">
        <v>1620</v>
      </c>
      <c r="V8" s="635" t="s">
        <v>1621</v>
      </c>
      <c r="W8" s="633" t="s">
        <v>1622</v>
      </c>
      <c r="X8" s="634" t="s">
        <v>1623</v>
      </c>
      <c r="Y8" s="632">
        <f t="shared" si="10"/>
        <v>57</v>
      </c>
      <c r="Z8" s="632">
        <f t="shared" si="11"/>
        <v>70</v>
      </c>
      <c r="AA8" s="636">
        <f t="shared" si="12"/>
        <v>0.22800000000000001</v>
      </c>
      <c r="AB8" s="636">
        <f t="shared" si="13"/>
        <v>-1</v>
      </c>
      <c r="AC8" s="632">
        <f t="shared" si="14"/>
        <v>0</v>
      </c>
      <c r="AD8" s="632">
        <f t="shared" si="15"/>
        <v>70</v>
      </c>
      <c r="AE8" s="636">
        <f t="shared" si="16"/>
        <v>1</v>
      </c>
      <c r="AF8" s="632" t="str">
        <f t="shared" si="17"/>
        <v/>
      </c>
      <c r="AG8" s="632">
        <f t="shared" si="18"/>
        <v>50</v>
      </c>
      <c r="AH8" s="625" t="str">
        <f t="shared" si="19"/>
        <v/>
      </c>
    </row>
    <row r="9" spans="1:37">
      <c r="A9" s="623">
        <f t="shared" si="0"/>
        <v>1</v>
      </c>
      <c r="B9" s="624">
        <f t="shared" si="23"/>
        <v>10</v>
      </c>
      <c r="C9" s="623">
        <f t="shared" si="2"/>
        <v>10</v>
      </c>
      <c r="D9" s="623">
        <f t="shared" si="3"/>
        <v>1</v>
      </c>
      <c r="E9" s="624">
        <f t="shared" si="4"/>
        <v>8.6</v>
      </c>
      <c r="F9" s="625" t="str">
        <f t="shared" si="5"/>
        <v xml:space="preserve">     -</v>
      </c>
      <c r="G9" s="626">
        <f t="shared" si="22"/>
        <v>-0.99970000000000003</v>
      </c>
      <c r="H9" s="627">
        <f t="shared" si="7"/>
        <v>-1</v>
      </c>
      <c r="I9" s="628">
        <f t="shared" si="8"/>
        <v>-62789775</v>
      </c>
      <c r="J9" s="629">
        <f t="shared" si="9"/>
        <v>62795475</v>
      </c>
      <c r="K9" s="630">
        <v>1425</v>
      </c>
      <c r="L9" s="631">
        <v>44852</v>
      </c>
      <c r="M9" s="632"/>
      <c r="N9" s="632" t="s">
        <v>1610</v>
      </c>
      <c r="O9" s="632" t="s">
        <v>518</v>
      </c>
      <c r="P9" s="632" t="s">
        <v>1576</v>
      </c>
      <c r="Q9" s="632">
        <v>400</v>
      </c>
      <c r="R9" s="632" t="s">
        <v>1585</v>
      </c>
      <c r="S9" s="632" t="s">
        <v>1624</v>
      </c>
      <c r="T9" s="633" t="s">
        <v>1625</v>
      </c>
      <c r="U9" s="634" t="s">
        <v>1626</v>
      </c>
      <c r="V9" s="635" t="s">
        <v>1627</v>
      </c>
      <c r="W9" s="633" t="s">
        <v>1628</v>
      </c>
      <c r="X9" s="634" t="s">
        <v>1629</v>
      </c>
      <c r="Y9" s="632">
        <f t="shared" si="10"/>
        <v>44075</v>
      </c>
      <c r="Z9" s="632">
        <f t="shared" si="11"/>
        <v>33117</v>
      </c>
      <c r="AA9" s="636">
        <f t="shared" si="12"/>
        <v>-0.249</v>
      </c>
      <c r="AB9" s="636">
        <f t="shared" si="13"/>
        <v>-1</v>
      </c>
      <c r="AC9" s="632">
        <f t="shared" si="14"/>
        <v>0</v>
      </c>
      <c r="AD9" s="632">
        <f t="shared" si="15"/>
        <v>12</v>
      </c>
      <c r="AE9" s="636">
        <f t="shared" si="16"/>
        <v>1</v>
      </c>
      <c r="AF9" s="632">
        <f t="shared" si="17"/>
        <v>44075</v>
      </c>
      <c r="AG9" s="632">
        <f t="shared" si="18"/>
        <v>8</v>
      </c>
      <c r="AH9" s="625">
        <f t="shared" si="19"/>
        <v>5508.375</v>
      </c>
    </row>
    <row r="10" spans="1:37">
      <c r="A10" s="623">
        <f t="shared" si="0"/>
        <v>1</v>
      </c>
      <c r="B10" s="624">
        <f t="shared" ref="B10:B11" si="24">IF(AF10&lt;=AG10,1,IF(AH10&lt;=0.005,2,IF(AND(AH10&gt;0.005,AH10&lt;=0.02, L182),4,IF(AND(AH10&gt;0.02,AH10&lt;=0.05),5,IF(AND(AH10&gt;0.05,AH10&lt;=0.1),7,IF(AND(AH10&gt;0.1,AH10&lt;=0.2),8,IF(AH10&gt;0.2,10)))))))</f>
        <v>10</v>
      </c>
      <c r="C10" s="623">
        <f t="shared" si="2"/>
        <v>1</v>
      </c>
      <c r="D10" s="623">
        <f t="shared" si="3"/>
        <v>10</v>
      </c>
      <c r="E10" s="624">
        <f t="shared" si="4"/>
        <v>2.4</v>
      </c>
      <c r="F10" s="625" t="str">
        <f t="shared" si="5"/>
        <v xml:space="preserve">     -</v>
      </c>
      <c r="G10" s="626">
        <f t="shared" si="22"/>
        <v>0.83330000000000004</v>
      </c>
      <c r="H10" s="627">
        <f t="shared" si="7"/>
        <v>-0.33300000000000002</v>
      </c>
      <c r="I10" s="628">
        <f t="shared" si="8"/>
        <v>11000</v>
      </c>
      <c r="J10" s="629">
        <f t="shared" si="9"/>
        <v>4400</v>
      </c>
      <c r="K10" s="630">
        <v>1100</v>
      </c>
      <c r="L10" s="631">
        <v>44853</v>
      </c>
      <c r="M10" s="632"/>
      <c r="N10" s="632" t="s">
        <v>1584</v>
      </c>
      <c r="O10" s="632" t="s">
        <v>1630</v>
      </c>
      <c r="P10" s="632" t="s">
        <v>1576</v>
      </c>
      <c r="Q10" s="632">
        <v>620</v>
      </c>
      <c r="R10" s="632" t="s">
        <v>1585</v>
      </c>
      <c r="S10" s="632" t="s">
        <v>1631</v>
      </c>
      <c r="T10" s="633" t="s">
        <v>1632</v>
      </c>
      <c r="U10" s="634" t="s">
        <v>1626</v>
      </c>
      <c r="V10" s="635" t="s">
        <v>1633</v>
      </c>
      <c r="W10" s="633" t="s">
        <v>1634</v>
      </c>
      <c r="X10" s="634" t="s">
        <v>1635</v>
      </c>
      <c r="Y10" s="632">
        <f t="shared" si="10"/>
        <v>12</v>
      </c>
      <c r="Z10" s="632" t="str">
        <f t="shared" si="11"/>
        <v/>
      </c>
      <c r="AA10" s="636" t="str">
        <f t="shared" si="12"/>
        <v/>
      </c>
      <c r="AB10" s="636" t="str">
        <f t="shared" si="13"/>
        <v/>
      </c>
      <c r="AC10" s="632">
        <f t="shared" si="14"/>
        <v>0</v>
      </c>
      <c r="AD10" s="632">
        <f t="shared" si="15"/>
        <v>22</v>
      </c>
      <c r="AE10" s="636">
        <f t="shared" si="16"/>
        <v>1</v>
      </c>
      <c r="AF10" s="632">
        <f t="shared" si="17"/>
        <v>29465</v>
      </c>
      <c r="AG10" s="632">
        <f t="shared" si="18"/>
        <v>8</v>
      </c>
      <c r="AH10" s="625">
        <f t="shared" si="19"/>
        <v>3682.125</v>
      </c>
    </row>
    <row r="11" spans="1:37">
      <c r="A11" s="623">
        <f t="shared" si="0"/>
        <v>1</v>
      </c>
      <c r="B11" s="624">
        <f t="shared" si="24"/>
        <v>1</v>
      </c>
      <c r="C11" s="623">
        <f t="shared" si="2"/>
        <v>1</v>
      </c>
      <c r="D11" s="623">
        <f t="shared" si="3"/>
        <v>10</v>
      </c>
      <c r="E11" s="624">
        <f t="shared" si="4"/>
        <v>1.7</v>
      </c>
      <c r="F11" s="625">
        <f t="shared" si="5"/>
        <v>9.0909090909090912E-2</v>
      </c>
      <c r="G11" s="626">
        <f t="shared" si="22"/>
        <v>0.3115</v>
      </c>
      <c r="H11" s="627">
        <f t="shared" si="7"/>
        <v>-9.8000000000000004E-2</v>
      </c>
      <c r="I11" s="628">
        <f t="shared" si="8"/>
        <v>3800</v>
      </c>
      <c r="J11" s="629">
        <f t="shared" si="9"/>
        <v>1200</v>
      </c>
      <c r="K11" s="630">
        <v>200</v>
      </c>
      <c r="L11" s="631">
        <v>44853</v>
      </c>
      <c r="M11" s="632"/>
      <c r="N11" s="632" t="s">
        <v>1610</v>
      </c>
      <c r="O11" s="632" t="s">
        <v>705</v>
      </c>
      <c r="P11" s="632" t="s">
        <v>1576</v>
      </c>
      <c r="Q11" s="632">
        <v>3250</v>
      </c>
      <c r="R11" s="632" t="s">
        <v>1585</v>
      </c>
      <c r="S11" s="632" t="s">
        <v>1636</v>
      </c>
      <c r="T11" s="633" t="s">
        <v>1637</v>
      </c>
      <c r="U11" s="634" t="s">
        <v>1638</v>
      </c>
      <c r="V11" s="635" t="s">
        <v>1639</v>
      </c>
      <c r="W11" s="633" t="s">
        <v>1640</v>
      </c>
      <c r="X11" s="634" t="s">
        <v>1641</v>
      </c>
      <c r="Y11" s="632">
        <f t="shared" si="10"/>
        <v>61</v>
      </c>
      <c r="Z11" s="632" t="str">
        <f t="shared" si="11"/>
        <v/>
      </c>
      <c r="AA11" s="636" t="str">
        <f t="shared" si="12"/>
        <v/>
      </c>
      <c r="AB11" s="636" t="str">
        <f t="shared" si="13"/>
        <v/>
      </c>
      <c r="AC11" s="632">
        <f t="shared" si="14"/>
        <v>0</v>
      </c>
      <c r="AD11" s="632">
        <f t="shared" si="15"/>
        <v>80</v>
      </c>
      <c r="AE11" s="636">
        <f t="shared" si="16"/>
        <v>1</v>
      </c>
      <c r="AF11" s="632">
        <f t="shared" si="17"/>
        <v>50</v>
      </c>
      <c r="AG11" s="632">
        <f t="shared" si="18"/>
        <v>55</v>
      </c>
      <c r="AH11" s="625" t="str">
        <f t="shared" si="19"/>
        <v>SL Hit</v>
      </c>
    </row>
    <row r="12" spans="1:37">
      <c r="A12" s="623">
        <f t="shared" si="0"/>
        <v>10</v>
      </c>
      <c r="B12" s="624">
        <f t="shared" ref="B12:B13" si="25">IF(AF12&lt;=AG12,1,IF(AH12&lt;=0.005,2,IF(AND(AH12&gt;0.005,AH12&lt;=0.02, L182),4,IF(AND(AH12&gt;0.02,AH12&lt;=0.05),5,IF(AND(AH12&gt;0.05,AH12&lt;=0.1),7,IF(AND(AH12&gt;0.1,AH12&lt;=0.2),8,IF(AH12&gt;0.2,10)))))))</f>
        <v>10</v>
      </c>
      <c r="C12" s="623">
        <f t="shared" ref="C12:C13" si="26">IF(AA12&lt;=0.005,10,IF(AND(AA12&gt;0.005,AA12&lt;=0.01, C167),9,IF(AND(AA12&gt;0.01,AA12&lt;=0.02),8,IF(AND(AA12&gt;0.02,AA12&lt;=0.05),7,IF(AND(AA12&gt;0.05,AA12&lt;=0.1),6,IF(AND(AA12&gt;0.1,AA12&lt;=0.2),5,IF(AND(AA12&gt;0.2,AA12&lt;=0.3),4,IF(AND(AA12&gt;0.3,AA12&lt;=0.4),3,IF(AND(AA12&gt;0.4,AA12&lt;=0.5),2,IF(AA12&gt;0.5,1))))))))))</f>
        <v>10</v>
      </c>
      <c r="D12" s="623">
        <f t="shared" si="3"/>
        <v>1</v>
      </c>
      <c r="E12" s="624">
        <f t="shared" si="4"/>
        <v>9.3000000000000007</v>
      </c>
      <c r="F12" s="625" t="str">
        <f t="shared" si="5"/>
        <v xml:space="preserve">     -</v>
      </c>
      <c r="G12" s="626">
        <f t="shared" si="22"/>
        <v>-0.99950000000000006</v>
      </c>
      <c r="H12" s="627">
        <f t="shared" si="7"/>
        <v>-1</v>
      </c>
      <c r="I12" s="628">
        <f t="shared" si="8"/>
        <v>-169126650</v>
      </c>
      <c r="J12" s="629">
        <f t="shared" si="9"/>
        <v>169176700</v>
      </c>
      <c r="K12" s="630">
        <v>3850</v>
      </c>
      <c r="L12" s="631">
        <v>44861</v>
      </c>
      <c r="M12" s="632"/>
      <c r="N12" s="632" t="s">
        <v>1584</v>
      </c>
      <c r="O12" s="632" t="s">
        <v>297</v>
      </c>
      <c r="P12" s="632" t="s">
        <v>1642</v>
      </c>
      <c r="Q12" s="632">
        <v>130</v>
      </c>
      <c r="R12" s="632" t="s">
        <v>1585</v>
      </c>
      <c r="S12" s="632" t="s">
        <v>1643</v>
      </c>
      <c r="T12" s="633" t="s">
        <v>1644</v>
      </c>
      <c r="U12" s="634" t="s">
        <v>1645</v>
      </c>
      <c r="V12" s="635" t="s">
        <v>1646</v>
      </c>
      <c r="W12" s="633" t="s">
        <v>1647</v>
      </c>
      <c r="X12" s="634" t="s">
        <v>1648</v>
      </c>
      <c r="Y12" s="632">
        <f t="shared" si="10"/>
        <v>43952</v>
      </c>
      <c r="Z12" s="632">
        <f t="shared" si="11"/>
        <v>22037</v>
      </c>
      <c r="AA12" s="636">
        <f t="shared" si="12"/>
        <v>-0.499</v>
      </c>
      <c r="AB12" s="636">
        <f t="shared" si="13"/>
        <v>-0.247</v>
      </c>
      <c r="AC12" s="632">
        <f t="shared" si="14"/>
        <v>16589</v>
      </c>
      <c r="AD12" s="632">
        <f t="shared" si="15"/>
        <v>23</v>
      </c>
      <c r="AE12" s="636" t="str">
        <f t="shared" si="16"/>
        <v>Tgt Hit</v>
      </c>
      <c r="AF12" s="632" t="str">
        <f t="shared" si="17"/>
        <v/>
      </c>
      <c r="AG12" s="632">
        <f t="shared" si="18"/>
        <v>10</v>
      </c>
      <c r="AH12" s="625" t="str">
        <f t="shared" si="19"/>
        <v/>
      </c>
    </row>
    <row r="13" spans="1:37">
      <c r="A13" s="623">
        <f t="shared" si="0"/>
        <v>10</v>
      </c>
      <c r="B13" s="624">
        <f t="shared" si="25"/>
        <v>10</v>
      </c>
      <c r="C13" s="623">
        <f t="shared" si="26"/>
        <v>1</v>
      </c>
      <c r="D13" s="623">
        <f t="shared" si="3"/>
        <v>10</v>
      </c>
      <c r="E13" s="624">
        <f t="shared" si="4"/>
        <v>3.1</v>
      </c>
      <c r="F13" s="625" t="str">
        <f t="shared" si="5"/>
        <v xml:space="preserve">     -</v>
      </c>
      <c r="G13" s="626">
        <f t="shared" si="22"/>
        <v>-0.99950000000000006</v>
      </c>
      <c r="H13" s="627">
        <f t="shared" si="7"/>
        <v>-1</v>
      </c>
      <c r="I13" s="628">
        <f t="shared" si="8"/>
        <v>-46805250</v>
      </c>
      <c r="J13" s="629">
        <f t="shared" si="9"/>
        <v>46813750</v>
      </c>
      <c r="K13" s="630">
        <v>4250</v>
      </c>
      <c r="L13" s="631">
        <v>44861</v>
      </c>
      <c r="M13" s="632"/>
      <c r="N13" s="632" t="s">
        <v>1610</v>
      </c>
      <c r="O13" s="632" t="s">
        <v>496</v>
      </c>
      <c r="P13" s="632" t="s">
        <v>1642</v>
      </c>
      <c r="Q13" s="632">
        <v>70</v>
      </c>
      <c r="R13" s="632" t="s">
        <v>1585</v>
      </c>
      <c r="S13" s="632" t="s">
        <v>1649</v>
      </c>
      <c r="T13" s="633" t="s">
        <v>1650</v>
      </c>
      <c r="U13" s="634" t="s">
        <v>1651</v>
      </c>
      <c r="V13" s="635" t="s">
        <v>1652</v>
      </c>
      <c r="W13" s="633" t="s">
        <v>1653</v>
      </c>
      <c r="X13" s="634" t="s">
        <v>1654</v>
      </c>
      <c r="Y13" s="632">
        <f t="shared" si="10"/>
        <v>11018</v>
      </c>
      <c r="Z13" s="632">
        <f t="shared" si="11"/>
        <v>22007</v>
      </c>
      <c r="AA13" s="636">
        <f t="shared" si="12"/>
        <v>0.997</v>
      </c>
      <c r="AB13" s="636">
        <f t="shared" si="13"/>
        <v>0.57899999999999996</v>
      </c>
      <c r="AC13" s="632">
        <f t="shared" si="14"/>
        <v>34759</v>
      </c>
      <c r="AD13" s="632">
        <f t="shared" si="15"/>
        <v>5</v>
      </c>
      <c r="AE13" s="636" t="str">
        <f t="shared" si="16"/>
        <v>Tgt Hit</v>
      </c>
      <c r="AF13" s="632">
        <f t="shared" si="17"/>
        <v>22007</v>
      </c>
      <c r="AG13" s="632">
        <f t="shared" si="18"/>
        <v>3</v>
      </c>
      <c r="AH13" s="625">
        <f t="shared" si="19"/>
        <v>7334.6670000000004</v>
      </c>
    </row>
    <row r="14" spans="1:37">
      <c r="A14" s="623">
        <f t="shared" si="0"/>
        <v>1</v>
      </c>
      <c r="B14" s="624">
        <f t="shared" ref="B14:B15" si="27">IF(AF14&lt;=AG14,1,IF(AH14&lt;=0.005,2,IF(AND(AH14&gt;0.005,AH14&lt;=0.02, L182),4,IF(AND(AH14&gt;0.02,AH14&lt;=0.05),5,IF(AND(AH14&gt;0.05,AH14&lt;=0.1),7,IF(AND(AH14&gt;0.1,AH14&lt;=0.2),8,IF(AH14&gt;0.2,10)))))))</f>
        <v>10</v>
      </c>
      <c r="C14" s="623">
        <f t="shared" ref="C14:C15" si="28">IF(AA14&lt;=0.005,10,IF(AND(AA14&gt;0.005,AA14&lt;=0.01, C167),9,IF(AND(AA14&gt;0.01,AA14&lt;=0.02),8,IF(AND(AA14&gt;0.02,AA14&lt;=0.05),7,IF(AND(AA14&gt;0.05,AA14&lt;=0.1),6,IF(AND(AA14&gt;0.1,AA14&lt;=0.2),5,IF(AND(AA14&gt;0.2,AA14&lt;=0.3),4,IF(AND(AA14&gt;0.3,AA14&lt;=0.4),3,IF(AND(AA14&gt;0.4,AA14&lt;=0.5),2,IF(AA14&gt;0.5,1))))))))))</f>
        <v>1</v>
      </c>
      <c r="D14" s="623">
        <f t="shared" si="3"/>
        <v>10</v>
      </c>
      <c r="E14" s="624">
        <f t="shared" si="4"/>
        <v>2.4</v>
      </c>
      <c r="F14" s="625" t="str">
        <f t="shared" si="5"/>
        <v xml:space="preserve">     -</v>
      </c>
      <c r="G14" s="626">
        <f t="shared" si="22"/>
        <v>0.4</v>
      </c>
      <c r="H14" s="627">
        <f t="shared" si="7"/>
        <v>-0.2</v>
      </c>
      <c r="I14" s="628">
        <f t="shared" si="8"/>
        <v>16500</v>
      </c>
      <c r="J14" s="629">
        <f t="shared" si="9"/>
        <v>8250</v>
      </c>
      <c r="K14" s="630">
        <v>1375</v>
      </c>
      <c r="L14" s="631">
        <v>44862</v>
      </c>
      <c r="M14" s="632"/>
      <c r="N14" s="632" t="s">
        <v>1584</v>
      </c>
      <c r="O14" s="632" t="s">
        <v>501</v>
      </c>
      <c r="P14" s="632" t="s">
        <v>1642</v>
      </c>
      <c r="Q14" s="632">
        <v>920</v>
      </c>
      <c r="R14" s="632" t="s">
        <v>1585</v>
      </c>
      <c r="S14" s="632" t="s">
        <v>1655</v>
      </c>
      <c r="T14" s="633" t="s">
        <v>1656</v>
      </c>
      <c r="U14" s="634" t="s">
        <v>1657</v>
      </c>
      <c r="V14" s="635" t="s">
        <v>1658</v>
      </c>
      <c r="W14" s="633" t="s">
        <v>1659</v>
      </c>
      <c r="X14" s="634" t="s">
        <v>1660</v>
      </c>
      <c r="Y14" s="632">
        <f t="shared" si="10"/>
        <v>30</v>
      </c>
      <c r="Z14" s="632" t="str">
        <f t="shared" si="11"/>
        <v/>
      </c>
      <c r="AA14" s="636" t="str">
        <f t="shared" si="12"/>
        <v/>
      </c>
      <c r="AB14" s="636" t="str">
        <f t="shared" si="13"/>
        <v/>
      </c>
      <c r="AC14" s="632">
        <f t="shared" si="14"/>
        <v>0</v>
      </c>
      <c r="AD14" s="632">
        <f t="shared" si="15"/>
        <v>42</v>
      </c>
      <c r="AE14" s="636">
        <f t="shared" si="16"/>
        <v>1</v>
      </c>
      <c r="AF14" s="632" t="str">
        <f t="shared" si="17"/>
        <v/>
      </c>
      <c r="AG14" s="632">
        <f t="shared" si="18"/>
        <v>24</v>
      </c>
      <c r="AH14" s="625" t="str">
        <f t="shared" si="19"/>
        <v/>
      </c>
    </row>
    <row r="15" spans="1:37">
      <c r="A15" s="623">
        <f t="shared" si="0"/>
        <v>10</v>
      </c>
      <c r="B15" s="624">
        <f t="shared" si="27"/>
        <v>10</v>
      </c>
      <c r="C15" s="623">
        <f t="shared" si="28"/>
        <v>1</v>
      </c>
      <c r="D15" s="623">
        <f t="shared" si="3"/>
        <v>10</v>
      </c>
      <c r="E15" s="624">
        <f t="shared" si="4"/>
        <v>3.1</v>
      </c>
      <c r="F15" s="625" t="str">
        <f t="shared" si="5"/>
        <v xml:space="preserve">     -</v>
      </c>
      <c r="G15" s="626" t="str">
        <f t="shared" si="22"/>
        <v/>
      </c>
      <c r="H15" s="627" t="e">
        <f t="shared" si="7"/>
        <v>#VALUE!</v>
      </c>
      <c r="I15" s="628" t="e">
        <f t="shared" si="8"/>
        <v>#VALUE!</v>
      </c>
      <c r="J15" s="629" t="e">
        <f t="shared" si="9"/>
        <v>#VALUE!</v>
      </c>
      <c r="K15" s="630">
        <v>500</v>
      </c>
      <c r="L15" s="631">
        <v>44862</v>
      </c>
      <c r="M15" s="632"/>
      <c r="N15" s="632" t="s">
        <v>1610</v>
      </c>
      <c r="O15" s="632" t="s">
        <v>691</v>
      </c>
      <c r="P15" s="632" t="s">
        <v>1642</v>
      </c>
      <c r="Q15" s="632">
        <v>1190</v>
      </c>
      <c r="R15" s="632" t="s">
        <v>1577</v>
      </c>
      <c r="S15" s="632" t="s">
        <v>1661</v>
      </c>
      <c r="T15" s="633" t="s">
        <v>1619</v>
      </c>
      <c r="U15" s="634" t="s">
        <v>1662</v>
      </c>
      <c r="V15" s="635" t="s">
        <v>1663</v>
      </c>
      <c r="W15" s="633" t="s">
        <v>1664</v>
      </c>
      <c r="X15" s="634" t="s">
        <v>1665</v>
      </c>
      <c r="Y15" s="632" t="str">
        <f t="shared" si="10"/>
        <v/>
      </c>
      <c r="Z15" s="632" t="str">
        <f t="shared" si="11"/>
        <v/>
      </c>
      <c r="AA15" s="636" t="str">
        <f t="shared" si="12"/>
        <v/>
      </c>
      <c r="AB15" s="636" t="str">
        <f t="shared" si="13"/>
        <v/>
      </c>
      <c r="AC15" s="632">
        <f t="shared" si="14"/>
        <v>83</v>
      </c>
      <c r="AD15" s="632">
        <f t="shared" si="15"/>
        <v>70</v>
      </c>
      <c r="AE15" s="636" t="str">
        <f t="shared" si="16"/>
        <v>Tgt Hit</v>
      </c>
      <c r="AF15" s="632" t="str">
        <f t="shared" si="17"/>
        <v/>
      </c>
      <c r="AG15" s="632">
        <f t="shared" si="18"/>
        <v>48</v>
      </c>
      <c r="AH15" s="625" t="str">
        <f t="shared" si="19"/>
        <v/>
      </c>
    </row>
    <row r="16" spans="1:37">
      <c r="A16" s="623">
        <f t="shared" si="0"/>
        <v>1</v>
      </c>
      <c r="B16" s="624">
        <f t="shared" ref="B16:B17" si="29">IF(AF16&lt;=AG16,1,IF(AH16&lt;=0.005,2,IF(AND(AH16&gt;0.005,AH16&lt;=0.02, L182),4,IF(AND(AH16&gt;0.02,AH16&lt;=0.05),5,IF(AND(AH16&gt;0.05,AH16&lt;=0.1),7,IF(AND(AH16&gt;0.1,AH16&lt;=0.2),8,IF(AH16&gt;0.2,10)))))))</f>
        <v>10</v>
      </c>
      <c r="C16" s="623">
        <f t="shared" ref="C16:C17" si="30">IF(AA16&lt;=0.005,10,IF(AND(AA16&gt;0.005,AA16&lt;=0.01, C167),9,IF(AND(AA16&gt;0.01,AA16&lt;=0.02),8,IF(AND(AA16&gt;0.02,AA16&lt;=0.05),7,IF(AND(AA16&gt;0.05,AA16&lt;=0.1),6,IF(AND(AA16&gt;0.1,AA16&lt;=0.2),5,IF(AND(AA16&gt;0.2,AA16&lt;=0.3),4,IF(AND(AA16&gt;0.3,AA16&lt;=0.4),3,IF(AND(AA16&gt;0.4,AA16&lt;=0.5),2,IF(AA16&gt;0.5,1))))))))))</f>
        <v>1</v>
      </c>
      <c r="D16" s="623">
        <f t="shared" si="3"/>
        <v>10</v>
      </c>
      <c r="E16" s="624">
        <f t="shared" si="4"/>
        <v>2.4</v>
      </c>
      <c r="F16" s="625" t="str">
        <f t="shared" si="5"/>
        <v xml:space="preserve">     -</v>
      </c>
      <c r="G16" s="626" t="str">
        <f t="shared" si="22"/>
        <v/>
      </c>
      <c r="H16" s="627" t="e">
        <f t="shared" si="7"/>
        <v>#VALUE!</v>
      </c>
      <c r="I16" s="628" t="e">
        <f t="shared" si="8"/>
        <v>#VALUE!</v>
      </c>
      <c r="J16" s="629" t="e">
        <f t="shared" si="9"/>
        <v>#VALUE!</v>
      </c>
      <c r="K16" s="630">
        <v>300</v>
      </c>
      <c r="L16" s="631">
        <v>44865</v>
      </c>
      <c r="M16" s="632"/>
      <c r="N16" s="632" t="s">
        <v>1574</v>
      </c>
      <c r="O16" s="632" t="s">
        <v>475</v>
      </c>
      <c r="P16" s="632" t="s">
        <v>1642</v>
      </c>
      <c r="Q16" s="632">
        <v>2650</v>
      </c>
      <c r="R16" s="632" t="s">
        <v>1585</v>
      </c>
      <c r="S16" s="632" t="s">
        <v>1666</v>
      </c>
      <c r="T16" s="633" t="s">
        <v>1667</v>
      </c>
      <c r="U16" s="634" t="s">
        <v>1668</v>
      </c>
      <c r="V16" s="635" t="s">
        <v>1669</v>
      </c>
      <c r="W16" s="633" t="s">
        <v>1670</v>
      </c>
      <c r="X16" s="634" t="s">
        <v>1671</v>
      </c>
      <c r="Y16" s="632" t="str">
        <f t="shared" si="10"/>
        <v/>
      </c>
      <c r="Z16" s="632" t="str">
        <f t="shared" si="11"/>
        <v/>
      </c>
      <c r="AA16" s="636" t="str">
        <f t="shared" si="12"/>
        <v/>
      </c>
      <c r="AB16" s="636" t="str">
        <f t="shared" si="13"/>
        <v/>
      </c>
      <c r="AC16" s="632">
        <f t="shared" si="14"/>
        <v>0</v>
      </c>
      <c r="AD16" s="632">
        <f t="shared" si="15"/>
        <v>96</v>
      </c>
      <c r="AE16" s="636">
        <f t="shared" si="16"/>
        <v>1</v>
      </c>
      <c r="AF16" s="632" t="str">
        <f t="shared" si="17"/>
        <v/>
      </c>
      <c r="AG16" s="632">
        <f t="shared" si="18"/>
        <v>60</v>
      </c>
      <c r="AH16" s="625" t="str">
        <f t="shared" si="19"/>
        <v/>
      </c>
    </row>
    <row r="17" spans="1:34">
      <c r="A17" s="623">
        <f t="shared" si="0"/>
        <v>1</v>
      </c>
      <c r="B17" s="624">
        <f t="shared" si="29"/>
        <v>8</v>
      </c>
      <c r="C17" s="623">
        <f t="shared" si="30"/>
        <v>1</v>
      </c>
      <c r="D17" s="623">
        <f t="shared" si="3"/>
        <v>1</v>
      </c>
      <c r="E17" s="624">
        <f t="shared" si="4"/>
        <v>1.5</v>
      </c>
      <c r="F17" s="625" t="str">
        <f t="shared" si="5"/>
        <v xml:space="preserve">     -</v>
      </c>
      <c r="G17" s="626" t="str">
        <f t="shared" si="22"/>
        <v/>
      </c>
      <c r="H17" s="627" t="e">
        <f t="shared" si="7"/>
        <v>#VALUE!</v>
      </c>
      <c r="I17" s="628" t="e">
        <f t="shared" si="8"/>
        <v>#VALUE!</v>
      </c>
      <c r="J17" s="629" t="e">
        <f t="shared" si="9"/>
        <v>#VALUE!</v>
      </c>
      <c r="K17" s="630">
        <v>5700</v>
      </c>
      <c r="L17" s="631">
        <v>44865</v>
      </c>
      <c r="M17" s="632"/>
      <c r="N17" s="632" t="s">
        <v>1610</v>
      </c>
      <c r="O17" s="632" t="s">
        <v>640</v>
      </c>
      <c r="P17" s="632" t="s">
        <v>1642</v>
      </c>
      <c r="Q17" s="632">
        <v>172.5</v>
      </c>
      <c r="R17" s="632" t="s">
        <v>1577</v>
      </c>
      <c r="S17" s="632" t="s">
        <v>1672</v>
      </c>
      <c r="T17" s="633" t="s">
        <v>1673</v>
      </c>
      <c r="U17" s="634" t="s">
        <v>1674</v>
      </c>
      <c r="V17" s="635" t="s">
        <v>1675</v>
      </c>
      <c r="W17" s="633" t="s">
        <v>1676</v>
      </c>
      <c r="X17" s="634" t="s">
        <v>1677</v>
      </c>
      <c r="Y17" s="632" t="str">
        <f t="shared" si="10"/>
        <v/>
      </c>
      <c r="Z17" s="632">
        <f t="shared" si="11"/>
        <v>45051</v>
      </c>
      <c r="AA17" s="636" t="str">
        <f t="shared" si="12"/>
        <v/>
      </c>
      <c r="AB17" s="636">
        <f t="shared" si="13"/>
        <v>-1</v>
      </c>
      <c r="AC17" s="632">
        <f t="shared" si="14"/>
        <v>0</v>
      </c>
      <c r="AD17" s="632" t="str">
        <f t="shared" si="15"/>
        <v/>
      </c>
      <c r="AE17" s="636" t="str">
        <f t="shared" si="16"/>
        <v/>
      </c>
      <c r="AF17" s="632">
        <f t="shared" si="17"/>
        <v>21976</v>
      </c>
      <c r="AG17" s="632">
        <f t="shared" si="18"/>
        <v>18323</v>
      </c>
      <c r="AH17" s="625">
        <f t="shared" si="19"/>
        <v>0.19900000000000001</v>
      </c>
    </row>
    <row r="18" spans="1:34">
      <c r="A18" s="623">
        <f t="shared" si="0"/>
        <v>1</v>
      </c>
      <c r="B18" s="624">
        <f t="shared" ref="B18:B19" si="31">IF(AF18&lt;=AG18,1,IF(AH18&lt;=0.005,2,IF(AND(AH18&gt;0.005,AH18&lt;=0.02, L182),4,IF(AND(AH18&gt;0.02,AH18&lt;=0.05),5,IF(AND(AH18&gt;0.05,AH18&lt;=0.1),7,IF(AND(AH18&gt;0.1,AH18&lt;=0.2),8,IF(AH18&gt;0.2,10)))))))</f>
        <v>10</v>
      </c>
      <c r="C18" s="623">
        <f t="shared" ref="C18:C19" si="32">IF(AA18&lt;=0.005,10,IF(AND(AA18&gt;0.005,AA18&lt;=0.01, C167),9,IF(AND(AA18&gt;0.01,AA18&lt;=0.02),8,IF(AND(AA18&gt;0.02,AA18&lt;=0.05),7,IF(AND(AA18&gt;0.05,AA18&lt;=0.1),6,IF(AND(AA18&gt;0.1,AA18&lt;=0.2),5,IF(AND(AA18&gt;0.2,AA18&lt;=0.3),4,IF(AND(AA18&gt;0.3,AA18&lt;=0.4),3,IF(AND(AA18&gt;0.4,AA18&lt;=0.5),2,IF(AA18&gt;0.5,1))))))))))</f>
        <v>1</v>
      </c>
      <c r="D18" s="623">
        <f t="shared" si="3"/>
        <v>10</v>
      </c>
      <c r="E18" s="624">
        <f t="shared" si="4"/>
        <v>2.4</v>
      </c>
      <c r="F18" s="625" t="str">
        <f t="shared" si="5"/>
        <v xml:space="preserve">     -</v>
      </c>
      <c r="G18" s="626" t="str">
        <f t="shared" si="22"/>
        <v/>
      </c>
      <c r="H18" s="627" t="e">
        <f t="shared" si="7"/>
        <v>#VALUE!</v>
      </c>
      <c r="I18" s="628" t="e">
        <f t="shared" si="8"/>
        <v>#VALUE!</v>
      </c>
      <c r="J18" s="629" t="e">
        <f t="shared" si="9"/>
        <v>#VALUE!</v>
      </c>
      <c r="K18" s="630">
        <v>700</v>
      </c>
      <c r="L18" s="631">
        <v>44866</v>
      </c>
      <c r="M18" s="632"/>
      <c r="N18" s="632" t="s">
        <v>1574</v>
      </c>
      <c r="O18" s="632" t="s">
        <v>1678</v>
      </c>
      <c r="P18" s="632" t="s">
        <v>1642</v>
      </c>
      <c r="Q18" s="632">
        <v>1020</v>
      </c>
      <c r="R18" s="632" t="s">
        <v>1585</v>
      </c>
      <c r="S18" s="632" t="s">
        <v>1679</v>
      </c>
      <c r="T18" s="633" t="s">
        <v>1680</v>
      </c>
      <c r="U18" s="634" t="s">
        <v>1681</v>
      </c>
      <c r="V18" s="635" t="s">
        <v>1682</v>
      </c>
      <c r="W18" s="633" t="s">
        <v>1683</v>
      </c>
      <c r="X18" s="634" t="s">
        <v>1684</v>
      </c>
      <c r="Y18" s="632" t="str">
        <f t="shared" si="10"/>
        <v/>
      </c>
      <c r="Z18" s="632" t="str">
        <f t="shared" si="11"/>
        <v/>
      </c>
      <c r="AA18" s="636" t="str">
        <f t="shared" si="12"/>
        <v/>
      </c>
      <c r="AB18" s="636" t="str">
        <f t="shared" si="13"/>
        <v/>
      </c>
      <c r="AC18" s="632">
        <f t="shared" si="14"/>
        <v>0</v>
      </c>
      <c r="AD18" s="632">
        <f t="shared" si="15"/>
        <v>41</v>
      </c>
      <c r="AE18" s="636">
        <f t="shared" si="16"/>
        <v>1</v>
      </c>
      <c r="AF18" s="632" t="str">
        <f t="shared" si="17"/>
        <v/>
      </c>
      <c r="AG18" s="632">
        <f t="shared" si="18"/>
        <v>0</v>
      </c>
      <c r="AH18" s="625" t="str">
        <f t="shared" si="19"/>
        <v/>
      </c>
    </row>
    <row r="19" spans="1:34">
      <c r="A19" s="623">
        <f t="shared" si="0"/>
        <v>10</v>
      </c>
      <c r="B19" s="624">
        <f t="shared" si="31"/>
        <v>10</v>
      </c>
      <c r="C19" s="623">
        <f t="shared" si="32"/>
        <v>6</v>
      </c>
      <c r="D19" s="623">
        <f t="shared" si="3"/>
        <v>1</v>
      </c>
      <c r="E19" s="624">
        <f t="shared" si="4"/>
        <v>6.2</v>
      </c>
      <c r="F19" s="625" t="str">
        <f t="shared" si="5"/>
        <v xml:space="preserve">     -</v>
      </c>
      <c r="G19" s="626">
        <f t="shared" si="22"/>
        <v>-0.56369999999999998</v>
      </c>
      <c r="H19" s="627">
        <f t="shared" si="7"/>
        <v>-1</v>
      </c>
      <c r="I19" s="628">
        <f t="shared" si="8"/>
        <v>-100767500</v>
      </c>
      <c r="J19" s="629">
        <f t="shared" si="9"/>
        <v>178772000</v>
      </c>
      <c r="K19" s="630">
        <v>4250</v>
      </c>
      <c r="L19" s="631">
        <v>44866</v>
      </c>
      <c r="M19" s="632"/>
      <c r="N19" s="632" t="s">
        <v>1610</v>
      </c>
      <c r="O19" s="632" t="s">
        <v>604</v>
      </c>
      <c r="P19" s="632" t="s">
        <v>1642</v>
      </c>
      <c r="Q19" s="632">
        <v>100</v>
      </c>
      <c r="R19" s="632" t="s">
        <v>1577</v>
      </c>
      <c r="S19" s="632" t="s">
        <v>1685</v>
      </c>
      <c r="T19" s="633" t="s">
        <v>1686</v>
      </c>
      <c r="U19" s="634" t="s">
        <v>1687</v>
      </c>
      <c r="V19" s="635" t="s">
        <v>1688</v>
      </c>
      <c r="W19" s="633" t="s">
        <v>1689</v>
      </c>
      <c r="X19" s="634" t="s">
        <v>1690</v>
      </c>
      <c r="Y19" s="632">
        <f t="shared" si="10"/>
        <v>42064</v>
      </c>
      <c r="Z19" s="632">
        <f t="shared" si="11"/>
        <v>45050</v>
      </c>
      <c r="AA19" s="636">
        <f t="shared" si="12"/>
        <v>7.0999999999999994E-2</v>
      </c>
      <c r="AB19" s="636">
        <f t="shared" si="13"/>
        <v>1.4999999999999999E-2</v>
      </c>
      <c r="AC19" s="632">
        <f t="shared" si="14"/>
        <v>45748</v>
      </c>
      <c r="AD19" s="632">
        <f t="shared" si="15"/>
        <v>18354</v>
      </c>
      <c r="AE19" s="636" t="str">
        <f t="shared" si="16"/>
        <v>Tgt Hit</v>
      </c>
      <c r="AF19" s="632">
        <f t="shared" si="17"/>
        <v>21947</v>
      </c>
      <c r="AG19" s="632">
        <f t="shared" si="18"/>
        <v>0</v>
      </c>
      <c r="AH19" s="625" t="str">
        <f t="shared" si="19"/>
        <v/>
      </c>
    </row>
    <row r="20" spans="1:34">
      <c r="A20" s="623">
        <f t="shared" si="0"/>
        <v>10</v>
      </c>
      <c r="B20" s="624">
        <f t="shared" ref="B20:B21" si="33">IF(AF20&lt;=AG20,1,IF(AH20&lt;=0.005,2,IF(AND(AH20&gt;0.005,AH20&lt;=0.02, L182),4,IF(AND(AH20&gt;0.02,AH20&lt;=0.05),5,IF(AND(AH20&gt;0.05,AH20&lt;=0.1),7,IF(AND(AH20&gt;0.1,AH20&lt;=0.2),8,IF(AH20&gt;0.2,10)))))))</f>
        <v>1</v>
      </c>
      <c r="C20" s="623">
        <f t="shared" ref="C20:C21" si="34">IF(AA20&lt;=0.005,10,IF(AND(AA20&gt;0.005,AA20&lt;=0.01, C167),9,IF(AND(AA20&gt;0.01,AA20&lt;=0.02),8,IF(AND(AA20&gt;0.02,AA20&lt;=0.05),7,IF(AND(AA20&gt;0.05,AA20&lt;=0.1),6,IF(AND(AA20&gt;0.1,AA20&lt;=0.2),5,IF(AND(AA20&gt;0.2,AA20&lt;=0.3),4,IF(AND(AA20&gt;0.3,AA20&lt;=0.4),3,IF(AND(AA20&gt;0.4,AA20&lt;=0.5),2,IF(AA20&gt;0.5,1))))))))))</f>
        <v>10</v>
      </c>
      <c r="D20" s="623">
        <f t="shared" si="3"/>
        <v>10</v>
      </c>
      <c r="E20" s="624">
        <f t="shared" si="4"/>
        <v>9.3000000000000007</v>
      </c>
      <c r="F20" s="625">
        <f t="shared" si="5"/>
        <v>0.47323716564452506</v>
      </c>
      <c r="G20" s="626">
        <f t="shared" si="22"/>
        <v>-8.9099999999999999E-2</v>
      </c>
      <c r="H20" s="627">
        <f t="shared" si="7"/>
        <v>0.72399999999999998</v>
      </c>
      <c r="I20" s="628">
        <f t="shared" si="8"/>
        <v>-18847500</v>
      </c>
      <c r="J20" s="629">
        <f t="shared" si="9"/>
        <v>-153111000</v>
      </c>
      <c r="K20" s="630">
        <v>10500</v>
      </c>
      <c r="L20" s="631">
        <v>44867</v>
      </c>
      <c r="M20" s="632"/>
      <c r="N20" s="632" t="s">
        <v>1574</v>
      </c>
      <c r="O20" s="632" t="s">
        <v>471</v>
      </c>
      <c r="P20" s="632" t="s">
        <v>1642</v>
      </c>
      <c r="Q20" s="632">
        <v>76</v>
      </c>
      <c r="R20" s="632" t="s">
        <v>1585</v>
      </c>
      <c r="S20" s="632" t="s">
        <v>1691</v>
      </c>
      <c r="T20" s="633" t="s">
        <v>1686</v>
      </c>
      <c r="U20" s="634" t="s">
        <v>1692</v>
      </c>
      <c r="V20" s="635" t="s">
        <v>1693</v>
      </c>
      <c r="W20" s="633" t="s">
        <v>1694</v>
      </c>
      <c r="X20" s="634" t="s">
        <v>1695</v>
      </c>
      <c r="Y20" s="632">
        <f t="shared" si="10"/>
        <v>20149</v>
      </c>
      <c r="Z20" s="632">
        <f t="shared" si="11"/>
        <v>20149</v>
      </c>
      <c r="AA20" s="636">
        <f t="shared" si="12"/>
        <v>0</v>
      </c>
      <c r="AB20" s="636">
        <f t="shared" si="13"/>
        <v>0.63400000000000001</v>
      </c>
      <c r="AC20" s="632">
        <f t="shared" si="14"/>
        <v>32933</v>
      </c>
      <c r="AD20" s="632">
        <f t="shared" si="15"/>
        <v>18354</v>
      </c>
      <c r="AE20" s="636" t="str">
        <f t="shared" si="16"/>
        <v>Tgt Hit</v>
      </c>
      <c r="AF20" s="632">
        <f t="shared" si="17"/>
        <v>18295</v>
      </c>
      <c r="AG20" s="632">
        <f t="shared" si="18"/>
        <v>34731</v>
      </c>
      <c r="AH20" s="625" t="str">
        <f t="shared" si="19"/>
        <v>SL Hit</v>
      </c>
    </row>
    <row r="21" spans="1:34">
      <c r="A21" s="623">
        <f t="shared" si="0"/>
        <v>1</v>
      </c>
      <c r="B21" s="624">
        <f t="shared" si="33"/>
        <v>10</v>
      </c>
      <c r="C21" s="623">
        <f t="shared" si="34"/>
        <v>1</v>
      </c>
      <c r="D21" s="623">
        <f t="shared" si="3"/>
        <v>10</v>
      </c>
      <c r="E21" s="624">
        <f t="shared" si="4"/>
        <v>2.4</v>
      </c>
      <c r="F21" s="625" t="str">
        <f t="shared" si="5"/>
        <v xml:space="preserve">     -</v>
      </c>
      <c r="G21" s="626" t="str">
        <f t="shared" si="22"/>
        <v/>
      </c>
      <c r="H21" s="627" t="e">
        <f t="shared" si="7"/>
        <v>#VALUE!</v>
      </c>
      <c r="I21" s="628" t="e">
        <f t="shared" si="8"/>
        <v>#VALUE!</v>
      </c>
      <c r="J21" s="629" t="e">
        <f t="shared" si="9"/>
        <v>#VALUE!</v>
      </c>
      <c r="K21" s="630">
        <v>700</v>
      </c>
      <c r="L21" s="631">
        <v>44867</v>
      </c>
      <c r="M21" s="632"/>
      <c r="N21" s="632" t="s">
        <v>1584</v>
      </c>
      <c r="O21" s="632" t="s">
        <v>1678</v>
      </c>
      <c r="P21" s="632" t="s">
        <v>1642</v>
      </c>
      <c r="Q21" s="632">
        <v>1030</v>
      </c>
      <c r="R21" s="632" t="s">
        <v>1585</v>
      </c>
      <c r="S21" s="632" t="s">
        <v>1696</v>
      </c>
      <c r="T21" s="633" t="s">
        <v>1697</v>
      </c>
      <c r="U21" s="634" t="s">
        <v>1698</v>
      </c>
      <c r="V21" s="635" t="s">
        <v>1699</v>
      </c>
      <c r="W21" s="633" t="s">
        <v>1700</v>
      </c>
      <c r="X21" s="634" t="s">
        <v>1701</v>
      </c>
      <c r="Y21" s="632" t="str">
        <f t="shared" si="10"/>
        <v/>
      </c>
      <c r="Z21" s="632" t="str">
        <f t="shared" si="11"/>
        <v/>
      </c>
      <c r="AA21" s="636" t="str">
        <f t="shared" si="12"/>
        <v/>
      </c>
      <c r="AB21" s="636" t="str">
        <f t="shared" si="13"/>
        <v/>
      </c>
      <c r="AC21" s="632">
        <f t="shared" si="14"/>
        <v>0</v>
      </c>
      <c r="AD21" s="632" t="str">
        <f t="shared" si="15"/>
        <v/>
      </c>
      <c r="AE21" s="636" t="str">
        <f t="shared" si="16"/>
        <v/>
      </c>
      <c r="AF21" s="632" t="str">
        <f t="shared" si="17"/>
        <v/>
      </c>
      <c r="AG21" s="632">
        <f t="shared" si="18"/>
        <v>21</v>
      </c>
      <c r="AH21" s="625" t="str">
        <f t="shared" si="19"/>
        <v/>
      </c>
    </row>
    <row r="22" spans="1:34">
      <c r="A22" s="623">
        <f t="shared" si="0"/>
        <v>1</v>
      </c>
      <c r="B22" s="624">
        <f>IF(AF22&lt;=AG22,1,IF(AH22&lt;=0.005,2,IF(AND(AH22&gt;0.005,AH22&lt;=0.02, L182),4,IF(AND(AH22&gt;0.02,AH22&lt;=0.05),5,IF(AND(AH22&gt;0.05,AH22&lt;=0.1),7,IF(AND(AH22&gt;0.1,AH22&lt;=0.2),8,IF(AH22&gt;0.2,10)))))))</f>
        <v>10</v>
      </c>
      <c r="C22" s="623">
        <f>IF(AA22&lt;=0.005,10,IF(AND(AA22&gt;0.005,AA22&lt;=0.01, C167),9,IF(AND(AA22&gt;0.01,AA22&lt;=0.02),8,IF(AND(AA22&gt;0.02,AA22&lt;=0.05),7,IF(AND(AA22&gt;0.05,AA22&lt;=0.1),6,IF(AND(AA22&gt;0.1,AA22&lt;=0.2),5,IF(AND(AA22&gt;0.2,AA22&lt;=0.3),4,IF(AND(AA22&gt;0.3,AA22&lt;=0.4),3,IF(AND(AA22&gt;0.4,AA22&lt;=0.5),2,IF(AA22&gt;0.5,1))))))))))</f>
        <v>1</v>
      </c>
      <c r="D22" s="623">
        <f t="shared" si="3"/>
        <v>10</v>
      </c>
      <c r="E22" s="624">
        <f t="shared" si="4"/>
        <v>2.4</v>
      </c>
      <c r="F22" s="625" t="str">
        <f t="shared" si="5"/>
        <v xml:space="preserve">     -</v>
      </c>
      <c r="G22" s="626" t="str">
        <f t="shared" si="22"/>
        <v/>
      </c>
      <c r="H22" s="627" t="e">
        <f t="shared" si="7"/>
        <v>#VALUE!</v>
      </c>
      <c r="I22" s="628" t="e">
        <f t="shared" si="8"/>
        <v>#VALUE!</v>
      </c>
      <c r="J22" s="629" t="e">
        <f t="shared" si="9"/>
        <v>#VALUE!</v>
      </c>
      <c r="K22" s="630">
        <v>275</v>
      </c>
      <c r="L22" s="631">
        <v>44868</v>
      </c>
      <c r="M22" s="632"/>
      <c r="N22" s="632" t="s">
        <v>1574</v>
      </c>
      <c r="O22" s="632" t="s">
        <v>1702</v>
      </c>
      <c r="P22" s="632" t="s">
        <v>1642</v>
      </c>
      <c r="Q22" s="632">
        <v>1860</v>
      </c>
      <c r="R22" s="632" t="s">
        <v>1577</v>
      </c>
      <c r="S22" s="632" t="s">
        <v>1703</v>
      </c>
      <c r="T22" s="633" t="s">
        <v>1704</v>
      </c>
      <c r="U22" s="634" t="s">
        <v>1620</v>
      </c>
      <c r="V22" s="635" t="s">
        <v>1705</v>
      </c>
      <c r="W22" s="633" t="s">
        <v>1706</v>
      </c>
      <c r="X22" s="634" t="s">
        <v>1707</v>
      </c>
      <c r="Y22" s="632" t="str">
        <f t="shared" si="10"/>
        <v/>
      </c>
      <c r="Z22" s="632" t="str">
        <f t="shared" si="11"/>
        <v/>
      </c>
      <c r="AA22" s="636" t="str">
        <f t="shared" si="12"/>
        <v/>
      </c>
      <c r="AB22" s="636" t="str">
        <f t="shared" si="13"/>
        <v/>
      </c>
      <c r="AC22" s="632">
        <f t="shared" si="14"/>
        <v>0</v>
      </c>
      <c r="AD22" s="632">
        <f t="shared" si="15"/>
        <v>67</v>
      </c>
      <c r="AE22" s="636">
        <f t="shared" si="16"/>
        <v>1</v>
      </c>
      <c r="AF22" s="632" t="str">
        <f t="shared" si="17"/>
        <v/>
      </c>
      <c r="AG22" s="632">
        <f t="shared" si="18"/>
        <v>50</v>
      </c>
      <c r="AH22" s="625" t="str">
        <f t="shared" si="19"/>
        <v/>
      </c>
    </row>
    <row r="23" spans="1:34">
      <c r="A23" s="623">
        <f t="shared" si="0"/>
        <v>10</v>
      </c>
      <c r="B23" s="624">
        <f>IF(AF23&lt;=AG23,1,IF(AH23&lt;=0.005,2,IF(AND(AH23&gt;0.005,AH23&lt;=0.02, L182),4,IF(AND(AH23&gt;0.02,AH23&lt;=0.05),5,IF(AND(AH23&gt;0.05,AH23&lt;=0.1),7,IF(AND(AH23&gt;0.1,AH23&lt;=0.2),8,IF(AH23&gt;0.2,10)))))))</f>
        <v>10</v>
      </c>
      <c r="C23" s="623">
        <f>IF(AA23&lt;=0.005,10,IF(AND(AA23&gt;0.005,AA23&lt;=0.01, C167),9,IF(AND(AA23&gt;0.01,AA23&lt;=0.02),8,IF(AND(AA23&gt;0.02,AA23&lt;=0.05),7,IF(AND(AA23&gt;0.05,AA23&lt;=0.1),6,IF(AND(AA23&gt;0.1,AA23&lt;=0.2),5,IF(AND(AA23&gt;0.2,AA23&lt;=0.3),4,IF(AND(AA23&gt;0.3,AA23&lt;=0.4),3,IF(AND(AA23&gt;0.4,AA23&lt;=0.5),2,IF(AA23&gt;0.5,1))))))))))</f>
        <v>1</v>
      </c>
      <c r="D23" s="623">
        <f t="shared" si="3"/>
        <v>10</v>
      </c>
      <c r="E23" s="624">
        <f t="shared" si="4"/>
        <v>3.1</v>
      </c>
      <c r="F23" s="625" t="str">
        <f t="shared" si="5"/>
        <v xml:space="preserve">     -</v>
      </c>
      <c r="G23" s="626">
        <f t="shared" si="22"/>
        <v>1.3438000000000001</v>
      </c>
      <c r="H23" s="627">
        <f t="shared" si="7"/>
        <v>-1</v>
      </c>
      <c r="I23" s="628">
        <f t="shared" si="8"/>
        <v>2150</v>
      </c>
      <c r="J23" s="629">
        <f t="shared" si="9"/>
        <v>1600</v>
      </c>
      <c r="K23" s="630">
        <v>25</v>
      </c>
      <c r="L23" s="631">
        <v>44868</v>
      </c>
      <c r="M23" s="632"/>
      <c r="N23" s="632" t="s">
        <v>1708</v>
      </c>
      <c r="O23" s="632" t="s">
        <v>969</v>
      </c>
      <c r="P23" s="632">
        <v>44868</v>
      </c>
      <c r="Q23" s="632">
        <v>41300</v>
      </c>
      <c r="R23" s="632" t="s">
        <v>1585</v>
      </c>
      <c r="S23" s="632" t="s">
        <v>1709</v>
      </c>
      <c r="T23" s="633" t="s">
        <v>1710</v>
      </c>
      <c r="U23" s="634" t="s">
        <v>1711</v>
      </c>
      <c r="V23" s="635" t="s">
        <v>1712</v>
      </c>
      <c r="W23" s="633" t="s">
        <v>1713</v>
      </c>
      <c r="X23" s="634" t="s">
        <v>1714</v>
      </c>
      <c r="Y23" s="632">
        <f t="shared" si="10"/>
        <v>64</v>
      </c>
      <c r="Z23" s="632" t="str">
        <f t="shared" si="11"/>
        <v/>
      </c>
      <c r="AA23" s="636" t="str">
        <f t="shared" si="12"/>
        <v/>
      </c>
      <c r="AB23" s="636" t="str">
        <f t="shared" si="13"/>
        <v/>
      </c>
      <c r="AC23" s="632">
        <f t="shared" si="14"/>
        <v>215</v>
      </c>
      <c r="AD23" s="632">
        <f t="shared" si="15"/>
        <v>150</v>
      </c>
      <c r="AE23" s="636" t="str">
        <f t="shared" si="16"/>
        <v>Tgt Hit</v>
      </c>
      <c r="AF23" s="632">
        <f t="shared" si="17"/>
        <v>36</v>
      </c>
      <c r="AG23" s="632">
        <f t="shared" si="18"/>
        <v>0</v>
      </c>
      <c r="AH23" s="625" t="str">
        <f t="shared" si="19"/>
        <v/>
      </c>
    </row>
    <row r="24" spans="1:34">
      <c r="A24" s="623">
        <f t="shared" si="0"/>
        <v>1</v>
      </c>
      <c r="B24" s="624">
        <f>IF(AF24&lt;=AG24,1,IF(AH24&lt;=0.005,2,IF(AND(AH24&gt;0.005,AH24&lt;=0.02, L184),4,IF(AND(AH24&gt;0.02,AH24&lt;=0.05),5,IF(AND(AH24&gt;0.05,AH24&lt;=0.1),7,IF(AND(AH24&gt;0.1,AH24&lt;=0.2),8,IF(AH24&gt;0.2,10)))))))</f>
        <v>10</v>
      </c>
      <c r="C24" s="623">
        <f>IF(AA24&lt;=0.005,10,IF(AND(AA24&gt;0.005,AA24&lt;=0.01, C169),9,IF(AND(AA24&gt;0.01,AA24&lt;=0.02),8,IF(AND(AA24&gt;0.02,AA24&lt;=0.05),7,IF(AND(AA24&gt;0.05,AA24&lt;=0.1),6,IF(AND(AA24&gt;0.1,AA24&lt;=0.2),5,IF(AND(AA24&gt;0.2,AA24&lt;=0.3),4,IF(AND(AA24&gt;0.3,AA24&lt;=0.4),3,IF(AND(AA24&gt;0.4,AA24&lt;=0.5),2,IF(AA24&gt;0.5,1))))))))))</f>
        <v>10</v>
      </c>
      <c r="D24" s="623">
        <f t="shared" si="3"/>
        <v>1</v>
      </c>
      <c r="E24" s="624">
        <f t="shared" si="4"/>
        <v>8.6</v>
      </c>
      <c r="F24" s="625" t="str">
        <f t="shared" si="5"/>
        <v xml:space="preserve">     -</v>
      </c>
      <c r="G24" s="626" t="str">
        <f t="shared" si="22"/>
        <v/>
      </c>
      <c r="H24" s="627">
        <f t="shared" si="7"/>
        <v>-1</v>
      </c>
      <c r="I24" s="628" t="e">
        <f t="shared" si="8"/>
        <v>#VALUE!</v>
      </c>
      <c r="J24" s="629">
        <f t="shared" si="9"/>
        <v>70075500</v>
      </c>
      <c r="K24" s="630">
        <v>1550</v>
      </c>
      <c r="L24" s="631">
        <v>44868</v>
      </c>
      <c r="M24" s="632"/>
      <c r="N24" s="632" t="s">
        <v>1610</v>
      </c>
      <c r="O24" s="632" t="s">
        <v>1715</v>
      </c>
      <c r="P24" s="632" t="s">
        <v>1642</v>
      </c>
      <c r="Q24" s="632">
        <v>300</v>
      </c>
      <c r="R24" s="632" t="s">
        <v>1577</v>
      </c>
      <c r="S24" s="632" t="s">
        <v>1716</v>
      </c>
      <c r="T24" s="633" t="s">
        <v>1717</v>
      </c>
      <c r="U24" s="634" t="s">
        <v>1718</v>
      </c>
      <c r="V24" s="635" t="s">
        <v>1719</v>
      </c>
      <c r="W24" s="633" t="s">
        <v>1720</v>
      </c>
      <c r="X24" s="634" t="s">
        <v>1721</v>
      </c>
      <c r="Y24" s="632">
        <f t="shared" si="10"/>
        <v>45210</v>
      </c>
      <c r="Z24" s="632">
        <f t="shared" si="11"/>
        <v>13</v>
      </c>
      <c r="AA24" s="636">
        <f t="shared" si="12"/>
        <v>-1</v>
      </c>
      <c r="AB24" s="636">
        <f t="shared" si="13"/>
        <v>-1</v>
      </c>
      <c r="AC24" s="632">
        <f t="shared" si="14"/>
        <v>0</v>
      </c>
      <c r="AD24" s="632" t="str">
        <f t="shared" si="15"/>
        <v/>
      </c>
      <c r="AE24" s="636" t="str">
        <f t="shared" si="16"/>
        <v/>
      </c>
      <c r="AF24" s="632">
        <f t="shared" si="17"/>
        <v>33055</v>
      </c>
      <c r="AG24" s="632">
        <f t="shared" si="18"/>
        <v>0</v>
      </c>
      <c r="AH24" s="625" t="str">
        <f t="shared" si="19"/>
        <v/>
      </c>
    </row>
    <row r="25" spans="1:34">
      <c r="A25" s="623">
        <f t="shared" si="0"/>
        <v>1</v>
      </c>
      <c r="B25" s="624">
        <f t="shared" ref="B25:B26" si="35">IF(AF25&lt;=AG25,1,IF(AH25&lt;=0.005,2,IF(AND(AH25&gt;0.005,AH25&lt;=0.02, L182),4,IF(AND(AH25&gt;0.02,AH25&lt;=0.05),5,IF(AND(AH25&gt;0.05,AH25&lt;=0.1),7,IF(AND(AH25&gt;0.1,AH25&lt;=0.2),8,IF(AH25&gt;0.2,10)))))))</f>
        <v>10</v>
      </c>
      <c r="C25" s="623">
        <f t="shared" ref="C25:C26" si="36">IF(AA25&lt;=0.005,10,IF(AND(AA25&gt;0.005,AA25&lt;=0.01, C167),9,IF(AND(AA25&gt;0.01,AA25&lt;=0.02),8,IF(AND(AA25&gt;0.02,AA25&lt;=0.05),7,IF(AND(AA25&gt;0.05,AA25&lt;=0.1),6,IF(AND(AA25&gt;0.1,AA25&lt;=0.2),5,IF(AND(AA25&gt;0.2,AA25&lt;=0.3),4,IF(AND(AA25&gt;0.3,AA25&lt;=0.4),3,IF(AND(AA25&gt;0.4,AA25&lt;=0.5),2,IF(AA25&gt;0.5,1))))))))))</f>
        <v>2</v>
      </c>
      <c r="D25" s="623">
        <f t="shared" si="3"/>
        <v>1</v>
      </c>
      <c r="E25" s="624">
        <f t="shared" si="4"/>
        <v>2.5</v>
      </c>
      <c r="F25" s="625" t="str">
        <f t="shared" si="5"/>
        <v xml:space="preserve">     -</v>
      </c>
      <c r="G25" s="626" t="str">
        <f t="shared" si="22"/>
        <v/>
      </c>
      <c r="H25" s="627">
        <f t="shared" si="7"/>
        <v>-0.53800000000000003</v>
      </c>
      <c r="I25" s="628" t="e">
        <f t="shared" si="8"/>
        <v>#VALUE!</v>
      </c>
      <c r="J25" s="629">
        <f t="shared" si="9"/>
        <v>64075000</v>
      </c>
      <c r="K25" s="630">
        <v>5000</v>
      </c>
      <c r="L25" s="631">
        <v>44869</v>
      </c>
      <c r="M25" s="632"/>
      <c r="N25" s="632" t="s">
        <v>1574</v>
      </c>
      <c r="O25" s="632" t="s">
        <v>601</v>
      </c>
      <c r="P25" s="632" t="s">
        <v>1642</v>
      </c>
      <c r="Q25" s="632">
        <v>137</v>
      </c>
      <c r="R25" s="632" t="s">
        <v>1585</v>
      </c>
      <c r="S25" s="632" t="s">
        <v>1722</v>
      </c>
      <c r="T25" s="633" t="s">
        <v>1723</v>
      </c>
      <c r="U25" s="634" t="s">
        <v>1724</v>
      </c>
      <c r="V25" s="635" t="s">
        <v>1725</v>
      </c>
      <c r="W25" s="633" t="s">
        <v>1726</v>
      </c>
      <c r="X25" s="634" t="s">
        <v>1727</v>
      </c>
      <c r="Y25" s="632">
        <f t="shared" si="10"/>
        <v>23833</v>
      </c>
      <c r="Z25" s="632">
        <f t="shared" si="11"/>
        <v>34790</v>
      </c>
      <c r="AA25" s="636">
        <f t="shared" si="12"/>
        <v>0.46</v>
      </c>
      <c r="AB25" s="636">
        <f t="shared" si="13"/>
        <v>-0.47199999999999998</v>
      </c>
      <c r="AC25" s="632">
        <f t="shared" si="14"/>
        <v>18384</v>
      </c>
      <c r="AD25" s="632" t="str">
        <f t="shared" si="15"/>
        <v/>
      </c>
      <c r="AE25" s="636" t="str">
        <f t="shared" si="16"/>
        <v/>
      </c>
      <c r="AF25" s="632">
        <f t="shared" si="17"/>
        <v>25628</v>
      </c>
      <c r="AG25" s="632">
        <f t="shared" si="18"/>
        <v>11018</v>
      </c>
      <c r="AH25" s="625">
        <f t="shared" si="19"/>
        <v>1.3260000000000001</v>
      </c>
    </row>
    <row r="26" spans="1:34">
      <c r="A26" s="623">
        <f t="shared" si="0"/>
        <v>1</v>
      </c>
      <c r="B26" s="624">
        <f t="shared" si="35"/>
        <v>10</v>
      </c>
      <c r="C26" s="623">
        <f t="shared" si="36"/>
        <v>10</v>
      </c>
      <c r="D26" s="623">
        <f t="shared" si="3"/>
        <v>1</v>
      </c>
      <c r="E26" s="624">
        <f t="shared" si="4"/>
        <v>8.6</v>
      </c>
      <c r="F26" s="625" t="str">
        <f t="shared" si="5"/>
        <v xml:space="preserve">     -</v>
      </c>
      <c r="G26" s="626" t="str">
        <f t="shared" si="22"/>
        <v/>
      </c>
      <c r="H26" s="627">
        <f t="shared" si="7"/>
        <v>-0.56399999999999995</v>
      </c>
      <c r="I26" s="628" t="e">
        <f t="shared" si="8"/>
        <v>#VALUE!</v>
      </c>
      <c r="J26" s="629">
        <f t="shared" si="9"/>
        <v>64181700</v>
      </c>
      <c r="K26" s="630">
        <v>2700</v>
      </c>
      <c r="L26" s="631">
        <v>44869</v>
      </c>
      <c r="M26" s="632"/>
      <c r="N26" s="632" t="s">
        <v>1610</v>
      </c>
      <c r="O26" s="632" t="s">
        <v>689</v>
      </c>
      <c r="P26" s="632" t="s">
        <v>1642</v>
      </c>
      <c r="Q26" s="632">
        <v>210</v>
      </c>
      <c r="R26" s="632" t="s">
        <v>1577</v>
      </c>
      <c r="S26" s="632" t="s">
        <v>1728</v>
      </c>
      <c r="T26" s="633" t="s">
        <v>1729</v>
      </c>
      <c r="U26" s="634" t="s">
        <v>1730</v>
      </c>
      <c r="V26" s="635" t="s">
        <v>1731</v>
      </c>
      <c r="W26" s="633" t="s">
        <v>1732</v>
      </c>
      <c r="X26" s="634" t="s">
        <v>1733</v>
      </c>
      <c r="Y26" s="632">
        <f t="shared" si="10"/>
        <v>42125</v>
      </c>
      <c r="Z26" s="632">
        <f t="shared" si="11"/>
        <v>23894</v>
      </c>
      <c r="AA26" s="636">
        <f t="shared" si="12"/>
        <v>-0.433</v>
      </c>
      <c r="AB26" s="636">
        <f t="shared" si="13"/>
        <v>-1</v>
      </c>
      <c r="AC26" s="632">
        <f t="shared" si="14"/>
        <v>0</v>
      </c>
      <c r="AD26" s="632" t="str">
        <f t="shared" si="15"/>
        <v/>
      </c>
      <c r="AE26" s="636" t="str">
        <f t="shared" si="16"/>
        <v/>
      </c>
      <c r="AF26" s="632">
        <f t="shared" si="17"/>
        <v>32994</v>
      </c>
      <c r="AG26" s="632">
        <f t="shared" si="18"/>
        <v>18354</v>
      </c>
      <c r="AH26" s="625">
        <f t="shared" si="19"/>
        <v>0.79800000000000004</v>
      </c>
    </row>
    <row r="27" spans="1:34">
      <c r="A27" s="623">
        <f t="shared" si="0"/>
        <v>1</v>
      </c>
      <c r="B27" s="624">
        <f t="shared" ref="B27:B28" si="37">IF(AF27&lt;=AG27,1,IF(AH27&lt;=0.005,2,IF(AND(AH27&gt;0.005,AH27&lt;=0.02, L182),4,IF(AND(AH27&gt;0.02,AH27&lt;=0.05),5,IF(AND(AH27&gt;0.05,AH27&lt;=0.1),7,IF(AND(AH27&gt;0.1,AH27&lt;=0.2),8,IF(AH27&gt;0.2,10)))))))</f>
        <v>10</v>
      </c>
      <c r="C27" s="623">
        <f t="shared" ref="C27:C28" si="38">IF(AA27&lt;=0.005,10,IF(AND(AA27&gt;0.005,AA27&lt;=0.01, C167),9,IF(AND(AA27&gt;0.01,AA27&lt;=0.02),8,IF(AND(AA27&gt;0.02,AA27&lt;=0.05),7,IF(AND(AA27&gt;0.05,AA27&lt;=0.1),6,IF(AND(AA27&gt;0.1,AA27&lt;=0.2),5,IF(AND(AA27&gt;0.2,AA27&lt;=0.3),4,IF(AND(AA27&gt;0.3,AA27&lt;=0.4),3,IF(AND(AA27&gt;0.4,AA27&lt;=0.5),2,IF(AA27&gt;0.5,1))))))))))</f>
        <v>1</v>
      </c>
      <c r="D27" s="623">
        <f t="shared" si="3"/>
        <v>10</v>
      </c>
      <c r="E27" s="624">
        <f t="shared" si="4"/>
        <v>2.4</v>
      </c>
      <c r="F27" s="625" t="str">
        <f t="shared" si="5"/>
        <v xml:space="preserve">     -</v>
      </c>
      <c r="G27" s="626" t="str">
        <f t="shared" si="22"/>
        <v/>
      </c>
      <c r="H27" s="627" t="e">
        <f t="shared" si="7"/>
        <v>#VALUE!</v>
      </c>
      <c r="I27" s="628" t="e">
        <f t="shared" si="8"/>
        <v>#VALUE!</v>
      </c>
      <c r="J27" s="629" t="e">
        <f t="shared" si="9"/>
        <v>#VALUE!</v>
      </c>
      <c r="K27" s="630">
        <v>1075</v>
      </c>
      <c r="L27" s="631">
        <v>44872</v>
      </c>
      <c r="M27" s="632"/>
      <c r="N27" s="632" t="s">
        <v>1584</v>
      </c>
      <c r="O27" s="632" t="s">
        <v>481</v>
      </c>
      <c r="P27" s="632" t="s">
        <v>1642</v>
      </c>
      <c r="Q27" s="632">
        <v>430</v>
      </c>
      <c r="R27" s="632" t="s">
        <v>1585</v>
      </c>
      <c r="S27" s="632" t="s">
        <v>1734</v>
      </c>
      <c r="T27" s="633" t="s">
        <v>1735</v>
      </c>
      <c r="U27" s="634" t="s">
        <v>1718</v>
      </c>
      <c r="V27" s="635" t="s">
        <v>1736</v>
      </c>
      <c r="W27" s="633" t="s">
        <v>1737</v>
      </c>
      <c r="X27" s="634" t="s">
        <v>1738</v>
      </c>
      <c r="Y27" s="632" t="str">
        <f t="shared" si="10"/>
        <v/>
      </c>
      <c r="Z27" s="632" t="str">
        <f t="shared" si="11"/>
        <v/>
      </c>
      <c r="AA27" s="636" t="str">
        <f t="shared" si="12"/>
        <v/>
      </c>
      <c r="AB27" s="636" t="str">
        <f t="shared" si="13"/>
        <v/>
      </c>
      <c r="AC27" s="632">
        <f t="shared" si="14"/>
        <v>0</v>
      </c>
      <c r="AD27" s="632" t="str">
        <f t="shared" si="15"/>
        <v/>
      </c>
      <c r="AE27" s="636" t="str">
        <f t="shared" si="16"/>
        <v/>
      </c>
      <c r="AF27" s="632">
        <f t="shared" si="17"/>
        <v>13119</v>
      </c>
      <c r="AG27" s="632">
        <f t="shared" si="18"/>
        <v>0</v>
      </c>
      <c r="AH27" s="625" t="str">
        <f t="shared" si="19"/>
        <v/>
      </c>
    </row>
    <row r="28" spans="1:34">
      <c r="A28" s="623">
        <f t="shared" si="0"/>
        <v>1</v>
      </c>
      <c r="B28" s="624">
        <f t="shared" si="37"/>
        <v>10</v>
      </c>
      <c r="C28" s="623">
        <f t="shared" si="38"/>
        <v>1</v>
      </c>
      <c r="D28" s="623">
        <f t="shared" si="3"/>
        <v>10</v>
      </c>
      <c r="E28" s="624">
        <f t="shared" si="4"/>
        <v>2.4</v>
      </c>
      <c r="F28" s="625" t="str">
        <f t="shared" si="5"/>
        <v xml:space="preserve">     -</v>
      </c>
      <c r="G28" s="626">
        <f t="shared" si="22"/>
        <v>-0.99929999999999997</v>
      </c>
      <c r="H28" s="627">
        <f t="shared" si="7"/>
        <v>-1</v>
      </c>
      <c r="I28" s="628">
        <f t="shared" si="8"/>
        <v>-36152800</v>
      </c>
      <c r="J28" s="629">
        <f t="shared" si="9"/>
        <v>36160800</v>
      </c>
      <c r="K28" s="630">
        <v>800</v>
      </c>
      <c r="L28" s="631">
        <v>44872</v>
      </c>
      <c r="M28" s="632"/>
      <c r="N28" s="632" t="s">
        <v>1610</v>
      </c>
      <c r="O28" s="632" t="s">
        <v>687</v>
      </c>
      <c r="P28" s="632" t="s">
        <v>1642</v>
      </c>
      <c r="Q28" s="632">
        <v>900</v>
      </c>
      <c r="R28" s="632" t="s">
        <v>1585</v>
      </c>
      <c r="S28" s="632" t="s">
        <v>1739</v>
      </c>
      <c r="T28" s="633" t="s">
        <v>1740</v>
      </c>
      <c r="U28" s="634" t="s">
        <v>1741</v>
      </c>
      <c r="V28" s="635" t="s">
        <v>1742</v>
      </c>
      <c r="W28" s="633" t="s">
        <v>1743</v>
      </c>
      <c r="X28" s="634" t="s">
        <v>1744</v>
      </c>
      <c r="Y28" s="632">
        <f t="shared" si="10"/>
        <v>45221</v>
      </c>
      <c r="Z28" s="632" t="str">
        <f t="shared" si="11"/>
        <v/>
      </c>
      <c r="AA28" s="636" t="str">
        <f t="shared" si="12"/>
        <v/>
      </c>
      <c r="AB28" s="636" t="str">
        <f t="shared" si="13"/>
        <v/>
      </c>
      <c r="AC28" s="632">
        <f t="shared" si="14"/>
        <v>0</v>
      </c>
      <c r="AD28" s="632">
        <f t="shared" si="15"/>
        <v>30</v>
      </c>
      <c r="AE28" s="636">
        <f t="shared" si="16"/>
        <v>1</v>
      </c>
      <c r="AF28" s="632">
        <f t="shared" si="17"/>
        <v>45063</v>
      </c>
      <c r="AG28" s="632">
        <f t="shared" si="18"/>
        <v>20</v>
      </c>
      <c r="AH28" s="625">
        <f t="shared" si="19"/>
        <v>2252.15</v>
      </c>
    </row>
    <row r="29" spans="1:34">
      <c r="A29" s="623">
        <f t="shared" si="0"/>
        <v>5</v>
      </c>
      <c r="B29" s="624">
        <f t="shared" ref="B29:B30" si="39">IF(AF29&lt;=AG29,1,IF(AH29&lt;=0.005,2,IF(AND(AH29&gt;0.005,AH29&lt;=0.02, L182),4,IF(AND(AH29&gt;0.02,AH29&lt;=0.05),5,IF(AND(AH29&gt;0.05,AH29&lt;=0.1),7,IF(AND(AH29&gt;0.1,AH29&lt;=0.2),8,IF(AH29&gt;0.2,10)))))))</f>
        <v>10</v>
      </c>
      <c r="C29" s="623">
        <f t="shared" ref="C29:C30" si="40">IF(AA29&lt;=0.005,10,IF(AND(AA29&gt;0.005,AA29&lt;=0.01, C167),9,IF(AND(AA29&gt;0.01,AA29&lt;=0.02),8,IF(AND(AA29&gt;0.02,AA29&lt;=0.05),7,IF(AND(AA29&gt;0.05,AA29&lt;=0.1),6,IF(AND(AA29&gt;0.1,AA29&lt;=0.2),5,IF(AND(AA29&gt;0.2,AA29&lt;=0.3),4,IF(AND(AA29&gt;0.3,AA29&lt;=0.4),3,IF(AND(AA29&gt;0.4,AA29&lt;=0.5),2,IF(AA29&gt;0.5,1))))))))))</f>
        <v>10</v>
      </c>
      <c r="D29" s="623">
        <f t="shared" si="3"/>
        <v>1</v>
      </c>
      <c r="E29" s="624">
        <f t="shared" si="4"/>
        <v>8.9</v>
      </c>
      <c r="F29" s="625" t="str">
        <f t="shared" si="5"/>
        <v xml:space="preserve">     -</v>
      </c>
      <c r="G29" s="626">
        <f t="shared" si="22"/>
        <v>0.12790000000000001</v>
      </c>
      <c r="H29" s="627">
        <f t="shared" si="7"/>
        <v>-0.438</v>
      </c>
      <c r="I29" s="628">
        <f t="shared" si="8"/>
        <v>15903500</v>
      </c>
      <c r="J29" s="629">
        <f t="shared" si="9"/>
        <v>54459500</v>
      </c>
      <c r="K29" s="630">
        <v>4250</v>
      </c>
      <c r="L29" s="631">
        <v>44872</v>
      </c>
      <c r="M29" s="632"/>
      <c r="N29" s="632" t="s">
        <v>1708</v>
      </c>
      <c r="O29" s="632" t="s">
        <v>604</v>
      </c>
      <c r="P29" s="632" t="s">
        <v>1642</v>
      </c>
      <c r="Q29" s="632">
        <v>107</v>
      </c>
      <c r="R29" s="632" t="s">
        <v>1585</v>
      </c>
      <c r="S29" s="632" t="s">
        <v>1745</v>
      </c>
      <c r="T29" s="633" t="s">
        <v>1746</v>
      </c>
      <c r="U29" s="634" t="s">
        <v>1747</v>
      </c>
      <c r="V29" s="635" t="s">
        <v>1748</v>
      </c>
      <c r="W29" s="633" t="s">
        <v>1749</v>
      </c>
      <c r="X29" s="634" t="s">
        <v>1750</v>
      </c>
      <c r="Y29" s="632">
        <f t="shared" si="10"/>
        <v>29252</v>
      </c>
      <c r="Z29" s="632">
        <f t="shared" si="11"/>
        <v>27426</v>
      </c>
      <c r="AA29" s="636">
        <f t="shared" si="12"/>
        <v>-6.2E-2</v>
      </c>
      <c r="AB29" s="636">
        <f t="shared" si="13"/>
        <v>-6.6000000000000003E-2</v>
      </c>
      <c r="AC29" s="632">
        <f t="shared" si="14"/>
        <v>25628</v>
      </c>
      <c r="AD29" s="632">
        <f t="shared" si="15"/>
        <v>32994</v>
      </c>
      <c r="AE29" s="636">
        <f t="shared" si="16"/>
        <v>0.223</v>
      </c>
      <c r="AF29" s="632">
        <f t="shared" si="17"/>
        <v>45689</v>
      </c>
      <c r="AG29" s="632">
        <f t="shared" si="18"/>
        <v>16438</v>
      </c>
      <c r="AH29" s="625">
        <f t="shared" si="19"/>
        <v>1.7789999999999999</v>
      </c>
    </row>
    <row r="30" spans="1:34">
      <c r="A30" s="623">
        <f t="shared" si="0"/>
        <v>1</v>
      </c>
      <c r="B30" s="624">
        <f t="shared" si="39"/>
        <v>10</v>
      </c>
      <c r="C30" s="623">
        <f t="shared" si="40"/>
        <v>1</v>
      </c>
      <c r="D30" s="623">
        <f t="shared" si="3"/>
        <v>1</v>
      </c>
      <c r="E30" s="624">
        <f t="shared" si="4"/>
        <v>1.7</v>
      </c>
      <c r="F30" s="625" t="str">
        <f t="shared" si="5"/>
        <v xml:space="preserve">     -</v>
      </c>
      <c r="G30" s="626" t="str">
        <f t="shared" si="22"/>
        <v/>
      </c>
      <c r="H30" s="627">
        <f t="shared" si="7"/>
        <v>-1</v>
      </c>
      <c r="I30" s="628" t="e">
        <f t="shared" si="8"/>
        <v>#VALUE!</v>
      </c>
      <c r="J30" s="629">
        <f t="shared" si="9"/>
        <v>106850250</v>
      </c>
      <c r="K30" s="630">
        <v>9750</v>
      </c>
      <c r="L30" s="631">
        <v>44872</v>
      </c>
      <c r="M30" s="632"/>
      <c r="N30" s="632" t="s">
        <v>1708</v>
      </c>
      <c r="O30" s="632" t="s">
        <v>517</v>
      </c>
      <c r="P30" s="632" t="s">
        <v>1642</v>
      </c>
      <c r="Q30" s="632">
        <v>70</v>
      </c>
      <c r="R30" s="632" t="s">
        <v>1585</v>
      </c>
      <c r="S30" s="632" t="s">
        <v>1751</v>
      </c>
      <c r="T30" s="633" t="s">
        <v>1752</v>
      </c>
      <c r="U30" s="634" t="s">
        <v>1753</v>
      </c>
      <c r="V30" s="635" t="s">
        <v>1754</v>
      </c>
      <c r="W30" s="633" t="s">
        <v>1755</v>
      </c>
      <c r="X30" s="634" t="s">
        <v>1756</v>
      </c>
      <c r="Y30" s="632">
        <f t="shared" si="10"/>
        <v>10959</v>
      </c>
      <c r="Z30" s="632">
        <f t="shared" si="11"/>
        <v>42005</v>
      </c>
      <c r="AA30" s="636">
        <f t="shared" si="12"/>
        <v>2.8330000000000002</v>
      </c>
      <c r="AB30" s="636">
        <f t="shared" si="13"/>
        <v>-0.39100000000000001</v>
      </c>
      <c r="AC30" s="632">
        <f t="shared" si="14"/>
        <v>25569</v>
      </c>
      <c r="AD30" s="632" t="str">
        <f t="shared" si="15"/>
        <v/>
      </c>
      <c r="AE30" s="636" t="str">
        <f t="shared" si="16"/>
        <v/>
      </c>
      <c r="AF30" s="632">
        <f t="shared" si="17"/>
        <v>45200</v>
      </c>
      <c r="AG30" s="632">
        <f t="shared" si="18"/>
        <v>0</v>
      </c>
      <c r="AH30" s="625" t="str">
        <f t="shared" si="19"/>
        <v/>
      </c>
    </row>
    <row r="31" spans="1:34">
      <c r="A31" s="623">
        <f t="shared" si="0"/>
        <v>7</v>
      </c>
      <c r="B31" s="624">
        <f t="shared" ref="B31:B32" si="41">IF(AF31&lt;=AG31,1,IF(AH31&lt;=0.005,2,IF(AND(AH31&gt;0.005,AH31&lt;=0.02, L182),4,IF(AND(AH31&gt;0.02,AH31&lt;=0.05),5,IF(AND(AH31&gt;0.05,AH31&lt;=0.1),7,IF(AND(AH31&gt;0.1,AH31&lt;=0.2),8,IF(AH31&gt;0.2,10)))))))</f>
        <v>10</v>
      </c>
      <c r="C31" s="623">
        <f t="shared" ref="C31:C32" si="42">IF(AA31&lt;=0.005,10,IF(AND(AA31&gt;0.005,AA31&lt;=0.01, C167),9,IF(AND(AA31&gt;0.01,AA31&lt;=0.02),8,IF(AND(AA31&gt;0.02,AA31&lt;=0.05),7,IF(AND(AA31&gt;0.05,AA31&lt;=0.1),6,IF(AND(AA31&gt;0.1,AA31&lt;=0.2),5,IF(AND(AA31&gt;0.2,AA31&lt;=0.3),4,IF(AND(AA31&gt;0.3,AA31&lt;=0.4),3,IF(AND(AA31&gt;0.4,AA31&lt;=0.5),2,IF(AA31&gt;0.5,1))))))))))</f>
        <v>1</v>
      </c>
      <c r="D31" s="623">
        <f t="shared" si="3"/>
        <v>6</v>
      </c>
      <c r="E31" s="624">
        <f t="shared" si="4"/>
        <v>2.5</v>
      </c>
      <c r="F31" s="625" t="str">
        <f t="shared" si="5"/>
        <v xml:space="preserve">     -</v>
      </c>
      <c r="G31" s="626" t="str">
        <f t="shared" si="22"/>
        <v/>
      </c>
      <c r="H31" s="627" t="e">
        <f t="shared" si="7"/>
        <v>#VALUE!</v>
      </c>
      <c r="I31" s="628" t="e">
        <f t="shared" si="8"/>
        <v>#VALUE!</v>
      </c>
      <c r="J31" s="629" t="e">
        <f t="shared" si="9"/>
        <v>#VALUE!</v>
      </c>
      <c r="K31" s="630">
        <v>250</v>
      </c>
      <c r="L31" s="631">
        <v>44874</v>
      </c>
      <c r="M31" s="632"/>
      <c r="N31" s="632" t="s">
        <v>1610</v>
      </c>
      <c r="O31" s="632" t="s">
        <v>1757</v>
      </c>
      <c r="P31" s="632" t="s">
        <v>1642</v>
      </c>
      <c r="Q31" s="632">
        <v>2650</v>
      </c>
      <c r="R31" s="632" t="s">
        <v>1585</v>
      </c>
      <c r="S31" s="632" t="s">
        <v>1758</v>
      </c>
      <c r="T31" s="633" t="s">
        <v>1759</v>
      </c>
      <c r="U31" s="634" t="s">
        <v>1668</v>
      </c>
      <c r="V31" s="635" t="s">
        <v>1760</v>
      </c>
      <c r="W31" s="633" t="s">
        <v>1761</v>
      </c>
      <c r="X31" s="634" t="s">
        <v>1762</v>
      </c>
      <c r="Y31" s="632" t="str">
        <f t="shared" si="10"/>
        <v/>
      </c>
      <c r="Z31" s="632">
        <f t="shared" si="11"/>
        <v>71</v>
      </c>
      <c r="AA31" s="636" t="str">
        <f t="shared" si="12"/>
        <v/>
      </c>
      <c r="AB31" s="636">
        <f t="shared" si="13"/>
        <v>0.127</v>
      </c>
      <c r="AC31" s="632">
        <f t="shared" si="14"/>
        <v>80</v>
      </c>
      <c r="AD31" s="632">
        <f t="shared" si="15"/>
        <v>90</v>
      </c>
      <c r="AE31" s="636">
        <f t="shared" si="16"/>
        <v>0.111</v>
      </c>
      <c r="AF31" s="632">
        <f t="shared" si="17"/>
        <v>18507</v>
      </c>
      <c r="AG31" s="632">
        <f t="shared" si="18"/>
        <v>60</v>
      </c>
      <c r="AH31" s="625">
        <f t="shared" si="19"/>
        <v>307.45</v>
      </c>
    </row>
    <row r="32" spans="1:34">
      <c r="A32" s="623">
        <f t="shared" si="0"/>
        <v>1</v>
      </c>
      <c r="B32" s="624">
        <f t="shared" si="41"/>
        <v>10</v>
      </c>
      <c r="C32" s="623">
        <f t="shared" si="42"/>
        <v>1</v>
      </c>
      <c r="D32" s="623">
        <f t="shared" si="3"/>
        <v>10</v>
      </c>
      <c r="E32" s="624">
        <f t="shared" si="4"/>
        <v>2.4</v>
      </c>
      <c r="F32" s="625" t="str">
        <f t="shared" si="5"/>
        <v xml:space="preserve">     -</v>
      </c>
      <c r="G32" s="626" t="str">
        <f t="shared" si="22"/>
        <v/>
      </c>
      <c r="H32" s="627" t="e">
        <f t="shared" si="7"/>
        <v>#VALUE!</v>
      </c>
      <c r="I32" s="628" t="e">
        <f t="shared" si="8"/>
        <v>#VALUE!</v>
      </c>
      <c r="J32" s="629" t="e">
        <f t="shared" si="9"/>
        <v>#VALUE!</v>
      </c>
      <c r="K32" s="630">
        <v>300</v>
      </c>
      <c r="L32" s="631">
        <v>44874</v>
      </c>
      <c r="M32" s="632"/>
      <c r="N32" s="632" t="s">
        <v>1584</v>
      </c>
      <c r="O32" s="632" t="s">
        <v>475</v>
      </c>
      <c r="P32" s="632" t="s">
        <v>1642</v>
      </c>
      <c r="Q32" s="632">
        <v>2600</v>
      </c>
      <c r="R32" s="632" t="s">
        <v>1585</v>
      </c>
      <c r="S32" s="632" t="s">
        <v>1763</v>
      </c>
      <c r="T32" s="633" t="s">
        <v>1764</v>
      </c>
      <c r="U32" s="634" t="s">
        <v>1638</v>
      </c>
      <c r="V32" s="635" t="s">
        <v>1765</v>
      </c>
      <c r="W32" s="633" t="s">
        <v>1766</v>
      </c>
      <c r="X32" s="634" t="s">
        <v>1767</v>
      </c>
      <c r="Y32" s="632" t="str">
        <f t="shared" si="10"/>
        <v/>
      </c>
      <c r="Z32" s="632" t="str">
        <f t="shared" si="11"/>
        <v/>
      </c>
      <c r="AA32" s="636" t="str">
        <f t="shared" si="12"/>
        <v/>
      </c>
      <c r="AB32" s="636" t="str">
        <f t="shared" si="13"/>
        <v/>
      </c>
      <c r="AC32" s="632">
        <f t="shared" si="14"/>
        <v>0</v>
      </c>
      <c r="AD32" s="632">
        <f t="shared" si="15"/>
        <v>75</v>
      </c>
      <c r="AE32" s="636">
        <f t="shared" si="16"/>
        <v>1</v>
      </c>
      <c r="AF32" s="632" t="str">
        <f t="shared" si="17"/>
        <v/>
      </c>
      <c r="AG32" s="632">
        <f t="shared" si="18"/>
        <v>55</v>
      </c>
      <c r="AH32" s="625" t="str">
        <f t="shared" si="19"/>
        <v/>
      </c>
    </row>
    <row r="33" spans="1:34">
      <c r="A33" s="623">
        <f t="shared" si="0"/>
        <v>10</v>
      </c>
      <c r="B33" s="624">
        <f>IF(AF33&lt;=AG33,1,IF(AH33&lt;=0.005,2,IF(AND(AH33&gt;0.005,AH33&lt;=0.02, L183),4,IF(AND(AH33&gt;0.02,AH33&lt;=0.05),5,IF(AND(AH33&gt;0.05,AH33&lt;=0.1),7,IF(AND(AH33&gt;0.1,AH33&lt;=0.2),8,IF(AH33&gt;0.2,10)))))))</f>
        <v>10</v>
      </c>
      <c r="C33" s="623">
        <f>IF(AA33&lt;=0.005,10,IF(AND(AA33&gt;0.005,AA33&lt;=0.01, C168),9,IF(AND(AA33&gt;0.01,AA33&lt;=0.02),8,IF(AND(AA33&gt;0.02,AA33&lt;=0.05),7,IF(AND(AA33&gt;0.05,AA33&lt;=0.1),6,IF(AND(AA33&gt;0.1,AA33&lt;=0.2),5,IF(AND(AA33&gt;0.2,AA33&lt;=0.3),4,IF(AND(AA33&gt;0.3,AA33&lt;=0.4),3,IF(AND(AA33&gt;0.4,AA33&lt;=0.5),2,IF(AA33&gt;0.5,1))))))))))</f>
        <v>1</v>
      </c>
      <c r="D33" s="623">
        <f t="shared" si="3"/>
        <v>10</v>
      </c>
      <c r="E33" s="624">
        <f t="shared" si="4"/>
        <v>3.1</v>
      </c>
      <c r="F33" s="625" t="str">
        <f t="shared" si="5"/>
        <v xml:space="preserve">     -</v>
      </c>
      <c r="G33" s="626">
        <f t="shared" si="22"/>
        <v>-0.27929999999999999</v>
      </c>
      <c r="H33" s="627">
        <f t="shared" si="7"/>
        <v>-1</v>
      </c>
      <c r="I33" s="628">
        <f t="shared" si="8"/>
        <v>-204048000</v>
      </c>
      <c r="J33" s="629">
        <f t="shared" si="9"/>
        <v>730528000</v>
      </c>
      <c r="K33" s="630">
        <v>16000</v>
      </c>
      <c r="L33" s="631">
        <v>44874</v>
      </c>
      <c r="M33" s="632"/>
      <c r="N33" s="632" t="s">
        <v>1708</v>
      </c>
      <c r="O33" s="632" t="s">
        <v>533</v>
      </c>
      <c r="P33" s="632" t="s">
        <v>1642</v>
      </c>
      <c r="Q33" s="632">
        <v>44</v>
      </c>
      <c r="R33" s="632" t="s">
        <v>1585</v>
      </c>
      <c r="S33" s="632" t="s">
        <v>1768</v>
      </c>
      <c r="T33" s="633" t="s">
        <v>1769</v>
      </c>
      <c r="U33" s="634" t="s">
        <v>1770</v>
      </c>
      <c r="V33" s="635" t="s">
        <v>1771</v>
      </c>
      <c r="W33" s="633" t="s">
        <v>1772</v>
      </c>
      <c r="X33" s="634" t="s">
        <v>1773</v>
      </c>
      <c r="Y33" s="632">
        <f t="shared" si="10"/>
        <v>45658</v>
      </c>
      <c r="Z33" s="632" t="str">
        <f t="shared" si="11"/>
        <v/>
      </c>
      <c r="AA33" s="636" t="str">
        <f t="shared" si="12"/>
        <v/>
      </c>
      <c r="AB33" s="636" t="str">
        <f t="shared" si="13"/>
        <v/>
      </c>
      <c r="AC33" s="632">
        <f t="shared" si="14"/>
        <v>42064</v>
      </c>
      <c r="AD33" s="632">
        <f t="shared" si="15"/>
        <v>32905</v>
      </c>
      <c r="AE33" s="636" t="str">
        <f t="shared" si="16"/>
        <v>Tgt Hit</v>
      </c>
      <c r="AF33" s="632" t="str">
        <f t="shared" si="17"/>
        <v/>
      </c>
      <c r="AG33" s="632">
        <f t="shared" si="18"/>
        <v>0</v>
      </c>
      <c r="AH33" s="625" t="str">
        <f t="shared" si="19"/>
        <v/>
      </c>
    </row>
    <row r="34" spans="1:34">
      <c r="A34" s="623">
        <f t="shared" si="0"/>
        <v>1</v>
      </c>
      <c r="B34" s="624">
        <f t="shared" ref="B34:B35" si="43">IF(AF34&lt;=AG34,1,IF(AH34&lt;=0.005,2,IF(AND(AH34&gt;0.005,AH34&lt;=0.02, L182),4,IF(AND(AH34&gt;0.02,AH34&lt;=0.05),5,IF(AND(AH34&gt;0.05,AH34&lt;=0.1),7,IF(AND(AH34&gt;0.1,AH34&lt;=0.2),8,IF(AH34&gt;0.2,10)))))))</f>
        <v>10</v>
      </c>
      <c r="C34" s="623">
        <f t="shared" ref="C34:C35" si="44">IF(AA34&lt;=0.005,10,IF(AND(AA34&gt;0.005,AA34&lt;=0.01, C167),9,IF(AND(AA34&gt;0.01,AA34&lt;=0.02),8,IF(AND(AA34&gt;0.02,AA34&lt;=0.05),7,IF(AND(AA34&gt;0.05,AA34&lt;=0.1),6,IF(AND(AA34&gt;0.1,AA34&lt;=0.2),5,IF(AND(AA34&gt;0.2,AA34&lt;=0.3),4,IF(AND(AA34&gt;0.3,AA34&lt;=0.4),3,IF(AND(AA34&gt;0.4,AA34&lt;=0.5),2,IF(AA34&gt;0.5,1))))))))))</f>
        <v>1</v>
      </c>
      <c r="D34" s="623">
        <f t="shared" si="3"/>
        <v>1</v>
      </c>
      <c r="E34" s="624">
        <f t="shared" si="4"/>
        <v>1.7</v>
      </c>
      <c r="F34" s="625" t="str">
        <f t="shared" si="5"/>
        <v xml:space="preserve">     -</v>
      </c>
      <c r="G34" s="626" t="str">
        <f t="shared" si="22"/>
        <v/>
      </c>
      <c r="H34" s="627" t="str">
        <f t="shared" ref="H34:H160" si="45">IFERROR(ROUND(-(Y34-AG34)/Y34,3),"")</f>
        <v/>
      </c>
      <c r="I34" s="628" t="e">
        <f t="shared" si="8"/>
        <v>#VALUE!</v>
      </c>
      <c r="J34" s="629" t="e">
        <f t="shared" si="9"/>
        <v>#VALUE!</v>
      </c>
      <c r="K34" s="630">
        <v>300</v>
      </c>
      <c r="L34" s="631">
        <v>44874</v>
      </c>
      <c r="M34" s="632"/>
      <c r="N34" s="632" t="s">
        <v>1610</v>
      </c>
      <c r="O34" s="632" t="s">
        <v>472</v>
      </c>
      <c r="P34" s="632" t="s">
        <v>1642</v>
      </c>
      <c r="Q34" s="632">
        <v>1500</v>
      </c>
      <c r="R34" s="632" t="s">
        <v>1577</v>
      </c>
      <c r="S34" s="632" t="s">
        <v>1774</v>
      </c>
      <c r="T34" s="633" t="s">
        <v>1740</v>
      </c>
      <c r="U34" s="634" t="s">
        <v>1775</v>
      </c>
      <c r="V34" s="635" t="s">
        <v>1776</v>
      </c>
      <c r="W34" s="633" t="s">
        <v>1777</v>
      </c>
      <c r="X34" s="634" t="s">
        <v>1778</v>
      </c>
      <c r="Y34" s="632" t="str">
        <f t="shared" si="10"/>
        <v/>
      </c>
      <c r="Z34" s="632">
        <f t="shared" si="11"/>
        <v>45219</v>
      </c>
      <c r="AA34" s="636" t="str">
        <f t="shared" si="12"/>
        <v/>
      </c>
      <c r="AB34" s="636">
        <f t="shared" si="13"/>
        <v>-1</v>
      </c>
      <c r="AC34" s="632">
        <f t="shared" si="14"/>
        <v>0</v>
      </c>
      <c r="AD34" s="632">
        <f t="shared" si="15"/>
        <v>30</v>
      </c>
      <c r="AE34" s="636">
        <f t="shared" si="16"/>
        <v>1</v>
      </c>
      <c r="AF34" s="632" t="str">
        <f t="shared" si="17"/>
        <v/>
      </c>
      <c r="AG34" s="632">
        <f t="shared" si="18"/>
        <v>0</v>
      </c>
      <c r="AH34" s="625" t="str">
        <f t="shared" si="19"/>
        <v/>
      </c>
    </row>
    <row r="35" spans="1:34">
      <c r="A35" s="623">
        <f t="shared" si="0"/>
        <v>1</v>
      </c>
      <c r="B35" s="624">
        <f t="shared" si="43"/>
        <v>10</v>
      </c>
      <c r="C35" s="623">
        <f t="shared" si="44"/>
        <v>1</v>
      </c>
      <c r="D35" s="623">
        <f t="shared" si="3"/>
        <v>10</v>
      </c>
      <c r="E35" s="624">
        <f t="shared" si="4"/>
        <v>2.4</v>
      </c>
      <c r="F35" s="625" t="str">
        <f t="shared" si="5"/>
        <v xml:space="preserve">     -</v>
      </c>
      <c r="G35" s="626" t="str">
        <f t="shared" si="22"/>
        <v/>
      </c>
      <c r="H35" s="627" t="str">
        <f t="shared" si="45"/>
        <v/>
      </c>
      <c r="I35" s="628" t="e">
        <f t="shared" si="8"/>
        <v>#VALUE!</v>
      </c>
      <c r="J35" s="629" t="e">
        <f t="shared" si="9"/>
        <v>#VALUE!</v>
      </c>
      <c r="K35" s="630">
        <v>250</v>
      </c>
      <c r="L35" s="631">
        <v>44874</v>
      </c>
      <c r="M35" s="632"/>
      <c r="N35" s="632" t="s">
        <v>1584</v>
      </c>
      <c r="O35" s="632" t="s">
        <v>702</v>
      </c>
      <c r="P35" s="632" t="s">
        <v>1642</v>
      </c>
      <c r="Q35" s="632">
        <v>2650</v>
      </c>
      <c r="R35" s="632" t="s">
        <v>1577</v>
      </c>
      <c r="S35" s="632" t="s">
        <v>1779</v>
      </c>
      <c r="T35" s="633" t="s">
        <v>1780</v>
      </c>
      <c r="U35" s="634" t="s">
        <v>1781</v>
      </c>
      <c r="V35" s="635" t="s">
        <v>1782</v>
      </c>
      <c r="W35" s="633" t="s">
        <v>1783</v>
      </c>
      <c r="X35" s="634" t="s">
        <v>1784</v>
      </c>
      <c r="Y35" s="632" t="str">
        <f t="shared" si="10"/>
        <v/>
      </c>
      <c r="Z35" s="632" t="str">
        <f t="shared" si="11"/>
        <v/>
      </c>
      <c r="AA35" s="636" t="str">
        <f t="shared" si="12"/>
        <v/>
      </c>
      <c r="AB35" s="636" t="str">
        <f t="shared" si="13"/>
        <v/>
      </c>
      <c r="AC35" s="632">
        <f t="shared" si="14"/>
        <v>0</v>
      </c>
      <c r="AD35" s="632" t="str">
        <f t="shared" si="15"/>
        <v/>
      </c>
      <c r="AE35" s="636" t="str">
        <f t="shared" si="16"/>
        <v/>
      </c>
      <c r="AF35" s="632" t="str">
        <f t="shared" si="17"/>
        <v/>
      </c>
      <c r="AG35" s="632">
        <f t="shared" si="18"/>
        <v>0</v>
      </c>
      <c r="AH35" s="625" t="str">
        <f t="shared" si="19"/>
        <v/>
      </c>
    </row>
    <row r="36" spans="1:34">
      <c r="A36" s="623">
        <f t="shared" si="0"/>
        <v>1</v>
      </c>
      <c r="B36" s="624">
        <f t="shared" ref="B36:B37" si="46">IF(AF36&lt;=AG36,1,IF(AH36&lt;=0.005,2,IF(AND(AH36&gt;0.005,AH36&lt;=0.02, L182),4,IF(AND(AH36&gt;0.02,AH36&lt;=0.05),5,IF(AND(AH36&gt;0.05,AH36&lt;=0.1),7,IF(AND(AH36&gt;0.1,AH36&lt;=0.2),8,IF(AH36&gt;0.2,10)))))))</f>
        <v>10</v>
      </c>
      <c r="C36" s="623">
        <f t="shared" ref="C36:C37" si="47">IF(AA36&lt;=0.005,10,IF(AND(AA36&gt;0.005,AA36&lt;=0.01, C167),9,IF(AND(AA36&gt;0.01,AA36&lt;=0.02),8,IF(AND(AA36&gt;0.02,AA36&lt;=0.05),7,IF(AND(AA36&gt;0.05,AA36&lt;=0.1),6,IF(AND(AA36&gt;0.1,AA36&lt;=0.2),5,IF(AND(AA36&gt;0.2,AA36&lt;=0.3),4,IF(AND(AA36&gt;0.3,AA36&lt;=0.4),3,IF(AND(AA36&gt;0.4,AA36&lt;=0.5),2,IF(AA36&gt;0.5,1))))))))))</f>
        <v>1</v>
      </c>
      <c r="D36" s="623">
        <f t="shared" si="3"/>
        <v>1</v>
      </c>
      <c r="E36" s="624">
        <f t="shared" si="4"/>
        <v>1.7</v>
      </c>
      <c r="F36" s="625" t="str">
        <f t="shared" si="5"/>
        <v xml:space="preserve">     -</v>
      </c>
      <c r="G36" s="626" t="str">
        <f t="shared" si="22"/>
        <v/>
      </c>
      <c r="H36" s="627" t="str">
        <f t="shared" si="45"/>
        <v/>
      </c>
      <c r="I36" s="628" t="e">
        <f t="shared" si="8"/>
        <v>#VALUE!</v>
      </c>
      <c r="J36" s="629" t="e">
        <f t="shared" si="9"/>
        <v>#VALUE!</v>
      </c>
      <c r="K36" s="630">
        <v>1000</v>
      </c>
      <c r="L36" s="631">
        <v>44875</v>
      </c>
      <c r="M36" s="632"/>
      <c r="N36" s="632" t="s">
        <v>1610</v>
      </c>
      <c r="O36" s="632" t="s">
        <v>1611</v>
      </c>
      <c r="P36" s="632" t="s">
        <v>1642</v>
      </c>
      <c r="Q36" s="632">
        <v>390</v>
      </c>
      <c r="R36" s="632" t="s">
        <v>1585</v>
      </c>
      <c r="S36" s="632" t="s">
        <v>1785</v>
      </c>
      <c r="T36" s="633" t="s">
        <v>1786</v>
      </c>
      <c r="U36" s="634" t="s">
        <v>1787</v>
      </c>
      <c r="V36" s="635" t="s">
        <v>1788</v>
      </c>
      <c r="W36" s="633" t="s">
        <v>1789</v>
      </c>
      <c r="X36" s="634" t="s">
        <v>1790</v>
      </c>
      <c r="Y36" s="632" t="str">
        <f t="shared" si="10"/>
        <v/>
      </c>
      <c r="Z36" s="632">
        <f t="shared" si="11"/>
        <v>18476</v>
      </c>
      <c r="AA36" s="636" t="str">
        <f t="shared" si="12"/>
        <v/>
      </c>
      <c r="AB36" s="636">
        <f t="shared" si="13"/>
        <v>-1</v>
      </c>
      <c r="AC36" s="632">
        <f t="shared" si="14"/>
        <v>0</v>
      </c>
      <c r="AD36" s="632" t="str">
        <f t="shared" si="15"/>
        <v/>
      </c>
      <c r="AE36" s="636" t="str">
        <f t="shared" si="16"/>
        <v/>
      </c>
      <c r="AF36" s="632">
        <f t="shared" si="17"/>
        <v>44044</v>
      </c>
      <c r="AG36" s="632">
        <f t="shared" si="18"/>
        <v>0</v>
      </c>
      <c r="AH36" s="625" t="str">
        <f t="shared" si="19"/>
        <v/>
      </c>
    </row>
    <row r="37" spans="1:34">
      <c r="A37" s="623">
        <f t="shared" si="0"/>
        <v>1</v>
      </c>
      <c r="B37" s="624">
        <f t="shared" si="46"/>
        <v>10</v>
      </c>
      <c r="C37" s="623">
        <f t="shared" si="47"/>
        <v>1</v>
      </c>
      <c r="D37" s="623">
        <f t="shared" si="3"/>
        <v>10</v>
      </c>
      <c r="E37" s="624">
        <f t="shared" si="4"/>
        <v>2.4</v>
      </c>
      <c r="F37" s="625" t="str">
        <f t="shared" si="5"/>
        <v xml:space="preserve">     -</v>
      </c>
      <c r="G37" s="626" t="str">
        <f t="shared" si="22"/>
        <v/>
      </c>
      <c r="H37" s="627" t="str">
        <f t="shared" si="45"/>
        <v/>
      </c>
      <c r="I37" s="628" t="e">
        <f t="shared" si="8"/>
        <v>#VALUE!</v>
      </c>
      <c r="J37" s="629" t="e">
        <f t="shared" si="9"/>
        <v>#VALUE!</v>
      </c>
      <c r="K37" s="630">
        <v>150</v>
      </c>
      <c r="L37" s="631">
        <v>44875</v>
      </c>
      <c r="M37" s="632"/>
      <c r="N37" s="632" t="s">
        <v>1574</v>
      </c>
      <c r="O37" s="632" t="s">
        <v>1791</v>
      </c>
      <c r="P37" s="632" t="s">
        <v>1642</v>
      </c>
      <c r="Q37" s="632">
        <v>4900</v>
      </c>
      <c r="R37" s="632" t="s">
        <v>1585</v>
      </c>
      <c r="S37" s="632" t="s">
        <v>1792</v>
      </c>
      <c r="T37" s="633" t="s">
        <v>1793</v>
      </c>
      <c r="U37" s="634" t="s">
        <v>1794</v>
      </c>
      <c r="V37" s="635" t="s">
        <v>1795</v>
      </c>
      <c r="W37" s="633" t="s">
        <v>1796</v>
      </c>
      <c r="X37" s="634" t="s">
        <v>1797</v>
      </c>
      <c r="Y37" s="632" t="str">
        <f t="shared" si="10"/>
        <v/>
      </c>
      <c r="Z37" s="632" t="str">
        <f t="shared" si="11"/>
        <v/>
      </c>
      <c r="AA37" s="636" t="str">
        <f t="shared" si="12"/>
        <v/>
      </c>
      <c r="AB37" s="636" t="str">
        <f t="shared" si="13"/>
        <v/>
      </c>
      <c r="AC37" s="632">
        <f t="shared" si="14"/>
        <v>0</v>
      </c>
      <c r="AD37" s="632" t="str">
        <f t="shared" si="15"/>
        <v/>
      </c>
      <c r="AE37" s="636" t="str">
        <f t="shared" si="16"/>
        <v/>
      </c>
      <c r="AF37" s="632" t="str">
        <f t="shared" si="17"/>
        <v/>
      </c>
      <c r="AG37" s="632">
        <f t="shared" si="18"/>
        <v>0</v>
      </c>
      <c r="AH37" s="625" t="str">
        <f t="shared" si="19"/>
        <v/>
      </c>
    </row>
    <row r="38" spans="1:34">
      <c r="A38" s="623">
        <f t="shared" si="0"/>
        <v>10</v>
      </c>
      <c r="B38" s="624">
        <f>IF(AF38&lt;=AG38,1,IF(AH38&lt;=0.005,2,IF(AND(AH38&gt;0.005,AH38&lt;=0.02, L183),4,IF(AND(AH38&gt;0.02,AH38&lt;=0.05),5,IF(AND(AH38&gt;0.05,AH38&lt;=0.1),7,IF(AND(AH38&gt;0.1,AH38&lt;=0.2),8,IF(AH38&gt;0.2,10)))))))</f>
        <v>1</v>
      </c>
      <c r="C38" s="623">
        <f>IF(AA38&lt;=0.005,10,IF(AND(AA38&gt;0.005,AA38&lt;=0.01, C168),9,IF(AND(AA38&gt;0.01,AA38&lt;=0.02),8,IF(AND(AA38&gt;0.02,AA38&lt;=0.05),7,IF(AND(AA38&gt;0.05,AA38&lt;=0.1),6,IF(AND(AA38&gt;0.1,AA38&lt;=0.2),5,IF(AND(AA38&gt;0.2,AA38&lt;=0.3),4,IF(AND(AA38&gt;0.3,AA38&lt;=0.4),3,IF(AND(AA38&gt;0.4,AA38&lt;=0.5),2,IF(AA38&gt;0.5,1))))))))))</f>
        <v>10</v>
      </c>
      <c r="D38" s="623">
        <f t="shared" si="3"/>
        <v>10</v>
      </c>
      <c r="E38" s="624">
        <f t="shared" si="4"/>
        <v>9.3000000000000007</v>
      </c>
      <c r="F38" s="625">
        <f t="shared" si="5"/>
        <v>0.54126578815375492</v>
      </c>
      <c r="G38" s="626">
        <f t="shared" si="22"/>
        <v>-0.3306</v>
      </c>
      <c r="H38" s="627">
        <f t="shared" si="45"/>
        <v>-1E-3</v>
      </c>
      <c r="I38" s="628">
        <f t="shared" si="8"/>
        <v>-54446250</v>
      </c>
      <c r="J38" s="629">
        <f t="shared" si="9"/>
        <v>225000</v>
      </c>
      <c r="K38" s="630">
        <v>3750</v>
      </c>
      <c r="L38" s="631">
        <v>44875</v>
      </c>
      <c r="M38" s="632"/>
      <c r="N38" s="632" t="s">
        <v>1708</v>
      </c>
      <c r="O38" s="632" t="s">
        <v>585</v>
      </c>
      <c r="P38" s="632" t="s">
        <v>1642</v>
      </c>
      <c r="Q38" s="632">
        <v>145</v>
      </c>
      <c r="R38" s="632" t="s">
        <v>1585</v>
      </c>
      <c r="S38" s="632" t="s">
        <v>1798</v>
      </c>
      <c r="T38" s="633" t="s">
        <v>1799</v>
      </c>
      <c r="U38" s="634" t="s">
        <v>1800</v>
      </c>
      <c r="V38" s="635" t="s">
        <v>1801</v>
      </c>
      <c r="W38" s="633" t="s">
        <v>1802</v>
      </c>
      <c r="X38" s="634" t="s">
        <v>1803</v>
      </c>
      <c r="Y38" s="632">
        <f t="shared" si="10"/>
        <v>43922</v>
      </c>
      <c r="Z38" s="632">
        <f t="shared" si="11"/>
        <v>20121</v>
      </c>
      <c r="AA38" s="636">
        <f t="shared" si="12"/>
        <v>-0.54200000000000004</v>
      </c>
      <c r="AB38" s="636">
        <f t="shared" si="13"/>
        <v>0.72899999999999998</v>
      </c>
      <c r="AC38" s="632">
        <f t="shared" si="14"/>
        <v>34790</v>
      </c>
      <c r="AD38" s="632">
        <f t="shared" si="15"/>
        <v>29403</v>
      </c>
      <c r="AE38" s="636" t="str">
        <f t="shared" si="16"/>
        <v>Tgt Hit</v>
      </c>
      <c r="AF38" s="632">
        <f t="shared" si="17"/>
        <v>20121</v>
      </c>
      <c r="AG38" s="632">
        <f t="shared" si="18"/>
        <v>43862</v>
      </c>
      <c r="AH38" s="625" t="str">
        <f t="shared" si="19"/>
        <v>SL Hit</v>
      </c>
    </row>
    <row r="39" spans="1:34">
      <c r="A39" s="623">
        <f t="shared" si="0"/>
        <v>10</v>
      </c>
      <c r="B39" s="624">
        <f t="shared" ref="B39:B40" si="48">IF(AF39&lt;=AG39,1,IF(AH39&lt;=0.005,2,IF(AND(AH39&gt;0.005,AH39&lt;=0.02, L182),4,IF(AND(AH39&gt;0.02,AH39&lt;=0.05),5,IF(AND(AH39&gt;0.05,AH39&lt;=0.1),7,IF(AND(AH39&gt;0.1,AH39&lt;=0.2),8,IF(AH39&gt;0.2,10)))))))</f>
        <v>1</v>
      </c>
      <c r="C39" s="623">
        <f t="shared" ref="C39:C40" si="49">IF(AA39&lt;=0.005,10,IF(AND(AA39&gt;0.005,AA39&lt;=0.01, C167),9,IF(AND(AA39&gt;0.01,AA39&lt;=0.02),8,IF(AND(AA39&gt;0.02,AA39&lt;=0.05),7,IF(AND(AA39&gt;0.05,AA39&lt;=0.1),6,IF(AND(AA39&gt;0.1,AA39&lt;=0.2),5,IF(AND(AA39&gt;0.2,AA39&lt;=0.3),4,IF(AND(AA39&gt;0.3,AA39&lt;=0.4),3,IF(AND(AA39&gt;0.4,AA39&lt;=0.5),2,IF(AA39&gt;0.5,1))))))))))</f>
        <v>10</v>
      </c>
      <c r="D39" s="623">
        <f t="shared" si="3"/>
        <v>10</v>
      </c>
      <c r="E39" s="624">
        <f t="shared" si="4"/>
        <v>9.3000000000000007</v>
      </c>
      <c r="F39" s="625">
        <f t="shared" si="5"/>
        <v>0.12470973910667942</v>
      </c>
      <c r="G39" s="626">
        <f t="shared" si="22"/>
        <v>-0.35220000000000001</v>
      </c>
      <c r="H39" s="627">
        <f t="shared" si="45"/>
        <v>-0.67600000000000005</v>
      </c>
      <c r="I39" s="628">
        <f t="shared" si="8"/>
        <v>-167170500</v>
      </c>
      <c r="J39" s="629">
        <f t="shared" si="9"/>
        <v>320880000</v>
      </c>
      <c r="K39" s="630">
        <v>10500</v>
      </c>
      <c r="L39" s="631">
        <v>44878</v>
      </c>
      <c r="M39" s="632"/>
      <c r="N39" s="632" t="s">
        <v>1610</v>
      </c>
      <c r="O39" s="632" t="s">
        <v>471</v>
      </c>
      <c r="P39" s="632" t="s">
        <v>1642</v>
      </c>
      <c r="Q39" s="632">
        <v>74</v>
      </c>
      <c r="R39" s="632" t="s">
        <v>1577</v>
      </c>
      <c r="S39" s="632" t="s">
        <v>1804</v>
      </c>
      <c r="T39" s="633" t="s">
        <v>1805</v>
      </c>
      <c r="U39" s="634" t="s">
        <v>1806</v>
      </c>
      <c r="V39" s="635" t="s">
        <v>1807</v>
      </c>
      <c r="W39" s="633" t="s">
        <v>1808</v>
      </c>
      <c r="X39" s="634" t="s">
        <v>1809</v>
      </c>
      <c r="Y39" s="632">
        <f t="shared" si="10"/>
        <v>45202</v>
      </c>
      <c r="Z39" s="632">
        <f t="shared" si="11"/>
        <v>11049</v>
      </c>
      <c r="AA39" s="636">
        <f t="shared" si="12"/>
        <v>-0.75600000000000001</v>
      </c>
      <c r="AB39" s="636">
        <f t="shared" si="13"/>
        <v>2.9780000000000002</v>
      </c>
      <c r="AC39" s="632">
        <f t="shared" si="14"/>
        <v>43952</v>
      </c>
      <c r="AD39" s="632">
        <f t="shared" si="15"/>
        <v>29281</v>
      </c>
      <c r="AE39" s="636" t="str">
        <f t="shared" si="16"/>
        <v>Tgt Hit</v>
      </c>
      <c r="AF39" s="632">
        <f t="shared" si="17"/>
        <v>12816</v>
      </c>
      <c r="AG39" s="632">
        <f t="shared" si="18"/>
        <v>14642</v>
      </c>
      <c r="AH39" s="625" t="str">
        <f t="shared" si="19"/>
        <v>SL Hit</v>
      </c>
    </row>
    <row r="40" spans="1:34">
      <c r="A40" s="623">
        <f t="shared" si="0"/>
        <v>1</v>
      </c>
      <c r="B40" s="624">
        <f t="shared" si="48"/>
        <v>10</v>
      </c>
      <c r="C40" s="623">
        <f t="shared" si="49"/>
        <v>1</v>
      </c>
      <c r="D40" s="623">
        <f t="shared" si="3"/>
        <v>10</v>
      </c>
      <c r="E40" s="624">
        <f t="shared" si="4"/>
        <v>2.4</v>
      </c>
      <c r="F40" s="625" t="str">
        <f t="shared" si="5"/>
        <v xml:space="preserve">     -</v>
      </c>
      <c r="G40" s="626" t="str">
        <f t="shared" si="22"/>
        <v/>
      </c>
      <c r="H40" s="627">
        <f t="shared" si="45"/>
        <v>-1</v>
      </c>
      <c r="I40" s="628" t="e">
        <f t="shared" si="8"/>
        <v>#VALUE!</v>
      </c>
      <c r="J40" s="629">
        <f t="shared" si="9"/>
        <v>17187900</v>
      </c>
      <c r="K40" s="630">
        <v>1150</v>
      </c>
      <c r="L40" s="631">
        <v>44878</v>
      </c>
      <c r="M40" s="632"/>
      <c r="N40" s="632" t="s">
        <v>1574</v>
      </c>
      <c r="O40" s="632" t="s">
        <v>1810</v>
      </c>
      <c r="P40" s="632" t="s">
        <v>1642</v>
      </c>
      <c r="Q40" s="632">
        <v>415</v>
      </c>
      <c r="R40" s="632" t="s">
        <v>1585</v>
      </c>
      <c r="S40" s="632" t="s">
        <v>1811</v>
      </c>
      <c r="T40" s="633" t="s">
        <v>1812</v>
      </c>
      <c r="U40" s="634" t="s">
        <v>1718</v>
      </c>
      <c r="V40" s="635" t="s">
        <v>1813</v>
      </c>
      <c r="W40" s="633" t="s">
        <v>1814</v>
      </c>
      <c r="X40" s="634" t="s">
        <v>1815</v>
      </c>
      <c r="Y40" s="632">
        <f t="shared" si="10"/>
        <v>14946</v>
      </c>
      <c r="Z40" s="632" t="str">
        <f t="shared" si="11"/>
        <v/>
      </c>
      <c r="AA40" s="636" t="str">
        <f t="shared" si="12"/>
        <v/>
      </c>
      <c r="AB40" s="636" t="str">
        <f t="shared" si="13"/>
        <v/>
      </c>
      <c r="AC40" s="632">
        <f t="shared" si="14"/>
        <v>0</v>
      </c>
      <c r="AD40" s="632" t="str">
        <f t="shared" si="15"/>
        <v/>
      </c>
      <c r="AE40" s="636" t="str">
        <f t="shared" si="16"/>
        <v/>
      </c>
      <c r="AF40" s="632" t="str">
        <f t="shared" si="17"/>
        <v/>
      </c>
      <c r="AG40" s="632">
        <f t="shared" si="18"/>
        <v>0</v>
      </c>
      <c r="AH40" s="625" t="str">
        <f t="shared" si="19"/>
        <v/>
      </c>
    </row>
    <row r="41" spans="1:34">
      <c r="A41" s="623">
        <f t="shared" si="0"/>
        <v>1</v>
      </c>
      <c r="B41" s="624">
        <f>IF(AF41&lt;=AG41,1,IF(AH41&lt;=0.005,2,IF(AND(AH41&gt;0.005,AH41&lt;=0.02, L183),4,IF(AND(AH41&gt;0.02,AH41&lt;=0.05),5,IF(AND(AH41&gt;0.05,AH41&lt;=0.1),7,IF(AND(AH41&gt;0.1,AH41&lt;=0.2),8,IF(AH41&gt;0.2,10)))))))</f>
        <v>10</v>
      </c>
      <c r="C41" s="623">
        <f>IF(AA41&lt;=0.005,10,IF(AND(AA41&gt;0.005,AA41&lt;=0.01, C168),9,IF(AND(AA41&gt;0.01,AA41&lt;=0.02),8,IF(AND(AA41&gt;0.02,AA41&lt;=0.05),7,IF(AND(AA41&gt;0.05,AA41&lt;=0.1),6,IF(AND(AA41&gt;0.1,AA41&lt;=0.2),5,IF(AND(AA41&gt;0.2,AA41&lt;=0.3),4,IF(AND(AA41&gt;0.3,AA41&lt;=0.4),3,IF(AND(AA41&gt;0.4,AA41&lt;=0.5),2,IF(AA41&gt;0.5,1))))))))))</f>
        <v>10</v>
      </c>
      <c r="D41" s="623">
        <f t="shared" si="3"/>
        <v>1</v>
      </c>
      <c r="E41" s="624">
        <f t="shared" si="4"/>
        <v>8.6</v>
      </c>
      <c r="F41" s="625" t="str">
        <f t="shared" si="5"/>
        <v xml:space="preserve">     -</v>
      </c>
      <c r="G41" s="626">
        <f t="shared" si="22"/>
        <v>-0.37009999999999998</v>
      </c>
      <c r="H41" s="627">
        <f t="shared" si="45"/>
        <v>-0.438</v>
      </c>
      <c r="I41" s="628">
        <f t="shared" si="8"/>
        <v>-46594800</v>
      </c>
      <c r="J41" s="629">
        <f t="shared" si="9"/>
        <v>55091600</v>
      </c>
      <c r="K41" s="630">
        <v>4300</v>
      </c>
      <c r="L41" s="631">
        <f ca="1">TODAY()</f>
        <v>45049</v>
      </c>
      <c r="M41" s="632"/>
      <c r="N41" s="632" t="s">
        <v>1708</v>
      </c>
      <c r="O41" s="632" t="s">
        <v>1816</v>
      </c>
      <c r="P41" s="632" t="s">
        <v>1642</v>
      </c>
      <c r="Q41" s="632">
        <v>115</v>
      </c>
      <c r="R41" s="632" t="s">
        <v>1585</v>
      </c>
      <c r="S41" s="632" t="s">
        <v>1817</v>
      </c>
      <c r="T41" s="633" t="s">
        <v>1818</v>
      </c>
      <c r="U41" s="634" t="s">
        <v>1819</v>
      </c>
      <c r="V41" s="635" t="s">
        <v>1820</v>
      </c>
      <c r="W41" s="633" t="s">
        <v>1821</v>
      </c>
      <c r="X41" s="634" t="s">
        <v>1822</v>
      </c>
      <c r="Y41" s="632">
        <f t="shared" si="10"/>
        <v>29281</v>
      </c>
      <c r="Z41" s="632">
        <f t="shared" si="11"/>
        <v>25628</v>
      </c>
      <c r="AA41" s="636">
        <f t="shared" si="12"/>
        <v>-0.125</v>
      </c>
      <c r="AB41" s="636">
        <f t="shared" si="13"/>
        <v>-1</v>
      </c>
      <c r="AC41" s="632">
        <f t="shared" si="14"/>
        <v>0</v>
      </c>
      <c r="AD41" s="632">
        <f t="shared" si="15"/>
        <v>18445</v>
      </c>
      <c r="AE41" s="636">
        <f t="shared" si="16"/>
        <v>1</v>
      </c>
      <c r="AF41" s="632" t="str">
        <f t="shared" si="17"/>
        <v/>
      </c>
      <c r="AG41" s="632">
        <f t="shared" si="18"/>
        <v>16469</v>
      </c>
      <c r="AH41" s="625" t="str">
        <f t="shared" si="19"/>
        <v/>
      </c>
    </row>
    <row r="42" spans="1:34">
      <c r="A42" s="623">
        <f t="shared" si="0"/>
        <v>1</v>
      </c>
      <c r="B42" s="624">
        <f t="shared" ref="B42:B43" si="50">IF(AF42&lt;=AG42,1,IF(AH42&lt;=0.005,2,IF(AND(AH42&gt;0.005,AH42&lt;=0.02, L182),4,IF(AND(AH42&gt;0.02,AH42&lt;=0.05),5,IF(AND(AH42&gt;0.05,AH42&lt;=0.1),7,IF(AND(AH42&gt;0.1,AH42&lt;=0.2),8,IF(AH42&gt;0.2,10)))))))</f>
        <v>10</v>
      </c>
      <c r="C42" s="623">
        <f t="shared" ref="C42:C43" si="51">IF(AA42&lt;=0.005,10,IF(AND(AA42&gt;0.005,AA42&lt;=0.01, C167),9,IF(AND(AA42&gt;0.01,AA42&lt;=0.02),8,IF(AND(AA42&gt;0.02,AA42&lt;=0.05),7,IF(AND(AA42&gt;0.05,AA42&lt;=0.1),6,IF(AND(AA42&gt;0.1,AA42&lt;=0.2),5,IF(AND(AA42&gt;0.2,AA42&lt;=0.3),4,IF(AND(AA42&gt;0.3,AA42&lt;=0.4),3,IF(AND(AA42&gt;0.4,AA42&lt;=0.5),2,IF(AA42&gt;0.5,1))))))))))</f>
        <v>1</v>
      </c>
      <c r="D42" s="623">
        <f t="shared" si="3"/>
        <v>1</v>
      </c>
      <c r="E42" s="624">
        <f t="shared" si="4"/>
        <v>1.7</v>
      </c>
      <c r="F42" s="625" t="str">
        <f t="shared" si="5"/>
        <v xml:space="preserve">     -</v>
      </c>
      <c r="G42" s="626" t="str">
        <f t="shared" si="22"/>
        <v/>
      </c>
      <c r="H42" s="627">
        <f t="shared" si="45"/>
        <v>-1</v>
      </c>
      <c r="I42" s="628" t="e">
        <f t="shared" si="8"/>
        <v>#VALUE!</v>
      </c>
      <c r="J42" s="629">
        <f t="shared" si="9"/>
        <v>21080025</v>
      </c>
      <c r="K42" s="630">
        <v>1425</v>
      </c>
      <c r="L42" s="631">
        <v>44879</v>
      </c>
      <c r="M42" s="632"/>
      <c r="N42" s="632" t="s">
        <v>1610</v>
      </c>
      <c r="O42" s="632" t="s">
        <v>518</v>
      </c>
      <c r="P42" s="632" t="s">
        <v>1642</v>
      </c>
      <c r="Q42" s="632">
        <v>440</v>
      </c>
      <c r="R42" s="632" t="s">
        <v>1585</v>
      </c>
      <c r="S42" s="632" t="s">
        <v>1823</v>
      </c>
      <c r="T42" s="633" t="s">
        <v>1786</v>
      </c>
      <c r="U42" s="634" t="s">
        <v>1787</v>
      </c>
      <c r="V42" s="635" t="s">
        <v>1824</v>
      </c>
      <c r="W42" s="633" t="s">
        <v>1825</v>
      </c>
      <c r="X42" s="634" t="s">
        <v>1826</v>
      </c>
      <c r="Y42" s="632">
        <f t="shared" si="10"/>
        <v>14793</v>
      </c>
      <c r="Z42" s="632">
        <f t="shared" si="11"/>
        <v>45054</v>
      </c>
      <c r="AA42" s="636">
        <f t="shared" si="12"/>
        <v>2.0459999999999998</v>
      </c>
      <c r="AB42" s="636">
        <f t="shared" si="13"/>
        <v>-0.30499999999999999</v>
      </c>
      <c r="AC42" s="632">
        <f t="shared" si="14"/>
        <v>31291</v>
      </c>
      <c r="AD42" s="632" t="str">
        <f t="shared" si="15"/>
        <v/>
      </c>
      <c r="AE42" s="636" t="str">
        <f t="shared" si="16"/>
        <v/>
      </c>
      <c r="AF42" s="632">
        <f t="shared" si="17"/>
        <v>14793</v>
      </c>
      <c r="AG42" s="632">
        <f t="shared" si="18"/>
        <v>0</v>
      </c>
      <c r="AH42" s="625" t="str">
        <f t="shared" si="19"/>
        <v/>
      </c>
    </row>
    <row r="43" spans="1:34">
      <c r="A43" s="623">
        <f t="shared" si="0"/>
        <v>0</v>
      </c>
      <c r="B43" s="624">
        <f t="shared" si="50"/>
        <v>10</v>
      </c>
      <c r="C43" s="623">
        <f t="shared" si="51"/>
        <v>1</v>
      </c>
      <c r="D43" s="623">
        <f t="shared" si="3"/>
        <v>10</v>
      </c>
      <c r="E43" s="624">
        <f t="shared" si="4"/>
        <v>2.2999999999999998</v>
      </c>
      <c r="F43" s="625" t="str">
        <f t="shared" si="5"/>
        <v xml:space="preserve">     -</v>
      </c>
      <c r="G43" s="626" t="str">
        <f t="shared" si="22"/>
        <v/>
      </c>
      <c r="H43" s="627" t="str">
        <f t="shared" si="45"/>
        <v/>
      </c>
      <c r="I43" s="628" t="e">
        <f t="shared" si="8"/>
        <v>#VALUE!</v>
      </c>
      <c r="J43" s="629" t="e">
        <f t="shared" si="9"/>
        <v>#VALUE!</v>
      </c>
      <c r="K43" s="630">
        <v>1620</v>
      </c>
      <c r="L43" s="631">
        <v>44880</v>
      </c>
      <c r="M43" s="637" t="s">
        <v>1827</v>
      </c>
      <c r="N43" s="632" t="s">
        <v>1574</v>
      </c>
      <c r="O43" s="632" t="s">
        <v>1828</v>
      </c>
      <c r="P43" s="632" t="s">
        <v>1642</v>
      </c>
      <c r="Q43" s="632">
        <v>760</v>
      </c>
      <c r="R43" s="632" t="s">
        <v>1585</v>
      </c>
      <c r="S43" s="632" t="s">
        <v>1829</v>
      </c>
      <c r="T43" s="633" t="s">
        <v>1830</v>
      </c>
      <c r="U43" s="634" t="s">
        <v>1831</v>
      </c>
      <c r="V43" s="635" t="s">
        <v>1832</v>
      </c>
      <c r="W43" s="633" t="s">
        <v>1833</v>
      </c>
      <c r="X43" s="634" t="s">
        <v>1834</v>
      </c>
      <c r="Y43" s="632" t="str">
        <f t="shared" si="10"/>
        <v/>
      </c>
      <c r="Z43" s="632" t="str">
        <f t="shared" si="11"/>
        <v/>
      </c>
      <c r="AA43" s="636" t="str">
        <f t="shared" si="12"/>
        <v/>
      </c>
      <c r="AB43" s="636" t="str">
        <f t="shared" si="13"/>
        <v/>
      </c>
      <c r="AC43" s="632">
        <f t="shared" si="14"/>
        <v>0</v>
      </c>
      <c r="AD43" s="632" t="str">
        <f t="shared" si="15"/>
        <v/>
      </c>
      <c r="AE43" s="636" t="str">
        <f t="shared" si="16"/>
        <v/>
      </c>
      <c r="AF43" s="632">
        <f t="shared" si="17"/>
        <v>24016</v>
      </c>
      <c r="AG43" s="632">
        <f t="shared" si="18"/>
        <v>0</v>
      </c>
      <c r="AH43" s="625" t="str">
        <f t="shared" si="19"/>
        <v/>
      </c>
    </row>
    <row r="44" spans="1:34">
      <c r="A44" s="623">
        <f t="shared" si="0"/>
        <v>1</v>
      </c>
      <c r="B44" s="624">
        <f>IF(AF44&lt;=AG44,1,IF(AH44&lt;=0.005,2,IF(AND(AH44&gt;0.005,AH44&lt;=0.02, L183),4,IF(AND(AH44&gt;0.02,AH44&lt;=0.05),5,IF(AND(AH44&gt;0.05,AH44&lt;=0.1),7,IF(AND(AH44&gt;0.1,AH44&lt;=0.2),8,IF(AH44&gt;0.2,10)))))))</f>
        <v>4</v>
      </c>
      <c r="C44" s="623">
        <f>IF(AA44&lt;=0.005,10,IF(AND(AA44&gt;0.005,AA44&lt;=0.01, C168),9,IF(AND(AA44&gt;0.01,AA44&lt;=0.02),8,IF(AND(AA44&gt;0.02,AA44&lt;=0.05),7,IF(AND(AA44&gt;0.05,AA44&lt;=0.1),6,IF(AND(AA44&gt;0.1,AA44&lt;=0.2),5,IF(AND(AA44&gt;0.2,AA44&lt;=0.3),4,IF(AND(AA44&gt;0.3,AA44&lt;=0.4),3,IF(AND(AA44&gt;0.4,AA44&lt;=0.5),2,IF(AA44&gt;0.5,1))))))))))</f>
        <v>1</v>
      </c>
      <c r="D44" s="623">
        <f t="shared" si="3"/>
        <v>1</v>
      </c>
      <c r="E44" s="624">
        <f t="shared" si="4"/>
        <v>1.2</v>
      </c>
      <c r="F44" s="625" t="str">
        <f t="shared" si="5"/>
        <v xml:space="preserve">     -</v>
      </c>
      <c r="G44" s="626" t="str">
        <f t="shared" si="22"/>
        <v/>
      </c>
      <c r="H44" s="627" t="str">
        <f t="shared" si="45"/>
        <v/>
      </c>
      <c r="I44" s="628" t="e">
        <f t="shared" si="8"/>
        <v>#VALUE!</v>
      </c>
      <c r="J44" s="629" t="e">
        <f t="shared" si="9"/>
        <v>#VALUE!</v>
      </c>
      <c r="K44" s="630">
        <v>1425</v>
      </c>
      <c r="L44" s="631">
        <v>44880</v>
      </c>
      <c r="M44" s="632"/>
      <c r="N44" s="632" t="s">
        <v>1708</v>
      </c>
      <c r="O44" s="632" t="s">
        <v>518</v>
      </c>
      <c r="P44" s="632" t="s">
        <v>1642</v>
      </c>
      <c r="Q44" s="632">
        <v>440</v>
      </c>
      <c r="R44" s="632" t="s">
        <v>1585</v>
      </c>
      <c r="S44" s="632" t="s">
        <v>1835</v>
      </c>
      <c r="T44" s="633" t="s">
        <v>1836</v>
      </c>
      <c r="U44" s="634" t="s">
        <v>1837</v>
      </c>
      <c r="V44" s="635" t="s">
        <v>1824</v>
      </c>
      <c r="W44" s="633" t="s">
        <v>1825</v>
      </c>
      <c r="X44" s="634" t="s">
        <v>1826</v>
      </c>
      <c r="Y44" s="632" t="str">
        <f t="shared" si="10"/>
        <v/>
      </c>
      <c r="Z44" s="632">
        <f t="shared" si="11"/>
        <v>45054</v>
      </c>
      <c r="AA44" s="636" t="str">
        <f t="shared" si="12"/>
        <v/>
      </c>
      <c r="AB44" s="636">
        <f t="shared" si="13"/>
        <v>-0.30499999999999999</v>
      </c>
      <c r="AC44" s="632">
        <f t="shared" si="14"/>
        <v>31291</v>
      </c>
      <c r="AD44" s="632" t="str">
        <f t="shared" si="15"/>
        <v/>
      </c>
      <c r="AE44" s="636" t="str">
        <f t="shared" si="16"/>
        <v/>
      </c>
      <c r="AF44" s="632">
        <f t="shared" si="17"/>
        <v>14793</v>
      </c>
      <c r="AG44" s="632">
        <f t="shared" si="18"/>
        <v>14702</v>
      </c>
      <c r="AH44" s="625">
        <f t="shared" si="19"/>
        <v>6.0000000000000001E-3</v>
      </c>
    </row>
    <row r="45" spans="1:34">
      <c r="A45" s="623">
        <f t="shared" si="0"/>
        <v>1</v>
      </c>
      <c r="B45" s="624">
        <f t="shared" ref="B45:B46" si="52">IF(AF45&lt;=AG45,1,IF(AH45&lt;=0.005,2,IF(AND(AH45&gt;0.005,AH45&lt;=0.02, L182),4,IF(AND(AH45&gt;0.02,AH45&lt;=0.05),5,IF(AND(AH45&gt;0.05,AH45&lt;=0.1),7,IF(AND(AH45&gt;0.1,AH45&lt;=0.2),8,IF(AH45&gt;0.2,10)))))))</f>
        <v>10</v>
      </c>
      <c r="C45" s="623">
        <f t="shared" ref="C45:C46" si="53">IF(AA45&lt;=0.005,10,IF(AND(AA45&gt;0.005,AA45&lt;=0.01, C167),9,IF(AND(AA45&gt;0.01,AA45&lt;=0.02),8,IF(AND(AA45&gt;0.02,AA45&lt;=0.05),7,IF(AND(AA45&gt;0.05,AA45&lt;=0.1),6,IF(AND(AA45&gt;0.1,AA45&lt;=0.2),5,IF(AND(AA45&gt;0.2,AA45&lt;=0.3),4,IF(AND(AA45&gt;0.3,AA45&lt;=0.4),3,IF(AND(AA45&gt;0.4,AA45&lt;=0.5),2,IF(AA45&gt;0.5,1))))))))))</f>
        <v>10</v>
      </c>
      <c r="D45" s="623">
        <f t="shared" si="3"/>
        <v>1</v>
      </c>
      <c r="E45" s="624">
        <f t="shared" si="4"/>
        <v>8.6</v>
      </c>
      <c r="F45" s="625" t="str">
        <f t="shared" si="5"/>
        <v xml:space="preserve">     -</v>
      </c>
      <c r="G45" s="626" t="str">
        <f t="shared" si="22"/>
        <v/>
      </c>
      <c r="H45" s="627">
        <f t="shared" si="45"/>
        <v>-1</v>
      </c>
      <c r="I45" s="628" t="e">
        <f t="shared" si="8"/>
        <v>#VALUE!</v>
      </c>
      <c r="J45" s="629">
        <f t="shared" si="9"/>
        <v>48655350</v>
      </c>
      <c r="K45" s="630">
        <v>1150</v>
      </c>
      <c r="L45" s="631">
        <v>44881</v>
      </c>
      <c r="M45" s="632"/>
      <c r="N45" s="632" t="s">
        <v>1574</v>
      </c>
      <c r="O45" s="632" t="s">
        <v>1810</v>
      </c>
      <c r="P45" s="632" t="s">
        <v>1642</v>
      </c>
      <c r="Q45" s="632">
        <v>435</v>
      </c>
      <c r="R45" s="632" t="s">
        <v>1585</v>
      </c>
      <c r="S45" s="632" t="s">
        <v>1838</v>
      </c>
      <c r="T45" s="633" t="s">
        <v>1812</v>
      </c>
      <c r="U45" s="634" t="s">
        <v>1839</v>
      </c>
      <c r="V45" s="635" t="s">
        <v>1840</v>
      </c>
      <c r="W45" s="633" t="s">
        <v>1841</v>
      </c>
      <c r="X45" s="634" t="s">
        <v>1842</v>
      </c>
      <c r="Y45" s="632">
        <f t="shared" si="10"/>
        <v>42309</v>
      </c>
      <c r="Z45" s="632">
        <f t="shared" si="11"/>
        <v>14916</v>
      </c>
      <c r="AA45" s="636">
        <f t="shared" si="12"/>
        <v>-0.64700000000000002</v>
      </c>
      <c r="AB45" s="636">
        <f t="shared" si="13"/>
        <v>-1</v>
      </c>
      <c r="AC45" s="632">
        <f t="shared" si="14"/>
        <v>0</v>
      </c>
      <c r="AD45" s="632" t="str">
        <f t="shared" si="15"/>
        <v/>
      </c>
      <c r="AE45" s="636" t="str">
        <f t="shared" si="16"/>
        <v/>
      </c>
      <c r="AF45" s="632" t="str">
        <f t="shared" si="17"/>
        <v/>
      </c>
      <c r="AG45" s="632">
        <f t="shared" si="18"/>
        <v>0</v>
      </c>
      <c r="AH45" s="625" t="str">
        <f t="shared" si="19"/>
        <v/>
      </c>
    </row>
    <row r="46" spans="1:34">
      <c r="A46" s="623">
        <f t="shared" si="0"/>
        <v>10</v>
      </c>
      <c r="B46" s="624">
        <f t="shared" si="52"/>
        <v>10</v>
      </c>
      <c r="C46" s="623">
        <f t="shared" si="53"/>
        <v>4</v>
      </c>
      <c r="D46" s="623">
        <f t="shared" si="3"/>
        <v>7</v>
      </c>
      <c r="E46" s="624">
        <f t="shared" si="4"/>
        <v>5.2</v>
      </c>
      <c r="F46" s="625" t="str">
        <f t="shared" si="5"/>
        <v xml:space="preserve">     -</v>
      </c>
      <c r="G46" s="626">
        <f t="shared" si="22"/>
        <v>-0.39829999999999999</v>
      </c>
      <c r="H46" s="627">
        <f t="shared" si="45"/>
        <v>-0.4</v>
      </c>
      <c r="I46" s="628">
        <f t="shared" si="8"/>
        <v>-28004900</v>
      </c>
      <c r="J46" s="629">
        <f t="shared" si="9"/>
        <v>28124250</v>
      </c>
      <c r="K46" s="630">
        <v>3850</v>
      </c>
      <c r="L46" s="631">
        <v>44881</v>
      </c>
      <c r="M46" s="632"/>
      <c r="N46" s="632" t="s">
        <v>1610</v>
      </c>
      <c r="O46" s="632" t="s">
        <v>297</v>
      </c>
      <c r="P46" s="632" t="s">
        <v>1642</v>
      </c>
      <c r="Q46" s="632">
        <v>145</v>
      </c>
      <c r="R46" s="632" t="s">
        <v>1585</v>
      </c>
      <c r="S46" s="632" t="s">
        <v>1843</v>
      </c>
      <c r="T46" s="633" t="s">
        <v>1844</v>
      </c>
      <c r="U46" s="634" t="s">
        <v>1845</v>
      </c>
      <c r="V46" s="635" t="s">
        <v>1846</v>
      </c>
      <c r="W46" s="633" t="s">
        <v>1847</v>
      </c>
      <c r="X46" s="634" t="s">
        <v>1756</v>
      </c>
      <c r="Y46" s="632">
        <f t="shared" si="10"/>
        <v>18264</v>
      </c>
      <c r="Z46" s="632">
        <f t="shared" si="11"/>
        <v>23743</v>
      </c>
      <c r="AA46" s="636">
        <f t="shared" si="12"/>
        <v>0.3</v>
      </c>
      <c r="AB46" s="636">
        <f t="shared" si="13"/>
        <v>0.23100000000000001</v>
      </c>
      <c r="AC46" s="632">
        <f t="shared" si="14"/>
        <v>29221</v>
      </c>
      <c r="AD46" s="632">
        <f t="shared" si="15"/>
        <v>10990</v>
      </c>
      <c r="AE46" s="636" t="str">
        <f t="shared" si="16"/>
        <v>Tgt Hit</v>
      </c>
      <c r="AF46" s="632">
        <f t="shared" si="17"/>
        <v>45200</v>
      </c>
      <c r="AG46" s="632">
        <f t="shared" si="18"/>
        <v>10959</v>
      </c>
      <c r="AH46" s="625">
        <f t="shared" si="19"/>
        <v>3.1240000000000001</v>
      </c>
    </row>
    <row r="47" spans="1:34">
      <c r="A47" s="623">
        <f t="shared" si="0"/>
        <v>1</v>
      </c>
      <c r="B47" s="624">
        <f>IF(AF47&lt;=AG47,1,IF(AH47&lt;=0.005,2,IF(AND(AH47&gt;0.005,AH47&lt;=0.02, L183),4,IF(AND(AH47&gt;0.02,AH47&lt;=0.05),5,IF(AND(AH47&gt;0.05,AH47&lt;=0.1),7,IF(AND(AH47&gt;0.1,AH47&lt;=0.2),8,IF(AH47&gt;0.2,10)))))))</f>
        <v>10</v>
      </c>
      <c r="C47" s="623">
        <f>IF(AA47&lt;=0.005,10,IF(AND(AA47&gt;0.005,AA47&lt;=0.01, C168),9,IF(AND(AA47&gt;0.01,AA47&lt;=0.02),8,IF(AND(AA47&gt;0.02,AA47&lt;=0.05),7,IF(AND(AA47&gt;0.05,AA47&lt;=0.1),6,IF(AND(AA47&gt;0.1,AA47&lt;=0.2),5,IF(AND(AA47&gt;0.2,AA47&lt;=0.3),4,IF(AND(AA47&gt;0.3,AA47&lt;=0.4),3,IF(AND(AA47&gt;0.4,AA47&lt;=0.5),2,IF(AA47&gt;0.5,1))))))))))</f>
        <v>1</v>
      </c>
      <c r="D47" s="623">
        <f t="shared" si="3"/>
        <v>10</v>
      </c>
      <c r="E47" s="624">
        <f t="shared" si="4"/>
        <v>2.4</v>
      </c>
      <c r="F47" s="625" t="str">
        <f t="shared" si="5"/>
        <v xml:space="preserve">     -</v>
      </c>
      <c r="G47" s="626" t="str">
        <f t="shared" si="22"/>
        <v/>
      </c>
      <c r="H47" s="627">
        <f t="shared" si="45"/>
        <v>0.59</v>
      </c>
      <c r="I47" s="628" t="e">
        <f t="shared" si="8"/>
        <v>#VALUE!</v>
      </c>
      <c r="J47" s="629">
        <f t="shared" si="9"/>
        <v>-16299000</v>
      </c>
      <c r="K47" s="630">
        <v>1500</v>
      </c>
      <c r="L47" s="631">
        <v>44881</v>
      </c>
      <c r="M47" s="632"/>
      <c r="N47" s="632" t="s">
        <v>1708</v>
      </c>
      <c r="O47" s="632" t="s">
        <v>1848</v>
      </c>
      <c r="P47" s="632" t="s">
        <v>1642</v>
      </c>
      <c r="Q47" s="632">
        <v>290</v>
      </c>
      <c r="R47" s="632" t="s">
        <v>1577</v>
      </c>
      <c r="S47" s="632" t="s">
        <v>1849</v>
      </c>
      <c r="T47" s="633" t="s">
        <v>1850</v>
      </c>
      <c r="U47" s="634" t="s">
        <v>1851</v>
      </c>
      <c r="V47" s="635" t="s">
        <v>1852</v>
      </c>
      <c r="W47" s="633" t="s">
        <v>1853</v>
      </c>
      <c r="X47" s="634" t="s">
        <v>1854</v>
      </c>
      <c r="Y47" s="632">
        <f t="shared" si="10"/>
        <v>18415</v>
      </c>
      <c r="Z47" s="632" t="str">
        <f t="shared" si="11"/>
        <v/>
      </c>
      <c r="AA47" s="636" t="str">
        <f t="shared" si="12"/>
        <v/>
      </c>
      <c r="AB47" s="636" t="str">
        <f t="shared" si="13"/>
        <v/>
      </c>
      <c r="AC47" s="632">
        <f t="shared" si="14"/>
        <v>18507</v>
      </c>
      <c r="AD47" s="632" t="str">
        <f t="shared" si="15"/>
        <v/>
      </c>
      <c r="AE47" s="636" t="str">
        <f t="shared" si="16"/>
        <v/>
      </c>
      <c r="AF47" s="632" t="str">
        <f t="shared" si="17"/>
        <v/>
      </c>
      <c r="AG47" s="632">
        <f t="shared" si="18"/>
        <v>29281</v>
      </c>
      <c r="AH47" s="625" t="str">
        <f t="shared" si="19"/>
        <v/>
      </c>
    </row>
    <row r="48" spans="1:34">
      <c r="A48" s="623">
        <f t="shared" si="0"/>
        <v>2</v>
      </c>
      <c r="B48" s="624">
        <f t="shared" ref="B48:B49" si="54">IF(AF48&lt;=AG48,1,IF(AH48&lt;=0.005,2,IF(AND(AH48&gt;0.005,AH48&lt;=0.02, L182),4,IF(AND(AH48&gt;0.02,AH48&lt;=0.05),5,IF(AND(AH48&gt;0.05,AH48&lt;=0.1),7,IF(AND(AH48&gt;0.1,AH48&lt;=0.2),8,IF(AH48&gt;0.2,10)))))))</f>
        <v>1</v>
      </c>
      <c r="C48" s="623">
        <f t="shared" ref="C48:C49" si="55">IF(AA48&lt;=0.005,10,IF(AND(AA48&gt;0.005,AA48&lt;=0.01, C167),9,IF(AND(AA48&gt;0.01,AA48&lt;=0.02),8,IF(AND(AA48&gt;0.02,AA48&lt;=0.05),7,IF(AND(AA48&gt;0.05,AA48&lt;=0.1),6,IF(AND(AA48&gt;0.1,AA48&lt;=0.2),5,IF(AND(AA48&gt;0.2,AA48&lt;=0.3),4,IF(AND(AA48&gt;0.3,AA48&lt;=0.4),3,IF(AND(AA48&gt;0.4,AA48&lt;=0.5),2,IF(AA48&gt;0.5,1))))))))))</f>
        <v>10</v>
      </c>
      <c r="D48" s="623">
        <f t="shared" si="3"/>
        <v>5</v>
      </c>
      <c r="E48" s="624">
        <f t="shared" si="4"/>
        <v>8.3000000000000007</v>
      </c>
      <c r="F48" s="625">
        <f t="shared" si="5"/>
        <v>0.56247219465452925</v>
      </c>
      <c r="G48" s="626">
        <f t="shared" si="22"/>
        <v>4.2299999999999997E-2</v>
      </c>
      <c r="H48" s="627">
        <f t="shared" si="45"/>
        <v>-0.33400000000000002</v>
      </c>
      <c r="I48" s="628">
        <f t="shared" si="8"/>
        <v>9275000</v>
      </c>
      <c r="J48" s="629">
        <f t="shared" si="9"/>
        <v>73205000</v>
      </c>
      <c r="K48" s="630">
        <v>5000</v>
      </c>
      <c r="L48" s="631">
        <v>44882</v>
      </c>
      <c r="M48" s="632"/>
      <c r="N48" s="632" t="s">
        <v>1574</v>
      </c>
      <c r="O48" s="632" t="s">
        <v>601</v>
      </c>
      <c r="P48" s="632" t="s">
        <v>1642</v>
      </c>
      <c r="Q48" s="632">
        <v>133</v>
      </c>
      <c r="R48" s="632" t="s">
        <v>1577</v>
      </c>
      <c r="S48" s="632" t="s">
        <v>1855</v>
      </c>
      <c r="T48" s="633" t="s">
        <v>1856</v>
      </c>
      <c r="U48" s="634" t="s">
        <v>1857</v>
      </c>
      <c r="V48" s="635" t="s">
        <v>1748</v>
      </c>
      <c r="W48" s="633" t="s">
        <v>1858</v>
      </c>
      <c r="X48" s="634" t="s">
        <v>1859</v>
      </c>
      <c r="Y48" s="632">
        <f t="shared" si="10"/>
        <v>43862</v>
      </c>
      <c r="Z48" s="632">
        <f t="shared" si="11"/>
        <v>27426</v>
      </c>
      <c r="AA48" s="636">
        <f t="shared" si="12"/>
        <v>-0.375</v>
      </c>
      <c r="AB48" s="636">
        <f t="shared" si="13"/>
        <v>6.7000000000000004E-2</v>
      </c>
      <c r="AC48" s="632">
        <f t="shared" si="14"/>
        <v>29252</v>
      </c>
      <c r="AD48" s="632">
        <f t="shared" si="15"/>
        <v>45717</v>
      </c>
      <c r="AE48" s="636">
        <f t="shared" si="16"/>
        <v>0.36</v>
      </c>
      <c r="AF48" s="632">
        <f t="shared" si="17"/>
        <v>12785</v>
      </c>
      <c r="AG48" s="632">
        <f t="shared" si="18"/>
        <v>29221</v>
      </c>
      <c r="AH48" s="625" t="str">
        <f t="shared" si="19"/>
        <v>SL Hit</v>
      </c>
    </row>
    <row r="49" spans="1:34">
      <c r="A49" s="623">
        <f t="shared" si="0"/>
        <v>1</v>
      </c>
      <c r="B49" s="624">
        <f t="shared" si="54"/>
        <v>10</v>
      </c>
      <c r="C49" s="623">
        <f t="shared" si="55"/>
        <v>1</v>
      </c>
      <c r="D49" s="623">
        <f t="shared" si="3"/>
        <v>1</v>
      </c>
      <c r="E49" s="624">
        <f t="shared" si="4"/>
        <v>1.7</v>
      </c>
      <c r="F49" s="625" t="str">
        <f t="shared" si="5"/>
        <v xml:space="preserve">     -</v>
      </c>
      <c r="G49" s="626" t="str">
        <f t="shared" si="22"/>
        <v/>
      </c>
      <c r="H49" s="627">
        <f t="shared" si="45"/>
        <v>0.65500000000000003</v>
      </c>
      <c r="I49" s="628" t="e">
        <f t="shared" si="8"/>
        <v>#VALUE!</v>
      </c>
      <c r="J49" s="629">
        <f t="shared" si="9"/>
        <v>-10365450</v>
      </c>
      <c r="K49" s="630">
        <v>1425</v>
      </c>
      <c r="L49" s="631">
        <v>44882</v>
      </c>
      <c r="M49" s="632"/>
      <c r="N49" s="632" t="s">
        <v>1610</v>
      </c>
      <c r="O49" s="632" t="s">
        <v>518</v>
      </c>
      <c r="P49" s="632" t="s">
        <v>1642</v>
      </c>
      <c r="Q49" s="632">
        <v>430</v>
      </c>
      <c r="R49" s="632" t="s">
        <v>1577</v>
      </c>
      <c r="S49" s="632" t="s">
        <v>1860</v>
      </c>
      <c r="T49" s="633" t="s">
        <v>1861</v>
      </c>
      <c r="U49" s="634" t="s">
        <v>1862</v>
      </c>
      <c r="V49" s="635" t="s">
        <v>1863</v>
      </c>
      <c r="W49" s="633" t="s">
        <v>1864</v>
      </c>
      <c r="X49" s="634" t="s">
        <v>1865</v>
      </c>
      <c r="Y49" s="632">
        <f t="shared" si="10"/>
        <v>11110</v>
      </c>
      <c r="Z49" s="632">
        <f t="shared" si="11"/>
        <v>33147</v>
      </c>
      <c r="AA49" s="636">
        <f t="shared" si="12"/>
        <v>1.984</v>
      </c>
      <c r="AB49" s="636">
        <f t="shared" si="13"/>
        <v>-1</v>
      </c>
      <c r="AC49" s="632">
        <f t="shared" si="14"/>
        <v>0</v>
      </c>
      <c r="AD49" s="632" t="str">
        <f t="shared" si="15"/>
        <v/>
      </c>
      <c r="AE49" s="636" t="str">
        <f t="shared" si="16"/>
        <v/>
      </c>
      <c r="AF49" s="632">
        <f t="shared" si="17"/>
        <v>33025</v>
      </c>
      <c r="AG49" s="632">
        <f t="shared" si="18"/>
        <v>18384</v>
      </c>
      <c r="AH49" s="625">
        <f t="shared" si="19"/>
        <v>0.79600000000000004</v>
      </c>
    </row>
    <row r="50" spans="1:34">
      <c r="A50" s="623">
        <f t="shared" si="0"/>
        <v>1</v>
      </c>
      <c r="B50" s="624">
        <f t="shared" ref="B50:B51" si="56">IF(AF50&lt;=AG50,1,IF(AH50&lt;=0.005,2,IF(AND(AH50&gt;0.005,AH50&lt;=0.02, L182),4,IF(AND(AH50&gt;0.02,AH50&lt;=0.05),5,IF(AND(AH50&gt;0.05,AH50&lt;=0.1),7,IF(AND(AH50&gt;0.1,AH50&lt;=0.2),8,IF(AH50&gt;0.2,10)))))))</f>
        <v>10</v>
      </c>
      <c r="C50" s="623">
        <f t="shared" ref="C50:C51" si="57">IF(AA50&lt;=0.005,10,IF(AND(AA50&gt;0.005,AA50&lt;=0.01, C167),9,IF(AND(AA50&gt;0.01,AA50&lt;=0.02),8,IF(AND(AA50&gt;0.02,AA50&lt;=0.05),7,IF(AND(AA50&gt;0.05,AA50&lt;=0.1),6,IF(AND(AA50&gt;0.1,AA50&lt;=0.2),5,IF(AND(AA50&gt;0.2,AA50&lt;=0.3),4,IF(AND(AA50&gt;0.3,AA50&lt;=0.4),3,IF(AND(AA50&gt;0.4,AA50&lt;=0.5),2,IF(AA50&gt;0.5,1))))))))))</f>
        <v>1</v>
      </c>
      <c r="D50" s="623">
        <f t="shared" si="3"/>
        <v>10</v>
      </c>
      <c r="E50" s="624">
        <f t="shared" si="4"/>
        <v>2.4</v>
      </c>
      <c r="F50" s="625" t="str">
        <f t="shared" si="5"/>
        <v xml:space="preserve">     -</v>
      </c>
      <c r="G50" s="626" t="str">
        <f t="shared" si="22"/>
        <v/>
      </c>
      <c r="H50" s="627" t="str">
        <f t="shared" si="45"/>
        <v/>
      </c>
      <c r="I50" s="628" t="e">
        <f t="shared" si="8"/>
        <v>#VALUE!</v>
      </c>
      <c r="J50" s="629" t="e">
        <f t="shared" si="9"/>
        <v>#VALUE!</v>
      </c>
      <c r="K50" s="630">
        <v>200</v>
      </c>
      <c r="L50" s="631">
        <v>44883</v>
      </c>
      <c r="M50" s="632"/>
      <c r="N50" s="632" t="s">
        <v>1610</v>
      </c>
      <c r="O50" s="632" t="s">
        <v>705</v>
      </c>
      <c r="P50" s="632" t="s">
        <v>1642</v>
      </c>
      <c r="Q50" s="632">
        <v>3100</v>
      </c>
      <c r="R50" s="632" t="s">
        <v>1585</v>
      </c>
      <c r="S50" s="632" t="s">
        <v>1866</v>
      </c>
      <c r="T50" s="633" t="s">
        <v>1867</v>
      </c>
      <c r="U50" s="634" t="s">
        <v>1868</v>
      </c>
      <c r="V50" s="635" t="s">
        <v>1869</v>
      </c>
      <c r="W50" s="633" t="s">
        <v>1870</v>
      </c>
      <c r="X50" s="634" t="s">
        <v>1871</v>
      </c>
      <c r="Y50" s="632" t="str">
        <f t="shared" si="10"/>
        <v/>
      </c>
      <c r="Z50" s="632" t="str">
        <f t="shared" si="11"/>
        <v/>
      </c>
      <c r="AA50" s="636" t="str">
        <f t="shared" si="12"/>
        <v/>
      </c>
      <c r="AB50" s="636" t="str">
        <f t="shared" si="13"/>
        <v/>
      </c>
      <c r="AC50" s="632">
        <f t="shared" si="14"/>
        <v>0</v>
      </c>
      <c r="AD50" s="632" t="str">
        <f t="shared" si="15"/>
        <v/>
      </c>
      <c r="AE50" s="636" t="str">
        <f t="shared" si="16"/>
        <v/>
      </c>
      <c r="AF50" s="632" t="str">
        <f t="shared" si="17"/>
        <v/>
      </c>
      <c r="AG50" s="632">
        <f t="shared" si="18"/>
        <v>0</v>
      </c>
      <c r="AH50" s="625" t="str">
        <f t="shared" si="19"/>
        <v/>
      </c>
    </row>
    <row r="51" spans="1:34">
      <c r="A51" s="623">
        <f t="shared" si="0"/>
        <v>10</v>
      </c>
      <c r="B51" s="624">
        <f t="shared" si="56"/>
        <v>10</v>
      </c>
      <c r="C51" s="623">
        <f t="shared" si="57"/>
        <v>1</v>
      </c>
      <c r="D51" s="623">
        <f t="shared" si="3"/>
        <v>10</v>
      </c>
      <c r="E51" s="624">
        <f t="shared" si="4"/>
        <v>3.1</v>
      </c>
      <c r="F51" s="625" t="str">
        <f t="shared" si="5"/>
        <v xml:space="preserve">     -</v>
      </c>
      <c r="G51" s="626" t="str">
        <f t="shared" si="22"/>
        <v/>
      </c>
      <c r="H51" s="627" t="str">
        <f t="shared" si="45"/>
        <v/>
      </c>
      <c r="I51" s="628" t="e">
        <f t="shared" si="8"/>
        <v>#VALUE!</v>
      </c>
      <c r="J51" s="629" t="e">
        <f t="shared" si="9"/>
        <v>#VALUE!</v>
      </c>
      <c r="K51" s="630">
        <v>15000</v>
      </c>
      <c r="L51" s="631">
        <v>44883</v>
      </c>
      <c r="M51" s="632"/>
      <c r="N51" s="632" t="s">
        <v>1574</v>
      </c>
      <c r="O51" s="632" t="s">
        <v>650</v>
      </c>
      <c r="P51" s="632" t="s">
        <v>1642</v>
      </c>
      <c r="Q51" s="632">
        <v>56</v>
      </c>
      <c r="R51" s="632" t="s">
        <v>1577</v>
      </c>
      <c r="S51" s="632" t="s">
        <v>1872</v>
      </c>
      <c r="T51" s="633" t="s">
        <v>1873</v>
      </c>
      <c r="U51" s="634" t="s">
        <v>1770</v>
      </c>
      <c r="V51" s="635" t="s">
        <v>1874</v>
      </c>
      <c r="W51" s="633" t="s">
        <v>1875</v>
      </c>
      <c r="X51" s="634" t="s">
        <v>1876</v>
      </c>
      <c r="Y51" s="632" t="str">
        <f t="shared" si="10"/>
        <v/>
      </c>
      <c r="Z51" s="632" t="str">
        <f t="shared" si="11"/>
        <v/>
      </c>
      <c r="AA51" s="636" t="str">
        <f t="shared" si="12"/>
        <v/>
      </c>
      <c r="AB51" s="636" t="str">
        <f t="shared" si="13"/>
        <v/>
      </c>
      <c r="AC51" s="632">
        <f t="shared" si="14"/>
        <v>45658</v>
      </c>
      <c r="AD51" s="632">
        <f t="shared" si="15"/>
        <v>21916</v>
      </c>
      <c r="AE51" s="636" t="str">
        <f t="shared" si="16"/>
        <v>Tgt Hit</v>
      </c>
      <c r="AF51" s="632" t="str">
        <f t="shared" si="17"/>
        <v/>
      </c>
      <c r="AG51" s="632">
        <f t="shared" si="18"/>
        <v>0</v>
      </c>
      <c r="AH51" s="625" t="str">
        <f t="shared" si="19"/>
        <v/>
      </c>
    </row>
    <row r="52" spans="1:34">
      <c r="A52" s="623">
        <f t="shared" si="0"/>
        <v>1</v>
      </c>
      <c r="B52" s="624">
        <f>IF(AF52&lt;=AG52,1,IF(AH52&lt;=0.005,2,IF(AND(AH52&gt;0.005,AH52&lt;=0.02, L183),4,IF(AND(AH52&gt;0.02,AH52&lt;=0.05),5,IF(AND(AH52&gt;0.05,AH52&lt;=0.1),7,IF(AND(AH52&gt;0.1,AH52&lt;=0.2),8,IF(AH52&gt;0.2,10)))))))</f>
        <v>10</v>
      </c>
      <c r="C52" s="623">
        <f>IF(AA52&lt;=0.005,10,IF(AND(AA52&gt;0.005,AA52&lt;=0.01, C168),9,IF(AND(AA52&gt;0.01,AA52&lt;=0.02),8,IF(AND(AA52&gt;0.02,AA52&lt;=0.05),7,IF(AND(AA52&gt;0.05,AA52&lt;=0.1),6,IF(AND(AA52&gt;0.1,AA52&lt;=0.2),5,IF(AND(AA52&gt;0.2,AA52&lt;=0.3),4,IF(AND(AA52&gt;0.3,AA52&lt;=0.4),3,IF(AND(AA52&gt;0.4,AA52&lt;=0.5),2,IF(AA52&gt;0.5,1))))))))))</f>
        <v>1</v>
      </c>
      <c r="D52" s="623">
        <f t="shared" si="3"/>
        <v>10</v>
      </c>
      <c r="E52" s="624">
        <f t="shared" si="4"/>
        <v>2.4</v>
      </c>
      <c r="F52" s="625" t="str">
        <f t="shared" si="5"/>
        <v xml:space="preserve">     -</v>
      </c>
      <c r="G52" s="626" t="str">
        <f t="shared" si="22"/>
        <v/>
      </c>
      <c r="H52" s="627" t="str">
        <f t="shared" si="45"/>
        <v/>
      </c>
      <c r="I52" s="628" t="e">
        <f t="shared" si="8"/>
        <v>#VALUE!</v>
      </c>
      <c r="J52" s="629" t="e">
        <f t="shared" si="9"/>
        <v>#VALUE!</v>
      </c>
      <c r="K52" s="630">
        <v>1650</v>
      </c>
      <c r="L52" s="631">
        <v>44883</v>
      </c>
      <c r="M52" s="632"/>
      <c r="N52" s="632" t="s">
        <v>1708</v>
      </c>
      <c r="O52" s="632" t="s">
        <v>700</v>
      </c>
      <c r="P52" s="632" t="s">
        <v>1642</v>
      </c>
      <c r="Q52" s="632">
        <v>400</v>
      </c>
      <c r="R52" s="632" t="s">
        <v>1577</v>
      </c>
      <c r="S52" s="632" t="s">
        <v>1877</v>
      </c>
      <c r="T52" s="633" t="s">
        <v>1878</v>
      </c>
      <c r="U52" s="634" t="s">
        <v>1851</v>
      </c>
      <c r="V52" s="635" t="s">
        <v>1879</v>
      </c>
      <c r="W52" s="633" t="s">
        <v>1880</v>
      </c>
      <c r="X52" s="634" t="s">
        <v>1881</v>
      </c>
      <c r="Y52" s="632" t="str">
        <f t="shared" si="10"/>
        <v/>
      </c>
      <c r="Z52" s="632" t="str">
        <f t="shared" si="11"/>
        <v/>
      </c>
      <c r="AA52" s="636" t="str">
        <f t="shared" si="12"/>
        <v/>
      </c>
      <c r="AB52" s="636" t="str">
        <f t="shared" si="13"/>
        <v/>
      </c>
      <c r="AC52" s="632">
        <f t="shared" si="14"/>
        <v>33025</v>
      </c>
      <c r="AD52" s="632" t="str">
        <f t="shared" si="15"/>
        <v/>
      </c>
      <c r="AE52" s="636" t="str">
        <f t="shared" si="16"/>
        <v/>
      </c>
      <c r="AF52" s="632">
        <f t="shared" si="17"/>
        <v>43922</v>
      </c>
      <c r="AG52" s="632">
        <f t="shared" si="18"/>
        <v>29281</v>
      </c>
      <c r="AH52" s="625">
        <f t="shared" si="19"/>
        <v>0.5</v>
      </c>
    </row>
    <row r="53" spans="1:34">
      <c r="A53" s="623">
        <f t="shared" si="0"/>
        <v>1</v>
      </c>
      <c r="B53" s="624">
        <f t="shared" ref="B53:B54" si="58">IF(AF53&lt;=AG53,1,IF(AH53&lt;=0.005,2,IF(AND(AH53&gt;0.005,AH53&lt;=0.02, L181),4,IF(AND(AH53&gt;0.02,AH53&lt;=0.05),5,IF(AND(AH53&gt;0.05,AH53&lt;=0.1),7,IF(AND(AH53&gt;0.1,AH53&lt;=0.2),8,IF(AH53&gt;0.2,10)))))))</f>
        <v>10</v>
      </c>
      <c r="C53" s="623">
        <f t="shared" ref="C53:C54" si="59">IF(AA53&lt;=0.005,10,IF(AND(AA53&gt;0.005,AA53&lt;=0.01, C166),9,IF(AND(AA53&gt;0.01,AA53&lt;=0.02),8,IF(AND(AA53&gt;0.02,AA53&lt;=0.05),7,IF(AND(AA53&gt;0.05,AA53&lt;=0.1),6,IF(AND(AA53&gt;0.1,AA53&lt;=0.2),5,IF(AND(AA53&gt;0.2,AA53&lt;=0.3),4,IF(AND(AA53&gt;0.3,AA53&lt;=0.4),3,IF(AND(AA53&gt;0.4,AA53&lt;=0.5),2,IF(AA53&gt;0.5,1))))))))))</f>
        <v>1</v>
      </c>
      <c r="D53" s="623">
        <f t="shared" si="3"/>
        <v>10</v>
      </c>
      <c r="E53" s="624">
        <f t="shared" si="4"/>
        <v>2.4</v>
      </c>
      <c r="F53" s="625" t="str">
        <f t="shared" si="5"/>
        <v xml:space="preserve">     -</v>
      </c>
      <c r="G53" s="626" t="str">
        <f t="shared" si="22"/>
        <v/>
      </c>
      <c r="H53" s="627" t="str">
        <f t="shared" si="45"/>
        <v/>
      </c>
      <c r="I53" s="628" t="e">
        <f t="shared" si="8"/>
        <v>#VALUE!</v>
      </c>
      <c r="J53" s="629" t="e">
        <f t="shared" si="9"/>
        <v>#VALUE!</v>
      </c>
      <c r="K53" s="630">
        <v>700</v>
      </c>
      <c r="L53" s="631">
        <v>44886</v>
      </c>
      <c r="M53" s="632"/>
      <c r="N53" s="632" t="s">
        <v>1882</v>
      </c>
      <c r="O53" s="632" t="s">
        <v>1883</v>
      </c>
      <c r="P53" s="632" t="s">
        <v>1642</v>
      </c>
      <c r="Q53" s="632">
        <v>1100</v>
      </c>
      <c r="R53" s="632" t="s">
        <v>1585</v>
      </c>
      <c r="S53" s="632" t="s">
        <v>1884</v>
      </c>
      <c r="T53" s="633" t="s">
        <v>1735</v>
      </c>
      <c r="U53" s="634" t="s">
        <v>1885</v>
      </c>
      <c r="V53" s="635" t="s">
        <v>1886</v>
      </c>
      <c r="W53" s="633" t="s">
        <v>1887</v>
      </c>
      <c r="X53" s="634" t="s">
        <v>1888</v>
      </c>
      <c r="Y53" s="632" t="str">
        <f t="shared" si="10"/>
        <v/>
      </c>
      <c r="Z53" s="632" t="str">
        <f t="shared" si="11"/>
        <v/>
      </c>
      <c r="AA53" s="636" t="str">
        <f t="shared" si="12"/>
        <v/>
      </c>
      <c r="AB53" s="636" t="str">
        <f t="shared" si="13"/>
        <v/>
      </c>
      <c r="AC53" s="632">
        <f t="shared" si="14"/>
        <v>0</v>
      </c>
      <c r="AD53" s="632" t="str">
        <f t="shared" si="15"/>
        <v/>
      </c>
      <c r="AE53" s="636" t="str">
        <f t="shared" si="16"/>
        <v/>
      </c>
      <c r="AF53" s="632">
        <f t="shared" si="17"/>
        <v>45778</v>
      </c>
      <c r="AG53" s="632">
        <f t="shared" si="18"/>
        <v>0</v>
      </c>
      <c r="AH53" s="625" t="str">
        <f t="shared" si="19"/>
        <v/>
      </c>
    </row>
    <row r="54" spans="1:34">
      <c r="A54" s="623">
        <f t="shared" si="0"/>
        <v>1</v>
      </c>
      <c r="B54" s="624">
        <f t="shared" si="58"/>
        <v>10</v>
      </c>
      <c r="C54" s="623">
        <f t="shared" si="59"/>
        <v>1</v>
      </c>
      <c r="D54" s="623">
        <f t="shared" si="3"/>
        <v>10</v>
      </c>
      <c r="E54" s="624">
        <f t="shared" si="4"/>
        <v>2.4</v>
      </c>
      <c r="F54" s="625" t="str">
        <f t="shared" si="5"/>
        <v xml:space="preserve">     -</v>
      </c>
      <c r="G54" s="626" t="str">
        <f t="shared" si="22"/>
        <v/>
      </c>
      <c r="H54" s="627" t="str">
        <f t="shared" si="45"/>
        <v/>
      </c>
      <c r="I54" s="628" t="e">
        <f t="shared" si="8"/>
        <v>#VALUE!</v>
      </c>
      <c r="J54" s="629" t="e">
        <f t="shared" si="9"/>
        <v>#VALUE!</v>
      </c>
      <c r="K54" s="630">
        <v>500</v>
      </c>
      <c r="L54" s="631">
        <v>44886</v>
      </c>
      <c r="M54" s="632"/>
      <c r="N54" s="632" t="s">
        <v>1574</v>
      </c>
      <c r="O54" s="632" t="s">
        <v>706</v>
      </c>
      <c r="P54" s="632" t="s">
        <v>1642</v>
      </c>
      <c r="Q54" s="632">
        <v>1660</v>
      </c>
      <c r="R54" s="632" t="s">
        <v>1577</v>
      </c>
      <c r="S54" s="632" t="s">
        <v>1889</v>
      </c>
      <c r="T54" s="633" t="s">
        <v>1890</v>
      </c>
      <c r="U54" s="634" t="s">
        <v>1885</v>
      </c>
      <c r="V54" s="635" t="s">
        <v>1891</v>
      </c>
      <c r="W54" s="633" t="s">
        <v>1892</v>
      </c>
      <c r="X54" s="634" t="s">
        <v>1893</v>
      </c>
      <c r="Y54" s="632" t="str">
        <f t="shared" si="10"/>
        <v/>
      </c>
      <c r="Z54" s="632" t="str">
        <f t="shared" si="11"/>
        <v/>
      </c>
      <c r="AA54" s="636" t="str">
        <f t="shared" si="12"/>
        <v/>
      </c>
      <c r="AB54" s="636" t="str">
        <f t="shared" si="13"/>
        <v/>
      </c>
      <c r="AC54" s="632">
        <f t="shared" si="14"/>
        <v>0</v>
      </c>
      <c r="AD54" s="632" t="str">
        <f t="shared" si="15"/>
        <v/>
      </c>
      <c r="AE54" s="636" t="str">
        <f t="shared" si="16"/>
        <v/>
      </c>
      <c r="AF54" s="632" t="str">
        <f t="shared" si="17"/>
        <v/>
      </c>
      <c r="AG54" s="632">
        <f t="shared" si="18"/>
        <v>0</v>
      </c>
      <c r="AH54" s="625" t="str">
        <f t="shared" si="19"/>
        <v/>
      </c>
    </row>
    <row r="55" spans="1:34">
      <c r="A55" s="623">
        <f t="shared" si="0"/>
        <v>1</v>
      </c>
      <c r="B55" s="624">
        <f>IF(AF55&lt;=AG55,1,IF(AH55&lt;=0.005,2,IF(AND(AH55&gt;0.005,AH55&lt;=0.02, L182),4,IF(AND(AH55&gt;0.02,AH55&lt;=0.05),5,IF(AND(AH55&gt;0.05,AH55&lt;=0.1),7,IF(AND(AH55&gt;0.1,AH55&lt;=0.2),8,IF(AH55&gt;0.2,10)))))))</f>
        <v>10</v>
      </c>
      <c r="C55" s="623">
        <f>IF(AA55&lt;=0.005,10,IF(AND(AA55&gt;0.005,AA55&lt;=0.01, C167),9,IF(AND(AA55&gt;0.01,AA55&lt;=0.02),8,IF(AND(AA55&gt;0.02,AA55&lt;=0.05),7,IF(AND(AA55&gt;0.05,AA55&lt;=0.1),6,IF(AND(AA55&gt;0.1,AA55&lt;=0.2),5,IF(AND(AA55&gt;0.2,AA55&lt;=0.3),4,IF(AND(AA55&gt;0.3,AA55&lt;=0.4),3,IF(AND(AA55&gt;0.4,AA55&lt;=0.5),2,IF(AA55&gt;0.5,1))))))))))</f>
        <v>1</v>
      </c>
      <c r="D55" s="623">
        <f t="shared" si="3"/>
        <v>1</v>
      </c>
      <c r="E55" s="624">
        <f t="shared" si="4"/>
        <v>1.7</v>
      </c>
      <c r="F55" s="625" t="str">
        <f t="shared" si="5"/>
        <v xml:space="preserve">     -</v>
      </c>
      <c r="G55" s="626" t="str">
        <f t="shared" si="22"/>
        <v/>
      </c>
      <c r="H55" s="627" t="str">
        <f t="shared" si="45"/>
        <v/>
      </c>
      <c r="I55" s="628" t="e">
        <f t="shared" si="8"/>
        <v>#VALUE!</v>
      </c>
      <c r="J55" s="629" t="e">
        <f t="shared" si="9"/>
        <v>#VALUE!</v>
      </c>
      <c r="K55" s="630">
        <v>1425</v>
      </c>
      <c r="L55" s="631">
        <v>44887</v>
      </c>
      <c r="M55" s="632"/>
      <c r="N55" s="632" t="s">
        <v>1882</v>
      </c>
      <c r="O55" s="632" t="s">
        <v>518</v>
      </c>
      <c r="P55" s="632" t="s">
        <v>1642</v>
      </c>
      <c r="Q55" s="632">
        <v>420</v>
      </c>
      <c r="R55" s="632" t="s">
        <v>1577</v>
      </c>
      <c r="S55" s="632" t="s">
        <v>1894</v>
      </c>
      <c r="T55" s="633" t="s">
        <v>1735</v>
      </c>
      <c r="U55" s="634" t="s">
        <v>1718</v>
      </c>
      <c r="V55" s="635" t="s">
        <v>1895</v>
      </c>
      <c r="W55" s="633" t="s">
        <v>1896</v>
      </c>
      <c r="X55" s="634" t="s">
        <v>1773</v>
      </c>
      <c r="Y55" s="632" t="str">
        <f t="shared" si="10"/>
        <v/>
      </c>
      <c r="Z55" s="632">
        <f t="shared" si="11"/>
        <v>45049</v>
      </c>
      <c r="AA55" s="636" t="str">
        <f t="shared" si="12"/>
        <v/>
      </c>
      <c r="AB55" s="636">
        <f t="shared" si="13"/>
        <v>0</v>
      </c>
      <c r="AC55" s="632">
        <f t="shared" si="14"/>
        <v>45049</v>
      </c>
      <c r="AD55" s="632" t="str">
        <f t="shared" si="15"/>
        <v/>
      </c>
      <c r="AE55" s="636" t="str">
        <f t="shared" si="16"/>
        <v/>
      </c>
      <c r="AF55" s="632" t="str">
        <f t="shared" si="17"/>
        <v/>
      </c>
      <c r="AG55" s="632">
        <f t="shared" si="18"/>
        <v>0</v>
      </c>
      <c r="AH55" s="625" t="str">
        <f t="shared" si="19"/>
        <v/>
      </c>
    </row>
    <row r="56" spans="1:34">
      <c r="A56" s="623">
        <f t="shared" si="0"/>
        <v>1</v>
      </c>
      <c r="B56" s="624">
        <f t="shared" ref="B56:B58" si="60">IF(AF56&lt;=AG56,1,IF(AH56&lt;=0.005,2,IF(AND(AH56&gt;0.005,AH56&lt;=0.02, L181),4,IF(AND(AH56&gt;0.02,AH56&lt;=0.05),5,IF(AND(AH56&gt;0.05,AH56&lt;=0.1),7,IF(AND(AH56&gt;0.1,AH56&lt;=0.2),8,IF(AH56&gt;0.2,10)))))))</f>
        <v>10</v>
      </c>
      <c r="C56" s="623">
        <f t="shared" ref="C56:C58" si="61">IF(AA56&lt;=0.005,10,IF(AND(AA56&gt;0.005,AA56&lt;=0.01, C166),9,IF(AND(AA56&gt;0.01,AA56&lt;=0.02),8,IF(AND(AA56&gt;0.02,AA56&lt;=0.05),7,IF(AND(AA56&gt;0.05,AA56&lt;=0.1),6,IF(AND(AA56&gt;0.1,AA56&lt;=0.2),5,IF(AND(AA56&gt;0.2,AA56&lt;=0.3),4,IF(AND(AA56&gt;0.3,AA56&lt;=0.4),3,IF(AND(AA56&gt;0.4,AA56&lt;=0.5),2,IF(AA56&gt;0.5,1))))))))))</f>
        <v>1</v>
      </c>
      <c r="D56" s="623">
        <f t="shared" si="3"/>
        <v>1</v>
      </c>
      <c r="E56" s="624">
        <f t="shared" si="4"/>
        <v>1.7</v>
      </c>
      <c r="F56" s="625" t="str">
        <f t="shared" si="5"/>
        <v xml:space="preserve">     -</v>
      </c>
      <c r="G56" s="626" t="str">
        <f t="shared" si="22"/>
        <v/>
      </c>
      <c r="H56" s="627" t="str">
        <f t="shared" si="45"/>
        <v/>
      </c>
      <c r="I56" s="628" t="e">
        <f t="shared" si="8"/>
        <v>#VALUE!</v>
      </c>
      <c r="J56" s="629" t="e">
        <f t="shared" si="9"/>
        <v>#VALUE!</v>
      </c>
      <c r="K56" s="630">
        <v>175</v>
      </c>
      <c r="L56" s="631">
        <v>44887</v>
      </c>
      <c r="M56" s="632"/>
      <c r="N56" s="632" t="s">
        <v>1574</v>
      </c>
      <c r="O56" s="632" t="s">
        <v>701</v>
      </c>
      <c r="P56" s="632" t="s">
        <v>1897</v>
      </c>
      <c r="Q56" s="632">
        <v>1900</v>
      </c>
      <c r="R56" s="632" t="s">
        <v>1577</v>
      </c>
      <c r="S56" s="632" t="s">
        <v>1898</v>
      </c>
      <c r="T56" s="633" t="s">
        <v>1899</v>
      </c>
      <c r="U56" s="634" t="s">
        <v>1900</v>
      </c>
      <c r="V56" s="635" t="s">
        <v>1901</v>
      </c>
      <c r="W56" s="633" t="s">
        <v>1902</v>
      </c>
      <c r="X56" s="634" t="s">
        <v>1903</v>
      </c>
      <c r="Y56" s="632" t="str">
        <f t="shared" si="10"/>
        <v/>
      </c>
      <c r="Z56" s="632">
        <f t="shared" si="11"/>
        <v>61</v>
      </c>
      <c r="AA56" s="636" t="str">
        <f t="shared" si="12"/>
        <v/>
      </c>
      <c r="AB56" s="636">
        <f t="shared" si="13"/>
        <v>-1</v>
      </c>
      <c r="AC56" s="632">
        <f t="shared" si="14"/>
        <v>0</v>
      </c>
      <c r="AD56" s="632" t="str">
        <f t="shared" si="15"/>
        <v/>
      </c>
      <c r="AE56" s="636" t="str">
        <f t="shared" si="16"/>
        <v/>
      </c>
      <c r="AF56" s="632">
        <f t="shared" si="17"/>
        <v>43</v>
      </c>
      <c r="AG56" s="632">
        <f t="shared" si="18"/>
        <v>0</v>
      </c>
      <c r="AH56" s="625" t="str">
        <f t="shared" si="19"/>
        <v/>
      </c>
    </row>
    <row r="57" spans="1:34">
      <c r="A57" s="623">
        <f t="shared" si="0"/>
        <v>1</v>
      </c>
      <c r="B57" s="624">
        <f t="shared" si="60"/>
        <v>10</v>
      </c>
      <c r="C57" s="623">
        <f t="shared" si="61"/>
        <v>8</v>
      </c>
      <c r="D57" s="623">
        <f t="shared" si="3"/>
        <v>1</v>
      </c>
      <c r="E57" s="624">
        <f t="shared" si="4"/>
        <v>7.1</v>
      </c>
      <c r="F57" s="625" t="str">
        <f t="shared" si="5"/>
        <v xml:space="preserve">     -</v>
      </c>
      <c r="G57" s="626">
        <f t="shared" si="22"/>
        <v>0.2</v>
      </c>
      <c r="H57" s="627">
        <f t="shared" si="45"/>
        <v>-0.91300000000000003</v>
      </c>
      <c r="I57" s="628">
        <f t="shared" si="8"/>
        <v>4500</v>
      </c>
      <c r="J57" s="629">
        <f t="shared" si="9"/>
        <v>20550</v>
      </c>
      <c r="K57" s="630">
        <v>150</v>
      </c>
      <c r="L57" s="631">
        <v>44888</v>
      </c>
      <c r="M57" s="632"/>
      <c r="N57" s="632" t="s">
        <v>1882</v>
      </c>
      <c r="O57" s="632" t="s">
        <v>1904</v>
      </c>
      <c r="P57" s="632" t="s">
        <v>1897</v>
      </c>
      <c r="Q57" s="632">
        <v>3800</v>
      </c>
      <c r="R57" s="632" t="s">
        <v>1585</v>
      </c>
      <c r="S57" s="632" t="s">
        <v>1905</v>
      </c>
      <c r="T57" s="633" t="s">
        <v>1906</v>
      </c>
      <c r="U57" s="634" t="s">
        <v>1907</v>
      </c>
      <c r="V57" s="635" t="s">
        <v>1908</v>
      </c>
      <c r="W57" s="633" t="s">
        <v>1909</v>
      </c>
      <c r="X57" s="634" t="s">
        <v>1910</v>
      </c>
      <c r="Y57" s="632">
        <f t="shared" si="10"/>
        <v>150</v>
      </c>
      <c r="Z57" s="632">
        <f t="shared" si="11"/>
        <v>152</v>
      </c>
      <c r="AA57" s="636">
        <f t="shared" si="12"/>
        <v>1.2999999999999999E-2</v>
      </c>
      <c r="AB57" s="636">
        <f t="shared" si="13"/>
        <v>-1</v>
      </c>
      <c r="AC57" s="632">
        <f t="shared" si="14"/>
        <v>0</v>
      </c>
      <c r="AD57" s="632">
        <f t="shared" si="15"/>
        <v>180</v>
      </c>
      <c r="AE57" s="636">
        <f t="shared" si="16"/>
        <v>1</v>
      </c>
      <c r="AF57" s="632">
        <f t="shared" si="17"/>
        <v>138</v>
      </c>
      <c r="AG57" s="632">
        <f t="shared" si="18"/>
        <v>13</v>
      </c>
      <c r="AH57" s="625">
        <f t="shared" si="19"/>
        <v>9.6150000000000002</v>
      </c>
    </row>
    <row r="58" spans="1:34">
      <c r="A58" s="623">
        <f t="shared" si="0"/>
        <v>1</v>
      </c>
      <c r="B58" s="624">
        <f t="shared" si="60"/>
        <v>10</v>
      </c>
      <c r="C58" s="623">
        <f t="shared" si="61"/>
        <v>1</v>
      </c>
      <c r="D58" s="623">
        <f t="shared" si="3"/>
        <v>5</v>
      </c>
      <c r="E58" s="624">
        <f t="shared" si="4"/>
        <v>2</v>
      </c>
      <c r="F58" s="625" t="str">
        <f t="shared" si="5"/>
        <v xml:space="preserve">     -</v>
      </c>
      <c r="G58" s="626" t="str">
        <f t="shared" si="22"/>
        <v/>
      </c>
      <c r="H58" s="627" t="str">
        <f t="shared" si="45"/>
        <v/>
      </c>
      <c r="I58" s="628" t="e">
        <f t="shared" si="8"/>
        <v>#VALUE!</v>
      </c>
      <c r="J58" s="629" t="e">
        <f t="shared" si="9"/>
        <v>#VALUE!</v>
      </c>
      <c r="K58" s="630">
        <v>200</v>
      </c>
      <c r="L58" s="631">
        <v>44888</v>
      </c>
      <c r="M58" s="632"/>
      <c r="N58" s="632" t="s">
        <v>1574</v>
      </c>
      <c r="O58" s="632" t="s">
        <v>1911</v>
      </c>
      <c r="P58" s="632" t="s">
        <v>1897</v>
      </c>
      <c r="Q58" s="632">
        <v>3900</v>
      </c>
      <c r="R58" s="632" t="s">
        <v>1585</v>
      </c>
      <c r="S58" s="632" t="s">
        <v>1912</v>
      </c>
      <c r="T58" s="633" t="s">
        <v>1913</v>
      </c>
      <c r="U58" s="634" t="s">
        <v>1914</v>
      </c>
      <c r="V58" s="635" t="s">
        <v>1915</v>
      </c>
      <c r="W58" s="633" t="s">
        <v>1916</v>
      </c>
      <c r="X58" s="634" t="s">
        <v>1917</v>
      </c>
      <c r="Y58" s="632" t="str">
        <f t="shared" si="10"/>
        <v/>
      </c>
      <c r="Z58" s="632">
        <f t="shared" si="11"/>
        <v>98</v>
      </c>
      <c r="AA58" s="636" t="str">
        <f t="shared" si="12"/>
        <v/>
      </c>
      <c r="AB58" s="636">
        <f t="shared" si="13"/>
        <v>7.0999999999999994E-2</v>
      </c>
      <c r="AC58" s="632">
        <f t="shared" si="14"/>
        <v>105</v>
      </c>
      <c r="AD58" s="632" t="str">
        <f t="shared" si="15"/>
        <v/>
      </c>
      <c r="AE58" s="636" t="str">
        <f t="shared" si="16"/>
        <v/>
      </c>
      <c r="AF58" s="632" t="str">
        <f t="shared" si="17"/>
        <v/>
      </c>
      <c r="AG58" s="632">
        <f t="shared" si="18"/>
        <v>80</v>
      </c>
      <c r="AH58" s="625" t="str">
        <f t="shared" si="19"/>
        <v/>
      </c>
    </row>
    <row r="59" spans="1:34">
      <c r="A59" s="623">
        <f t="shared" si="0"/>
        <v>1</v>
      </c>
      <c r="B59" s="624">
        <f t="shared" ref="B59:B60" si="62">IF(AF59&lt;=AG59,1,IF(AH59&lt;=0.005,2,IF(AND(AH59&gt;0.005,AH59&lt;=0.02, L182),4,IF(AND(AH59&gt;0.02,AH59&lt;=0.05),5,IF(AND(AH59&gt;0.05,AH59&lt;=0.1),7,IF(AND(AH59&gt;0.1,AH59&lt;=0.2),8,IF(AH59&gt;0.2,10)))))))</f>
        <v>10</v>
      </c>
      <c r="C59" s="623">
        <f t="shared" ref="C59:C60" si="63">IF(AA59&lt;=0.005,10,IF(AND(AA59&gt;0.005,AA59&lt;=0.01, C167),9,IF(AND(AA59&gt;0.01,AA59&lt;=0.02),8,IF(AND(AA59&gt;0.02,AA59&lt;=0.05),7,IF(AND(AA59&gt;0.05,AA59&lt;=0.1),6,IF(AND(AA59&gt;0.1,AA59&lt;=0.2),5,IF(AND(AA59&gt;0.2,AA59&lt;=0.3),4,IF(AND(AA59&gt;0.3,AA59&lt;=0.4),3,IF(AND(AA59&gt;0.4,AA59&lt;=0.5),2,IF(AA59&gt;0.5,1))))))))))</f>
        <v>1</v>
      </c>
      <c r="D59" s="623">
        <f t="shared" si="3"/>
        <v>10</v>
      </c>
      <c r="E59" s="624">
        <f t="shared" si="4"/>
        <v>2.4</v>
      </c>
      <c r="F59" s="625" t="str">
        <f t="shared" si="5"/>
        <v xml:space="preserve">     -</v>
      </c>
      <c r="G59" s="626" t="str">
        <f t="shared" si="22"/>
        <v/>
      </c>
      <c r="H59" s="627" t="str">
        <f t="shared" si="45"/>
        <v/>
      </c>
      <c r="I59" s="628" t="e">
        <f t="shared" si="8"/>
        <v>#VALUE!</v>
      </c>
      <c r="J59" s="629" t="e">
        <f t="shared" si="9"/>
        <v>#VALUE!</v>
      </c>
      <c r="K59" s="630">
        <v>1350</v>
      </c>
      <c r="L59" s="631">
        <v>44889</v>
      </c>
      <c r="M59" s="632"/>
      <c r="N59" s="632" t="s">
        <v>1574</v>
      </c>
      <c r="O59" s="632" t="s">
        <v>673</v>
      </c>
      <c r="P59" s="632" t="s">
        <v>1897</v>
      </c>
      <c r="Q59" s="632">
        <v>720</v>
      </c>
      <c r="R59" s="632" t="s">
        <v>1585</v>
      </c>
      <c r="S59" s="632" t="s">
        <v>1918</v>
      </c>
      <c r="T59" s="633" t="s">
        <v>1919</v>
      </c>
      <c r="U59" s="634" t="s">
        <v>1920</v>
      </c>
      <c r="V59" s="635" t="s">
        <v>1921</v>
      </c>
      <c r="W59" s="633" t="s">
        <v>1922</v>
      </c>
      <c r="X59" s="634" t="s">
        <v>1923</v>
      </c>
      <c r="Y59" s="632" t="str">
        <f t="shared" si="10"/>
        <v/>
      </c>
      <c r="Z59" s="632" t="str">
        <f t="shared" si="11"/>
        <v/>
      </c>
      <c r="AA59" s="636" t="str">
        <f t="shared" si="12"/>
        <v/>
      </c>
      <c r="AB59" s="636" t="str">
        <f t="shared" si="13"/>
        <v/>
      </c>
      <c r="AC59" s="632">
        <f t="shared" si="14"/>
        <v>0</v>
      </c>
      <c r="AD59" s="632" t="str">
        <f t="shared" si="15"/>
        <v/>
      </c>
      <c r="AE59" s="636" t="str">
        <f t="shared" si="16"/>
        <v/>
      </c>
      <c r="AF59" s="632" t="str">
        <f t="shared" si="17"/>
        <v/>
      </c>
      <c r="AG59" s="632">
        <f t="shared" si="18"/>
        <v>0</v>
      </c>
      <c r="AH59" s="625" t="str">
        <f t="shared" si="19"/>
        <v/>
      </c>
    </row>
    <row r="60" spans="1:34">
      <c r="A60" s="623">
        <f t="shared" si="0"/>
        <v>1</v>
      </c>
      <c r="B60" s="624">
        <f t="shared" si="62"/>
        <v>10</v>
      </c>
      <c r="C60" s="623">
        <f t="shared" si="63"/>
        <v>1</v>
      </c>
      <c r="D60" s="623">
        <f t="shared" si="3"/>
        <v>10</v>
      </c>
      <c r="E60" s="624">
        <f t="shared" si="4"/>
        <v>2.4</v>
      </c>
      <c r="F60" s="625" t="str">
        <f t="shared" si="5"/>
        <v xml:space="preserve">     -</v>
      </c>
      <c r="G60" s="626" t="str">
        <f t="shared" si="22"/>
        <v/>
      </c>
      <c r="H60" s="627" t="str">
        <f t="shared" si="45"/>
        <v/>
      </c>
      <c r="I60" s="628" t="e">
        <f t="shared" si="8"/>
        <v>#VALUE!</v>
      </c>
      <c r="J60" s="629" t="e">
        <f t="shared" si="9"/>
        <v>#VALUE!</v>
      </c>
      <c r="K60" s="630">
        <v>1600</v>
      </c>
      <c r="L60" s="631">
        <v>44889</v>
      </c>
      <c r="M60" s="632"/>
      <c r="N60" s="632" t="s">
        <v>1882</v>
      </c>
      <c r="O60" s="632" t="s">
        <v>1924</v>
      </c>
      <c r="P60" s="632" t="s">
        <v>1897</v>
      </c>
      <c r="Q60" s="632">
        <v>350</v>
      </c>
      <c r="R60" s="632" t="s">
        <v>1585</v>
      </c>
      <c r="S60" s="632" t="s">
        <v>1925</v>
      </c>
      <c r="T60" s="633" t="s">
        <v>1740</v>
      </c>
      <c r="U60" s="634" t="s">
        <v>1907</v>
      </c>
      <c r="V60" s="635" t="s">
        <v>1926</v>
      </c>
      <c r="W60" s="633" t="s">
        <v>1927</v>
      </c>
      <c r="X60" s="634" t="s">
        <v>1928</v>
      </c>
      <c r="Y60" s="632" t="str">
        <f t="shared" si="10"/>
        <v/>
      </c>
      <c r="Z60" s="632" t="str">
        <f t="shared" si="11"/>
        <v/>
      </c>
      <c r="AA60" s="636" t="str">
        <f t="shared" si="12"/>
        <v/>
      </c>
      <c r="AB60" s="636" t="str">
        <f t="shared" si="13"/>
        <v/>
      </c>
      <c r="AC60" s="632">
        <f t="shared" si="14"/>
        <v>0</v>
      </c>
      <c r="AD60" s="632">
        <f t="shared" si="15"/>
        <v>30</v>
      </c>
      <c r="AE60" s="636">
        <f t="shared" si="16"/>
        <v>1</v>
      </c>
      <c r="AF60" s="632" t="str">
        <f t="shared" si="17"/>
        <v/>
      </c>
      <c r="AG60" s="632">
        <f t="shared" si="18"/>
        <v>13</v>
      </c>
      <c r="AH60" s="625" t="str">
        <f t="shared" si="19"/>
        <v/>
      </c>
    </row>
    <row r="61" spans="1:34">
      <c r="A61" s="623">
        <f t="shared" si="0"/>
        <v>1</v>
      </c>
      <c r="B61" s="624">
        <f>IF(AF61&lt;=AG61,1,IF(AH61&lt;=0.005,2,IF(AND(AH61&gt;0.005,AH61&lt;=0.02, L183),4,IF(AND(AH61&gt;0.02,AH61&lt;=0.05),5,IF(AND(AH61&gt;0.05,AH61&lt;=0.1),7,IF(AND(AH61&gt;0.1,AH61&lt;=0.2),8,IF(AH61&gt;0.2,10)))))))</f>
        <v>10</v>
      </c>
      <c r="C61" s="623">
        <f>IF(AA61&lt;=0.005,10,IF(AND(AA61&gt;0.005,AA61&lt;=0.01, C168),9,IF(AND(AA61&gt;0.01,AA61&lt;=0.02),8,IF(AND(AA61&gt;0.02,AA61&lt;=0.05),7,IF(AND(AA61&gt;0.05,AA61&lt;=0.1),6,IF(AND(AA61&gt;0.1,AA61&lt;=0.2),5,IF(AND(AA61&gt;0.2,AA61&lt;=0.3),4,IF(AND(AA61&gt;0.3,AA61&lt;=0.4),3,IF(AND(AA61&gt;0.4,AA61&lt;=0.5),2,IF(AA61&gt;0.5,1))))))))))</f>
        <v>1</v>
      </c>
      <c r="D61" s="623">
        <f t="shared" si="3"/>
        <v>10</v>
      </c>
      <c r="E61" s="624">
        <f t="shared" si="4"/>
        <v>2.4</v>
      </c>
      <c r="F61" s="625" t="str">
        <f t="shared" si="5"/>
        <v xml:space="preserve">     -</v>
      </c>
      <c r="G61" s="626" t="str">
        <f t="shared" si="22"/>
        <v/>
      </c>
      <c r="H61" s="627" t="str">
        <f t="shared" si="45"/>
        <v/>
      </c>
      <c r="I61" s="628" t="e">
        <f t="shared" si="8"/>
        <v>#VALUE!</v>
      </c>
      <c r="J61" s="629" t="e">
        <f t="shared" si="9"/>
        <v>#VALUE!</v>
      </c>
      <c r="K61" s="630">
        <v>400</v>
      </c>
      <c r="L61" s="631">
        <v>44889</v>
      </c>
      <c r="M61" s="632"/>
      <c r="N61" s="632" t="s">
        <v>1708</v>
      </c>
      <c r="O61" s="632" t="s">
        <v>603</v>
      </c>
      <c r="P61" s="632" t="s">
        <v>1897</v>
      </c>
      <c r="Q61" s="632">
        <v>1600</v>
      </c>
      <c r="R61" s="632" t="s">
        <v>1585</v>
      </c>
      <c r="S61" s="632" t="s">
        <v>1929</v>
      </c>
      <c r="T61" s="633" t="s">
        <v>1780</v>
      </c>
      <c r="U61" s="634" t="s">
        <v>1930</v>
      </c>
      <c r="V61" s="635" t="s">
        <v>1931</v>
      </c>
      <c r="W61" s="633" t="s">
        <v>1932</v>
      </c>
      <c r="X61" s="634" t="s">
        <v>1933</v>
      </c>
      <c r="Y61" s="632" t="str">
        <f t="shared" si="10"/>
        <v/>
      </c>
      <c r="Z61" s="632" t="str">
        <f t="shared" si="11"/>
        <v/>
      </c>
      <c r="AA61" s="636" t="str">
        <f t="shared" si="12"/>
        <v/>
      </c>
      <c r="AB61" s="636" t="str">
        <f t="shared" si="13"/>
        <v/>
      </c>
      <c r="AC61" s="632">
        <f t="shared" si="14"/>
        <v>0</v>
      </c>
      <c r="AD61" s="632" t="str">
        <f t="shared" si="15"/>
        <v/>
      </c>
      <c r="AE61" s="636" t="str">
        <f t="shared" si="16"/>
        <v/>
      </c>
      <c r="AF61" s="632" t="str">
        <f t="shared" si="17"/>
        <v/>
      </c>
      <c r="AG61" s="632">
        <f t="shared" si="18"/>
        <v>0</v>
      </c>
      <c r="AH61" s="625" t="str">
        <f t="shared" si="19"/>
        <v/>
      </c>
    </row>
    <row r="62" spans="1:34">
      <c r="A62" s="623">
        <f t="shared" si="0"/>
        <v>1</v>
      </c>
      <c r="B62" s="624">
        <f t="shared" ref="B62:B63" si="64">IF(AF62&lt;=AG62,1,IF(AH62&lt;=0.005,2,IF(AND(AH62&gt;0.005,AH62&lt;=0.02, L182),4,IF(AND(AH62&gt;0.02,AH62&lt;=0.05),5,IF(AND(AH62&gt;0.05,AH62&lt;=0.1),7,IF(AND(AH62&gt;0.1,AH62&lt;=0.2),8,IF(AH62&gt;0.2,10)))))))</f>
        <v>10</v>
      </c>
      <c r="C62" s="623">
        <f t="shared" ref="C62:C63" si="65">IF(AA62&lt;=0.005,10,IF(AND(AA62&gt;0.005,AA62&lt;=0.01, C167),9,IF(AND(AA62&gt;0.01,AA62&lt;=0.02),8,IF(AND(AA62&gt;0.02,AA62&lt;=0.05),7,IF(AND(AA62&gt;0.05,AA62&lt;=0.1),6,IF(AND(AA62&gt;0.1,AA62&lt;=0.2),5,IF(AND(AA62&gt;0.2,AA62&lt;=0.3),4,IF(AND(AA62&gt;0.3,AA62&lt;=0.4),3,IF(AND(AA62&gt;0.4,AA62&lt;=0.5),2,IF(AA62&gt;0.5,1))))))))))</f>
        <v>1</v>
      </c>
      <c r="D62" s="623">
        <f t="shared" si="3"/>
        <v>10</v>
      </c>
      <c r="E62" s="624">
        <f t="shared" si="4"/>
        <v>2.4</v>
      </c>
      <c r="F62" s="625" t="str">
        <f t="shared" si="5"/>
        <v xml:space="preserve">     -</v>
      </c>
      <c r="G62" s="626" t="str">
        <f t="shared" si="22"/>
        <v/>
      </c>
      <c r="H62" s="627" t="str">
        <f t="shared" si="45"/>
        <v/>
      </c>
      <c r="I62" s="628" t="e">
        <f t="shared" si="8"/>
        <v>#VALUE!</v>
      </c>
      <c r="J62" s="629" t="e">
        <f t="shared" si="9"/>
        <v>#VALUE!</v>
      </c>
      <c r="K62" s="630">
        <v>200</v>
      </c>
      <c r="L62" s="631">
        <v>44890</v>
      </c>
      <c r="M62" s="632"/>
      <c r="N62" s="632" t="s">
        <v>1882</v>
      </c>
      <c r="O62" s="632" t="s">
        <v>1934</v>
      </c>
      <c r="P62" s="632" t="s">
        <v>1897</v>
      </c>
      <c r="Q62" s="632">
        <v>4200</v>
      </c>
      <c r="R62" s="632" t="s">
        <v>1585</v>
      </c>
      <c r="S62" s="632" t="s">
        <v>1935</v>
      </c>
      <c r="T62" s="633" t="s">
        <v>1936</v>
      </c>
      <c r="U62" s="634" t="s">
        <v>1937</v>
      </c>
      <c r="V62" s="635" t="s">
        <v>1938</v>
      </c>
      <c r="W62" s="633" t="s">
        <v>1939</v>
      </c>
      <c r="X62" s="634" t="s">
        <v>1940</v>
      </c>
      <c r="Y62" s="632" t="str">
        <f t="shared" si="10"/>
        <v/>
      </c>
      <c r="Z62" s="632" t="str">
        <f t="shared" si="11"/>
        <v/>
      </c>
      <c r="AA62" s="636" t="str">
        <f t="shared" si="12"/>
        <v/>
      </c>
      <c r="AB62" s="636" t="str">
        <f t="shared" si="13"/>
        <v/>
      </c>
      <c r="AC62" s="632">
        <f t="shared" si="14"/>
        <v>0</v>
      </c>
      <c r="AD62" s="632" t="str">
        <f t="shared" si="15"/>
        <v/>
      </c>
      <c r="AE62" s="636" t="str">
        <f t="shared" si="16"/>
        <v/>
      </c>
      <c r="AF62" s="632" t="str">
        <f t="shared" si="17"/>
        <v/>
      </c>
      <c r="AG62" s="632">
        <f t="shared" si="18"/>
        <v>0</v>
      </c>
      <c r="AH62" s="625" t="str">
        <f t="shared" si="19"/>
        <v/>
      </c>
    </row>
    <row r="63" spans="1:34">
      <c r="A63" s="623">
        <f t="shared" si="0"/>
        <v>1</v>
      </c>
      <c r="B63" s="624">
        <f t="shared" si="64"/>
        <v>10</v>
      </c>
      <c r="C63" s="623">
        <f t="shared" si="65"/>
        <v>1</v>
      </c>
      <c r="D63" s="623">
        <f t="shared" si="3"/>
        <v>10</v>
      </c>
      <c r="E63" s="624">
        <f t="shared" si="4"/>
        <v>2.4</v>
      </c>
      <c r="F63" s="625" t="str">
        <f t="shared" si="5"/>
        <v xml:space="preserve">     -</v>
      </c>
      <c r="G63" s="626" t="str">
        <f t="shared" si="22"/>
        <v/>
      </c>
      <c r="H63" s="627" t="str">
        <f t="shared" si="45"/>
        <v/>
      </c>
      <c r="I63" s="628" t="e">
        <f t="shared" si="8"/>
        <v>#VALUE!</v>
      </c>
      <c r="J63" s="629" t="e">
        <f t="shared" si="9"/>
        <v>#VALUE!</v>
      </c>
      <c r="K63" s="630">
        <v>300</v>
      </c>
      <c r="L63" s="631">
        <v>44890</v>
      </c>
      <c r="M63" s="632"/>
      <c r="N63" s="632" t="s">
        <v>1574</v>
      </c>
      <c r="O63" s="632" t="s">
        <v>472</v>
      </c>
      <c r="P63" s="632" t="s">
        <v>1897</v>
      </c>
      <c r="Q63" s="632">
        <v>1640</v>
      </c>
      <c r="R63" s="632" t="s">
        <v>1585</v>
      </c>
      <c r="S63" s="632" t="s">
        <v>1941</v>
      </c>
      <c r="T63" s="633" t="s">
        <v>1942</v>
      </c>
      <c r="U63" s="634" t="s">
        <v>1930</v>
      </c>
      <c r="V63" s="635" t="s">
        <v>1943</v>
      </c>
      <c r="W63" s="633" t="s">
        <v>1944</v>
      </c>
      <c r="X63" s="634" t="s">
        <v>1945</v>
      </c>
      <c r="Y63" s="632" t="str">
        <f t="shared" si="10"/>
        <v/>
      </c>
      <c r="Z63" s="632" t="str">
        <f t="shared" si="11"/>
        <v/>
      </c>
      <c r="AA63" s="636" t="str">
        <f t="shared" si="12"/>
        <v/>
      </c>
      <c r="AB63" s="636" t="str">
        <f t="shared" si="13"/>
        <v/>
      </c>
      <c r="AC63" s="632">
        <f t="shared" si="14"/>
        <v>0</v>
      </c>
      <c r="AD63" s="632" t="str">
        <f t="shared" si="15"/>
        <v/>
      </c>
      <c r="AE63" s="636" t="str">
        <f t="shared" si="16"/>
        <v/>
      </c>
      <c r="AF63" s="632" t="str">
        <f t="shared" si="17"/>
        <v/>
      </c>
      <c r="AG63" s="632">
        <f t="shared" si="18"/>
        <v>0</v>
      </c>
      <c r="AH63" s="625" t="str">
        <f t="shared" si="19"/>
        <v/>
      </c>
    </row>
    <row r="64" spans="1:34">
      <c r="A64" s="623">
        <f t="shared" si="0"/>
        <v>1</v>
      </c>
      <c r="B64" s="624">
        <f t="shared" ref="B64:B65" si="66">IF(AF64&lt;=AG64,1,IF(AH64&lt;=0.005,2,IF(AND(AH64&gt;0.005,AH64&lt;=0.02, L181),4,IF(AND(AH64&gt;0.02,AH64&lt;=0.05),5,IF(AND(AH64&gt;0.05,AH64&lt;=0.1),7,IF(AND(AH64&gt;0.1,AH64&lt;=0.2),8,IF(AH64&gt;0.2,10)))))))</f>
        <v>10</v>
      </c>
      <c r="C64" s="623">
        <f t="shared" ref="C64:C65" si="67">IF(AA64&lt;=0.005,10,IF(AND(AA64&gt;0.005,AA64&lt;=0.01, C166),9,IF(AND(AA64&gt;0.01,AA64&lt;=0.02),8,IF(AND(AA64&gt;0.02,AA64&lt;=0.05),7,IF(AND(AA64&gt;0.05,AA64&lt;=0.1),6,IF(AND(AA64&gt;0.1,AA64&lt;=0.2),5,IF(AND(AA64&gt;0.2,AA64&lt;=0.3),4,IF(AND(AA64&gt;0.3,AA64&lt;=0.4),3,IF(AND(AA64&gt;0.4,AA64&lt;=0.5),2,IF(AA64&gt;0.5,1))))))))))</f>
        <v>1</v>
      </c>
      <c r="D64" s="623">
        <f t="shared" si="3"/>
        <v>10</v>
      </c>
      <c r="E64" s="624">
        <f t="shared" si="4"/>
        <v>2.4</v>
      </c>
      <c r="F64" s="625" t="str">
        <f t="shared" si="5"/>
        <v xml:space="preserve">     -</v>
      </c>
      <c r="G64" s="626" t="str">
        <f t="shared" si="22"/>
        <v/>
      </c>
      <c r="H64" s="627" t="str">
        <f t="shared" si="45"/>
        <v/>
      </c>
      <c r="I64" s="628" t="e">
        <f t="shared" si="8"/>
        <v>#VALUE!</v>
      </c>
      <c r="J64" s="629" t="e">
        <f t="shared" si="9"/>
        <v>#VALUE!</v>
      </c>
      <c r="K64" s="630">
        <v>1425</v>
      </c>
      <c r="L64" s="631">
        <v>44893</v>
      </c>
      <c r="M64" s="632"/>
      <c r="N64" s="632" t="s">
        <v>1584</v>
      </c>
      <c r="O64" s="632" t="s">
        <v>518</v>
      </c>
      <c r="P64" s="632" t="s">
        <v>1897</v>
      </c>
      <c r="Q64" s="632">
        <v>435</v>
      </c>
      <c r="R64" s="632" t="s">
        <v>1585</v>
      </c>
      <c r="S64" s="632" t="s">
        <v>1946</v>
      </c>
      <c r="T64" s="633" t="s">
        <v>1735</v>
      </c>
      <c r="U64" s="634" t="s">
        <v>1947</v>
      </c>
      <c r="V64" s="635" t="s">
        <v>1948</v>
      </c>
      <c r="W64" s="633" t="s">
        <v>1949</v>
      </c>
      <c r="X64" s="634" t="s">
        <v>1950</v>
      </c>
      <c r="Y64" s="632" t="str">
        <f t="shared" si="10"/>
        <v/>
      </c>
      <c r="Z64" s="632" t="str">
        <f t="shared" si="11"/>
        <v/>
      </c>
      <c r="AA64" s="636" t="str">
        <f t="shared" si="12"/>
        <v/>
      </c>
      <c r="AB64" s="636" t="str">
        <f t="shared" si="13"/>
        <v/>
      </c>
      <c r="AC64" s="632">
        <f t="shared" si="14"/>
        <v>0</v>
      </c>
      <c r="AD64" s="632" t="str">
        <f t="shared" si="15"/>
        <v/>
      </c>
      <c r="AE64" s="636" t="str">
        <f t="shared" si="16"/>
        <v/>
      </c>
      <c r="AF64" s="632" t="str">
        <f t="shared" si="17"/>
        <v/>
      </c>
      <c r="AG64" s="632">
        <f t="shared" si="18"/>
        <v>0</v>
      </c>
      <c r="AH64" s="625" t="str">
        <f t="shared" si="19"/>
        <v/>
      </c>
    </row>
    <row r="65" spans="1:37">
      <c r="A65" s="623">
        <f t="shared" si="0"/>
        <v>1</v>
      </c>
      <c r="B65" s="624">
        <f t="shared" si="66"/>
        <v>1</v>
      </c>
      <c r="C65" s="623">
        <f t="shared" si="67"/>
        <v>6</v>
      </c>
      <c r="D65" s="623">
        <f t="shared" si="3"/>
        <v>5</v>
      </c>
      <c r="E65" s="624">
        <f t="shared" si="4"/>
        <v>5.2</v>
      </c>
      <c r="F65" s="625">
        <f t="shared" si="5"/>
        <v>0.19831658973662775</v>
      </c>
      <c r="G65" s="626" t="str">
        <f t="shared" si="22"/>
        <v/>
      </c>
      <c r="H65" s="627">
        <f t="shared" si="45"/>
        <v>-0.28499999999999998</v>
      </c>
      <c r="I65" s="628" t="e">
        <f t="shared" si="8"/>
        <v>#VALUE!</v>
      </c>
      <c r="J65" s="629">
        <f t="shared" si="9"/>
        <v>26406000</v>
      </c>
      <c r="K65" s="630">
        <v>3600</v>
      </c>
      <c r="L65" s="631">
        <v>44893</v>
      </c>
      <c r="M65" s="632"/>
      <c r="N65" s="632" t="s">
        <v>1574</v>
      </c>
      <c r="O65" s="632" t="s">
        <v>1951</v>
      </c>
      <c r="P65" s="632" t="s">
        <v>1897</v>
      </c>
      <c r="Q65" s="632">
        <v>185</v>
      </c>
      <c r="R65" s="632" t="s">
        <v>1585</v>
      </c>
      <c r="S65" s="632" t="s">
        <v>1952</v>
      </c>
      <c r="T65" s="633" t="s">
        <v>1786</v>
      </c>
      <c r="U65" s="634" t="s">
        <v>1953</v>
      </c>
      <c r="V65" s="635" t="s">
        <v>1954</v>
      </c>
      <c r="W65" s="633" t="s">
        <v>1955</v>
      </c>
      <c r="X65" s="634" t="s">
        <v>1956</v>
      </c>
      <c r="Y65" s="632">
        <f t="shared" si="10"/>
        <v>25750</v>
      </c>
      <c r="Z65" s="632">
        <f t="shared" si="11"/>
        <v>27576</v>
      </c>
      <c r="AA65" s="636">
        <f t="shared" si="12"/>
        <v>7.0999999999999994E-2</v>
      </c>
      <c r="AB65" s="636">
        <f t="shared" si="13"/>
        <v>6.7000000000000004E-2</v>
      </c>
      <c r="AC65" s="632">
        <f t="shared" si="14"/>
        <v>29434</v>
      </c>
      <c r="AD65" s="632" t="str">
        <f t="shared" si="15"/>
        <v/>
      </c>
      <c r="AE65" s="636" t="str">
        <f t="shared" si="16"/>
        <v/>
      </c>
      <c r="AF65" s="632">
        <f t="shared" si="17"/>
        <v>14763</v>
      </c>
      <c r="AG65" s="632">
        <f t="shared" si="18"/>
        <v>18415</v>
      </c>
      <c r="AH65" s="625" t="str">
        <f t="shared" si="19"/>
        <v>SL Hit</v>
      </c>
    </row>
    <row r="66" spans="1:37">
      <c r="A66" s="623">
        <f t="shared" si="0"/>
        <v>1</v>
      </c>
      <c r="B66" s="624">
        <f t="shared" ref="B66:B68" si="68">IF(AF66&lt;=AG66,1,IF(AH66&lt;=0.005,2,IF(AND(AH66&gt;0.005,AH66&lt;=0.02, L181),4,IF(AND(AH66&gt;0.02,AH66&lt;=0.05),5,IF(AND(AH66&gt;0.05,AH66&lt;=0.1),7,IF(AND(AH66&gt;0.1,AH66&lt;=0.2),8,IF(AH66&gt;0.2,10)))))))</f>
        <v>10</v>
      </c>
      <c r="C66" s="623">
        <f t="shared" ref="C66:C68" si="69">IF(AA66&lt;=0.005,10,IF(AND(AA66&gt;0.005,AA66&lt;=0.01, C166),9,IF(AND(AA66&gt;0.01,AA66&lt;=0.02),8,IF(AND(AA66&gt;0.02,AA66&lt;=0.05),7,IF(AND(AA66&gt;0.05,AA66&lt;=0.1),6,IF(AND(AA66&gt;0.1,AA66&lt;=0.2),5,IF(AND(AA66&gt;0.2,AA66&lt;=0.3),4,IF(AND(AA66&gt;0.3,AA66&lt;=0.4),3,IF(AND(AA66&gt;0.4,AA66&lt;=0.5),2,IF(AA66&gt;0.5,1))))))))))</f>
        <v>1</v>
      </c>
      <c r="D66" s="623">
        <f t="shared" si="3"/>
        <v>10</v>
      </c>
      <c r="E66" s="624">
        <f t="shared" si="4"/>
        <v>2.4</v>
      </c>
      <c r="F66" s="625" t="str">
        <f t="shared" si="5"/>
        <v xml:space="preserve">     -</v>
      </c>
      <c r="G66" s="626" t="str">
        <f t="shared" si="22"/>
        <v/>
      </c>
      <c r="H66" s="627" t="str">
        <f t="shared" si="45"/>
        <v/>
      </c>
      <c r="I66" s="628" t="e">
        <f t="shared" si="8"/>
        <v>#VALUE!</v>
      </c>
      <c r="J66" s="629" t="e">
        <f t="shared" si="9"/>
        <v>#VALUE!</v>
      </c>
      <c r="K66" s="630">
        <v>1425</v>
      </c>
      <c r="L66" s="631">
        <v>44894</v>
      </c>
      <c r="M66" s="632"/>
      <c r="N66" s="632" t="s">
        <v>1882</v>
      </c>
      <c r="O66" s="632" t="s">
        <v>518</v>
      </c>
      <c r="P66" s="632" t="s">
        <v>1897</v>
      </c>
      <c r="Q66" s="632">
        <v>435</v>
      </c>
      <c r="R66" s="632" t="s">
        <v>1577</v>
      </c>
      <c r="S66" s="632" t="s">
        <v>1957</v>
      </c>
      <c r="T66" s="633" t="s">
        <v>1958</v>
      </c>
      <c r="U66" s="634" t="s">
        <v>1718</v>
      </c>
      <c r="V66" s="635" t="s">
        <v>1959</v>
      </c>
      <c r="W66" s="633" t="s">
        <v>1960</v>
      </c>
      <c r="X66" s="634" t="s">
        <v>1961</v>
      </c>
      <c r="Y66" s="632" t="str">
        <f t="shared" si="10"/>
        <v/>
      </c>
      <c r="Z66" s="632" t="str">
        <f t="shared" si="11"/>
        <v/>
      </c>
      <c r="AA66" s="636" t="str">
        <f t="shared" si="12"/>
        <v/>
      </c>
      <c r="AB66" s="636" t="str">
        <f t="shared" si="13"/>
        <v/>
      </c>
      <c r="AC66" s="632">
        <f t="shared" si="14"/>
        <v>0</v>
      </c>
      <c r="AD66" s="632" t="str">
        <f t="shared" si="15"/>
        <v/>
      </c>
      <c r="AE66" s="636" t="str">
        <f t="shared" si="16"/>
        <v/>
      </c>
      <c r="AF66" s="632">
        <f t="shared" si="17"/>
        <v>42309</v>
      </c>
      <c r="AG66" s="632">
        <f t="shared" si="18"/>
        <v>0</v>
      </c>
      <c r="AH66" s="625" t="str">
        <f t="shared" si="19"/>
        <v/>
      </c>
    </row>
    <row r="67" spans="1:37">
      <c r="A67" s="623">
        <f t="shared" si="0"/>
        <v>1</v>
      </c>
      <c r="B67" s="624">
        <f t="shared" si="68"/>
        <v>10</v>
      </c>
      <c r="C67" s="623">
        <f t="shared" si="69"/>
        <v>1</v>
      </c>
      <c r="D67" s="623">
        <f t="shared" si="3"/>
        <v>1</v>
      </c>
      <c r="E67" s="624">
        <f t="shared" si="4"/>
        <v>1.7</v>
      </c>
      <c r="F67" s="625" t="str">
        <f t="shared" si="5"/>
        <v xml:space="preserve">     -</v>
      </c>
      <c r="G67" s="626" t="str">
        <f t="shared" si="22"/>
        <v/>
      </c>
      <c r="H67" s="627" t="str">
        <f t="shared" si="45"/>
        <v/>
      </c>
      <c r="I67" s="628" t="e">
        <f t="shared" si="8"/>
        <v>#VALUE!</v>
      </c>
      <c r="J67" s="629" t="e">
        <f t="shared" si="9"/>
        <v>#VALUE!</v>
      </c>
      <c r="K67" s="630">
        <v>1150</v>
      </c>
      <c r="L67" s="631">
        <v>44894</v>
      </c>
      <c r="M67" s="632"/>
      <c r="N67" s="632" t="s">
        <v>1574</v>
      </c>
      <c r="O67" s="632" t="s">
        <v>1810</v>
      </c>
      <c r="P67" s="632" t="s">
        <v>1897</v>
      </c>
      <c r="Q67" s="632">
        <v>430</v>
      </c>
      <c r="R67" s="632" t="s">
        <v>1585</v>
      </c>
      <c r="S67" s="632" t="s">
        <v>1962</v>
      </c>
      <c r="T67" s="633" t="s">
        <v>1963</v>
      </c>
      <c r="U67" s="634" t="s">
        <v>1964</v>
      </c>
      <c r="V67" s="635" t="s">
        <v>1965</v>
      </c>
      <c r="W67" s="633" t="s">
        <v>1966</v>
      </c>
      <c r="X67" s="634" t="s">
        <v>1967</v>
      </c>
      <c r="Y67" s="632" t="str">
        <f t="shared" si="10"/>
        <v/>
      </c>
      <c r="Z67" s="632">
        <f t="shared" si="11"/>
        <v>45063</v>
      </c>
      <c r="AA67" s="636" t="str">
        <f t="shared" si="12"/>
        <v/>
      </c>
      <c r="AB67" s="636">
        <f t="shared" si="13"/>
        <v>-1</v>
      </c>
      <c r="AC67" s="632">
        <f t="shared" si="14"/>
        <v>0</v>
      </c>
      <c r="AD67" s="632" t="str">
        <f t="shared" si="15"/>
        <v/>
      </c>
      <c r="AE67" s="636" t="str">
        <f t="shared" si="16"/>
        <v/>
      </c>
      <c r="AF67" s="632" t="str">
        <f t="shared" si="17"/>
        <v/>
      </c>
      <c r="AG67" s="632">
        <f t="shared" si="18"/>
        <v>0</v>
      </c>
      <c r="AH67" s="625" t="str">
        <f t="shared" si="19"/>
        <v/>
      </c>
    </row>
    <row r="68" spans="1:37">
      <c r="A68" s="623">
        <f t="shared" si="0"/>
        <v>1</v>
      </c>
      <c r="B68" s="624">
        <f t="shared" si="68"/>
        <v>10</v>
      </c>
      <c r="C68" s="623">
        <f t="shared" si="69"/>
        <v>2</v>
      </c>
      <c r="D68" s="623">
        <f t="shared" si="3"/>
        <v>7</v>
      </c>
      <c r="E68" s="624">
        <f t="shared" si="4"/>
        <v>2.9</v>
      </c>
      <c r="F68" s="625" t="str">
        <f t="shared" si="5"/>
        <v xml:space="preserve">     -</v>
      </c>
      <c r="G68" s="626" t="str">
        <f t="shared" si="22"/>
        <v/>
      </c>
      <c r="H68" s="627">
        <f t="shared" si="45"/>
        <v>0.32800000000000001</v>
      </c>
      <c r="I68" s="628" t="e">
        <f t="shared" si="8"/>
        <v>#VALUE!</v>
      </c>
      <c r="J68" s="629">
        <f t="shared" si="9"/>
        <v>-13039200</v>
      </c>
      <c r="K68" s="630">
        <v>1800</v>
      </c>
      <c r="L68" s="631">
        <v>44894</v>
      </c>
      <c r="M68" s="632"/>
      <c r="N68" s="632" t="s">
        <v>1708</v>
      </c>
      <c r="O68" s="632" t="s">
        <v>1968</v>
      </c>
      <c r="P68" s="632" t="s">
        <v>1897</v>
      </c>
      <c r="Q68" s="632">
        <v>240</v>
      </c>
      <c r="R68" s="632" t="s">
        <v>1585</v>
      </c>
      <c r="S68" s="632" t="s">
        <v>1969</v>
      </c>
      <c r="T68" s="633" t="s">
        <v>1970</v>
      </c>
      <c r="U68" s="634" t="s">
        <v>1971</v>
      </c>
      <c r="V68" s="635" t="s">
        <v>1972</v>
      </c>
      <c r="W68" s="633" t="s">
        <v>1973</v>
      </c>
      <c r="X68" s="634" t="s">
        <v>1974</v>
      </c>
      <c r="Y68" s="632">
        <f t="shared" si="10"/>
        <v>22068</v>
      </c>
      <c r="Z68" s="632">
        <f t="shared" si="11"/>
        <v>33025</v>
      </c>
      <c r="AA68" s="636">
        <f t="shared" si="12"/>
        <v>0.497</v>
      </c>
      <c r="AB68" s="636">
        <f t="shared" si="13"/>
        <v>0.28000000000000003</v>
      </c>
      <c r="AC68" s="632">
        <f t="shared" si="14"/>
        <v>42278</v>
      </c>
      <c r="AD68" s="632" t="str">
        <f t="shared" si="15"/>
        <v/>
      </c>
      <c r="AE68" s="636" t="str">
        <f t="shared" si="16"/>
        <v/>
      </c>
      <c r="AF68" s="632">
        <f t="shared" si="17"/>
        <v>45809</v>
      </c>
      <c r="AG68" s="632">
        <f t="shared" si="18"/>
        <v>29312</v>
      </c>
      <c r="AH68" s="625">
        <f t="shared" si="19"/>
        <v>0.56299999999999994</v>
      </c>
    </row>
    <row r="69" spans="1:37">
      <c r="A69" s="623">
        <f t="shared" si="0"/>
        <v>1</v>
      </c>
      <c r="B69" s="624">
        <f t="shared" ref="B69:B70" si="70">IF(AF69&lt;=AG69,1,IF(AH69&lt;=0.005,2,IF(AND(AH69&gt;0.005,AH69&lt;=0.02, L181),4,IF(AND(AH69&gt;0.02,AH69&lt;=0.05),5,IF(AND(AH69&gt;0.05,AH69&lt;=0.1),7,IF(AND(AH69&gt;0.1,AH69&lt;=0.2),8,IF(AH69&gt;0.2,10)))))))</f>
        <v>10</v>
      </c>
      <c r="C69" s="623">
        <f t="shared" ref="C69:C70" si="71">IF(AA69&lt;=0.005,10,IF(AND(AA69&gt;0.005,AA69&lt;=0.01, C166),9,IF(AND(AA69&gt;0.01,AA69&lt;=0.02),8,IF(AND(AA69&gt;0.02,AA69&lt;=0.05),7,IF(AND(AA69&gt;0.05,AA69&lt;=0.1),6,IF(AND(AA69&gt;0.1,AA69&lt;=0.2),5,IF(AND(AA69&gt;0.2,AA69&lt;=0.3),4,IF(AND(AA69&gt;0.3,AA69&lt;=0.4),3,IF(AND(AA69&gt;0.4,AA69&lt;=0.5),2,IF(AA69&gt;0.5,1))))))))))</f>
        <v>10</v>
      </c>
      <c r="D69" s="623">
        <f t="shared" si="3"/>
        <v>1</v>
      </c>
      <c r="E69" s="624">
        <f t="shared" si="4"/>
        <v>8.6</v>
      </c>
      <c r="F69" s="625" t="str">
        <f t="shared" si="5"/>
        <v xml:space="preserve">     -</v>
      </c>
      <c r="G69" s="626" t="str">
        <f t="shared" si="22"/>
        <v/>
      </c>
      <c r="H69" s="627">
        <f t="shared" si="45"/>
        <v>-1</v>
      </c>
      <c r="I69" s="628" t="e">
        <f t="shared" si="8"/>
        <v>#VALUE!</v>
      </c>
      <c r="J69" s="629">
        <f t="shared" si="9"/>
        <v>62177500</v>
      </c>
      <c r="K69" s="630">
        <v>1375</v>
      </c>
      <c r="L69" s="631">
        <v>44895</v>
      </c>
      <c r="M69" s="638">
        <f t="shared" ref="M69:M153" si="72">L69</f>
        <v>44895</v>
      </c>
      <c r="N69" s="632" t="s">
        <v>1610</v>
      </c>
      <c r="O69" s="632" t="s">
        <v>501</v>
      </c>
      <c r="P69" s="632" t="s">
        <v>1897</v>
      </c>
      <c r="Q69" s="632">
        <v>950</v>
      </c>
      <c r="R69" s="632" t="s">
        <v>1585</v>
      </c>
      <c r="S69" s="632" t="s">
        <v>1975</v>
      </c>
      <c r="T69" s="633" t="s">
        <v>1735</v>
      </c>
      <c r="U69" s="634" t="s">
        <v>1976</v>
      </c>
      <c r="V69" s="635" t="s">
        <v>1977</v>
      </c>
      <c r="W69" s="633" t="s">
        <v>1978</v>
      </c>
      <c r="X69" s="634" t="s">
        <v>1979</v>
      </c>
      <c r="Y69" s="632">
        <f t="shared" si="10"/>
        <v>45220</v>
      </c>
      <c r="Z69" s="632">
        <f t="shared" si="11"/>
        <v>45068</v>
      </c>
      <c r="AA69" s="636">
        <f t="shared" si="12"/>
        <v>-3.0000000000000001E-3</v>
      </c>
      <c r="AB69" s="636">
        <f t="shared" si="13"/>
        <v>-1</v>
      </c>
      <c r="AC69" s="632">
        <f t="shared" si="14"/>
        <v>0</v>
      </c>
      <c r="AD69" s="632" t="str">
        <f t="shared" si="15"/>
        <v/>
      </c>
      <c r="AE69" s="636" t="str">
        <f t="shared" si="16"/>
        <v/>
      </c>
      <c r="AF69" s="632">
        <f t="shared" si="17"/>
        <v>45065</v>
      </c>
      <c r="AG69" s="632">
        <f t="shared" si="18"/>
        <v>0</v>
      </c>
      <c r="AH69" s="625" t="str">
        <f t="shared" si="19"/>
        <v/>
      </c>
    </row>
    <row r="70" spans="1:37">
      <c r="A70" s="623">
        <f t="shared" si="0"/>
        <v>1</v>
      </c>
      <c r="B70" s="624">
        <f t="shared" si="70"/>
        <v>10</v>
      </c>
      <c r="C70" s="623">
        <f t="shared" si="71"/>
        <v>1</v>
      </c>
      <c r="D70" s="623">
        <f t="shared" si="3"/>
        <v>10</v>
      </c>
      <c r="E70" s="624">
        <f t="shared" si="4"/>
        <v>2.4</v>
      </c>
      <c r="F70" s="625" t="str">
        <f t="shared" si="5"/>
        <v xml:space="preserve">     -</v>
      </c>
      <c r="G70" s="626" t="str">
        <f t="shared" si="22"/>
        <v/>
      </c>
      <c r="H70" s="627" t="str">
        <f t="shared" si="45"/>
        <v/>
      </c>
      <c r="I70" s="628" t="e">
        <f t="shared" si="8"/>
        <v>#VALUE!</v>
      </c>
      <c r="J70" s="629" t="e">
        <f t="shared" si="9"/>
        <v>#VALUE!</v>
      </c>
      <c r="K70" s="630">
        <v>1000</v>
      </c>
      <c r="L70" s="631">
        <v>44895</v>
      </c>
      <c r="M70" s="638">
        <f t="shared" si="72"/>
        <v>44895</v>
      </c>
      <c r="N70" s="632" t="s">
        <v>1584</v>
      </c>
      <c r="O70" s="632" t="s">
        <v>1611</v>
      </c>
      <c r="P70" s="632" t="s">
        <v>1897</v>
      </c>
      <c r="Q70" s="632">
        <v>405</v>
      </c>
      <c r="R70" s="632" t="s">
        <v>1585</v>
      </c>
      <c r="S70" s="632" t="s">
        <v>1980</v>
      </c>
      <c r="T70" s="633" t="s">
        <v>1981</v>
      </c>
      <c r="U70" s="634" t="s">
        <v>1885</v>
      </c>
      <c r="V70" s="635" t="s">
        <v>1982</v>
      </c>
      <c r="W70" s="633" t="s">
        <v>1983</v>
      </c>
      <c r="X70" s="634" t="s">
        <v>1984</v>
      </c>
      <c r="Y70" s="632" t="str">
        <f t="shared" si="10"/>
        <v/>
      </c>
      <c r="Z70" s="632" t="str">
        <f t="shared" si="11"/>
        <v/>
      </c>
      <c r="AA70" s="636" t="str">
        <f t="shared" si="12"/>
        <v/>
      </c>
      <c r="AB70" s="636" t="str">
        <f t="shared" si="13"/>
        <v/>
      </c>
      <c r="AC70" s="632">
        <f t="shared" si="14"/>
        <v>0</v>
      </c>
      <c r="AD70" s="632" t="str">
        <f t="shared" si="15"/>
        <v/>
      </c>
      <c r="AE70" s="636" t="str">
        <f t="shared" si="16"/>
        <v/>
      </c>
      <c r="AF70" s="632">
        <f t="shared" si="17"/>
        <v>45210</v>
      </c>
      <c r="AG70" s="632">
        <f t="shared" si="18"/>
        <v>0</v>
      </c>
      <c r="AH70" s="625" t="str">
        <f t="shared" si="19"/>
        <v/>
      </c>
    </row>
    <row r="71" spans="1:37">
      <c r="A71" s="623">
        <f t="shared" si="0"/>
        <v>1</v>
      </c>
      <c r="B71" s="624">
        <f t="shared" ref="B71:B72" si="73">IF(AF71&lt;=AG71,1,IF(AH71&lt;=0.005,2,IF(AND(AH71&gt;0.005,AH71&lt;=0.02, L182),4,IF(AND(AH71&gt;0.02,AH71&lt;=0.05),5,IF(AND(AH71&gt;0.05,AH71&lt;=0.1),7,IF(AND(AH71&gt;0.1,AH71&lt;=0.2),8,IF(AH71&gt;0.2,10)))))))</f>
        <v>1</v>
      </c>
      <c r="C71" s="623">
        <f t="shared" ref="C71:C72" si="74">IF(AA71&lt;=0.005,10,IF(AND(AA71&gt;0.005,AA71&lt;=0.01, C167),9,IF(AND(AA71&gt;0.01,AA71&lt;=0.02),8,IF(AND(AA71&gt;0.02,AA71&lt;=0.05),7,IF(AND(AA71&gt;0.05,AA71&lt;=0.1),6,IF(AND(AA71&gt;0.1,AA71&lt;=0.2),5,IF(AND(AA71&gt;0.2,AA71&lt;=0.3),4,IF(AND(AA71&gt;0.3,AA71&lt;=0.4),3,IF(AND(AA71&gt;0.4,AA71&lt;=0.5),2,IF(AA71&gt;0.5,1))))))))))</f>
        <v>1</v>
      </c>
      <c r="D71" s="623">
        <f t="shared" si="3"/>
        <v>1</v>
      </c>
      <c r="E71" s="624">
        <f t="shared" si="4"/>
        <v>1</v>
      </c>
      <c r="F71" s="625">
        <f t="shared" si="5"/>
        <v>0.39324351231167454</v>
      </c>
      <c r="G71" s="626" t="str">
        <f t="shared" si="22"/>
        <v/>
      </c>
      <c r="H71" s="627">
        <f t="shared" si="45"/>
        <v>2.5270000000000001</v>
      </c>
      <c r="I71" s="628" t="e">
        <f t="shared" si="8"/>
        <v>#VALUE!</v>
      </c>
      <c r="J71" s="629">
        <f t="shared" si="9"/>
        <v>-137636250</v>
      </c>
      <c r="K71" s="630">
        <v>4250</v>
      </c>
      <c r="L71" s="631">
        <v>44896</v>
      </c>
      <c r="M71" s="638">
        <f t="shared" si="72"/>
        <v>44896</v>
      </c>
      <c r="N71" s="632" t="s">
        <v>1610</v>
      </c>
      <c r="O71" s="632" t="s">
        <v>496</v>
      </c>
      <c r="P71" s="632" t="s">
        <v>1897</v>
      </c>
      <c r="Q71" s="632">
        <v>78</v>
      </c>
      <c r="R71" s="632" t="s">
        <v>1585</v>
      </c>
      <c r="S71" s="632" t="s">
        <v>1985</v>
      </c>
      <c r="T71" s="633" t="s">
        <v>1752</v>
      </c>
      <c r="U71" s="634" t="s">
        <v>1986</v>
      </c>
      <c r="V71" s="635" t="s">
        <v>1987</v>
      </c>
      <c r="W71" s="633" t="s">
        <v>1988</v>
      </c>
      <c r="X71" s="634" t="s">
        <v>1989</v>
      </c>
      <c r="Y71" s="632">
        <f t="shared" si="10"/>
        <v>12816</v>
      </c>
      <c r="Z71" s="632">
        <f t="shared" si="11"/>
        <v>29252</v>
      </c>
      <c r="AA71" s="636">
        <f t="shared" si="12"/>
        <v>1.282</v>
      </c>
      <c r="AB71" s="636">
        <f t="shared" si="13"/>
        <v>-0.498</v>
      </c>
      <c r="AC71" s="632">
        <f t="shared" si="14"/>
        <v>14671</v>
      </c>
      <c r="AD71" s="632" t="str">
        <f t="shared" si="15"/>
        <v/>
      </c>
      <c r="AE71" s="636" t="str">
        <f t="shared" si="16"/>
        <v/>
      </c>
      <c r="AF71" s="632">
        <f t="shared" si="17"/>
        <v>27426</v>
      </c>
      <c r="AG71" s="632">
        <f t="shared" si="18"/>
        <v>45201</v>
      </c>
      <c r="AH71" s="625" t="str">
        <f t="shared" si="19"/>
        <v>SL Hit</v>
      </c>
    </row>
    <row r="72" spans="1:37">
      <c r="A72" s="623">
        <f t="shared" si="0"/>
        <v>1</v>
      </c>
      <c r="B72" s="624">
        <f t="shared" si="73"/>
        <v>10</v>
      </c>
      <c r="C72" s="623">
        <f t="shared" si="74"/>
        <v>1</v>
      </c>
      <c r="D72" s="623">
        <f t="shared" si="3"/>
        <v>10</v>
      </c>
      <c r="E72" s="624">
        <f t="shared" si="4"/>
        <v>2.4</v>
      </c>
      <c r="F72" s="625" t="str">
        <f t="shared" si="5"/>
        <v xml:space="preserve">     -</v>
      </c>
      <c r="G72" s="626" t="str">
        <f t="shared" si="22"/>
        <v/>
      </c>
      <c r="H72" s="627" t="str">
        <f t="shared" si="45"/>
        <v/>
      </c>
      <c r="I72" s="628" t="e">
        <f t="shared" si="8"/>
        <v>#VALUE!</v>
      </c>
      <c r="J72" s="629" t="e">
        <f t="shared" si="9"/>
        <v>#VALUE!</v>
      </c>
      <c r="K72" s="630">
        <v>150</v>
      </c>
      <c r="L72" s="631">
        <v>44896</v>
      </c>
      <c r="M72" s="638">
        <f t="shared" si="72"/>
        <v>44896</v>
      </c>
      <c r="N72" s="632" t="s">
        <v>1584</v>
      </c>
      <c r="O72" s="632" t="s">
        <v>588</v>
      </c>
      <c r="P72" s="632" t="s">
        <v>1897</v>
      </c>
      <c r="Q72" s="632">
        <v>3400</v>
      </c>
      <c r="R72" s="632" t="s">
        <v>1585</v>
      </c>
      <c r="S72" s="632" t="s">
        <v>1990</v>
      </c>
      <c r="T72" s="633" t="s">
        <v>1991</v>
      </c>
      <c r="U72" s="634" t="s">
        <v>1992</v>
      </c>
      <c r="V72" s="635" t="s">
        <v>1993</v>
      </c>
      <c r="W72" s="633" t="s">
        <v>1994</v>
      </c>
      <c r="X72" s="634" t="s">
        <v>1995</v>
      </c>
      <c r="Y72" s="632" t="str">
        <f t="shared" si="10"/>
        <v/>
      </c>
      <c r="Z72" s="632" t="str">
        <f t="shared" si="11"/>
        <v/>
      </c>
      <c r="AA72" s="636" t="str">
        <f t="shared" si="12"/>
        <v/>
      </c>
      <c r="AB72" s="636" t="str">
        <f t="shared" si="13"/>
        <v/>
      </c>
      <c r="AC72" s="632">
        <f t="shared" si="14"/>
        <v>0</v>
      </c>
      <c r="AD72" s="632" t="str">
        <f t="shared" si="15"/>
        <v/>
      </c>
      <c r="AE72" s="636" t="str">
        <f t="shared" si="16"/>
        <v/>
      </c>
      <c r="AF72" s="632">
        <f t="shared" si="17"/>
        <v>80</v>
      </c>
      <c r="AG72" s="632">
        <f t="shared" si="18"/>
        <v>0</v>
      </c>
      <c r="AH72" s="625" t="str">
        <f t="shared" si="19"/>
        <v/>
      </c>
    </row>
    <row r="73" spans="1:37">
      <c r="A73" s="623">
        <f t="shared" si="0"/>
        <v>1</v>
      </c>
      <c r="B73" s="624">
        <f>IF(AF73&lt;=AG73,1,IF(AH73&lt;=0.005,2,IF(AND(AH73&gt;0.005,AH73&lt;=0.02, L183),4,IF(AND(AH73&gt;0.02,AH73&lt;=0.05),5,IF(AND(AH73&gt;0.05,AH73&lt;=0.1),7,IF(AND(AH73&gt;0.1,AH73&lt;=0.2),8,IF(AH73&gt;0.2,10)))))))</f>
        <v>10</v>
      </c>
      <c r="C73" s="623">
        <f>IF(AA73&lt;=0.005,10,IF(AND(AA73&gt;0.005,AA73&lt;=0.01, C168),9,IF(AND(AA73&gt;0.01,AA73&lt;=0.02),8,IF(AND(AA73&gt;0.02,AA73&lt;=0.05),7,IF(AND(AA73&gt;0.05,AA73&lt;=0.1),6,IF(AND(AA73&gt;0.1,AA73&lt;=0.2),5,IF(AND(AA73&gt;0.2,AA73&lt;=0.3),4,IF(AND(AA73&gt;0.3,AA73&lt;=0.4),3,IF(AND(AA73&gt;0.4,AA73&lt;=0.5),2,IF(AA73&gt;0.5,1))))))))))</f>
        <v>10</v>
      </c>
      <c r="D73" s="623">
        <f t="shared" si="3"/>
        <v>1</v>
      </c>
      <c r="E73" s="624">
        <f t="shared" si="4"/>
        <v>8.6</v>
      </c>
      <c r="F73" s="625" t="str">
        <f t="shared" si="5"/>
        <v xml:space="preserve">     -</v>
      </c>
      <c r="G73" s="626" t="str">
        <f t="shared" si="22"/>
        <v/>
      </c>
      <c r="H73" s="627">
        <f t="shared" si="45"/>
        <v>-1</v>
      </c>
      <c r="I73" s="628" t="e">
        <f t="shared" si="8"/>
        <v>#VALUE!</v>
      </c>
      <c r="J73" s="629">
        <f t="shared" si="9"/>
        <v>85268700</v>
      </c>
      <c r="K73" s="630">
        <v>2900</v>
      </c>
      <c r="L73" s="631">
        <v>44896</v>
      </c>
      <c r="M73" s="638">
        <f t="shared" si="72"/>
        <v>44896</v>
      </c>
      <c r="N73" s="632" t="s">
        <v>1708</v>
      </c>
      <c r="O73" s="632" t="s">
        <v>476</v>
      </c>
      <c r="P73" s="632" t="s">
        <v>1897</v>
      </c>
      <c r="Q73" s="632">
        <v>255</v>
      </c>
      <c r="R73" s="632" t="s">
        <v>1585</v>
      </c>
      <c r="S73" s="632" t="s">
        <v>1996</v>
      </c>
      <c r="T73" s="633" t="s">
        <v>1878</v>
      </c>
      <c r="U73" s="634" t="s">
        <v>1787</v>
      </c>
      <c r="V73" s="635" t="s">
        <v>1997</v>
      </c>
      <c r="W73" s="633" t="s">
        <v>1998</v>
      </c>
      <c r="X73" s="634" t="s">
        <v>1999</v>
      </c>
      <c r="Y73" s="632">
        <f t="shared" si="10"/>
        <v>29403</v>
      </c>
      <c r="Z73" s="632">
        <f t="shared" si="11"/>
        <v>22129</v>
      </c>
      <c r="AA73" s="636">
        <f t="shared" si="12"/>
        <v>-0.247</v>
      </c>
      <c r="AB73" s="636">
        <f t="shared" si="13"/>
        <v>-1</v>
      </c>
      <c r="AC73" s="632">
        <f t="shared" si="14"/>
        <v>0</v>
      </c>
      <c r="AD73" s="632" t="str">
        <f t="shared" si="15"/>
        <v/>
      </c>
      <c r="AE73" s="636" t="str">
        <f t="shared" si="16"/>
        <v/>
      </c>
      <c r="AF73" s="632">
        <f t="shared" si="17"/>
        <v>20271</v>
      </c>
      <c r="AG73" s="632">
        <f t="shared" si="18"/>
        <v>0</v>
      </c>
      <c r="AH73" s="625" t="str">
        <f t="shared" si="19"/>
        <v/>
      </c>
      <c r="AI73" s="633" t="s">
        <v>2000</v>
      </c>
      <c r="AJ73" s="633" t="s">
        <v>2001</v>
      </c>
      <c r="AK73" s="633" t="s">
        <v>2002</v>
      </c>
    </row>
    <row r="74" spans="1:37">
      <c r="A74" s="623">
        <f t="shared" si="0"/>
        <v>1</v>
      </c>
      <c r="B74" s="624">
        <f t="shared" ref="B74:B75" si="75">IF(AF74&lt;=AG74,1,IF(AH74&lt;=0.005,2,IF(AND(AH74&gt;0.005,AH74&lt;=0.02, L182),4,IF(AND(AH74&gt;0.02,AH74&lt;=0.05),5,IF(AND(AH74&gt;0.05,AH74&lt;=0.1),7,IF(AND(AH74&gt;0.1,AH74&lt;=0.2),8,IF(AH74&gt;0.2,10)))))))</f>
        <v>10</v>
      </c>
      <c r="C74" s="623">
        <f t="shared" ref="C74:C75" si="76">IF(AA74&lt;=0.005,10,IF(AND(AA74&gt;0.005,AA74&lt;=0.01, C167),9,IF(AND(AA74&gt;0.01,AA74&lt;=0.02),8,IF(AND(AA74&gt;0.02,AA74&lt;=0.05),7,IF(AND(AA74&gt;0.05,AA74&lt;=0.1),6,IF(AND(AA74&gt;0.1,AA74&lt;=0.2),5,IF(AND(AA74&gt;0.2,AA74&lt;=0.3),4,IF(AND(AA74&gt;0.3,AA74&lt;=0.4),3,IF(AND(AA74&gt;0.4,AA74&lt;=0.5),2,IF(AA74&gt;0.5,1))))))))))</f>
        <v>1</v>
      </c>
      <c r="D74" s="623">
        <f t="shared" si="3"/>
        <v>10</v>
      </c>
      <c r="E74" s="624">
        <f t="shared" si="4"/>
        <v>2.4</v>
      </c>
      <c r="F74" s="625" t="str">
        <f t="shared" si="5"/>
        <v xml:space="preserve">     -</v>
      </c>
      <c r="G74" s="626" t="str">
        <f t="shared" si="22"/>
        <v/>
      </c>
      <c r="H74" s="627" t="str">
        <f t="shared" si="45"/>
        <v/>
      </c>
      <c r="I74" s="628" t="e">
        <f t="shared" si="8"/>
        <v>#VALUE!</v>
      </c>
      <c r="J74" s="629" t="e">
        <f t="shared" si="9"/>
        <v>#VALUE!</v>
      </c>
      <c r="K74" s="630">
        <v>150</v>
      </c>
      <c r="L74" s="631">
        <v>44897</v>
      </c>
      <c r="M74" s="638">
        <f t="shared" si="72"/>
        <v>44897</v>
      </c>
      <c r="N74" s="632" t="s">
        <v>1882</v>
      </c>
      <c r="O74" s="632" t="s">
        <v>2003</v>
      </c>
      <c r="P74" s="632" t="s">
        <v>1897</v>
      </c>
      <c r="Q74" s="632">
        <v>3400</v>
      </c>
      <c r="R74" s="632" t="s">
        <v>1577</v>
      </c>
      <c r="S74" s="632" t="s">
        <v>2004</v>
      </c>
      <c r="T74" s="633" t="s">
        <v>2005</v>
      </c>
      <c r="U74" s="634" t="s">
        <v>2006</v>
      </c>
      <c r="V74" s="635" t="s">
        <v>1993</v>
      </c>
      <c r="W74" s="633" t="s">
        <v>2007</v>
      </c>
      <c r="X74" s="634" t="s">
        <v>2008</v>
      </c>
      <c r="Y74" s="632" t="str">
        <f t="shared" si="10"/>
        <v/>
      </c>
      <c r="Z74" s="632" t="str">
        <f t="shared" si="11"/>
        <v/>
      </c>
      <c r="AA74" s="636" t="str">
        <f t="shared" si="12"/>
        <v/>
      </c>
      <c r="AB74" s="636" t="str">
        <f t="shared" si="13"/>
        <v/>
      </c>
      <c r="AC74" s="632">
        <f t="shared" si="14"/>
        <v>0</v>
      </c>
      <c r="AD74" s="632" t="str">
        <f t="shared" si="15"/>
        <v/>
      </c>
      <c r="AE74" s="636" t="str">
        <f t="shared" si="16"/>
        <v/>
      </c>
      <c r="AF74" s="632" t="str">
        <f t="shared" si="17"/>
        <v/>
      </c>
      <c r="AG74" s="632">
        <f t="shared" si="18"/>
        <v>66</v>
      </c>
      <c r="AH74" s="625" t="str">
        <f t="shared" si="19"/>
        <v/>
      </c>
    </row>
    <row r="75" spans="1:37">
      <c r="A75" s="623">
        <f t="shared" si="0"/>
        <v>1</v>
      </c>
      <c r="B75" s="624">
        <f t="shared" si="75"/>
        <v>10</v>
      </c>
      <c r="C75" s="623">
        <f t="shared" si="76"/>
        <v>1</v>
      </c>
      <c r="D75" s="623">
        <f t="shared" si="3"/>
        <v>1</v>
      </c>
      <c r="E75" s="624">
        <f t="shared" si="4"/>
        <v>1.7</v>
      </c>
      <c r="F75" s="625" t="str">
        <f t="shared" si="5"/>
        <v xml:space="preserve">     -</v>
      </c>
      <c r="G75" s="626" t="str">
        <f t="shared" si="22"/>
        <v/>
      </c>
      <c r="H75" s="627">
        <f t="shared" si="45"/>
        <v>-1</v>
      </c>
      <c r="I75" s="628" t="e">
        <f t="shared" si="8"/>
        <v>#VALUE!</v>
      </c>
      <c r="J75" s="629">
        <f t="shared" si="9"/>
        <v>42538650</v>
      </c>
      <c r="K75" s="630">
        <v>3850</v>
      </c>
      <c r="L75" s="631">
        <v>44897</v>
      </c>
      <c r="M75" s="638">
        <f t="shared" si="72"/>
        <v>44897</v>
      </c>
      <c r="N75" s="632" t="s">
        <v>1610</v>
      </c>
      <c r="O75" s="632" t="s">
        <v>297</v>
      </c>
      <c r="P75" s="632" t="s">
        <v>1897</v>
      </c>
      <c r="Q75" s="632">
        <v>140</v>
      </c>
      <c r="R75" s="632" t="s">
        <v>1585</v>
      </c>
      <c r="S75" s="632" t="s">
        <v>2009</v>
      </c>
      <c r="T75" s="633" t="s">
        <v>1723</v>
      </c>
      <c r="U75" s="634" t="s">
        <v>2010</v>
      </c>
      <c r="V75" s="635" t="s">
        <v>1675</v>
      </c>
      <c r="W75" s="633" t="s">
        <v>2011</v>
      </c>
      <c r="X75" s="634" t="s">
        <v>2012</v>
      </c>
      <c r="Y75" s="632">
        <f t="shared" si="10"/>
        <v>11049</v>
      </c>
      <c r="Z75" s="632">
        <f t="shared" si="11"/>
        <v>45051</v>
      </c>
      <c r="AA75" s="636">
        <f t="shared" si="12"/>
        <v>3.077</v>
      </c>
      <c r="AB75" s="636">
        <f t="shared" si="13"/>
        <v>-0.26600000000000001</v>
      </c>
      <c r="AC75" s="632">
        <f t="shared" si="14"/>
        <v>33055</v>
      </c>
      <c r="AD75" s="632" t="str">
        <f t="shared" si="15"/>
        <v/>
      </c>
      <c r="AE75" s="636" t="str">
        <f t="shared" si="16"/>
        <v/>
      </c>
      <c r="AF75" s="632">
        <f t="shared" si="17"/>
        <v>32964</v>
      </c>
      <c r="AG75" s="632">
        <f t="shared" si="18"/>
        <v>0</v>
      </c>
      <c r="AH75" s="625" t="str">
        <f t="shared" si="19"/>
        <v/>
      </c>
    </row>
    <row r="76" spans="1:37">
      <c r="A76" s="623">
        <f t="shared" si="0"/>
        <v>1</v>
      </c>
      <c r="B76" s="624">
        <f>IF(AF76&lt;=AG76,1,IF(AH76&lt;=0.005,2,IF(AND(AH76&gt;0.005,AH76&lt;=0.02, L183),4,IF(AND(AH76&gt;0.02,AH76&lt;=0.05),5,IF(AND(AH76&gt;0.05,AH76&lt;=0.1),7,IF(AND(AH76&gt;0.1,AH76&lt;=0.2),8,IF(AH76&gt;0.2,10)))))))</f>
        <v>1</v>
      </c>
      <c r="C76" s="623">
        <f>IF(AA76&lt;=0.005,10,IF(AND(AA76&gt;0.005,AA76&lt;=0.01, C168),9,IF(AND(AA76&gt;0.01,AA76&lt;=0.02),8,IF(AND(AA76&gt;0.02,AA76&lt;=0.05),7,IF(AND(AA76&gt;0.05,AA76&lt;=0.1),6,IF(AND(AA76&gt;0.1,AA76&lt;=0.2),5,IF(AND(AA76&gt;0.2,AA76&lt;=0.3),4,IF(AND(AA76&gt;0.3,AA76&lt;=0.4),3,IF(AND(AA76&gt;0.4,AA76&lt;=0.5),2,IF(AA76&gt;0.5,1))))))))))</f>
        <v>1</v>
      </c>
      <c r="D76" s="623">
        <f t="shared" si="3"/>
        <v>8</v>
      </c>
      <c r="E76" s="624">
        <f t="shared" si="4"/>
        <v>1.5</v>
      </c>
      <c r="F76" s="625">
        <f t="shared" si="5"/>
        <v>0.55646341878595984</v>
      </c>
      <c r="G76" s="626" t="str">
        <f t="shared" si="22"/>
        <v/>
      </c>
      <c r="H76" s="627" t="str">
        <f t="shared" si="45"/>
        <v/>
      </c>
      <c r="I76" s="628" t="e">
        <f t="shared" si="8"/>
        <v>#VALUE!</v>
      </c>
      <c r="J76" s="629" t="e">
        <f t="shared" si="9"/>
        <v>#VALUE!</v>
      </c>
      <c r="K76" s="630">
        <v>1300</v>
      </c>
      <c r="L76" s="631">
        <v>44897</v>
      </c>
      <c r="M76" s="638">
        <f t="shared" si="72"/>
        <v>44897</v>
      </c>
      <c r="N76" s="632" t="s">
        <v>1708</v>
      </c>
      <c r="O76" s="632" t="s">
        <v>499</v>
      </c>
      <c r="P76" s="632" t="s">
        <v>1897</v>
      </c>
      <c r="Q76" s="632">
        <v>335</v>
      </c>
      <c r="R76" s="632" t="s">
        <v>1585</v>
      </c>
      <c r="S76" s="632" t="s">
        <v>2013</v>
      </c>
      <c r="T76" s="633" t="s">
        <v>2014</v>
      </c>
      <c r="U76" s="634" t="s">
        <v>2015</v>
      </c>
      <c r="V76" s="635" t="s">
        <v>2016</v>
      </c>
      <c r="W76" s="633" t="s">
        <v>2017</v>
      </c>
      <c r="X76" s="634" t="s">
        <v>2018</v>
      </c>
      <c r="Y76" s="632" t="str">
        <f t="shared" si="10"/>
        <v/>
      </c>
      <c r="Z76" s="632">
        <f t="shared" si="11"/>
        <v>22190</v>
      </c>
      <c r="AA76" s="636" t="str">
        <f t="shared" si="12"/>
        <v/>
      </c>
      <c r="AB76" s="636">
        <f t="shared" si="13"/>
        <v>0.33200000000000002</v>
      </c>
      <c r="AC76" s="632">
        <f t="shared" si="14"/>
        <v>29556</v>
      </c>
      <c r="AD76" s="632" t="str">
        <f t="shared" si="15"/>
        <v/>
      </c>
      <c r="AE76" s="636" t="str">
        <f t="shared" si="16"/>
        <v/>
      </c>
      <c r="AF76" s="632">
        <f t="shared" si="17"/>
        <v>13028</v>
      </c>
      <c r="AG76" s="632">
        <f t="shared" si="18"/>
        <v>29373</v>
      </c>
      <c r="AH76" s="625" t="str">
        <f t="shared" si="19"/>
        <v>SL Hit</v>
      </c>
      <c r="AI76" s="633" t="s">
        <v>2019</v>
      </c>
      <c r="AJ76" s="633" t="s">
        <v>2020</v>
      </c>
      <c r="AK76" s="633" t="s">
        <v>2021</v>
      </c>
    </row>
    <row r="77" spans="1:37">
      <c r="A77" s="623">
        <f t="shared" si="0"/>
        <v>1</v>
      </c>
      <c r="B77" s="624">
        <f t="shared" ref="B77:B78" si="77">IF(AF77&lt;=AG77,1,IF(AH77&lt;=0.005,2,IF(AND(AH77&gt;0.005,AH77&lt;=0.02, L182),4,IF(AND(AH77&gt;0.02,AH77&lt;=0.05),5,IF(AND(AH77&gt;0.05,AH77&lt;=0.1),7,IF(AND(AH77&gt;0.1,AH77&lt;=0.2),8,IF(AH77&gt;0.2,10)))))))</f>
        <v>10</v>
      </c>
      <c r="C77" s="623">
        <f t="shared" ref="C77:C78" si="78">IF(AA77&lt;=0.005,10,IF(AND(AA77&gt;0.005,AA77&lt;=0.01, C167),9,IF(AND(AA77&gt;0.01,AA77&lt;=0.02),8,IF(AND(AA77&gt;0.02,AA77&lt;=0.05),7,IF(AND(AA77&gt;0.05,AA77&lt;=0.1),6,IF(AND(AA77&gt;0.1,AA77&lt;=0.2),5,IF(AND(AA77&gt;0.2,AA77&lt;=0.3),4,IF(AND(AA77&gt;0.3,AA77&lt;=0.4),3,IF(AND(AA77&gt;0.4,AA77&lt;=0.5),2,IF(AA77&gt;0.5,1))))))))))</f>
        <v>1</v>
      </c>
      <c r="D77" s="623">
        <f t="shared" si="3"/>
        <v>10</v>
      </c>
      <c r="E77" s="624">
        <f t="shared" si="4"/>
        <v>2.4</v>
      </c>
      <c r="F77" s="625" t="str">
        <f t="shared" si="5"/>
        <v xml:space="preserve">     -</v>
      </c>
      <c r="G77" s="626" t="str">
        <f t="shared" si="22"/>
        <v/>
      </c>
      <c r="H77" s="627">
        <f t="shared" si="45"/>
        <v>-1</v>
      </c>
      <c r="I77" s="628" t="e">
        <f t="shared" si="8"/>
        <v>#VALUE!</v>
      </c>
      <c r="J77" s="629">
        <f t="shared" si="9"/>
        <v>23919825</v>
      </c>
      <c r="K77" s="630">
        <v>1075</v>
      </c>
      <c r="L77" s="631">
        <v>44900</v>
      </c>
      <c r="M77" s="638">
        <f t="shared" si="72"/>
        <v>44900</v>
      </c>
      <c r="N77" s="632" t="s">
        <v>1610</v>
      </c>
      <c r="O77" s="632" t="s">
        <v>481</v>
      </c>
      <c r="P77" s="632" t="s">
        <v>1897</v>
      </c>
      <c r="Q77" s="632">
        <v>470</v>
      </c>
      <c r="R77" s="632" t="s">
        <v>1585</v>
      </c>
      <c r="S77" s="632" t="s">
        <v>2022</v>
      </c>
      <c r="T77" s="633" t="s">
        <v>2023</v>
      </c>
      <c r="U77" s="634" t="s">
        <v>1947</v>
      </c>
      <c r="V77" s="635" t="s">
        <v>2024</v>
      </c>
      <c r="W77" s="633" t="s">
        <v>2025</v>
      </c>
      <c r="X77" s="634" t="s">
        <v>2026</v>
      </c>
      <c r="Y77" s="632">
        <f t="shared" si="10"/>
        <v>22251</v>
      </c>
      <c r="Z77" s="632" t="str">
        <f t="shared" si="11"/>
        <v/>
      </c>
      <c r="AA77" s="636" t="str">
        <f t="shared" si="12"/>
        <v/>
      </c>
      <c r="AB77" s="636" t="str">
        <f t="shared" si="13"/>
        <v/>
      </c>
      <c r="AC77" s="632">
        <f t="shared" si="14"/>
        <v>0</v>
      </c>
      <c r="AD77" s="632" t="str">
        <f t="shared" si="15"/>
        <v/>
      </c>
      <c r="AE77" s="636" t="str">
        <f t="shared" si="16"/>
        <v/>
      </c>
      <c r="AF77" s="632">
        <f t="shared" si="17"/>
        <v>45061</v>
      </c>
      <c r="AG77" s="632">
        <f t="shared" si="18"/>
        <v>0</v>
      </c>
      <c r="AH77" s="625" t="str">
        <f t="shared" si="19"/>
        <v/>
      </c>
    </row>
    <row r="78" spans="1:37">
      <c r="A78" s="623">
        <f t="shared" si="0"/>
        <v>1</v>
      </c>
      <c r="B78" s="624">
        <f t="shared" si="77"/>
        <v>10</v>
      </c>
      <c r="C78" s="623">
        <f t="shared" si="78"/>
        <v>1</v>
      </c>
      <c r="D78" s="623">
        <f t="shared" si="3"/>
        <v>10</v>
      </c>
      <c r="E78" s="624">
        <f t="shared" si="4"/>
        <v>2.4</v>
      </c>
      <c r="F78" s="625" t="str">
        <f t="shared" si="5"/>
        <v xml:space="preserve">     -</v>
      </c>
      <c r="G78" s="626" t="str">
        <f t="shared" si="22"/>
        <v/>
      </c>
      <c r="H78" s="627" t="str">
        <f t="shared" si="45"/>
        <v/>
      </c>
      <c r="I78" s="628" t="e">
        <f t="shared" si="8"/>
        <v>#VALUE!</v>
      </c>
      <c r="J78" s="629" t="e">
        <f t="shared" si="9"/>
        <v>#VALUE!</v>
      </c>
      <c r="K78" s="630">
        <v>500</v>
      </c>
      <c r="L78" s="631">
        <v>44900</v>
      </c>
      <c r="M78" s="638">
        <f t="shared" si="72"/>
        <v>44900</v>
      </c>
      <c r="N78" s="632" t="s">
        <v>1882</v>
      </c>
      <c r="O78" s="632" t="s">
        <v>2027</v>
      </c>
      <c r="P78" s="632" t="s">
        <v>1897</v>
      </c>
      <c r="Q78" s="632">
        <v>860</v>
      </c>
      <c r="R78" s="632" t="s">
        <v>1585</v>
      </c>
      <c r="S78" s="632" t="s">
        <v>2028</v>
      </c>
      <c r="T78" s="633" t="s">
        <v>2029</v>
      </c>
      <c r="U78" s="634" t="s">
        <v>1775</v>
      </c>
      <c r="V78" s="635" t="s">
        <v>2030</v>
      </c>
      <c r="W78" s="633" t="s">
        <v>2031</v>
      </c>
      <c r="X78" s="634" t="s">
        <v>2032</v>
      </c>
      <c r="Y78" s="632" t="str">
        <f t="shared" si="10"/>
        <v/>
      </c>
      <c r="Z78" s="632" t="str">
        <f t="shared" si="11"/>
        <v/>
      </c>
      <c r="AA78" s="636" t="str">
        <f t="shared" si="12"/>
        <v/>
      </c>
      <c r="AB78" s="636" t="str">
        <f t="shared" si="13"/>
        <v/>
      </c>
      <c r="AC78" s="632">
        <f t="shared" si="14"/>
        <v>45075</v>
      </c>
      <c r="AD78" s="632" t="str">
        <f t="shared" si="15"/>
        <v/>
      </c>
      <c r="AE78" s="636" t="str">
        <f t="shared" si="16"/>
        <v/>
      </c>
      <c r="AF78" s="632" t="str">
        <f t="shared" si="17"/>
        <v/>
      </c>
      <c r="AG78" s="632">
        <f t="shared" si="18"/>
        <v>0</v>
      </c>
      <c r="AH78" s="625" t="str">
        <f t="shared" si="19"/>
        <v/>
      </c>
    </row>
    <row r="79" spans="1:37">
      <c r="A79" s="623">
        <f t="shared" si="0"/>
        <v>1</v>
      </c>
      <c r="B79" s="624">
        <f>IF(AF79&lt;=AG79,1,IF(AH79&lt;=0.005,2,IF(AND(AH79&gt;0.005,AH79&lt;=0.02, L183),4,IF(AND(AH79&gt;0.02,AH79&lt;=0.05),5,IF(AND(AH79&gt;0.05,AH79&lt;=0.1),7,IF(AND(AH79&gt;0.1,AH79&lt;=0.2),8,IF(AH79&gt;0.2,10)))))))</f>
        <v>10</v>
      </c>
      <c r="C79" s="623">
        <f>IF(AA79&lt;=0.005,10,IF(AND(AA79&gt;0.005,AA79&lt;=0.01, C168),9,IF(AND(AA79&gt;0.01,AA79&lt;=0.02),8,IF(AND(AA79&gt;0.02,AA79&lt;=0.05),7,IF(AND(AA79&gt;0.05,AA79&lt;=0.1),6,IF(AND(AA79&gt;0.1,AA79&lt;=0.2),5,IF(AND(AA79&gt;0.2,AA79&lt;=0.3),4,IF(AND(AA79&gt;0.3,AA79&lt;=0.4),3,IF(AND(AA79&gt;0.4,AA79&lt;=0.5),2,IF(AA79&gt;0.5,1))))))))))</f>
        <v>10</v>
      </c>
      <c r="D79" s="623">
        <f t="shared" si="3"/>
        <v>10</v>
      </c>
      <c r="E79" s="624">
        <f t="shared" si="4"/>
        <v>9.3000000000000007</v>
      </c>
      <c r="F79" s="625" t="str">
        <f t="shared" si="5"/>
        <v xml:space="preserve">     -</v>
      </c>
      <c r="G79" s="626" t="str">
        <f t="shared" si="22"/>
        <v/>
      </c>
      <c r="H79" s="627">
        <f t="shared" si="45"/>
        <v>-5.0000000000000001E-3</v>
      </c>
      <c r="I79" s="628" t="e">
        <f t="shared" si="8"/>
        <v>#VALUE!</v>
      </c>
      <c r="J79" s="629">
        <f t="shared" si="9"/>
        <v>165600</v>
      </c>
      <c r="K79" s="630">
        <v>1800</v>
      </c>
      <c r="L79" s="631">
        <v>44900</v>
      </c>
      <c r="M79" s="638">
        <f t="shared" si="72"/>
        <v>44900</v>
      </c>
      <c r="N79" s="632" t="s">
        <v>1708</v>
      </c>
      <c r="O79" s="632" t="s">
        <v>1968</v>
      </c>
      <c r="P79" s="632" t="s">
        <v>1897</v>
      </c>
      <c r="Q79" s="632">
        <v>250</v>
      </c>
      <c r="R79" s="632" t="s">
        <v>1585</v>
      </c>
      <c r="S79" s="632" t="s">
        <v>1849</v>
      </c>
      <c r="T79" s="633" t="s">
        <v>2033</v>
      </c>
      <c r="U79" s="634" t="s">
        <v>1674</v>
      </c>
      <c r="V79" s="635" t="s">
        <v>2034</v>
      </c>
      <c r="W79" s="633" t="s">
        <v>2035</v>
      </c>
      <c r="X79" s="634" t="s">
        <v>2036</v>
      </c>
      <c r="Y79" s="632">
        <f t="shared" si="10"/>
        <v>18415</v>
      </c>
      <c r="Z79" s="632">
        <f t="shared" si="11"/>
        <v>12966</v>
      </c>
      <c r="AA79" s="636">
        <f t="shared" si="12"/>
        <v>-0.29599999999999999</v>
      </c>
      <c r="AB79" s="636">
        <f t="shared" si="13"/>
        <v>0.98599999999999999</v>
      </c>
      <c r="AC79" s="632">
        <f t="shared" si="14"/>
        <v>25750</v>
      </c>
      <c r="AD79" s="632" t="str">
        <f t="shared" si="15"/>
        <v/>
      </c>
      <c r="AE79" s="636" t="str">
        <f t="shared" si="16"/>
        <v/>
      </c>
      <c r="AF79" s="632">
        <f t="shared" si="17"/>
        <v>42156</v>
      </c>
      <c r="AG79" s="632">
        <f t="shared" si="18"/>
        <v>18323</v>
      </c>
      <c r="AH79" s="625">
        <f t="shared" si="19"/>
        <v>1.3009999999999999</v>
      </c>
      <c r="AI79" s="633" t="s">
        <v>2037</v>
      </c>
      <c r="AJ79" s="633" t="s">
        <v>1998</v>
      </c>
      <c r="AK79" s="633" t="s">
        <v>2038</v>
      </c>
    </row>
    <row r="80" spans="1:37">
      <c r="A80" s="623">
        <f t="shared" si="0"/>
        <v>1</v>
      </c>
      <c r="B80" s="624">
        <f t="shared" ref="B80:B81" si="79">IF(AF80&lt;=AG80,1,IF(AH80&lt;=0.005,2,IF(AND(AH80&gt;0.005,AH80&lt;=0.02, L181),4,IF(AND(AH80&gt;0.02,AH80&lt;=0.05),5,IF(AND(AH80&gt;0.05,AH80&lt;=0.1),7,IF(AND(AH80&gt;0.1,AH80&lt;=0.2),8,IF(AH80&gt;0.2,10)))))))</f>
        <v>10</v>
      </c>
      <c r="C80" s="623">
        <f t="shared" ref="C80:C81" si="80">IF(AA80&lt;=0.005,10,IF(AND(AA80&gt;0.005,AA80&lt;=0.01, C166),9,IF(AND(AA80&gt;0.01,AA80&lt;=0.02),8,IF(AND(AA80&gt;0.02,AA80&lt;=0.05),7,IF(AND(AA80&gt;0.05,AA80&lt;=0.1),6,IF(AND(AA80&gt;0.1,AA80&lt;=0.2),5,IF(AND(AA80&gt;0.2,AA80&lt;=0.3),4,IF(AND(AA80&gt;0.3,AA80&lt;=0.4),3,IF(AND(AA80&gt;0.4,AA80&lt;=0.5),2,IF(AA80&gt;0.5,1))))))))))</f>
        <v>1</v>
      </c>
      <c r="D80" s="623">
        <f t="shared" si="3"/>
        <v>10</v>
      </c>
      <c r="E80" s="624">
        <f t="shared" si="4"/>
        <v>2.4</v>
      </c>
      <c r="F80" s="625" t="str">
        <f t="shared" si="5"/>
        <v xml:space="preserve">     -</v>
      </c>
      <c r="G80" s="626" t="str">
        <f t="shared" si="22"/>
        <v/>
      </c>
      <c r="H80" s="627" t="str">
        <f t="shared" si="45"/>
        <v/>
      </c>
      <c r="I80" s="628" t="e">
        <f t="shared" si="8"/>
        <v>#VALUE!</v>
      </c>
      <c r="J80" s="629" t="e">
        <f t="shared" si="9"/>
        <v>#VALUE!</v>
      </c>
      <c r="K80" s="630">
        <v>1375</v>
      </c>
      <c r="L80" s="631">
        <v>44901</v>
      </c>
      <c r="M80" s="638">
        <f t="shared" si="72"/>
        <v>44901</v>
      </c>
      <c r="N80" s="632" t="s">
        <v>1584</v>
      </c>
      <c r="O80" s="632" t="s">
        <v>501</v>
      </c>
      <c r="P80" s="632" t="s">
        <v>1897</v>
      </c>
      <c r="Q80" s="632">
        <v>930</v>
      </c>
      <c r="R80" s="632" t="s">
        <v>1577</v>
      </c>
      <c r="S80" s="632" t="s">
        <v>2039</v>
      </c>
      <c r="T80" s="633" t="s">
        <v>1735</v>
      </c>
      <c r="U80" s="634" t="s">
        <v>1718</v>
      </c>
      <c r="V80" s="635" t="s">
        <v>2040</v>
      </c>
      <c r="W80" s="633" t="s">
        <v>2041</v>
      </c>
      <c r="X80" s="634" t="s">
        <v>2042</v>
      </c>
      <c r="Y80" s="632" t="str">
        <f t="shared" si="10"/>
        <v/>
      </c>
      <c r="Z80" s="632" t="str">
        <f t="shared" si="11"/>
        <v/>
      </c>
      <c r="AA80" s="636" t="str">
        <f t="shared" si="12"/>
        <v/>
      </c>
      <c r="AB80" s="636" t="str">
        <f t="shared" si="13"/>
        <v/>
      </c>
      <c r="AC80" s="632">
        <f t="shared" si="14"/>
        <v>0</v>
      </c>
      <c r="AD80" s="632" t="str">
        <f t="shared" si="15"/>
        <v/>
      </c>
      <c r="AE80" s="636" t="str">
        <f t="shared" si="16"/>
        <v/>
      </c>
      <c r="AF80" s="632" t="str">
        <f t="shared" si="17"/>
        <v/>
      </c>
      <c r="AG80" s="632">
        <f t="shared" si="18"/>
        <v>0</v>
      </c>
      <c r="AH80" s="625" t="str">
        <f t="shared" si="19"/>
        <v/>
      </c>
    </row>
    <row r="81" spans="1:35">
      <c r="A81" s="623">
        <f t="shared" si="0"/>
        <v>1</v>
      </c>
      <c r="B81" s="624">
        <f t="shared" si="79"/>
        <v>10</v>
      </c>
      <c r="C81" s="623">
        <f t="shared" si="80"/>
        <v>1</v>
      </c>
      <c r="D81" s="623">
        <f t="shared" si="3"/>
        <v>10</v>
      </c>
      <c r="E81" s="624">
        <f t="shared" si="4"/>
        <v>2.4</v>
      </c>
      <c r="F81" s="625" t="str">
        <f t="shared" si="5"/>
        <v xml:space="preserve">     -</v>
      </c>
      <c r="G81" s="626" t="str">
        <f t="shared" si="22"/>
        <v/>
      </c>
      <c r="H81" s="627" t="str">
        <f t="shared" si="45"/>
        <v/>
      </c>
      <c r="I81" s="628" t="e">
        <f t="shared" si="8"/>
        <v>#VALUE!</v>
      </c>
      <c r="J81" s="629" t="e">
        <f t="shared" si="9"/>
        <v>#VALUE!</v>
      </c>
      <c r="K81" s="630">
        <v>300</v>
      </c>
      <c r="L81" s="631">
        <v>44901</v>
      </c>
      <c r="M81" s="638">
        <f t="shared" si="72"/>
        <v>44901</v>
      </c>
      <c r="N81" s="632" t="s">
        <v>1882</v>
      </c>
      <c r="O81" s="632" t="s">
        <v>472</v>
      </c>
      <c r="P81" s="632" t="s">
        <v>1897</v>
      </c>
      <c r="Q81" s="632">
        <v>1640</v>
      </c>
      <c r="R81" s="632" t="s">
        <v>1577</v>
      </c>
      <c r="S81" s="632" t="s">
        <v>2043</v>
      </c>
      <c r="T81" s="633" t="s">
        <v>2044</v>
      </c>
      <c r="U81" s="634" t="s">
        <v>2045</v>
      </c>
      <c r="V81" s="635" t="s">
        <v>2046</v>
      </c>
      <c r="W81" s="633" t="s">
        <v>2047</v>
      </c>
      <c r="X81" s="634" t="s">
        <v>2048</v>
      </c>
      <c r="Y81" s="632" t="str">
        <f t="shared" si="10"/>
        <v/>
      </c>
      <c r="Z81" s="632" t="str">
        <f t="shared" si="11"/>
        <v/>
      </c>
      <c r="AA81" s="636" t="str">
        <f t="shared" si="12"/>
        <v/>
      </c>
      <c r="AB81" s="636" t="str">
        <f t="shared" si="13"/>
        <v/>
      </c>
      <c r="AC81" s="632">
        <f t="shared" si="14"/>
        <v>0</v>
      </c>
      <c r="AD81" s="632" t="str">
        <f t="shared" si="15"/>
        <v/>
      </c>
      <c r="AE81" s="636" t="str">
        <f t="shared" si="16"/>
        <v/>
      </c>
      <c r="AF81" s="632" t="str">
        <f t="shared" si="17"/>
        <v/>
      </c>
      <c r="AG81" s="632">
        <f t="shared" si="18"/>
        <v>0</v>
      </c>
      <c r="AH81" s="625" t="str">
        <f t="shared" si="19"/>
        <v/>
      </c>
    </row>
    <row r="82" spans="1:35">
      <c r="A82" s="623">
        <f t="shared" si="0"/>
        <v>1</v>
      </c>
      <c r="B82" s="624">
        <f t="shared" ref="B82:B83" si="81">IF(AF82&lt;=AG82,1,IF(AH82&lt;=0.005,2,IF(AND(AH82&gt;0.005,AH82&lt;=0.02, L182),4,IF(AND(AH82&gt;0.02,AH82&lt;=0.05),5,IF(AND(AH82&gt;0.05,AH82&lt;=0.1),7,IF(AND(AH82&gt;0.1,AH82&lt;=0.2),8,IF(AH82&gt;0.2,10)))))))</f>
        <v>10</v>
      </c>
      <c r="C82" s="623">
        <f t="shared" ref="C82:C83" si="82">IF(AA82&lt;=0.005,10,IF(AND(AA82&gt;0.005,AA82&lt;=0.01, C167),9,IF(AND(AA82&gt;0.01,AA82&lt;=0.02),8,IF(AND(AA82&gt;0.02,AA82&lt;=0.05),7,IF(AND(AA82&gt;0.05,AA82&lt;=0.1),6,IF(AND(AA82&gt;0.1,AA82&lt;=0.2),5,IF(AND(AA82&gt;0.2,AA82&lt;=0.3),4,IF(AND(AA82&gt;0.3,AA82&lt;=0.4),3,IF(AND(AA82&gt;0.4,AA82&lt;=0.5),2,IF(AA82&gt;0.5,1))))))))))</f>
        <v>10</v>
      </c>
      <c r="D82" s="623">
        <f t="shared" si="3"/>
        <v>10</v>
      </c>
      <c r="E82" s="624">
        <f t="shared" si="4"/>
        <v>9.3000000000000007</v>
      </c>
      <c r="F82" s="625" t="str">
        <f t="shared" si="5"/>
        <v xml:space="preserve">     -</v>
      </c>
      <c r="G82" s="626" t="str">
        <f t="shared" si="22"/>
        <v/>
      </c>
      <c r="H82" s="627">
        <f t="shared" si="45"/>
        <v>-9.5000000000000001E-2</v>
      </c>
      <c r="I82" s="628" t="e">
        <f t="shared" si="8"/>
        <v>#VALUE!</v>
      </c>
      <c r="J82" s="629">
        <f t="shared" si="9"/>
        <v>1917000</v>
      </c>
      <c r="K82" s="630">
        <v>1000</v>
      </c>
      <c r="L82" s="631">
        <v>44902</v>
      </c>
      <c r="M82" s="638">
        <f t="shared" si="72"/>
        <v>44902</v>
      </c>
      <c r="N82" s="632" t="s">
        <v>1584</v>
      </c>
      <c r="O82" s="632" t="s">
        <v>1611</v>
      </c>
      <c r="P82" s="632" t="s">
        <v>1897</v>
      </c>
      <c r="Q82" s="632">
        <v>410</v>
      </c>
      <c r="R82" s="632" t="s">
        <v>1577</v>
      </c>
      <c r="S82" s="632" t="s">
        <v>2049</v>
      </c>
      <c r="T82" s="633" t="s">
        <v>1717</v>
      </c>
      <c r="U82" s="634" t="s">
        <v>1730</v>
      </c>
      <c r="V82" s="635" t="s">
        <v>1788</v>
      </c>
      <c r="W82" s="633" t="s">
        <v>2001</v>
      </c>
      <c r="X82" s="634" t="s">
        <v>2050</v>
      </c>
      <c r="Y82" s="632">
        <f t="shared" si="10"/>
        <v>20271</v>
      </c>
      <c r="Z82" s="632">
        <f t="shared" si="11"/>
        <v>18476</v>
      </c>
      <c r="AA82" s="636">
        <f t="shared" si="12"/>
        <v>-8.8999999999999996E-2</v>
      </c>
      <c r="AB82" s="636">
        <f t="shared" si="13"/>
        <v>0.79200000000000004</v>
      </c>
      <c r="AC82" s="632">
        <f t="shared" si="14"/>
        <v>33117</v>
      </c>
      <c r="AD82" s="632" t="str">
        <f t="shared" si="15"/>
        <v/>
      </c>
      <c r="AE82" s="636" t="str">
        <f t="shared" si="16"/>
        <v/>
      </c>
      <c r="AF82" s="632">
        <f t="shared" si="17"/>
        <v>42217</v>
      </c>
      <c r="AG82" s="632">
        <f t="shared" si="18"/>
        <v>18354</v>
      </c>
      <c r="AH82" s="625">
        <f t="shared" si="19"/>
        <v>1.3</v>
      </c>
    </row>
    <row r="83" spans="1:35">
      <c r="A83" s="623">
        <f t="shared" si="0"/>
        <v>1</v>
      </c>
      <c r="B83" s="624">
        <f t="shared" si="81"/>
        <v>10</v>
      </c>
      <c r="C83" s="623">
        <f t="shared" si="82"/>
        <v>1</v>
      </c>
      <c r="D83" s="623">
        <f t="shared" si="3"/>
        <v>10</v>
      </c>
      <c r="E83" s="624">
        <f t="shared" si="4"/>
        <v>2.4</v>
      </c>
      <c r="F83" s="625" t="str">
        <f t="shared" si="5"/>
        <v xml:space="preserve">     -</v>
      </c>
      <c r="G83" s="626" t="str">
        <f t="shared" si="22"/>
        <v/>
      </c>
      <c r="H83" s="627" t="str">
        <f t="shared" si="45"/>
        <v/>
      </c>
      <c r="I83" s="628" t="e">
        <f t="shared" si="8"/>
        <v>#VALUE!</v>
      </c>
      <c r="J83" s="629" t="e">
        <f t="shared" si="9"/>
        <v>#VALUE!</v>
      </c>
      <c r="K83" s="630">
        <v>200</v>
      </c>
      <c r="L83" s="631">
        <v>44902</v>
      </c>
      <c r="M83" s="638">
        <f t="shared" si="72"/>
        <v>44902</v>
      </c>
      <c r="N83" s="632" t="s">
        <v>1610</v>
      </c>
      <c r="O83" s="632" t="s">
        <v>705</v>
      </c>
      <c r="P83" s="632" t="s">
        <v>1897</v>
      </c>
      <c r="Q83" s="632">
        <v>3200</v>
      </c>
      <c r="R83" s="632" t="s">
        <v>1585</v>
      </c>
      <c r="S83" s="632" t="s">
        <v>2051</v>
      </c>
      <c r="T83" s="633" t="s">
        <v>1780</v>
      </c>
      <c r="U83" s="634" t="s">
        <v>1668</v>
      </c>
      <c r="V83" s="635" t="s">
        <v>2052</v>
      </c>
      <c r="W83" s="633" t="s">
        <v>2053</v>
      </c>
      <c r="X83" s="634" t="s">
        <v>2054</v>
      </c>
      <c r="Y83" s="632" t="str">
        <f t="shared" si="10"/>
        <v/>
      </c>
      <c r="Z83" s="632" t="str">
        <f t="shared" si="11"/>
        <v/>
      </c>
      <c r="AA83" s="636" t="str">
        <f t="shared" si="12"/>
        <v/>
      </c>
      <c r="AB83" s="636" t="str">
        <f t="shared" si="13"/>
        <v/>
      </c>
      <c r="AC83" s="632">
        <f t="shared" si="14"/>
        <v>0</v>
      </c>
      <c r="AD83" s="632" t="str">
        <f t="shared" si="15"/>
        <v/>
      </c>
      <c r="AE83" s="636" t="str">
        <f t="shared" si="16"/>
        <v/>
      </c>
      <c r="AF83" s="632" t="str">
        <f t="shared" si="17"/>
        <v/>
      </c>
      <c r="AG83" s="632">
        <f t="shared" si="18"/>
        <v>60</v>
      </c>
      <c r="AH83" s="625" t="str">
        <f t="shared" si="19"/>
        <v/>
      </c>
    </row>
    <row r="84" spans="1:35">
      <c r="A84" s="623">
        <f t="shared" si="0"/>
        <v>1</v>
      </c>
      <c r="B84" s="624">
        <f t="shared" ref="B84:B85" si="83">IF(AF84&lt;=AG84,1,IF(AH84&lt;=0.005,2,IF(AND(AH84&gt;0.005,AH84&lt;=0.02, L182),4,IF(AND(AH84&gt;0.02,AH84&lt;=0.05),5,IF(AND(AH84&gt;0.05,AH84&lt;=0.1),7,IF(AND(AH84&gt;0.1,AH84&lt;=0.2),8,IF(AH84&gt;0.2,10)))))))</f>
        <v>10</v>
      </c>
      <c r="C84" s="623">
        <f t="shared" ref="C84:C85" si="84">IF(AA84&lt;=0.005,10,IF(AND(AA84&gt;0.005,AA84&lt;=0.01, C167),9,IF(AND(AA84&gt;0.01,AA84&lt;=0.02),8,IF(AND(AA84&gt;0.02,AA84&lt;=0.05),7,IF(AND(AA84&gt;0.05,AA84&lt;=0.1),6,IF(AND(AA84&gt;0.1,AA84&lt;=0.2),5,IF(AND(AA84&gt;0.2,AA84&lt;=0.3),4,IF(AND(AA84&gt;0.3,AA84&lt;=0.4),3,IF(AND(AA84&gt;0.4,AA84&lt;=0.5),2,IF(AA84&gt;0.5,1))))))))))</f>
        <v>1</v>
      </c>
      <c r="D84" s="623">
        <f t="shared" si="3"/>
        <v>10</v>
      </c>
      <c r="E84" s="624">
        <f t="shared" si="4"/>
        <v>2.4</v>
      </c>
      <c r="F84" s="625" t="str">
        <f t="shared" si="5"/>
        <v xml:space="preserve">     -</v>
      </c>
      <c r="G84" s="626" t="str">
        <f t="shared" si="22"/>
        <v/>
      </c>
      <c r="H84" s="627" t="str">
        <f t="shared" si="45"/>
        <v/>
      </c>
      <c r="I84" s="628" t="e">
        <f t="shared" si="8"/>
        <v>#VALUE!</v>
      </c>
      <c r="J84" s="629" t="e">
        <f t="shared" si="9"/>
        <v>#VALUE!</v>
      </c>
      <c r="K84" s="630">
        <v>1375</v>
      </c>
      <c r="L84" s="631">
        <v>44903</v>
      </c>
      <c r="M84" s="638">
        <f t="shared" si="72"/>
        <v>44903</v>
      </c>
      <c r="N84" s="632" t="s">
        <v>1610</v>
      </c>
      <c r="O84" s="632" t="s">
        <v>501</v>
      </c>
      <c r="P84" s="632" t="s">
        <v>1897</v>
      </c>
      <c r="Q84" s="632">
        <v>930</v>
      </c>
      <c r="R84" s="632" t="s">
        <v>1585</v>
      </c>
      <c r="S84" s="632" t="s">
        <v>2055</v>
      </c>
      <c r="T84" s="633" t="s">
        <v>1735</v>
      </c>
      <c r="U84" s="634" t="s">
        <v>2056</v>
      </c>
      <c r="V84" s="635" t="s">
        <v>2057</v>
      </c>
      <c r="W84" s="633" t="s">
        <v>2058</v>
      </c>
      <c r="X84" s="634" t="s">
        <v>2059</v>
      </c>
      <c r="Y84" s="632" t="str">
        <f t="shared" si="10"/>
        <v/>
      </c>
      <c r="Z84" s="632" t="str">
        <f t="shared" si="11"/>
        <v/>
      </c>
      <c r="AA84" s="636" t="str">
        <f t="shared" si="12"/>
        <v/>
      </c>
      <c r="AB84" s="636" t="str">
        <f t="shared" si="13"/>
        <v/>
      </c>
      <c r="AC84" s="632">
        <f t="shared" si="14"/>
        <v>0</v>
      </c>
      <c r="AD84" s="632" t="str">
        <f t="shared" si="15"/>
        <v/>
      </c>
      <c r="AE84" s="636" t="str">
        <f t="shared" si="16"/>
        <v/>
      </c>
      <c r="AF84" s="632" t="str">
        <f t="shared" si="17"/>
        <v/>
      </c>
      <c r="AG84" s="632">
        <f t="shared" si="18"/>
        <v>0</v>
      </c>
      <c r="AH84" s="625" t="str">
        <f t="shared" si="19"/>
        <v/>
      </c>
    </row>
    <row r="85" spans="1:35">
      <c r="A85" s="623">
        <f t="shared" si="0"/>
        <v>1</v>
      </c>
      <c r="B85" s="624">
        <f t="shared" si="83"/>
        <v>10</v>
      </c>
      <c r="C85" s="623">
        <f t="shared" si="84"/>
        <v>1</v>
      </c>
      <c r="D85" s="623">
        <f t="shared" si="3"/>
        <v>10</v>
      </c>
      <c r="E85" s="624">
        <f t="shared" si="4"/>
        <v>2.4</v>
      </c>
      <c r="F85" s="625" t="str">
        <f t="shared" si="5"/>
        <v xml:space="preserve">     -</v>
      </c>
      <c r="G85" s="626" t="str">
        <f t="shared" si="22"/>
        <v/>
      </c>
      <c r="H85" s="627" t="str">
        <f t="shared" si="45"/>
        <v/>
      </c>
      <c r="I85" s="628" t="e">
        <f t="shared" si="8"/>
        <v>#VALUE!</v>
      </c>
      <c r="J85" s="629" t="e">
        <f t="shared" si="9"/>
        <v>#VALUE!</v>
      </c>
      <c r="K85" s="630">
        <v>175</v>
      </c>
      <c r="L85" s="631">
        <v>44903</v>
      </c>
      <c r="M85" s="638">
        <f t="shared" si="72"/>
        <v>44903</v>
      </c>
      <c r="N85" s="632" t="s">
        <v>1584</v>
      </c>
      <c r="O85" s="632" t="s">
        <v>2060</v>
      </c>
      <c r="P85" s="632" t="s">
        <v>1897</v>
      </c>
      <c r="Q85" s="632">
        <v>3250</v>
      </c>
      <c r="R85" s="632" t="s">
        <v>1585</v>
      </c>
      <c r="S85" s="632" t="s">
        <v>2061</v>
      </c>
      <c r="T85" s="633" t="s">
        <v>2062</v>
      </c>
      <c r="U85" s="634" t="s">
        <v>2063</v>
      </c>
      <c r="V85" s="635" t="s">
        <v>2064</v>
      </c>
      <c r="W85" s="633" t="s">
        <v>2065</v>
      </c>
      <c r="X85" s="634" t="s">
        <v>2066</v>
      </c>
      <c r="Y85" s="632" t="str">
        <f t="shared" si="10"/>
        <v/>
      </c>
      <c r="Z85" s="632" t="str">
        <f t="shared" si="11"/>
        <v/>
      </c>
      <c r="AA85" s="636" t="str">
        <f t="shared" si="12"/>
        <v/>
      </c>
      <c r="AB85" s="636" t="str">
        <f t="shared" si="13"/>
        <v/>
      </c>
      <c r="AC85" s="632">
        <f t="shared" si="14"/>
        <v>0</v>
      </c>
      <c r="AD85" s="632" t="str">
        <f t="shared" si="15"/>
        <v/>
      </c>
      <c r="AE85" s="636" t="str">
        <f t="shared" si="16"/>
        <v/>
      </c>
      <c r="AF85" s="632" t="str">
        <f t="shared" si="17"/>
        <v/>
      </c>
      <c r="AG85" s="632">
        <f t="shared" si="18"/>
        <v>0</v>
      </c>
      <c r="AH85" s="625" t="str">
        <f t="shared" si="19"/>
        <v/>
      </c>
    </row>
    <row r="86" spans="1:35">
      <c r="A86" s="623">
        <f t="shared" si="0"/>
        <v>1</v>
      </c>
      <c r="B86" s="624">
        <f>IF(AF86&lt;=AG86,1,IF(AH86&lt;=0.005,2,IF(AND(AH86&gt;0.005,AH86&lt;=0.02, L183),4,IF(AND(AH86&gt;0.02,AH86&lt;=0.05),5,IF(AND(AH86&gt;0.05,AH86&lt;=0.1),7,IF(AND(AH86&gt;0.1,AH86&lt;=0.2),8,IF(AH86&gt;0.2,10)))))))</f>
        <v>10</v>
      </c>
      <c r="C86" s="623">
        <f>IF(AA86&lt;=0.005,10,IF(AND(AA86&gt;0.005,AA86&lt;=0.01, C168),9,IF(AND(AA86&gt;0.01,AA86&lt;=0.02),8,IF(AND(AA86&gt;0.02,AA86&lt;=0.05),7,IF(AND(AA86&gt;0.05,AA86&lt;=0.1),6,IF(AND(AA86&gt;0.1,AA86&lt;=0.2),5,IF(AND(AA86&gt;0.2,AA86&lt;=0.3),4,IF(AND(AA86&gt;0.3,AA86&lt;=0.4),3,IF(AND(AA86&gt;0.4,AA86&lt;=0.5),2,IF(AA86&gt;0.5,1))))))))))</f>
        <v>9</v>
      </c>
      <c r="D86" s="623">
        <f t="shared" si="3"/>
        <v>1</v>
      </c>
      <c r="E86" s="624">
        <f t="shared" si="4"/>
        <v>7.8</v>
      </c>
      <c r="F86" s="625" t="str">
        <f t="shared" si="5"/>
        <v xml:space="preserve">     -</v>
      </c>
      <c r="G86" s="626">
        <f t="shared" si="22"/>
        <v>-0.3528</v>
      </c>
      <c r="H86" s="627">
        <f t="shared" si="45"/>
        <v>-1</v>
      </c>
      <c r="I86" s="628">
        <f t="shared" si="8"/>
        <v>-358830000</v>
      </c>
      <c r="J86" s="629">
        <f t="shared" si="9"/>
        <v>1017000000</v>
      </c>
      <c r="K86" s="630">
        <v>22500</v>
      </c>
      <c r="L86" s="631">
        <v>44903</v>
      </c>
      <c r="M86" s="638">
        <f t="shared" si="72"/>
        <v>44903</v>
      </c>
      <c r="N86" s="632" t="s">
        <v>1708</v>
      </c>
      <c r="O86" s="632" t="s">
        <v>2067</v>
      </c>
      <c r="P86" s="632" t="s">
        <v>1897</v>
      </c>
      <c r="Q86" s="632">
        <v>45</v>
      </c>
      <c r="R86" s="632" t="s">
        <v>1585</v>
      </c>
      <c r="S86" s="632" t="s">
        <v>2068</v>
      </c>
      <c r="T86" s="633" t="s">
        <v>2069</v>
      </c>
      <c r="U86" s="634" t="s">
        <v>1753</v>
      </c>
      <c r="V86" s="635" t="s">
        <v>2070</v>
      </c>
      <c r="W86" s="633" t="s">
        <v>2071</v>
      </c>
      <c r="X86" s="634" t="s">
        <v>2072</v>
      </c>
      <c r="Y86" s="632">
        <f t="shared" si="10"/>
        <v>45200</v>
      </c>
      <c r="Z86" s="632">
        <f t="shared" si="11"/>
        <v>45658</v>
      </c>
      <c r="AA86" s="636">
        <f t="shared" si="12"/>
        <v>0.01</v>
      </c>
      <c r="AB86" s="636">
        <f t="shared" si="13"/>
        <v>-0.68</v>
      </c>
      <c r="AC86" s="632">
        <f t="shared" si="14"/>
        <v>14611</v>
      </c>
      <c r="AD86" s="632">
        <f t="shared" si="15"/>
        <v>29252</v>
      </c>
      <c r="AE86" s="636">
        <f t="shared" si="16"/>
        <v>0.501</v>
      </c>
      <c r="AF86" s="632">
        <f t="shared" si="17"/>
        <v>45658</v>
      </c>
      <c r="AG86" s="632">
        <f t="shared" si="18"/>
        <v>0</v>
      </c>
      <c r="AH86" s="625" t="str">
        <f t="shared" si="19"/>
        <v/>
      </c>
      <c r="AI86" s="633" t="s">
        <v>2073</v>
      </c>
    </row>
    <row r="87" spans="1:35">
      <c r="A87" s="623">
        <f t="shared" si="0"/>
        <v>1</v>
      </c>
      <c r="B87" s="624">
        <f t="shared" ref="B87:B88" si="85">IF(AF87&lt;=AG87,1,IF(AH87&lt;=0.005,2,IF(AND(AH87&gt;0.005,AH87&lt;=0.02, L182),4,IF(AND(AH87&gt;0.02,AH87&lt;=0.05),5,IF(AND(AH87&gt;0.05,AH87&lt;=0.1),7,IF(AND(AH87&gt;0.1,AH87&lt;=0.2),8,IF(AH87&gt;0.2,10)))))))</f>
        <v>10</v>
      </c>
      <c r="C87" s="623">
        <f t="shared" ref="C87:C88" si="86">IF(AA87&lt;=0.005,10,IF(AND(AA87&gt;0.005,AA87&lt;=0.01, C167),9,IF(AND(AA87&gt;0.01,AA87&lt;=0.02),8,IF(AND(AA87&gt;0.02,AA87&lt;=0.05),7,IF(AND(AA87&gt;0.05,AA87&lt;=0.1),6,IF(AND(AA87&gt;0.1,AA87&lt;=0.2),5,IF(AND(AA87&gt;0.2,AA87&lt;=0.3),4,IF(AND(AA87&gt;0.3,AA87&lt;=0.4),3,IF(AND(AA87&gt;0.4,AA87&lt;=0.5),2,IF(AA87&gt;0.5,1))))))))))</f>
        <v>1</v>
      </c>
      <c r="D87" s="623">
        <f t="shared" si="3"/>
        <v>10</v>
      </c>
      <c r="E87" s="624">
        <f t="shared" si="4"/>
        <v>2.4</v>
      </c>
      <c r="F87" s="625" t="str">
        <f t="shared" si="5"/>
        <v xml:space="preserve">     -</v>
      </c>
      <c r="G87" s="626" t="str">
        <f t="shared" si="22"/>
        <v/>
      </c>
      <c r="H87" s="627" t="str">
        <f t="shared" si="45"/>
        <v/>
      </c>
      <c r="I87" s="628" t="e">
        <f t="shared" si="8"/>
        <v>#VALUE!</v>
      </c>
      <c r="J87" s="629" t="e">
        <f t="shared" si="9"/>
        <v>#VALUE!</v>
      </c>
      <c r="K87" s="630">
        <v>300</v>
      </c>
      <c r="L87" s="631">
        <v>44904</v>
      </c>
      <c r="M87" s="638">
        <f t="shared" si="72"/>
        <v>44904</v>
      </c>
      <c r="N87" s="632" t="s">
        <v>1584</v>
      </c>
      <c r="O87" s="632" t="s">
        <v>472</v>
      </c>
      <c r="P87" s="632" t="s">
        <v>1897</v>
      </c>
      <c r="Q87" s="632">
        <v>1620</v>
      </c>
      <c r="R87" s="632" t="s">
        <v>1585</v>
      </c>
      <c r="S87" s="632" t="s">
        <v>2074</v>
      </c>
      <c r="T87" s="633" t="s">
        <v>1867</v>
      </c>
      <c r="U87" s="634" t="s">
        <v>2075</v>
      </c>
      <c r="V87" s="635" t="s">
        <v>2076</v>
      </c>
      <c r="W87" s="633" t="s">
        <v>2077</v>
      </c>
      <c r="X87" s="634" t="s">
        <v>2078</v>
      </c>
      <c r="Y87" s="632" t="str">
        <f t="shared" si="10"/>
        <v/>
      </c>
      <c r="Z87" s="632" t="str">
        <f t="shared" si="11"/>
        <v/>
      </c>
      <c r="AA87" s="636" t="str">
        <f t="shared" si="12"/>
        <v/>
      </c>
      <c r="AB87" s="636" t="str">
        <f t="shared" si="13"/>
        <v/>
      </c>
      <c r="AC87" s="632">
        <f t="shared" si="14"/>
        <v>0</v>
      </c>
      <c r="AD87" s="632" t="str">
        <f t="shared" si="15"/>
        <v/>
      </c>
      <c r="AE87" s="636" t="str">
        <f t="shared" si="16"/>
        <v/>
      </c>
      <c r="AF87" s="632" t="str">
        <f t="shared" si="17"/>
        <v/>
      </c>
      <c r="AG87" s="632">
        <f t="shared" si="18"/>
        <v>0</v>
      </c>
      <c r="AH87" s="625" t="str">
        <f t="shared" si="19"/>
        <v/>
      </c>
    </row>
    <row r="88" spans="1:35">
      <c r="A88" s="623">
        <f t="shared" si="0"/>
        <v>1</v>
      </c>
      <c r="B88" s="624">
        <f t="shared" si="85"/>
        <v>1</v>
      </c>
      <c r="C88" s="623">
        <f t="shared" si="86"/>
        <v>1</v>
      </c>
      <c r="D88" s="623">
        <f t="shared" si="3"/>
        <v>1</v>
      </c>
      <c r="E88" s="624">
        <f t="shared" si="4"/>
        <v>1</v>
      </c>
      <c r="F88" s="625">
        <f t="shared" si="5"/>
        <v>0.20331251696986152</v>
      </c>
      <c r="G88" s="626" t="str">
        <f t="shared" si="22"/>
        <v/>
      </c>
      <c r="H88" s="627">
        <f t="shared" si="45"/>
        <v>0.245</v>
      </c>
      <c r="I88" s="628" t="e">
        <f t="shared" si="8"/>
        <v>#VALUE!</v>
      </c>
      <c r="J88" s="629">
        <f t="shared" si="9"/>
        <v>-3622000</v>
      </c>
      <c r="K88" s="630">
        <v>1000</v>
      </c>
      <c r="L88" s="631">
        <v>44904</v>
      </c>
      <c r="M88" s="638">
        <f t="shared" si="72"/>
        <v>44904</v>
      </c>
      <c r="N88" s="632" t="s">
        <v>1610</v>
      </c>
      <c r="O88" s="632" t="s">
        <v>1611</v>
      </c>
      <c r="P88" s="632" t="s">
        <v>1897</v>
      </c>
      <c r="Q88" s="632">
        <v>410</v>
      </c>
      <c r="R88" s="632" t="s">
        <v>1585</v>
      </c>
      <c r="S88" s="632" t="s">
        <v>1823</v>
      </c>
      <c r="T88" s="633" t="s">
        <v>1786</v>
      </c>
      <c r="U88" s="634" t="s">
        <v>1953</v>
      </c>
      <c r="V88" s="635" t="s">
        <v>2079</v>
      </c>
      <c r="W88" s="633" t="s">
        <v>2080</v>
      </c>
      <c r="X88" s="634" t="s">
        <v>2081</v>
      </c>
      <c r="Y88" s="632">
        <f t="shared" si="10"/>
        <v>14793</v>
      </c>
      <c r="Z88" s="632">
        <f t="shared" si="11"/>
        <v>45207</v>
      </c>
      <c r="AA88" s="636">
        <f t="shared" si="12"/>
        <v>2.056</v>
      </c>
      <c r="AB88" s="636">
        <f t="shared" si="13"/>
        <v>0</v>
      </c>
      <c r="AC88" s="632">
        <f t="shared" si="14"/>
        <v>45207</v>
      </c>
      <c r="AD88" s="632" t="str">
        <f t="shared" si="15"/>
        <v/>
      </c>
      <c r="AE88" s="636" t="str">
        <f t="shared" si="16"/>
        <v/>
      </c>
      <c r="AF88" s="632">
        <f t="shared" si="17"/>
        <v>14671</v>
      </c>
      <c r="AG88" s="632">
        <f t="shared" si="18"/>
        <v>18415</v>
      </c>
      <c r="AH88" s="625" t="str">
        <f t="shared" si="19"/>
        <v>SL Hit</v>
      </c>
    </row>
    <row r="89" spans="1:35">
      <c r="A89" s="623">
        <f t="shared" si="0"/>
        <v>1</v>
      </c>
      <c r="B89" s="624">
        <f t="shared" ref="B89:B90" si="87">IF(AF89&lt;=AG89,1,IF(AH89&lt;=0.005,2,IF(AND(AH89&gt;0.005,AH89&lt;=0.02, L182),4,IF(AND(AH89&gt;0.02,AH89&lt;=0.05),5,IF(AND(AH89&gt;0.05,AH89&lt;=0.1),7,IF(AND(AH89&gt;0.1,AH89&lt;=0.2),8,IF(AH89&gt;0.2,10)))))))</f>
        <v>10</v>
      </c>
      <c r="C89" s="623">
        <f t="shared" ref="C89:C90" si="88">IF(AA89&lt;=0.005,10,IF(AND(AA89&gt;0.005,AA89&lt;=0.01, C167),9,IF(AND(AA89&gt;0.01,AA89&lt;=0.02),8,IF(AND(AA89&gt;0.02,AA89&lt;=0.05),7,IF(AND(AA89&gt;0.05,AA89&lt;=0.1),6,IF(AND(AA89&gt;0.1,AA89&lt;=0.2),5,IF(AND(AA89&gt;0.2,AA89&lt;=0.3),4,IF(AND(AA89&gt;0.3,AA89&lt;=0.4),3,IF(AND(AA89&gt;0.4,AA89&lt;=0.5),2,IF(AA89&gt;0.5,1))))))))))</f>
        <v>1</v>
      </c>
      <c r="D89" s="623">
        <f t="shared" si="3"/>
        <v>1</v>
      </c>
      <c r="E89" s="624">
        <f t="shared" si="4"/>
        <v>1.7</v>
      </c>
      <c r="F89" s="625" t="str">
        <f t="shared" si="5"/>
        <v xml:space="preserve">     -</v>
      </c>
      <c r="G89" s="626" t="str">
        <f t="shared" si="22"/>
        <v/>
      </c>
      <c r="H89" s="627" t="str">
        <f t="shared" si="45"/>
        <v/>
      </c>
      <c r="I89" s="628" t="e">
        <f t="shared" si="8"/>
        <v>#VALUE!</v>
      </c>
      <c r="J89" s="629" t="e">
        <f t="shared" si="9"/>
        <v>#VALUE!</v>
      </c>
      <c r="K89" s="630">
        <v>1000</v>
      </c>
      <c r="L89" s="631">
        <v>44907</v>
      </c>
      <c r="M89" s="638">
        <f t="shared" si="72"/>
        <v>44907</v>
      </c>
      <c r="N89" s="632" t="s">
        <v>1610</v>
      </c>
      <c r="O89" s="632" t="s">
        <v>1611</v>
      </c>
      <c r="P89" s="632" t="s">
        <v>1897</v>
      </c>
      <c r="Q89" s="632">
        <v>390</v>
      </c>
      <c r="R89" s="632" t="s">
        <v>1577</v>
      </c>
      <c r="S89" s="632" t="s">
        <v>1785</v>
      </c>
      <c r="T89" s="633" t="s">
        <v>2082</v>
      </c>
      <c r="U89" s="634" t="s">
        <v>2083</v>
      </c>
      <c r="V89" s="635" t="s">
        <v>2084</v>
      </c>
      <c r="W89" s="633" t="s">
        <v>2085</v>
      </c>
      <c r="X89" s="634" t="s">
        <v>2086</v>
      </c>
      <c r="Y89" s="632" t="str">
        <f t="shared" si="10"/>
        <v/>
      </c>
      <c r="Z89" s="632">
        <f t="shared" si="11"/>
        <v>14763</v>
      </c>
      <c r="AA89" s="636" t="str">
        <f t="shared" si="12"/>
        <v/>
      </c>
      <c r="AB89" s="636">
        <f t="shared" si="13"/>
        <v>-0.24099999999999999</v>
      </c>
      <c r="AC89" s="632">
        <f t="shared" si="14"/>
        <v>11202</v>
      </c>
      <c r="AD89" s="632" t="str">
        <f t="shared" si="15"/>
        <v/>
      </c>
      <c r="AE89" s="636" t="str">
        <f t="shared" si="16"/>
        <v/>
      </c>
      <c r="AF89" s="632">
        <f t="shared" si="17"/>
        <v>23833</v>
      </c>
      <c r="AG89" s="632">
        <f t="shared" si="18"/>
        <v>0</v>
      </c>
      <c r="AH89" s="625" t="str">
        <f t="shared" si="19"/>
        <v/>
      </c>
    </row>
    <row r="90" spans="1:35">
      <c r="A90" s="623">
        <f t="shared" si="0"/>
        <v>1</v>
      </c>
      <c r="B90" s="624">
        <f t="shared" si="87"/>
        <v>10</v>
      </c>
      <c r="C90" s="623">
        <f t="shared" si="88"/>
        <v>1</v>
      </c>
      <c r="D90" s="623">
        <f t="shared" si="3"/>
        <v>1</v>
      </c>
      <c r="E90" s="624">
        <f t="shared" si="4"/>
        <v>1.7</v>
      </c>
      <c r="F90" s="625" t="str">
        <f t="shared" si="5"/>
        <v xml:space="preserve">     -</v>
      </c>
      <c r="G90" s="626" t="str">
        <f t="shared" si="22"/>
        <v/>
      </c>
      <c r="H90" s="627" t="str">
        <f t="shared" si="45"/>
        <v/>
      </c>
      <c r="I90" s="628" t="e">
        <f t="shared" si="8"/>
        <v>#VALUE!</v>
      </c>
      <c r="J90" s="629" t="e">
        <f t="shared" si="9"/>
        <v>#VALUE!</v>
      </c>
      <c r="K90" s="630">
        <v>1250</v>
      </c>
      <c r="L90" s="631">
        <v>44907</v>
      </c>
      <c r="M90" s="638">
        <f t="shared" si="72"/>
        <v>44907</v>
      </c>
      <c r="N90" s="632" t="s">
        <v>1584</v>
      </c>
      <c r="O90" s="632" t="s">
        <v>704</v>
      </c>
      <c r="P90" s="632" t="s">
        <v>1897</v>
      </c>
      <c r="Q90" s="632">
        <v>550</v>
      </c>
      <c r="R90" s="632" t="s">
        <v>1577</v>
      </c>
      <c r="S90" s="632" t="s">
        <v>2087</v>
      </c>
      <c r="T90" s="633" t="s">
        <v>1735</v>
      </c>
      <c r="U90" s="634" t="s">
        <v>1964</v>
      </c>
      <c r="V90" s="635" t="s">
        <v>2088</v>
      </c>
      <c r="W90" s="633" t="s">
        <v>2089</v>
      </c>
      <c r="X90" s="634" t="s">
        <v>2090</v>
      </c>
      <c r="Y90" s="632" t="str">
        <f t="shared" si="10"/>
        <v/>
      </c>
      <c r="Z90" s="632">
        <f t="shared" si="11"/>
        <v>45065</v>
      </c>
      <c r="AA90" s="636" t="str">
        <f t="shared" si="12"/>
        <v/>
      </c>
      <c r="AB90" s="636">
        <f t="shared" si="13"/>
        <v>-1</v>
      </c>
      <c r="AC90" s="632">
        <f t="shared" si="14"/>
        <v>0</v>
      </c>
      <c r="AD90" s="632" t="str">
        <f t="shared" si="15"/>
        <v/>
      </c>
      <c r="AE90" s="636" t="str">
        <f t="shared" si="16"/>
        <v/>
      </c>
      <c r="AF90" s="632">
        <f t="shared" si="17"/>
        <v>14885</v>
      </c>
      <c r="AG90" s="632">
        <f t="shared" si="18"/>
        <v>0</v>
      </c>
      <c r="AH90" s="625" t="str">
        <f t="shared" si="19"/>
        <v/>
      </c>
    </row>
    <row r="91" spans="1:35">
      <c r="A91" s="623">
        <f t="shared" si="0"/>
        <v>1</v>
      </c>
      <c r="B91" s="624">
        <f>IF(AF91&lt;=AG91,1,IF(AH91&lt;=0.005,2,IF(AND(AH91&gt;0.005,AH91&lt;=0.02, L183),4,IF(AND(AH91&gt;0.02,AH91&lt;=0.05),5,IF(AND(AH91&gt;0.05,AH91&lt;=0.1),7,IF(AND(AH91&gt;0.1,AH91&lt;=0.2),8,IF(AH91&gt;0.2,10)))))))</f>
        <v>1</v>
      </c>
      <c r="C91" s="623">
        <f>IF(AA91&lt;=0.005,10,IF(AND(AA91&gt;0.005,AA91&lt;=0.01, C168),9,IF(AND(AA91&gt;0.01,AA91&lt;=0.02),8,IF(AND(AA91&gt;0.02,AA91&lt;=0.05),7,IF(AND(AA91&gt;0.05,AA91&lt;=0.1),6,IF(AND(AA91&gt;0.1,AA91&lt;=0.2),5,IF(AND(AA91&gt;0.2,AA91&lt;=0.3),4,IF(AND(AA91&gt;0.3,AA91&lt;=0.4),3,IF(AND(AA91&gt;0.4,AA91&lt;=0.5),2,IF(AA91&gt;0.5,1))))))))))</f>
        <v>1</v>
      </c>
      <c r="D91" s="623">
        <f t="shared" si="3"/>
        <v>10</v>
      </c>
      <c r="E91" s="624">
        <f t="shared" si="4"/>
        <v>1.7</v>
      </c>
      <c r="F91" s="625">
        <f t="shared" si="5"/>
        <v>0.36967794759825329</v>
      </c>
      <c r="G91" s="626" t="str">
        <f t="shared" si="22"/>
        <v/>
      </c>
      <c r="H91" s="627" t="str">
        <f t="shared" si="45"/>
        <v/>
      </c>
      <c r="I91" s="628" t="e">
        <f t="shared" si="8"/>
        <v>#VALUE!</v>
      </c>
      <c r="J91" s="629" t="e">
        <f t="shared" si="9"/>
        <v>#VALUE!</v>
      </c>
      <c r="K91" s="630">
        <v>1650</v>
      </c>
      <c r="L91" s="631">
        <v>44907</v>
      </c>
      <c r="M91" s="638">
        <f t="shared" si="72"/>
        <v>44907</v>
      </c>
      <c r="N91" s="632" t="s">
        <v>1708</v>
      </c>
      <c r="O91" s="632" t="s">
        <v>700</v>
      </c>
      <c r="P91" s="632" t="s">
        <v>1897</v>
      </c>
      <c r="Q91" s="632">
        <v>410</v>
      </c>
      <c r="R91" s="632" t="s">
        <v>1585</v>
      </c>
      <c r="S91" s="632" t="s">
        <v>1835</v>
      </c>
      <c r="T91" s="633" t="s">
        <v>2033</v>
      </c>
      <c r="U91" s="634" t="s">
        <v>1971</v>
      </c>
      <c r="V91" s="635" t="s">
        <v>2091</v>
      </c>
      <c r="W91" s="633" t="s">
        <v>2092</v>
      </c>
      <c r="X91" s="634" t="s">
        <v>2093</v>
      </c>
      <c r="Y91" s="632" t="str">
        <f t="shared" si="10"/>
        <v/>
      </c>
      <c r="Z91" s="632" t="str">
        <f t="shared" si="11"/>
        <v/>
      </c>
      <c r="AA91" s="636" t="str">
        <f t="shared" si="12"/>
        <v/>
      </c>
      <c r="AB91" s="636" t="str">
        <f t="shared" si="13"/>
        <v/>
      </c>
      <c r="AC91" s="632">
        <f t="shared" si="14"/>
        <v>45056</v>
      </c>
      <c r="AD91" s="632" t="str">
        <f t="shared" si="15"/>
        <v/>
      </c>
      <c r="AE91" s="636" t="str">
        <f t="shared" si="16"/>
        <v/>
      </c>
      <c r="AF91" s="632">
        <f t="shared" si="17"/>
        <v>18476</v>
      </c>
      <c r="AG91" s="632">
        <f t="shared" si="18"/>
        <v>29312</v>
      </c>
      <c r="AH91" s="625" t="str">
        <f t="shared" si="19"/>
        <v>SL Hit</v>
      </c>
    </row>
    <row r="92" spans="1:35">
      <c r="A92" s="623">
        <f t="shared" si="0"/>
        <v>1</v>
      </c>
      <c r="B92" s="624">
        <f t="shared" ref="B92:B93" si="89">IF(AF92&lt;=AG92,1,IF(AH92&lt;=0.005,2,IF(AND(AH92&gt;0.005,AH92&lt;=0.02, L182),4,IF(AND(AH92&gt;0.02,AH92&lt;=0.05),5,IF(AND(AH92&gt;0.05,AH92&lt;=0.1),7,IF(AND(AH92&gt;0.1,AH92&lt;=0.2),8,IF(AH92&gt;0.2,10)))))))</f>
        <v>10</v>
      </c>
      <c r="C92" s="623">
        <f t="shared" ref="C92:C93" si="90">IF(AA92&lt;=0.005,10,IF(AND(AA92&gt;0.005,AA92&lt;=0.01, C167),9,IF(AND(AA92&gt;0.01,AA92&lt;=0.02),8,IF(AND(AA92&gt;0.02,AA92&lt;=0.05),7,IF(AND(AA92&gt;0.05,AA92&lt;=0.1),6,IF(AND(AA92&gt;0.1,AA92&lt;=0.2),5,IF(AND(AA92&gt;0.2,AA92&lt;=0.3),4,IF(AND(AA92&gt;0.3,AA92&lt;=0.4),3,IF(AND(AA92&gt;0.4,AA92&lt;=0.5),2,IF(AA92&gt;0.5,1))))))))))</f>
        <v>1</v>
      </c>
      <c r="D92" s="623">
        <f t="shared" si="3"/>
        <v>10</v>
      </c>
      <c r="E92" s="624">
        <f t="shared" si="4"/>
        <v>2.4</v>
      </c>
      <c r="F92" s="625" t="str">
        <f t="shared" si="5"/>
        <v xml:space="preserve">     -</v>
      </c>
      <c r="G92" s="626">
        <f t="shared" si="22"/>
        <v>0.19439999999999999</v>
      </c>
      <c r="H92" s="627">
        <f t="shared" si="45"/>
        <v>-7.3999999999999996E-2</v>
      </c>
      <c r="I92" s="628">
        <f t="shared" si="8"/>
        <v>4200</v>
      </c>
      <c r="J92" s="629">
        <f t="shared" si="9"/>
        <v>1600</v>
      </c>
      <c r="K92" s="630">
        <v>200</v>
      </c>
      <c r="L92" s="631">
        <v>44908</v>
      </c>
      <c r="M92" s="638">
        <f t="shared" si="72"/>
        <v>44908</v>
      </c>
      <c r="N92" s="632" t="s">
        <v>1574</v>
      </c>
      <c r="O92" s="632" t="s">
        <v>1911</v>
      </c>
      <c r="P92" s="632" t="s">
        <v>1897</v>
      </c>
      <c r="Q92" s="632">
        <v>3900</v>
      </c>
      <c r="R92" s="632" t="s">
        <v>1585</v>
      </c>
      <c r="S92" s="632" t="s">
        <v>2094</v>
      </c>
      <c r="T92" s="633" t="s">
        <v>2095</v>
      </c>
      <c r="U92" s="634" t="s">
        <v>2096</v>
      </c>
      <c r="V92" s="635" t="s">
        <v>2097</v>
      </c>
      <c r="W92" s="633" t="s">
        <v>2098</v>
      </c>
      <c r="X92" s="634" t="s">
        <v>2099</v>
      </c>
      <c r="Y92" s="632">
        <f t="shared" si="10"/>
        <v>108</v>
      </c>
      <c r="Z92" s="632" t="str">
        <f t="shared" si="11"/>
        <v/>
      </c>
      <c r="AA92" s="636" t="str">
        <f t="shared" si="12"/>
        <v/>
      </c>
      <c r="AB92" s="636" t="str">
        <f t="shared" si="13"/>
        <v/>
      </c>
      <c r="AC92" s="632">
        <f t="shared" si="14"/>
        <v>0</v>
      </c>
      <c r="AD92" s="632">
        <f t="shared" si="15"/>
        <v>129</v>
      </c>
      <c r="AE92" s="636">
        <f t="shared" si="16"/>
        <v>1</v>
      </c>
      <c r="AF92" s="632" t="str">
        <f t="shared" si="17"/>
        <v/>
      </c>
      <c r="AG92" s="632">
        <f t="shared" si="18"/>
        <v>100</v>
      </c>
      <c r="AH92" s="625" t="str">
        <f t="shared" si="19"/>
        <v/>
      </c>
    </row>
    <row r="93" spans="1:35">
      <c r="A93" s="623">
        <f t="shared" si="0"/>
        <v>1</v>
      </c>
      <c r="B93" s="624">
        <f t="shared" si="89"/>
        <v>10</v>
      </c>
      <c r="C93" s="623">
        <f t="shared" si="90"/>
        <v>1</v>
      </c>
      <c r="D93" s="623">
        <f t="shared" si="3"/>
        <v>10</v>
      </c>
      <c r="E93" s="624">
        <f t="shared" si="4"/>
        <v>2.4</v>
      </c>
      <c r="F93" s="625" t="str">
        <f t="shared" si="5"/>
        <v xml:space="preserve">     -</v>
      </c>
      <c r="G93" s="626" t="str">
        <f t="shared" si="22"/>
        <v/>
      </c>
      <c r="H93" s="627" t="str">
        <f t="shared" si="45"/>
        <v/>
      </c>
      <c r="I93" s="628" t="e">
        <f t="shared" si="8"/>
        <v>#VALUE!</v>
      </c>
      <c r="J93" s="629" t="e">
        <f t="shared" si="9"/>
        <v>#VALUE!</v>
      </c>
      <c r="K93" s="630">
        <v>300</v>
      </c>
      <c r="L93" s="631">
        <v>44908</v>
      </c>
      <c r="M93" s="638">
        <f t="shared" si="72"/>
        <v>44908</v>
      </c>
      <c r="N93" s="632" t="s">
        <v>1584</v>
      </c>
      <c r="O93" s="632" t="s">
        <v>632</v>
      </c>
      <c r="P93" s="632" t="s">
        <v>1897</v>
      </c>
      <c r="Q93" s="632">
        <v>2160</v>
      </c>
      <c r="R93" s="632" t="s">
        <v>1585</v>
      </c>
      <c r="S93" s="632" t="s">
        <v>2100</v>
      </c>
      <c r="T93" s="633" t="s">
        <v>2101</v>
      </c>
      <c r="U93" s="634" t="s">
        <v>2102</v>
      </c>
      <c r="V93" s="635" t="s">
        <v>2103</v>
      </c>
      <c r="W93" s="633" t="s">
        <v>2104</v>
      </c>
      <c r="X93" s="634" t="s">
        <v>2105</v>
      </c>
      <c r="Y93" s="632" t="str">
        <f t="shared" si="10"/>
        <v/>
      </c>
      <c r="Z93" s="632" t="str">
        <f t="shared" si="11"/>
        <v/>
      </c>
      <c r="AA93" s="636" t="str">
        <f t="shared" si="12"/>
        <v/>
      </c>
      <c r="AB93" s="636" t="str">
        <f t="shared" si="13"/>
        <v/>
      </c>
      <c r="AC93" s="632">
        <f t="shared" si="14"/>
        <v>0</v>
      </c>
      <c r="AD93" s="632">
        <f t="shared" si="15"/>
        <v>50</v>
      </c>
      <c r="AE93" s="636">
        <f t="shared" si="16"/>
        <v>1</v>
      </c>
      <c r="AF93" s="632" t="str">
        <f t="shared" si="17"/>
        <v/>
      </c>
      <c r="AG93" s="632">
        <f t="shared" si="18"/>
        <v>30</v>
      </c>
      <c r="AH93" s="625" t="str">
        <f t="shared" si="19"/>
        <v/>
      </c>
    </row>
    <row r="94" spans="1:35">
      <c r="A94" s="623">
        <f t="shared" si="0"/>
        <v>10</v>
      </c>
      <c r="B94" s="624">
        <f t="shared" ref="B94:B95" si="91">IF(AF94&lt;=AG94,1,IF(AH94&lt;=0.005,2,IF(AND(AH94&gt;0.005,AH94&lt;=0.02, L182),4,IF(AND(AH94&gt;0.02,AH94&lt;=0.05),5,IF(AND(AH94&gt;0.05,AH94&lt;=0.1),7,IF(AND(AH94&gt;0.1,AH94&lt;=0.2),8,IF(AH94&gt;0.2,10)))))))</f>
        <v>10</v>
      </c>
      <c r="C94" s="623">
        <f t="shared" ref="C94:C95" si="92">IF(AA94&lt;=0.005,10,IF(AND(AA94&gt;0.005,AA94&lt;=0.01, C167),9,IF(AND(AA94&gt;0.01,AA94&lt;=0.02),8,IF(AND(AA94&gt;0.02,AA94&lt;=0.05),7,IF(AND(AA94&gt;0.05,AA94&lt;=0.1),6,IF(AND(AA94&gt;0.1,AA94&lt;=0.2),5,IF(AND(AA94&gt;0.2,AA94&lt;=0.3),4,IF(AND(AA94&gt;0.3,AA94&lt;=0.4),3,IF(AND(AA94&gt;0.4,AA94&lt;=0.5),2,IF(AA94&gt;0.5,1))))))))))</f>
        <v>5</v>
      </c>
      <c r="D94" s="623">
        <f t="shared" si="3"/>
        <v>10</v>
      </c>
      <c r="E94" s="624">
        <f t="shared" si="4"/>
        <v>6.2</v>
      </c>
      <c r="F94" s="625" t="str">
        <f t="shared" si="5"/>
        <v xml:space="preserve">     -</v>
      </c>
      <c r="G94" s="626">
        <f t="shared" si="22"/>
        <v>1</v>
      </c>
      <c r="H94" s="627">
        <f t="shared" si="45"/>
        <v>-0.375</v>
      </c>
      <c r="I94" s="628">
        <f t="shared" si="8"/>
        <v>8000</v>
      </c>
      <c r="J94" s="629">
        <f t="shared" si="9"/>
        <v>3000</v>
      </c>
      <c r="K94" s="630">
        <v>1000</v>
      </c>
      <c r="L94" s="631">
        <v>44909</v>
      </c>
      <c r="M94" s="638">
        <f t="shared" si="72"/>
        <v>44909</v>
      </c>
      <c r="N94" s="632" t="s">
        <v>1584</v>
      </c>
      <c r="O94" s="632" t="s">
        <v>1611</v>
      </c>
      <c r="P94" s="632" t="s">
        <v>1897</v>
      </c>
      <c r="Q94" s="632">
        <v>400</v>
      </c>
      <c r="R94" s="632" t="s">
        <v>1585</v>
      </c>
      <c r="S94" s="632" t="s">
        <v>2106</v>
      </c>
      <c r="T94" s="633" t="s">
        <v>2107</v>
      </c>
      <c r="U94" s="634" t="s">
        <v>2108</v>
      </c>
      <c r="V94" s="635" t="s">
        <v>2109</v>
      </c>
      <c r="W94" s="633" t="s">
        <v>2110</v>
      </c>
      <c r="X94" s="634" t="s">
        <v>2111</v>
      </c>
      <c r="Y94" s="632">
        <f t="shared" si="10"/>
        <v>8</v>
      </c>
      <c r="Z94" s="632">
        <f t="shared" si="11"/>
        <v>9</v>
      </c>
      <c r="AA94" s="636">
        <f t="shared" si="12"/>
        <v>0.125</v>
      </c>
      <c r="AB94" s="636">
        <f t="shared" si="13"/>
        <v>1859.222</v>
      </c>
      <c r="AC94" s="632">
        <f t="shared" si="14"/>
        <v>16742</v>
      </c>
      <c r="AD94" s="632">
        <f t="shared" si="15"/>
        <v>16</v>
      </c>
      <c r="AE94" s="636" t="str">
        <f t="shared" si="16"/>
        <v>Tgt Hit</v>
      </c>
      <c r="AF94" s="632">
        <f t="shared" si="17"/>
        <v>31260</v>
      </c>
      <c r="AG94" s="632">
        <f t="shared" si="18"/>
        <v>5</v>
      </c>
      <c r="AH94" s="625">
        <f t="shared" si="19"/>
        <v>6251</v>
      </c>
    </row>
    <row r="95" spans="1:35">
      <c r="A95" s="623">
        <f t="shared" si="0"/>
        <v>1</v>
      </c>
      <c r="B95" s="624">
        <f t="shared" si="91"/>
        <v>8</v>
      </c>
      <c r="C95" s="623">
        <f t="shared" si="92"/>
        <v>6</v>
      </c>
      <c r="D95" s="623">
        <f t="shared" si="3"/>
        <v>1</v>
      </c>
      <c r="E95" s="624">
        <f t="shared" si="4"/>
        <v>5.4</v>
      </c>
      <c r="F95" s="625" t="str">
        <f t="shared" si="5"/>
        <v xml:space="preserve">     -</v>
      </c>
      <c r="G95" s="626">
        <f t="shared" si="22"/>
        <v>0.15179999999999999</v>
      </c>
      <c r="H95" s="627">
        <f t="shared" si="45"/>
        <v>-0.107</v>
      </c>
      <c r="I95" s="628">
        <f t="shared" si="8"/>
        <v>3400</v>
      </c>
      <c r="J95" s="629">
        <f t="shared" si="9"/>
        <v>2400</v>
      </c>
      <c r="K95" s="630">
        <v>200</v>
      </c>
      <c r="L95" s="631">
        <v>44909</v>
      </c>
      <c r="M95" s="638">
        <f t="shared" si="72"/>
        <v>44909</v>
      </c>
      <c r="N95" s="632" t="s">
        <v>1574</v>
      </c>
      <c r="O95" s="632" t="s">
        <v>1911</v>
      </c>
      <c r="P95" s="632" t="s">
        <v>1897</v>
      </c>
      <c r="Q95" s="632">
        <v>3900</v>
      </c>
      <c r="R95" s="632" t="s">
        <v>1585</v>
      </c>
      <c r="S95" s="632" t="s">
        <v>2112</v>
      </c>
      <c r="T95" s="633" t="s">
        <v>2095</v>
      </c>
      <c r="U95" s="634" t="s">
        <v>2096</v>
      </c>
      <c r="V95" s="635" t="s">
        <v>2113</v>
      </c>
      <c r="W95" s="633" t="s">
        <v>2114</v>
      </c>
      <c r="X95" s="634" t="s">
        <v>2115</v>
      </c>
      <c r="Y95" s="632">
        <f t="shared" si="10"/>
        <v>112</v>
      </c>
      <c r="Z95" s="632">
        <f t="shared" si="11"/>
        <v>120</v>
      </c>
      <c r="AA95" s="636">
        <f t="shared" si="12"/>
        <v>7.0999999999999994E-2</v>
      </c>
      <c r="AB95" s="636">
        <f t="shared" si="13"/>
        <v>-1</v>
      </c>
      <c r="AC95" s="632">
        <f t="shared" si="14"/>
        <v>0</v>
      </c>
      <c r="AD95" s="632">
        <f t="shared" si="15"/>
        <v>129</v>
      </c>
      <c r="AE95" s="636">
        <f t="shared" si="16"/>
        <v>1</v>
      </c>
      <c r="AF95" s="632">
        <f t="shared" si="17"/>
        <v>120</v>
      </c>
      <c r="AG95" s="632">
        <f t="shared" si="18"/>
        <v>100</v>
      </c>
      <c r="AH95" s="625">
        <f t="shared" si="19"/>
        <v>0.2</v>
      </c>
    </row>
    <row r="96" spans="1:35">
      <c r="A96" s="623">
        <f t="shared" si="0"/>
        <v>1</v>
      </c>
      <c r="B96" s="624">
        <f t="shared" ref="B96:B97" si="93">IF(AF96&lt;=AG96,1,IF(AH96&lt;=0.005,2,IF(AND(AH96&gt;0.005,AH96&lt;=0.02, L182),4,IF(AND(AH96&gt;0.02,AH96&lt;=0.05),5,IF(AND(AH96&gt;0.05,AH96&lt;=0.1),7,IF(AND(AH96&gt;0.1,AH96&lt;=0.2),8,IF(AH96&gt;0.2,10)))))))</f>
        <v>10</v>
      </c>
      <c r="C96" s="623">
        <f t="shared" ref="C96:C97" si="94">IF(AA96&lt;=0.005,10,IF(AND(AA96&gt;0.005,AA96&lt;=0.01, C167),9,IF(AND(AA96&gt;0.01,AA96&lt;=0.02),8,IF(AND(AA96&gt;0.02,AA96&lt;=0.05),7,IF(AND(AA96&gt;0.05,AA96&lt;=0.1),6,IF(AND(AA96&gt;0.1,AA96&lt;=0.2),5,IF(AND(AA96&gt;0.2,AA96&lt;=0.3),4,IF(AND(AA96&gt;0.3,AA96&lt;=0.4),3,IF(AND(AA96&gt;0.4,AA96&lt;=0.5),2,IF(AA96&gt;0.5,1))))))))))</f>
        <v>1</v>
      </c>
      <c r="D96" s="623">
        <f t="shared" si="3"/>
        <v>1</v>
      </c>
      <c r="E96" s="624">
        <f t="shared" si="4"/>
        <v>1.7</v>
      </c>
      <c r="F96" s="625" t="str">
        <f t="shared" si="5"/>
        <v xml:space="preserve">     -</v>
      </c>
      <c r="G96" s="626" t="str">
        <f t="shared" si="22"/>
        <v/>
      </c>
      <c r="H96" s="627" t="str">
        <f t="shared" si="45"/>
        <v/>
      </c>
      <c r="I96" s="628" t="e">
        <f t="shared" si="8"/>
        <v>#VALUE!</v>
      </c>
      <c r="J96" s="629" t="e">
        <f t="shared" si="9"/>
        <v>#VALUE!</v>
      </c>
      <c r="K96" s="630">
        <v>1600</v>
      </c>
      <c r="L96" s="631">
        <v>44910</v>
      </c>
      <c r="M96" s="638">
        <f t="shared" si="72"/>
        <v>44910</v>
      </c>
      <c r="N96" s="632" t="s">
        <v>1574</v>
      </c>
      <c r="O96" s="632" t="s">
        <v>1924</v>
      </c>
      <c r="P96" s="632" t="s">
        <v>1897</v>
      </c>
      <c r="Q96" s="632">
        <v>380</v>
      </c>
      <c r="R96" s="632" t="s">
        <v>1585</v>
      </c>
      <c r="S96" s="632" t="s">
        <v>2116</v>
      </c>
      <c r="T96" s="633" t="s">
        <v>2117</v>
      </c>
      <c r="U96" s="634" t="s">
        <v>2118</v>
      </c>
      <c r="V96" s="635" t="s">
        <v>2119</v>
      </c>
      <c r="W96" s="633" t="s">
        <v>2120</v>
      </c>
      <c r="X96" s="634" t="s">
        <v>2121</v>
      </c>
      <c r="Y96" s="632" t="str">
        <f t="shared" si="10"/>
        <v/>
      </c>
      <c r="Z96" s="632">
        <f t="shared" si="11"/>
        <v>45060</v>
      </c>
      <c r="AA96" s="636" t="str">
        <f t="shared" si="12"/>
        <v/>
      </c>
      <c r="AB96" s="636">
        <f t="shared" si="13"/>
        <v>3.0000000000000001E-3</v>
      </c>
      <c r="AC96" s="632">
        <f t="shared" si="14"/>
        <v>45214</v>
      </c>
      <c r="AD96" s="632" t="str">
        <f t="shared" si="15"/>
        <v/>
      </c>
      <c r="AE96" s="636" t="str">
        <f t="shared" si="16"/>
        <v/>
      </c>
      <c r="AF96" s="632">
        <f t="shared" si="17"/>
        <v>44166</v>
      </c>
      <c r="AG96" s="632">
        <f t="shared" si="18"/>
        <v>29495</v>
      </c>
      <c r="AH96" s="625">
        <f t="shared" si="19"/>
        <v>0.497</v>
      </c>
    </row>
    <row r="97" spans="1:34">
      <c r="A97" s="623">
        <f t="shared" si="0"/>
        <v>1</v>
      </c>
      <c r="B97" s="624">
        <f t="shared" si="93"/>
        <v>10</v>
      </c>
      <c r="C97" s="623">
        <f t="shared" si="94"/>
        <v>1</v>
      </c>
      <c r="D97" s="623">
        <f t="shared" si="3"/>
        <v>10</v>
      </c>
      <c r="E97" s="624">
        <f t="shared" si="4"/>
        <v>2.4</v>
      </c>
      <c r="F97" s="625" t="str">
        <f t="shared" si="5"/>
        <v xml:space="preserve">     -</v>
      </c>
      <c r="G97" s="626">
        <f t="shared" si="22"/>
        <v>-0.99929999999999997</v>
      </c>
      <c r="H97" s="627">
        <f t="shared" si="45"/>
        <v>-1</v>
      </c>
      <c r="I97" s="628">
        <f t="shared" si="8"/>
        <v>-40609250</v>
      </c>
      <c r="J97" s="629">
        <f t="shared" si="9"/>
        <v>40627125</v>
      </c>
      <c r="K97" s="630">
        <v>1375</v>
      </c>
      <c r="L97" s="631">
        <v>44910</v>
      </c>
      <c r="M97" s="638">
        <f t="shared" si="72"/>
        <v>44910</v>
      </c>
      <c r="N97" s="632" t="s">
        <v>1584</v>
      </c>
      <c r="O97" s="632" t="s">
        <v>501</v>
      </c>
      <c r="P97" s="632" t="s">
        <v>1897</v>
      </c>
      <c r="Q97" s="632">
        <v>920</v>
      </c>
      <c r="R97" s="632" t="s">
        <v>1577</v>
      </c>
      <c r="S97" s="632" t="s">
        <v>2122</v>
      </c>
      <c r="T97" s="633" t="s">
        <v>1632</v>
      </c>
      <c r="U97" s="634" t="s">
        <v>2123</v>
      </c>
      <c r="V97" s="635" t="s">
        <v>2124</v>
      </c>
      <c r="W97" s="633" t="s">
        <v>2125</v>
      </c>
      <c r="X97" s="634" t="s">
        <v>2126</v>
      </c>
      <c r="Y97" s="632">
        <f t="shared" si="10"/>
        <v>29556</v>
      </c>
      <c r="Z97" s="632" t="str">
        <f t="shared" si="11"/>
        <v/>
      </c>
      <c r="AA97" s="636" t="str">
        <f t="shared" si="12"/>
        <v/>
      </c>
      <c r="AB97" s="636" t="str">
        <f t="shared" si="13"/>
        <v/>
      </c>
      <c r="AC97" s="632">
        <f t="shared" si="14"/>
        <v>0</v>
      </c>
      <c r="AD97" s="632">
        <f t="shared" si="15"/>
        <v>22</v>
      </c>
      <c r="AE97" s="636">
        <f t="shared" si="16"/>
        <v>1</v>
      </c>
      <c r="AF97" s="632">
        <f t="shared" si="17"/>
        <v>22221</v>
      </c>
      <c r="AG97" s="632">
        <f t="shared" si="18"/>
        <v>9</v>
      </c>
      <c r="AH97" s="625">
        <f t="shared" si="19"/>
        <v>2468</v>
      </c>
    </row>
    <row r="98" spans="1:34">
      <c r="A98" s="623">
        <f t="shared" si="0"/>
        <v>1</v>
      </c>
      <c r="B98" s="624">
        <f t="shared" ref="B98:B99" si="95">IF(AF98&lt;=AG98,1,IF(AH98&lt;=0.005,2,IF(AND(AH98&gt;0.005,AH98&lt;=0.02, L182),4,IF(AND(AH98&gt;0.02,AH98&lt;=0.05),5,IF(AND(AH98&gt;0.05,AH98&lt;=0.1),7,IF(AND(AH98&gt;0.1,AH98&lt;=0.2),8,IF(AH98&gt;0.2,10)))))))</f>
        <v>10</v>
      </c>
      <c r="C98" s="623">
        <f t="shared" ref="C98:C99" si="96">IF(AA98&lt;=0.005,10,IF(AND(AA98&gt;0.005,AA98&lt;=0.01, C167),9,IF(AND(AA98&gt;0.01,AA98&lt;=0.02),8,IF(AND(AA98&gt;0.02,AA98&lt;=0.05),7,IF(AND(AA98&gt;0.05,AA98&lt;=0.1),6,IF(AND(AA98&gt;0.1,AA98&lt;=0.2),5,IF(AND(AA98&gt;0.2,AA98&lt;=0.3),4,IF(AND(AA98&gt;0.3,AA98&lt;=0.4),3,IF(AND(AA98&gt;0.4,AA98&lt;=0.5),2,IF(AA98&gt;0.5,1))))))))))</f>
        <v>1</v>
      </c>
      <c r="D98" s="623">
        <f t="shared" si="3"/>
        <v>10</v>
      </c>
      <c r="E98" s="624">
        <f t="shared" si="4"/>
        <v>2.4</v>
      </c>
      <c r="F98" s="625" t="str">
        <f t="shared" si="5"/>
        <v xml:space="preserve">     -</v>
      </c>
      <c r="G98" s="626" t="str">
        <f t="shared" si="22"/>
        <v/>
      </c>
      <c r="H98" s="627" t="str">
        <f t="shared" si="45"/>
        <v/>
      </c>
      <c r="I98" s="628" t="e">
        <f t="shared" si="8"/>
        <v>#VALUE!</v>
      </c>
      <c r="J98" s="629" t="e">
        <f t="shared" si="9"/>
        <v>#VALUE!</v>
      </c>
      <c r="K98" s="630">
        <v>225</v>
      </c>
      <c r="L98" s="631">
        <v>44911</v>
      </c>
      <c r="M98" s="638">
        <f t="shared" si="72"/>
        <v>44911</v>
      </c>
      <c r="N98" s="632" t="s">
        <v>1574</v>
      </c>
      <c r="O98" s="632" t="s">
        <v>2127</v>
      </c>
      <c r="P98" s="632" t="s">
        <v>1897</v>
      </c>
      <c r="Q98" s="632">
        <v>4300</v>
      </c>
      <c r="R98" s="632" t="s">
        <v>1577</v>
      </c>
      <c r="S98" s="632" t="s">
        <v>2128</v>
      </c>
      <c r="T98" s="633" t="s">
        <v>2129</v>
      </c>
      <c r="U98" s="634" t="s">
        <v>2130</v>
      </c>
      <c r="V98" s="635" t="s">
        <v>2131</v>
      </c>
      <c r="W98" s="633" t="s">
        <v>2132</v>
      </c>
      <c r="X98" s="634" t="s">
        <v>2133</v>
      </c>
      <c r="Y98" s="632" t="str">
        <f t="shared" si="10"/>
        <v/>
      </c>
      <c r="Z98" s="632" t="str">
        <f t="shared" si="11"/>
        <v/>
      </c>
      <c r="AA98" s="636" t="str">
        <f t="shared" si="12"/>
        <v/>
      </c>
      <c r="AB98" s="636" t="str">
        <f t="shared" si="13"/>
        <v/>
      </c>
      <c r="AC98" s="632">
        <f t="shared" si="14"/>
        <v>0</v>
      </c>
      <c r="AD98" s="632">
        <f t="shared" si="15"/>
        <v>138</v>
      </c>
      <c r="AE98" s="636">
        <f t="shared" si="16"/>
        <v>1</v>
      </c>
      <c r="AF98" s="632" t="str">
        <f t="shared" si="17"/>
        <v/>
      </c>
      <c r="AG98" s="632">
        <f t="shared" si="18"/>
        <v>98</v>
      </c>
      <c r="AH98" s="625" t="str">
        <f t="shared" si="19"/>
        <v/>
      </c>
    </row>
    <row r="99" spans="1:34">
      <c r="A99" s="623">
        <f t="shared" si="0"/>
        <v>1</v>
      </c>
      <c r="B99" s="624">
        <f t="shared" si="95"/>
        <v>10</v>
      </c>
      <c r="C99" s="623">
        <f t="shared" si="96"/>
        <v>5</v>
      </c>
      <c r="D99" s="623">
        <f t="shared" si="3"/>
        <v>1</v>
      </c>
      <c r="E99" s="624">
        <f t="shared" si="4"/>
        <v>4.8</v>
      </c>
      <c r="F99" s="625" t="str">
        <f t="shared" si="5"/>
        <v xml:space="preserve">     -</v>
      </c>
      <c r="G99" s="626">
        <f t="shared" si="22"/>
        <v>-0.99870000000000003</v>
      </c>
      <c r="H99" s="627">
        <f t="shared" si="45"/>
        <v>-1</v>
      </c>
      <c r="I99" s="628">
        <f t="shared" si="8"/>
        <v>-20861250</v>
      </c>
      <c r="J99" s="629">
        <f t="shared" si="9"/>
        <v>20880000</v>
      </c>
      <c r="K99" s="630">
        <v>1250</v>
      </c>
      <c r="L99" s="631">
        <v>44911</v>
      </c>
      <c r="M99" s="638">
        <f t="shared" si="72"/>
        <v>44911</v>
      </c>
      <c r="N99" s="632" t="s">
        <v>1584</v>
      </c>
      <c r="O99" s="632" t="s">
        <v>704</v>
      </c>
      <c r="P99" s="632" t="s">
        <v>1897</v>
      </c>
      <c r="Q99" s="632">
        <v>540</v>
      </c>
      <c r="R99" s="632" t="s">
        <v>1577</v>
      </c>
      <c r="S99" s="632" t="s">
        <v>2134</v>
      </c>
      <c r="T99" s="633" t="s">
        <v>1632</v>
      </c>
      <c r="U99" s="634" t="s">
        <v>2135</v>
      </c>
      <c r="V99" s="635" t="s">
        <v>2136</v>
      </c>
      <c r="W99" s="633" t="s">
        <v>2137</v>
      </c>
      <c r="X99" s="634" t="s">
        <v>2111</v>
      </c>
      <c r="Y99" s="632">
        <f t="shared" si="10"/>
        <v>16711</v>
      </c>
      <c r="Z99" s="632">
        <f t="shared" si="11"/>
        <v>18568</v>
      </c>
      <c r="AA99" s="636">
        <f t="shared" si="12"/>
        <v>0.111</v>
      </c>
      <c r="AB99" s="636">
        <f t="shared" si="13"/>
        <v>-1</v>
      </c>
      <c r="AC99" s="632">
        <f t="shared" si="14"/>
        <v>0</v>
      </c>
      <c r="AD99" s="632">
        <f t="shared" si="15"/>
        <v>22</v>
      </c>
      <c r="AE99" s="636">
        <f t="shared" si="16"/>
        <v>1</v>
      </c>
      <c r="AF99" s="632">
        <f t="shared" si="17"/>
        <v>31260</v>
      </c>
      <c r="AG99" s="632">
        <f t="shared" si="18"/>
        <v>7</v>
      </c>
      <c r="AH99" s="625">
        <f t="shared" si="19"/>
        <v>4464.7139999999999</v>
      </c>
    </row>
    <row r="100" spans="1:34">
      <c r="A100" s="623">
        <f t="shared" si="0"/>
        <v>10</v>
      </c>
      <c r="B100" s="624">
        <f t="shared" ref="B100:B101" si="97">IF(AF100&lt;=AG100,1,IF(AH100&lt;=0.005,2,IF(AND(AH100&gt;0.005,AH100&lt;=0.02, L182),4,IF(AND(AH100&gt;0.02,AH100&lt;=0.05),5,IF(AND(AH100&gt;0.05,AH100&lt;=0.1),7,IF(AND(AH100&gt;0.1,AH100&lt;=0.2),8,IF(AH100&gt;0.2,10)))))))</f>
        <v>1</v>
      </c>
      <c r="C100" s="623">
        <f t="shared" ref="C100:C101" si="98">IF(AA100&lt;=0.005,10,IF(AND(AA100&gt;0.005,AA100&lt;=0.01, C167),9,IF(AND(AA100&gt;0.01,AA100&lt;=0.02),8,IF(AND(AA100&gt;0.02,AA100&lt;=0.05),7,IF(AND(AA100&gt;0.05,AA100&lt;=0.1),6,IF(AND(AA100&gt;0.1,AA100&lt;=0.2),5,IF(AND(AA100&gt;0.2,AA100&lt;=0.3),4,IF(AND(AA100&gt;0.3,AA100&lt;=0.4),3,IF(AND(AA100&gt;0.4,AA100&lt;=0.5),2,IF(AA100&gt;0.5,1))))))))))</f>
        <v>6</v>
      </c>
      <c r="D100" s="623">
        <f t="shared" si="3"/>
        <v>9</v>
      </c>
      <c r="E100" s="624">
        <f t="shared" ref="E100:E160" si="99">IFERROR(IF(O100="","",ROUND((A100*1+B100*1+C100*1+D100*1)/4,1)),"")</f>
        <v>6.5</v>
      </c>
      <c r="F100" s="625">
        <f t="shared" si="5"/>
        <v>0.40168341026337223</v>
      </c>
      <c r="G100" s="626">
        <f t="shared" si="22"/>
        <v>-0.99950000000000006</v>
      </c>
      <c r="H100" s="627">
        <f t="shared" si="45"/>
        <v>-2E-3</v>
      </c>
      <c r="I100" s="628">
        <f t="shared" si="8"/>
        <v>-53461500</v>
      </c>
      <c r="J100" s="629">
        <f t="shared" si="9"/>
        <v>87000</v>
      </c>
      <c r="K100" s="630">
        <v>2900</v>
      </c>
      <c r="L100" s="631">
        <v>44914</v>
      </c>
      <c r="M100" s="638">
        <f t="shared" si="72"/>
        <v>44914</v>
      </c>
      <c r="N100" s="632" t="s">
        <v>1574</v>
      </c>
      <c r="O100" s="632" t="s">
        <v>476</v>
      </c>
      <c r="P100" s="632" t="s">
        <v>1897</v>
      </c>
      <c r="Q100" s="632">
        <v>230</v>
      </c>
      <c r="R100" s="632" t="s">
        <v>1577</v>
      </c>
      <c r="S100" s="632" t="s">
        <v>2138</v>
      </c>
      <c r="T100" s="633" t="s">
        <v>1613</v>
      </c>
      <c r="U100" s="634" t="s">
        <v>1953</v>
      </c>
      <c r="V100" s="635" t="s">
        <v>2139</v>
      </c>
      <c r="W100" s="633" t="s">
        <v>2140</v>
      </c>
      <c r="X100" s="634" t="s">
        <v>2141</v>
      </c>
      <c r="Y100" s="632">
        <f t="shared" si="10"/>
        <v>18445</v>
      </c>
      <c r="Z100" s="632">
        <f t="shared" si="11"/>
        <v>20271</v>
      </c>
      <c r="AA100" s="636">
        <f t="shared" si="12"/>
        <v>9.9000000000000005E-2</v>
      </c>
      <c r="AB100" s="636">
        <f t="shared" si="13"/>
        <v>0.45</v>
      </c>
      <c r="AC100" s="632">
        <f t="shared" si="14"/>
        <v>29403</v>
      </c>
      <c r="AD100" s="632">
        <f t="shared" si="15"/>
        <v>10</v>
      </c>
      <c r="AE100" s="636" t="str">
        <f t="shared" si="16"/>
        <v>Tgt Hit</v>
      </c>
      <c r="AF100" s="632">
        <f t="shared" si="17"/>
        <v>11018</v>
      </c>
      <c r="AG100" s="632">
        <f t="shared" si="18"/>
        <v>18415</v>
      </c>
      <c r="AH100" s="625" t="str">
        <f t="shared" si="19"/>
        <v>SL Hit</v>
      </c>
    </row>
    <row r="101" spans="1:34">
      <c r="A101" s="623">
        <f t="shared" si="0"/>
        <v>10</v>
      </c>
      <c r="B101" s="624">
        <f t="shared" si="97"/>
        <v>10</v>
      </c>
      <c r="C101" s="623">
        <f t="shared" si="98"/>
        <v>1</v>
      </c>
      <c r="D101" s="623">
        <f t="shared" si="3"/>
        <v>1</v>
      </c>
      <c r="E101" s="624">
        <f t="shared" si="99"/>
        <v>5.5</v>
      </c>
      <c r="F101" s="625" t="str">
        <f t="shared" si="5"/>
        <v xml:space="preserve">     -</v>
      </c>
      <c r="G101" s="626" t="str">
        <f t="shared" si="22"/>
        <v/>
      </c>
      <c r="H101" s="627" t="str">
        <f t="shared" si="45"/>
        <v/>
      </c>
      <c r="I101" s="628" t="e">
        <f t="shared" si="8"/>
        <v>#VALUE!</v>
      </c>
      <c r="J101" s="629" t="e">
        <f t="shared" si="9"/>
        <v>#VALUE!</v>
      </c>
      <c r="K101" s="630">
        <v>300</v>
      </c>
      <c r="L101" s="631">
        <v>44914</v>
      </c>
      <c r="M101" s="638">
        <f t="shared" si="72"/>
        <v>44914</v>
      </c>
      <c r="N101" s="632" t="s">
        <v>1610</v>
      </c>
      <c r="O101" s="632" t="s">
        <v>472</v>
      </c>
      <c r="P101" s="632" t="s">
        <v>1897</v>
      </c>
      <c r="Q101" s="632">
        <v>1520</v>
      </c>
      <c r="R101" s="632" t="s">
        <v>1577</v>
      </c>
      <c r="S101" s="632" t="s">
        <v>2142</v>
      </c>
      <c r="T101" s="633" t="s">
        <v>2143</v>
      </c>
      <c r="U101" s="634" t="s">
        <v>2144</v>
      </c>
      <c r="V101" s="635" t="s">
        <v>2145</v>
      </c>
      <c r="W101" s="633" t="s">
        <v>2146</v>
      </c>
      <c r="X101" s="634" t="s">
        <v>2147</v>
      </c>
      <c r="Y101" s="632" t="str">
        <f t="shared" si="10"/>
        <v/>
      </c>
      <c r="Z101" s="632">
        <f t="shared" si="11"/>
        <v>45075</v>
      </c>
      <c r="AA101" s="636" t="str">
        <f t="shared" si="12"/>
        <v/>
      </c>
      <c r="AB101" s="636">
        <f t="shared" si="13"/>
        <v>-0.999</v>
      </c>
      <c r="AC101" s="632">
        <f t="shared" si="14"/>
        <v>39</v>
      </c>
      <c r="AD101" s="632">
        <f t="shared" si="15"/>
        <v>33</v>
      </c>
      <c r="AE101" s="636" t="str">
        <f t="shared" si="16"/>
        <v>Tgt Hit</v>
      </c>
      <c r="AF101" s="632" t="str">
        <f t="shared" si="17"/>
        <v/>
      </c>
      <c r="AG101" s="632">
        <f t="shared" si="18"/>
        <v>22</v>
      </c>
      <c r="AH101" s="625" t="str">
        <f t="shared" si="19"/>
        <v/>
      </c>
    </row>
    <row r="102" spans="1:34">
      <c r="A102" s="623">
        <f t="shared" si="0"/>
        <v>1</v>
      </c>
      <c r="B102" s="624">
        <f t="shared" ref="B102:B103" si="100">IF(AF102&lt;=AG102,1,IF(AH102&lt;=0.005,2,IF(AND(AH102&gt;0.005,AH102&lt;=0.02, L182),4,IF(AND(AH102&gt;0.02,AH102&lt;=0.05),5,IF(AND(AH102&gt;0.05,AH102&lt;=0.1),7,IF(AND(AH102&gt;0.1,AH102&lt;=0.2),8,IF(AH102&gt;0.2,10)))))))</f>
        <v>10</v>
      </c>
      <c r="C102" s="623">
        <f t="shared" ref="C102:C103" si="101">IF(AA102&lt;=0.005,10,IF(AND(AA102&gt;0.005,AA102&lt;=0.01, C167),9,IF(AND(AA102&gt;0.01,AA102&lt;=0.02),8,IF(AND(AA102&gt;0.02,AA102&lt;=0.05),7,IF(AND(AA102&gt;0.05,AA102&lt;=0.1),6,IF(AND(AA102&gt;0.1,AA102&lt;=0.2),5,IF(AND(AA102&gt;0.2,AA102&lt;=0.3),4,IF(AND(AA102&gt;0.3,AA102&lt;=0.4),3,IF(AND(AA102&gt;0.4,AA102&lt;=0.5),2,IF(AA102&gt;0.5,1))))))))))</f>
        <v>10</v>
      </c>
      <c r="D102" s="623">
        <f t="shared" si="3"/>
        <v>1</v>
      </c>
      <c r="E102" s="624">
        <f t="shared" si="99"/>
        <v>5.5</v>
      </c>
      <c r="F102" s="625" t="str">
        <f t="shared" si="5"/>
        <v xml:space="preserve">     -</v>
      </c>
      <c r="G102" s="626">
        <f t="shared" si="22"/>
        <v>-0.99950000000000006</v>
      </c>
      <c r="H102" s="627">
        <f t="shared" si="45"/>
        <v>-1</v>
      </c>
      <c r="I102" s="628">
        <f t="shared" si="8"/>
        <v>-25773125</v>
      </c>
      <c r="J102" s="629">
        <f t="shared" si="9"/>
        <v>25777425</v>
      </c>
      <c r="K102" s="630">
        <v>1075</v>
      </c>
      <c r="L102" s="631">
        <v>44915</v>
      </c>
      <c r="M102" s="638">
        <f t="shared" si="72"/>
        <v>44915</v>
      </c>
      <c r="N102" s="632" t="s">
        <v>1610</v>
      </c>
      <c r="O102" s="632" t="s">
        <v>481</v>
      </c>
      <c r="P102" s="632" t="s">
        <v>1897</v>
      </c>
      <c r="Q102" s="632">
        <v>460</v>
      </c>
      <c r="R102" s="632" t="s">
        <v>1577</v>
      </c>
      <c r="S102" s="632" t="s">
        <v>2148</v>
      </c>
      <c r="T102" s="633" t="s">
        <v>2149</v>
      </c>
      <c r="U102" s="634" t="s">
        <v>2135</v>
      </c>
      <c r="V102" s="635" t="s">
        <v>2109</v>
      </c>
      <c r="W102" s="633" t="s">
        <v>2150</v>
      </c>
      <c r="X102" s="634" t="s">
        <v>2151</v>
      </c>
      <c r="Y102" s="632">
        <f t="shared" si="10"/>
        <v>23986</v>
      </c>
      <c r="Z102" s="632">
        <f t="shared" si="11"/>
        <v>9</v>
      </c>
      <c r="AA102" s="636">
        <f t="shared" si="12"/>
        <v>-1</v>
      </c>
      <c r="AB102" s="636">
        <f t="shared" si="13"/>
        <v>-1</v>
      </c>
      <c r="AC102" s="632">
        <f t="shared" si="14"/>
        <v>0</v>
      </c>
      <c r="AD102" s="632">
        <f t="shared" si="15"/>
        <v>11</v>
      </c>
      <c r="AE102" s="636">
        <f t="shared" si="16"/>
        <v>1</v>
      </c>
      <c r="AF102" s="632">
        <f t="shared" si="17"/>
        <v>34912</v>
      </c>
      <c r="AG102" s="632">
        <f t="shared" si="18"/>
        <v>7</v>
      </c>
      <c r="AH102" s="625">
        <f t="shared" si="19"/>
        <v>4986.4290000000001</v>
      </c>
    </row>
    <row r="103" spans="1:34">
      <c r="A103" s="623">
        <f t="shared" si="0"/>
        <v>10</v>
      </c>
      <c r="B103" s="624">
        <f t="shared" si="100"/>
        <v>10</v>
      </c>
      <c r="C103" s="623">
        <f t="shared" si="101"/>
        <v>4</v>
      </c>
      <c r="D103" s="623">
        <f t="shared" si="3"/>
        <v>8</v>
      </c>
      <c r="E103" s="624">
        <f t="shared" si="99"/>
        <v>8</v>
      </c>
      <c r="F103" s="625" t="str">
        <f t="shared" si="5"/>
        <v xml:space="preserve">     -</v>
      </c>
      <c r="G103" s="626">
        <f t="shared" si="22"/>
        <v>0.71540000000000004</v>
      </c>
      <c r="H103" s="627">
        <f t="shared" si="45"/>
        <v>-0.28599999999999998</v>
      </c>
      <c r="I103" s="628">
        <f t="shared" si="8"/>
        <v>77745250</v>
      </c>
      <c r="J103" s="629">
        <f t="shared" si="9"/>
        <v>31046250</v>
      </c>
      <c r="K103" s="630">
        <v>4250</v>
      </c>
      <c r="L103" s="631">
        <v>44915</v>
      </c>
      <c r="M103" s="638">
        <f t="shared" si="72"/>
        <v>44915</v>
      </c>
      <c r="N103" s="632" t="s">
        <v>1574</v>
      </c>
      <c r="O103" s="632" t="s">
        <v>496</v>
      </c>
      <c r="P103" s="632" t="s">
        <v>1897</v>
      </c>
      <c r="Q103" s="632">
        <v>78</v>
      </c>
      <c r="R103" s="632" t="s">
        <v>1585</v>
      </c>
      <c r="S103" s="632" t="s">
        <v>2152</v>
      </c>
      <c r="T103" s="633" t="s">
        <v>2153</v>
      </c>
      <c r="U103" s="634" t="s">
        <v>2154</v>
      </c>
      <c r="V103" s="635" t="s">
        <v>2155</v>
      </c>
      <c r="W103" s="633" t="s">
        <v>2156</v>
      </c>
      <c r="X103" s="634" t="s">
        <v>2157</v>
      </c>
      <c r="Y103" s="632">
        <f t="shared" si="10"/>
        <v>25569</v>
      </c>
      <c r="Z103" s="632">
        <f t="shared" si="11"/>
        <v>32874</v>
      </c>
      <c r="AA103" s="636">
        <f t="shared" si="12"/>
        <v>0.28599999999999998</v>
      </c>
      <c r="AB103" s="636">
        <f t="shared" si="13"/>
        <v>0.37</v>
      </c>
      <c r="AC103" s="632">
        <f t="shared" si="14"/>
        <v>45048</v>
      </c>
      <c r="AD103" s="632">
        <f t="shared" si="15"/>
        <v>43862</v>
      </c>
      <c r="AE103" s="636" t="str">
        <f t="shared" si="16"/>
        <v>Tgt Hit</v>
      </c>
      <c r="AF103" s="632">
        <f t="shared" si="17"/>
        <v>45047</v>
      </c>
      <c r="AG103" s="632">
        <f t="shared" si="18"/>
        <v>18264</v>
      </c>
      <c r="AH103" s="625">
        <f t="shared" si="19"/>
        <v>1.466</v>
      </c>
    </row>
    <row r="104" spans="1:34">
      <c r="A104" s="623">
        <f t="shared" si="0"/>
        <v>1</v>
      </c>
      <c r="B104" s="624">
        <f t="shared" ref="B104:B105" si="102">IF(AF104&lt;=AG104,1,IF(AH104&lt;=0.005,2,IF(AND(AH104&gt;0.005,AH104&lt;=0.02, L182),4,IF(AND(AH104&gt;0.02,AH104&lt;=0.05),5,IF(AND(AH104&gt;0.05,AH104&lt;=0.1),7,IF(AND(AH104&gt;0.1,AH104&lt;=0.2),8,IF(AH104&gt;0.2,10)))))))</f>
        <v>1</v>
      </c>
      <c r="C104" s="623">
        <f t="shared" ref="C104:C105" si="103">IF(AA104&lt;=0.005,10,IF(AND(AA104&gt;0.005,AA104&lt;=0.01, C167),9,IF(AND(AA104&gt;0.01,AA104&lt;=0.02),8,IF(AND(AA104&gt;0.02,AA104&lt;=0.05),7,IF(AND(AA104&gt;0.05,AA104&lt;=0.1),6,IF(AND(AA104&gt;0.1,AA104&lt;=0.2),5,IF(AND(AA104&gt;0.2,AA104&lt;=0.3),4,IF(AND(AA104&gt;0.3,AA104&lt;=0.4),3,IF(AND(AA104&gt;0.4,AA104&lt;=0.5),2,IF(AA104&gt;0.5,1))))))))))</f>
        <v>1</v>
      </c>
      <c r="D104" s="623">
        <f t="shared" si="3"/>
        <v>10</v>
      </c>
      <c r="E104" s="624">
        <f t="shared" si="99"/>
        <v>3.3</v>
      </c>
      <c r="F104" s="625">
        <f t="shared" si="5"/>
        <v>0.3</v>
      </c>
      <c r="G104" s="626">
        <f t="shared" si="22"/>
        <v>0.3387</v>
      </c>
      <c r="H104" s="627">
        <f t="shared" si="45"/>
        <v>-0.19400000000000001</v>
      </c>
      <c r="I104" s="628">
        <f t="shared" si="8"/>
        <v>2625</v>
      </c>
      <c r="J104" s="629">
        <f t="shared" si="9"/>
        <v>1500</v>
      </c>
      <c r="K104" s="630">
        <v>125</v>
      </c>
      <c r="L104" s="631">
        <v>44916</v>
      </c>
      <c r="M104" s="638">
        <f t="shared" si="72"/>
        <v>44916</v>
      </c>
      <c r="N104" s="632" t="s">
        <v>1574</v>
      </c>
      <c r="O104" s="632" t="s">
        <v>2158</v>
      </c>
      <c r="P104" s="632" t="s">
        <v>1897</v>
      </c>
      <c r="Q104" s="632">
        <v>4300</v>
      </c>
      <c r="R104" s="632" t="s">
        <v>1585</v>
      </c>
      <c r="S104" s="632" t="s">
        <v>2159</v>
      </c>
      <c r="T104" s="633" t="s">
        <v>2160</v>
      </c>
      <c r="U104" s="634" t="s">
        <v>1620</v>
      </c>
      <c r="V104" s="635" t="s">
        <v>2161</v>
      </c>
      <c r="W104" s="633" t="s">
        <v>2162</v>
      </c>
      <c r="X104" s="634" t="s">
        <v>2163</v>
      </c>
      <c r="Y104" s="632">
        <f t="shared" si="10"/>
        <v>62</v>
      </c>
      <c r="Z104" s="632" t="str">
        <f t="shared" si="11"/>
        <v/>
      </c>
      <c r="AA104" s="636" t="str">
        <f t="shared" si="12"/>
        <v/>
      </c>
      <c r="AB104" s="636" t="str">
        <f t="shared" si="13"/>
        <v/>
      </c>
      <c r="AC104" s="632">
        <f t="shared" si="14"/>
        <v>0</v>
      </c>
      <c r="AD104" s="632">
        <f t="shared" si="15"/>
        <v>83</v>
      </c>
      <c r="AE104" s="636">
        <f t="shared" si="16"/>
        <v>1</v>
      </c>
      <c r="AF104" s="632">
        <f t="shared" si="17"/>
        <v>35</v>
      </c>
      <c r="AG104" s="632">
        <f t="shared" si="18"/>
        <v>50</v>
      </c>
      <c r="AH104" s="625" t="str">
        <f t="shared" si="19"/>
        <v>SL Hit</v>
      </c>
    </row>
    <row r="105" spans="1:34">
      <c r="A105" s="623">
        <f t="shared" si="0"/>
        <v>1</v>
      </c>
      <c r="B105" s="624">
        <f t="shared" si="102"/>
        <v>10</v>
      </c>
      <c r="C105" s="623">
        <f t="shared" si="103"/>
        <v>1</v>
      </c>
      <c r="D105" s="623">
        <f t="shared" si="3"/>
        <v>1</v>
      </c>
      <c r="E105" s="624">
        <f t="shared" si="99"/>
        <v>3.3</v>
      </c>
      <c r="F105" s="625" t="str">
        <f t="shared" si="5"/>
        <v xml:space="preserve">     -</v>
      </c>
      <c r="G105" s="626" t="str">
        <f t="shared" si="22"/>
        <v/>
      </c>
      <c r="H105" s="627" t="str">
        <f t="shared" si="45"/>
        <v/>
      </c>
      <c r="I105" s="628" t="e">
        <f t="shared" si="8"/>
        <v>#VALUE!</v>
      </c>
      <c r="J105" s="629" t="e">
        <f t="shared" si="9"/>
        <v>#VALUE!</v>
      </c>
      <c r="K105" s="630">
        <v>550</v>
      </c>
      <c r="L105" s="631">
        <v>44916</v>
      </c>
      <c r="M105" s="638">
        <f t="shared" si="72"/>
        <v>44916</v>
      </c>
      <c r="N105" s="632" t="s">
        <v>1610</v>
      </c>
      <c r="O105" s="632" t="s">
        <v>513</v>
      </c>
      <c r="P105" s="632" t="s">
        <v>1897</v>
      </c>
      <c r="Q105" s="632">
        <v>1640</v>
      </c>
      <c r="R105" s="632" t="s">
        <v>1585</v>
      </c>
      <c r="S105" s="632" t="s">
        <v>2164</v>
      </c>
      <c r="T105" s="633" t="s">
        <v>1632</v>
      </c>
      <c r="U105" s="634" t="s">
        <v>2165</v>
      </c>
      <c r="V105" s="635" t="s">
        <v>2166</v>
      </c>
      <c r="W105" s="633" t="s">
        <v>2167</v>
      </c>
      <c r="X105" s="634" t="s">
        <v>2168</v>
      </c>
      <c r="Y105" s="632" t="str">
        <f t="shared" si="10"/>
        <v/>
      </c>
      <c r="Z105" s="632">
        <f t="shared" si="11"/>
        <v>17</v>
      </c>
      <c r="AA105" s="636" t="str">
        <f t="shared" si="12"/>
        <v/>
      </c>
      <c r="AB105" s="636">
        <f t="shared" si="13"/>
        <v>-1</v>
      </c>
      <c r="AC105" s="632">
        <f t="shared" si="14"/>
        <v>0</v>
      </c>
      <c r="AD105" s="632">
        <f t="shared" si="15"/>
        <v>22</v>
      </c>
      <c r="AE105" s="636">
        <f t="shared" si="16"/>
        <v>1</v>
      </c>
      <c r="AF105" s="632">
        <f t="shared" si="17"/>
        <v>31229</v>
      </c>
      <c r="AG105" s="632">
        <f t="shared" si="18"/>
        <v>15</v>
      </c>
      <c r="AH105" s="625">
        <f t="shared" si="19"/>
        <v>2080.933</v>
      </c>
    </row>
    <row r="106" spans="1:34">
      <c r="A106" s="623">
        <f t="shared" si="0"/>
        <v>1</v>
      </c>
      <c r="B106" s="624">
        <f t="shared" ref="B106:B107" si="104">IF(AF106&lt;=AG106,1,IF(AH106&lt;=0.005,2,IF(AND(AH106&gt;0.005,AH106&lt;=0.02, L182),4,IF(AND(AH106&gt;0.02,AH106&lt;=0.05),5,IF(AND(AH106&gt;0.05,AH106&lt;=0.1),7,IF(AND(AH106&gt;0.1,AH106&lt;=0.2),8,IF(AH106&gt;0.2,10)))))))</f>
        <v>10</v>
      </c>
      <c r="C106" s="623">
        <f t="shared" ref="C106:C107" si="105">IF(AA106&lt;=0.005,10,IF(AND(AA106&gt;0.005,AA106&lt;=0.01, C167),9,IF(AND(AA106&gt;0.01,AA106&lt;=0.02),8,IF(AND(AA106&gt;0.02,AA106&lt;=0.05),7,IF(AND(AA106&gt;0.05,AA106&lt;=0.1),6,IF(AND(AA106&gt;0.1,AA106&lt;=0.2),5,IF(AND(AA106&gt;0.2,AA106&lt;=0.3),4,IF(AND(AA106&gt;0.3,AA106&lt;=0.4),3,IF(AND(AA106&gt;0.4,AA106&lt;=0.5),2,IF(AA106&gt;0.5,1))))))))))</f>
        <v>1</v>
      </c>
      <c r="D106" s="623">
        <f t="shared" si="3"/>
        <v>10</v>
      </c>
      <c r="E106" s="624">
        <f t="shared" si="99"/>
        <v>5.5</v>
      </c>
      <c r="F106" s="625" t="str">
        <f t="shared" si="5"/>
        <v xml:space="preserve">     -</v>
      </c>
      <c r="G106" s="626" t="str">
        <f t="shared" si="22"/>
        <v/>
      </c>
      <c r="H106" s="627" t="str">
        <f t="shared" si="45"/>
        <v/>
      </c>
      <c r="I106" s="628" t="e">
        <f t="shared" si="8"/>
        <v>#VALUE!</v>
      </c>
      <c r="J106" s="629" t="e">
        <f t="shared" si="9"/>
        <v>#VALUE!</v>
      </c>
      <c r="K106" s="630">
        <v>150</v>
      </c>
      <c r="L106" s="631">
        <v>44917</v>
      </c>
      <c r="M106" s="638">
        <f t="shared" si="72"/>
        <v>44917</v>
      </c>
      <c r="N106" s="632" t="s">
        <v>1574</v>
      </c>
      <c r="O106" s="632" t="s">
        <v>588</v>
      </c>
      <c r="P106" s="632" t="s">
        <v>1897</v>
      </c>
      <c r="Q106" s="632">
        <v>3280</v>
      </c>
      <c r="R106" s="632" t="s">
        <v>1585</v>
      </c>
      <c r="S106" s="632" t="s">
        <v>2169</v>
      </c>
      <c r="T106" s="633" t="s">
        <v>2170</v>
      </c>
      <c r="U106" s="634" t="s">
        <v>2171</v>
      </c>
      <c r="V106" s="635" t="s">
        <v>2172</v>
      </c>
      <c r="W106" s="633" t="s">
        <v>2173</v>
      </c>
      <c r="X106" s="634" t="s">
        <v>2174</v>
      </c>
      <c r="Y106" s="632" t="str">
        <f t="shared" si="10"/>
        <v/>
      </c>
      <c r="Z106" s="632" t="str">
        <f t="shared" si="11"/>
        <v/>
      </c>
      <c r="AA106" s="636" t="str">
        <f t="shared" si="12"/>
        <v/>
      </c>
      <c r="AB106" s="636" t="str">
        <f t="shared" si="13"/>
        <v/>
      </c>
      <c r="AC106" s="632">
        <f t="shared" si="14"/>
        <v>0</v>
      </c>
      <c r="AD106" s="632">
        <f t="shared" si="15"/>
        <v>51</v>
      </c>
      <c r="AE106" s="636">
        <f t="shared" si="16"/>
        <v>1</v>
      </c>
      <c r="AF106" s="632" t="str">
        <f t="shared" si="17"/>
        <v/>
      </c>
      <c r="AG106" s="632">
        <f t="shared" si="18"/>
        <v>26</v>
      </c>
      <c r="AH106" s="625" t="str">
        <f t="shared" si="19"/>
        <v/>
      </c>
    </row>
    <row r="107" spans="1:34">
      <c r="A107" s="623">
        <f t="shared" si="0"/>
        <v>10</v>
      </c>
      <c r="B107" s="624">
        <f t="shared" si="104"/>
        <v>10</v>
      </c>
      <c r="C107" s="623">
        <f t="shared" si="105"/>
        <v>10</v>
      </c>
      <c r="D107" s="623">
        <f t="shared" si="3"/>
        <v>10</v>
      </c>
      <c r="E107" s="624">
        <f t="shared" si="99"/>
        <v>10</v>
      </c>
      <c r="F107" s="625" t="str">
        <f t="shared" si="5"/>
        <v xml:space="preserve">     -</v>
      </c>
      <c r="G107" s="626">
        <f t="shared" si="22"/>
        <v>-0.99939999999999996</v>
      </c>
      <c r="H107" s="627">
        <f t="shared" si="45"/>
        <v>-1</v>
      </c>
      <c r="I107" s="628">
        <f t="shared" si="8"/>
        <v>-19180200</v>
      </c>
      <c r="J107" s="629">
        <f t="shared" si="9"/>
        <v>19185400</v>
      </c>
      <c r="K107" s="630">
        <v>1300</v>
      </c>
      <c r="L107" s="631">
        <v>44917</v>
      </c>
      <c r="M107" s="638">
        <f t="shared" si="72"/>
        <v>44917</v>
      </c>
      <c r="N107" s="632" t="s">
        <v>1610</v>
      </c>
      <c r="O107" s="632" t="s">
        <v>499</v>
      </c>
      <c r="P107" s="632" t="s">
        <v>1897</v>
      </c>
      <c r="Q107" s="632">
        <v>300</v>
      </c>
      <c r="R107" s="632" t="s">
        <v>1585</v>
      </c>
      <c r="S107" s="632" t="s">
        <v>2175</v>
      </c>
      <c r="T107" s="633" t="s">
        <v>2176</v>
      </c>
      <c r="U107" s="634" t="s">
        <v>2108</v>
      </c>
      <c r="V107" s="635" t="s">
        <v>2177</v>
      </c>
      <c r="W107" s="633" t="s">
        <v>2178</v>
      </c>
      <c r="X107" s="634" t="s">
        <v>1677</v>
      </c>
      <c r="Y107" s="632">
        <f t="shared" si="10"/>
        <v>14763</v>
      </c>
      <c r="Z107" s="632">
        <f t="shared" si="11"/>
        <v>8</v>
      </c>
      <c r="AA107" s="636">
        <f t="shared" si="12"/>
        <v>-0.999</v>
      </c>
      <c r="AB107" s="636">
        <f t="shared" si="13"/>
        <v>4366.875</v>
      </c>
      <c r="AC107" s="632">
        <f t="shared" si="14"/>
        <v>34943</v>
      </c>
      <c r="AD107" s="632">
        <f t="shared" si="15"/>
        <v>9</v>
      </c>
      <c r="AE107" s="636" t="str">
        <f t="shared" si="16"/>
        <v>Tgt Hit</v>
      </c>
      <c r="AF107" s="632">
        <f t="shared" si="17"/>
        <v>21976</v>
      </c>
      <c r="AG107" s="632">
        <f t="shared" si="18"/>
        <v>5</v>
      </c>
      <c r="AH107" s="625">
        <f t="shared" si="19"/>
        <v>4394.2</v>
      </c>
    </row>
    <row r="108" spans="1:34">
      <c r="A108" s="623">
        <f t="shared" si="0"/>
        <v>10</v>
      </c>
      <c r="B108" s="624">
        <f t="shared" ref="B108:B109" si="106">IF(AF108&lt;=AG108,1,IF(AH108&lt;=0.005,2,IF(AND(AH108&gt;0.005,AH108&lt;=0.02, L182),4,IF(AND(AH108&gt;0.02,AH108&lt;=0.05),5,IF(AND(AH108&gt;0.05,AH108&lt;=0.1),7,IF(AND(AH108&gt;0.1,AH108&lt;=0.2),8,IF(AH108&gt;0.2,10)))))))</f>
        <v>10</v>
      </c>
      <c r="C108" s="623">
        <f t="shared" ref="C108:C109" si="107">IF(AA108&lt;=0.005,10,IF(AND(AA108&gt;0.005,AA108&lt;=0.01, C167),9,IF(AND(AA108&gt;0.01,AA108&lt;=0.02),8,IF(AND(AA108&gt;0.02,AA108&lt;=0.05),7,IF(AND(AA108&gt;0.05,AA108&lt;=0.1),6,IF(AND(AA108&gt;0.1,AA108&lt;=0.2),5,IF(AND(AA108&gt;0.2,AA108&lt;=0.3),4,IF(AND(AA108&gt;0.3,AA108&lt;=0.4),3,IF(AND(AA108&gt;0.4,AA108&lt;=0.5),2,IF(AA108&gt;0.5,1))))))))))</f>
        <v>1</v>
      </c>
      <c r="D108" s="623">
        <f t="shared" si="3"/>
        <v>1</v>
      </c>
      <c r="E108" s="624">
        <f t="shared" si="99"/>
        <v>5.5</v>
      </c>
      <c r="F108" s="625" t="str">
        <f t="shared" si="5"/>
        <v xml:space="preserve">     -</v>
      </c>
      <c r="G108" s="626">
        <f t="shared" si="22"/>
        <v>-0.99970000000000003</v>
      </c>
      <c r="H108" s="627">
        <f t="shared" si="45"/>
        <v>-1</v>
      </c>
      <c r="I108" s="628">
        <f t="shared" si="8"/>
        <v>-27478000</v>
      </c>
      <c r="J108" s="629">
        <f t="shared" si="9"/>
        <v>27481000</v>
      </c>
      <c r="K108" s="630">
        <v>1000</v>
      </c>
      <c r="L108" s="631">
        <v>44918</v>
      </c>
      <c r="M108" s="638">
        <f t="shared" si="72"/>
        <v>44918</v>
      </c>
      <c r="N108" s="632" t="s">
        <v>1610</v>
      </c>
      <c r="O108" s="632" t="s">
        <v>1611</v>
      </c>
      <c r="P108" s="632" t="s">
        <v>1897</v>
      </c>
      <c r="Q108" s="632">
        <v>390</v>
      </c>
      <c r="R108" s="632" t="s">
        <v>1577</v>
      </c>
      <c r="S108" s="632" t="s">
        <v>2179</v>
      </c>
      <c r="T108" s="633" t="s">
        <v>2180</v>
      </c>
      <c r="U108" s="634" t="s">
        <v>2181</v>
      </c>
      <c r="V108" s="635" t="s">
        <v>2182</v>
      </c>
      <c r="W108" s="633" t="s">
        <v>2183</v>
      </c>
      <c r="X108" s="634" t="s">
        <v>1733</v>
      </c>
      <c r="Y108" s="632">
        <f t="shared" si="10"/>
        <v>27485</v>
      </c>
      <c r="Z108" s="632">
        <f t="shared" si="11"/>
        <v>45205</v>
      </c>
      <c r="AA108" s="636">
        <f t="shared" si="12"/>
        <v>0.64500000000000002</v>
      </c>
      <c r="AB108" s="636">
        <f t="shared" si="13"/>
        <v>-0.22500000000000001</v>
      </c>
      <c r="AC108" s="632">
        <f t="shared" si="14"/>
        <v>35034</v>
      </c>
      <c r="AD108" s="632">
        <f t="shared" si="15"/>
        <v>7</v>
      </c>
      <c r="AE108" s="636" t="str">
        <f t="shared" si="16"/>
        <v>Tgt Hit</v>
      </c>
      <c r="AF108" s="632">
        <f t="shared" si="17"/>
        <v>32994</v>
      </c>
      <c r="AG108" s="632">
        <f t="shared" si="18"/>
        <v>4</v>
      </c>
      <c r="AH108" s="625">
        <f t="shared" si="19"/>
        <v>8247.5</v>
      </c>
    </row>
    <row r="109" spans="1:34">
      <c r="A109" s="623">
        <f t="shared" si="0"/>
        <v>1</v>
      </c>
      <c r="B109" s="624">
        <f t="shared" si="106"/>
        <v>10</v>
      </c>
      <c r="C109" s="623">
        <f t="shared" si="107"/>
        <v>4</v>
      </c>
      <c r="D109" s="623">
        <f t="shared" si="3"/>
        <v>1</v>
      </c>
      <c r="E109" s="624">
        <f t="shared" si="99"/>
        <v>4</v>
      </c>
      <c r="F109" s="625" t="str">
        <f t="shared" si="5"/>
        <v xml:space="preserve">     -</v>
      </c>
      <c r="G109" s="626">
        <f t="shared" si="22"/>
        <v>1.2958000000000001</v>
      </c>
      <c r="H109" s="627">
        <f t="shared" si="45"/>
        <v>-1</v>
      </c>
      <c r="I109" s="628">
        <f t="shared" si="8"/>
        <v>34004775</v>
      </c>
      <c r="J109" s="629">
        <f t="shared" si="9"/>
        <v>26235675</v>
      </c>
      <c r="K109" s="630">
        <v>1425</v>
      </c>
      <c r="L109" s="631">
        <v>44918</v>
      </c>
      <c r="M109" s="638">
        <f t="shared" si="72"/>
        <v>44918</v>
      </c>
      <c r="N109" s="632" t="s">
        <v>1574</v>
      </c>
      <c r="O109" s="632" t="s">
        <v>518</v>
      </c>
      <c r="P109" s="632" t="s">
        <v>1897</v>
      </c>
      <c r="Q109" s="632">
        <v>395</v>
      </c>
      <c r="R109" s="632" t="s">
        <v>1577</v>
      </c>
      <c r="S109" s="632" t="s">
        <v>1849</v>
      </c>
      <c r="T109" s="633" t="s">
        <v>2184</v>
      </c>
      <c r="U109" s="634" t="s">
        <v>2181</v>
      </c>
      <c r="V109" s="635" t="s">
        <v>2185</v>
      </c>
      <c r="W109" s="633" t="s">
        <v>2186</v>
      </c>
      <c r="X109" s="634" t="s">
        <v>2187</v>
      </c>
      <c r="Y109" s="632">
        <f t="shared" si="10"/>
        <v>18415</v>
      </c>
      <c r="Z109" s="632">
        <f t="shared" si="11"/>
        <v>23924</v>
      </c>
      <c r="AA109" s="636">
        <f t="shared" si="12"/>
        <v>0.29899999999999999</v>
      </c>
      <c r="AB109" s="636">
        <f t="shared" si="13"/>
        <v>-1</v>
      </c>
      <c r="AC109" s="632">
        <f t="shared" si="14"/>
        <v>0</v>
      </c>
      <c r="AD109" s="632">
        <f t="shared" si="15"/>
        <v>42278</v>
      </c>
      <c r="AE109" s="636">
        <f t="shared" si="16"/>
        <v>1</v>
      </c>
      <c r="AF109" s="632">
        <f t="shared" si="17"/>
        <v>23924</v>
      </c>
      <c r="AG109" s="632">
        <f t="shared" si="18"/>
        <v>4</v>
      </c>
      <c r="AH109" s="625">
        <f t="shared" si="19"/>
        <v>5980</v>
      </c>
    </row>
    <row r="110" spans="1:34">
      <c r="A110" s="623">
        <f t="shared" si="0"/>
        <v>1</v>
      </c>
      <c r="B110" s="624">
        <f t="shared" ref="B110:B111" si="108">IF(AF110&lt;=AG110,1,IF(AH110&lt;=0.005,2,IF(AND(AH110&gt;0.005,AH110&lt;=0.02, L182),4,IF(AND(AH110&gt;0.02,AH110&lt;=0.05),5,IF(AND(AH110&gt;0.05,AH110&lt;=0.1),7,IF(AND(AH110&gt;0.1,AH110&lt;=0.2),8,IF(AH110&gt;0.2,10)))))))</f>
        <v>10</v>
      </c>
      <c r="C110" s="623">
        <f t="shared" ref="C110:C111" si="109">IF(AA110&lt;=0.005,10,IF(AND(AA110&gt;0.005,AA110&lt;=0.01, C167),9,IF(AND(AA110&gt;0.01,AA110&lt;=0.02),8,IF(AND(AA110&gt;0.02,AA110&lt;=0.05),7,IF(AND(AA110&gt;0.05,AA110&lt;=0.1),6,IF(AND(AA110&gt;0.1,AA110&lt;=0.2),5,IF(AND(AA110&gt;0.2,AA110&lt;=0.3),4,IF(AND(AA110&gt;0.3,AA110&lt;=0.4),3,IF(AND(AA110&gt;0.4,AA110&lt;=0.5),2,IF(AA110&gt;0.5,1))))))))))</f>
        <v>10</v>
      </c>
      <c r="D110" s="623">
        <f t="shared" si="3"/>
        <v>10</v>
      </c>
      <c r="E110" s="624">
        <f t="shared" si="99"/>
        <v>7.8</v>
      </c>
      <c r="F110" s="625" t="str">
        <f t="shared" si="5"/>
        <v xml:space="preserve">     -</v>
      </c>
      <c r="G110" s="626">
        <f t="shared" si="22"/>
        <v>0.56640000000000001</v>
      </c>
      <c r="H110" s="627">
        <f t="shared" si="45"/>
        <v>-0.56299999999999994</v>
      </c>
      <c r="I110" s="628">
        <f t="shared" si="8"/>
        <v>23683500</v>
      </c>
      <c r="J110" s="629">
        <f t="shared" si="9"/>
        <v>23549550</v>
      </c>
      <c r="K110" s="630">
        <v>1425</v>
      </c>
      <c r="L110" s="631">
        <v>44920</v>
      </c>
      <c r="M110" s="638">
        <f t="shared" si="72"/>
        <v>44920</v>
      </c>
      <c r="N110" s="632" t="s">
        <v>1574</v>
      </c>
      <c r="O110" s="632" t="s">
        <v>518</v>
      </c>
      <c r="P110" s="632" t="s">
        <v>1897</v>
      </c>
      <c r="Q110" s="632">
        <v>380</v>
      </c>
      <c r="R110" s="632" t="s">
        <v>1585</v>
      </c>
      <c r="S110" s="632" t="s">
        <v>2188</v>
      </c>
      <c r="T110" s="633" t="s">
        <v>2189</v>
      </c>
      <c r="U110" s="634" t="s">
        <v>2190</v>
      </c>
      <c r="V110" s="635" t="s">
        <v>2191</v>
      </c>
      <c r="W110" s="633" t="s">
        <v>2192</v>
      </c>
      <c r="X110" s="634" t="s">
        <v>2193</v>
      </c>
      <c r="Y110" s="632">
        <f t="shared" si="10"/>
        <v>29342</v>
      </c>
      <c r="Z110" s="632">
        <f t="shared" si="11"/>
        <v>7</v>
      </c>
      <c r="AA110" s="636">
        <f t="shared" si="12"/>
        <v>-1</v>
      </c>
      <c r="AB110" s="636">
        <f t="shared" si="13"/>
        <v>2655.857</v>
      </c>
      <c r="AC110" s="632">
        <f t="shared" si="14"/>
        <v>18598</v>
      </c>
      <c r="AD110" s="632">
        <f t="shared" si="15"/>
        <v>45962</v>
      </c>
      <c r="AE110" s="636">
        <f t="shared" si="16"/>
        <v>0.59499999999999997</v>
      </c>
      <c r="AF110" s="632">
        <f t="shared" si="17"/>
        <v>25689</v>
      </c>
      <c r="AG110" s="632">
        <f t="shared" si="18"/>
        <v>12816</v>
      </c>
      <c r="AH110" s="625">
        <f t="shared" si="19"/>
        <v>1.004</v>
      </c>
    </row>
    <row r="111" spans="1:34">
      <c r="A111" s="623">
        <f t="shared" si="0"/>
        <v>1</v>
      </c>
      <c r="B111" s="624">
        <f t="shared" si="108"/>
        <v>10</v>
      </c>
      <c r="C111" s="623">
        <f t="shared" si="109"/>
        <v>1</v>
      </c>
      <c r="D111" s="623">
        <f t="shared" si="3"/>
        <v>1</v>
      </c>
      <c r="E111" s="624">
        <f t="shared" si="99"/>
        <v>3.3</v>
      </c>
      <c r="F111" s="625" t="str">
        <f t="shared" si="5"/>
        <v xml:space="preserve">     -</v>
      </c>
      <c r="G111" s="626" t="str">
        <f t="shared" si="22"/>
        <v/>
      </c>
      <c r="H111" s="627" t="str">
        <f t="shared" si="45"/>
        <v/>
      </c>
      <c r="I111" s="628" t="e">
        <f t="shared" si="8"/>
        <v>#VALUE!</v>
      </c>
      <c r="J111" s="629" t="e">
        <f t="shared" si="9"/>
        <v>#VALUE!</v>
      </c>
      <c r="K111" s="630">
        <v>275</v>
      </c>
      <c r="L111" s="631">
        <v>44920</v>
      </c>
      <c r="M111" s="638">
        <f t="shared" si="72"/>
        <v>44920</v>
      </c>
      <c r="N111" s="632" t="s">
        <v>1584</v>
      </c>
      <c r="O111" s="632" t="s">
        <v>2194</v>
      </c>
      <c r="P111" s="632" t="s">
        <v>1897</v>
      </c>
      <c r="Q111" s="632">
        <v>2800</v>
      </c>
      <c r="R111" s="632" t="s">
        <v>1585</v>
      </c>
      <c r="S111" s="632" t="s">
        <v>2195</v>
      </c>
      <c r="T111" s="633" t="s">
        <v>1605</v>
      </c>
      <c r="U111" s="634" t="s">
        <v>2196</v>
      </c>
      <c r="V111" s="635" t="s">
        <v>2197</v>
      </c>
      <c r="W111" s="633" t="s">
        <v>2198</v>
      </c>
      <c r="X111" s="634" t="s">
        <v>1583</v>
      </c>
      <c r="Y111" s="632" t="str">
        <f t="shared" si="10"/>
        <v/>
      </c>
      <c r="Z111" s="632">
        <f t="shared" si="11"/>
        <v>49</v>
      </c>
      <c r="AA111" s="636" t="str">
        <f t="shared" si="12"/>
        <v/>
      </c>
      <c r="AB111" s="636">
        <f t="shared" si="13"/>
        <v>-1</v>
      </c>
      <c r="AC111" s="632">
        <f t="shared" si="14"/>
        <v>0</v>
      </c>
      <c r="AD111" s="632">
        <f t="shared" si="15"/>
        <v>60</v>
      </c>
      <c r="AE111" s="636">
        <f t="shared" si="16"/>
        <v>1</v>
      </c>
      <c r="AF111" s="632">
        <f t="shared" si="17"/>
        <v>49</v>
      </c>
      <c r="AG111" s="632">
        <f t="shared" si="18"/>
        <v>32</v>
      </c>
      <c r="AH111" s="625">
        <f t="shared" si="19"/>
        <v>0.53100000000000003</v>
      </c>
    </row>
    <row r="112" spans="1:34">
      <c r="A112" s="623">
        <f t="shared" si="0"/>
        <v>10</v>
      </c>
      <c r="B112" s="624">
        <f t="shared" ref="B112:B113" si="110">IF(AF112&lt;=AG112,1,IF(AH112&lt;=0.005,2,IF(AND(AH112&gt;0.005,AH112&lt;=0.02, L182),4,IF(AND(AH112&gt;0.02,AH112&lt;=0.05),5,IF(AND(AH112&gt;0.05,AH112&lt;=0.1),7,IF(AND(AH112&gt;0.1,AH112&lt;=0.2),8,IF(AH112&gt;0.2,10)))))))</f>
        <v>10</v>
      </c>
      <c r="C112" s="623">
        <f t="shared" ref="C112:C113" si="111">IF(AA112&lt;=0.005,10,IF(AND(AA112&gt;0.005,AA112&lt;=0.01, C167),9,IF(AND(AA112&gt;0.01,AA112&lt;=0.02),8,IF(AND(AA112&gt;0.02,AA112&lt;=0.05),7,IF(AND(AA112&gt;0.05,AA112&lt;=0.1),6,IF(AND(AA112&gt;0.1,AA112&lt;=0.2),5,IF(AND(AA112&gt;0.2,AA112&lt;=0.3),4,IF(AND(AA112&gt;0.3,AA112&lt;=0.4),3,IF(AND(AA112&gt;0.4,AA112&lt;=0.5),2,IF(AA112&gt;0.5,1))))))))))</f>
        <v>10</v>
      </c>
      <c r="D112" s="623">
        <f t="shared" si="3"/>
        <v>10</v>
      </c>
      <c r="E112" s="624">
        <f t="shared" si="99"/>
        <v>10</v>
      </c>
      <c r="F112" s="625" t="str">
        <f t="shared" si="5"/>
        <v xml:space="preserve">     -</v>
      </c>
      <c r="G112" s="626">
        <f t="shared" si="22"/>
        <v>-0.99970000000000003</v>
      </c>
      <c r="H112" s="627">
        <f t="shared" si="45"/>
        <v>-1</v>
      </c>
      <c r="I112" s="628">
        <f t="shared" si="8"/>
        <v>-33287100</v>
      </c>
      <c r="J112" s="629">
        <f t="shared" si="9"/>
        <v>33290400</v>
      </c>
      <c r="K112" s="630">
        <v>1650</v>
      </c>
      <c r="L112" s="631">
        <v>44921</v>
      </c>
      <c r="M112" s="638">
        <f t="shared" si="72"/>
        <v>44921</v>
      </c>
      <c r="N112" s="632" t="s">
        <v>1610</v>
      </c>
      <c r="O112" s="632" t="s">
        <v>700</v>
      </c>
      <c r="P112" s="632" t="s">
        <v>1897</v>
      </c>
      <c r="Q112" s="632">
        <v>370</v>
      </c>
      <c r="R112" s="632" t="s">
        <v>1577</v>
      </c>
      <c r="S112" s="632" t="s">
        <v>2199</v>
      </c>
      <c r="T112" s="633" t="s">
        <v>2200</v>
      </c>
      <c r="U112" s="634" t="s">
        <v>2181</v>
      </c>
      <c r="V112" s="635" t="s">
        <v>2201</v>
      </c>
      <c r="W112" s="633" t="s">
        <v>2202</v>
      </c>
      <c r="X112" s="634" t="s">
        <v>2203</v>
      </c>
      <c r="Y112" s="632">
        <f t="shared" si="10"/>
        <v>20180</v>
      </c>
      <c r="Z112" s="632">
        <f t="shared" si="11"/>
        <v>14702</v>
      </c>
      <c r="AA112" s="636">
        <f t="shared" si="12"/>
        <v>-0.27100000000000002</v>
      </c>
      <c r="AB112" s="636">
        <f t="shared" si="13"/>
        <v>1.37</v>
      </c>
      <c r="AC112" s="632">
        <f t="shared" si="14"/>
        <v>34851</v>
      </c>
      <c r="AD112" s="632">
        <f t="shared" si="15"/>
        <v>6</v>
      </c>
      <c r="AE112" s="636" t="str">
        <f t="shared" si="16"/>
        <v>Tgt Hit</v>
      </c>
      <c r="AF112" s="632">
        <f t="shared" si="17"/>
        <v>42064</v>
      </c>
      <c r="AG112" s="632">
        <f t="shared" si="18"/>
        <v>4</v>
      </c>
      <c r="AH112" s="625">
        <f t="shared" si="19"/>
        <v>10515</v>
      </c>
    </row>
    <row r="113" spans="1:34">
      <c r="A113" s="623">
        <f t="shared" si="0"/>
        <v>10</v>
      </c>
      <c r="B113" s="624">
        <f t="shared" si="110"/>
        <v>10</v>
      </c>
      <c r="C113" s="623">
        <f t="shared" si="111"/>
        <v>5</v>
      </c>
      <c r="D113" s="623">
        <f t="shared" si="3"/>
        <v>7</v>
      </c>
      <c r="E113" s="624">
        <f t="shared" si="99"/>
        <v>8</v>
      </c>
      <c r="F113" s="625" t="str">
        <f t="shared" si="5"/>
        <v xml:space="preserve">     -</v>
      </c>
      <c r="G113" s="626">
        <f t="shared" si="22"/>
        <v>-0.99960000000000004</v>
      </c>
      <c r="H113" s="627">
        <f t="shared" si="45"/>
        <v>-1</v>
      </c>
      <c r="I113" s="628">
        <f t="shared" si="8"/>
        <v>-105357375</v>
      </c>
      <c r="J113" s="629">
        <f t="shared" si="9"/>
        <v>105377625</v>
      </c>
      <c r="K113" s="630">
        <v>3375</v>
      </c>
      <c r="L113" s="631">
        <v>44921</v>
      </c>
      <c r="M113" s="638">
        <f t="shared" si="72"/>
        <v>44921</v>
      </c>
      <c r="N113" s="632" t="s">
        <v>1584</v>
      </c>
      <c r="O113" s="632" t="s">
        <v>479</v>
      </c>
      <c r="P113" s="632" t="s">
        <v>2204</v>
      </c>
      <c r="Q113" s="632">
        <v>205</v>
      </c>
      <c r="R113" s="632" t="s">
        <v>1585</v>
      </c>
      <c r="S113" s="632" t="s">
        <v>2205</v>
      </c>
      <c r="T113" s="633" t="s">
        <v>1625</v>
      </c>
      <c r="U113" s="634" t="s">
        <v>1614</v>
      </c>
      <c r="V113" s="635" t="s">
        <v>2206</v>
      </c>
      <c r="W113" s="633" t="s">
        <v>2207</v>
      </c>
      <c r="X113" s="634" t="s">
        <v>2208</v>
      </c>
      <c r="Y113" s="632">
        <f t="shared" si="10"/>
        <v>31229</v>
      </c>
      <c r="Z113" s="632">
        <f t="shared" si="11"/>
        <v>34912</v>
      </c>
      <c r="AA113" s="636">
        <f t="shared" si="12"/>
        <v>0.11799999999999999</v>
      </c>
      <c r="AB113" s="636">
        <f t="shared" si="13"/>
        <v>0.29099999999999998</v>
      </c>
      <c r="AC113" s="632">
        <f t="shared" si="14"/>
        <v>45057</v>
      </c>
      <c r="AD113" s="632">
        <f t="shared" si="15"/>
        <v>12</v>
      </c>
      <c r="AE113" s="636" t="str">
        <f t="shared" si="16"/>
        <v>Tgt Hit</v>
      </c>
      <c r="AF113" s="632">
        <f t="shared" si="17"/>
        <v>14824</v>
      </c>
      <c r="AG113" s="632">
        <f t="shared" si="18"/>
        <v>6</v>
      </c>
      <c r="AH113" s="625">
        <f t="shared" si="19"/>
        <v>2469.6669999999999</v>
      </c>
    </row>
    <row r="114" spans="1:34">
      <c r="A114" s="623">
        <f t="shared" si="0"/>
        <v>1</v>
      </c>
      <c r="B114" s="624">
        <f t="shared" ref="B114:B115" si="112">IF(AF114&lt;=AG114,1,IF(AH114&lt;=0.005,2,IF(AND(AH114&gt;0.005,AH114&lt;=0.02, L182),4,IF(AND(AH114&gt;0.02,AH114&lt;=0.05),5,IF(AND(AH114&gt;0.05,AH114&lt;=0.1),7,IF(AND(AH114&gt;0.1,AH114&lt;=0.2),8,IF(AH114&gt;0.2,10)))))))</f>
        <v>10</v>
      </c>
      <c r="C114" s="623">
        <f t="shared" ref="C114:C115" si="113">IF(AA114&lt;=0.005,10,IF(AND(AA114&gt;0.005,AA114&lt;=0.01, C167),9,IF(AND(AA114&gt;0.01,AA114&lt;=0.02),8,IF(AND(AA114&gt;0.02,AA114&lt;=0.05),7,IF(AND(AA114&gt;0.05,AA114&lt;=0.1),6,IF(AND(AA114&gt;0.1,AA114&lt;=0.2),5,IF(AND(AA114&gt;0.2,AA114&lt;=0.3),4,IF(AND(AA114&gt;0.3,AA114&lt;=0.4),3,IF(AND(AA114&gt;0.4,AA114&lt;=0.5),2,IF(AA114&gt;0.5,1))))))))))</f>
        <v>10</v>
      </c>
      <c r="D114" s="623">
        <f t="shared" si="3"/>
        <v>1</v>
      </c>
      <c r="E114" s="624">
        <f t="shared" si="99"/>
        <v>5.5</v>
      </c>
      <c r="F114" s="625" t="str">
        <f t="shared" si="5"/>
        <v xml:space="preserve">     -</v>
      </c>
      <c r="G114" s="626">
        <f t="shared" si="22"/>
        <v>-0.99960000000000004</v>
      </c>
      <c r="H114" s="627">
        <f t="shared" si="45"/>
        <v>-0.373</v>
      </c>
      <c r="I114" s="628">
        <f t="shared" si="8"/>
        <v>-44178000</v>
      </c>
      <c r="J114" s="629">
        <f t="shared" si="9"/>
        <v>16483500</v>
      </c>
      <c r="K114" s="630">
        <v>1500</v>
      </c>
      <c r="L114" s="631">
        <v>44923</v>
      </c>
      <c r="M114" s="638">
        <f t="shared" si="72"/>
        <v>44923</v>
      </c>
      <c r="N114" s="632" t="s">
        <v>1610</v>
      </c>
      <c r="O114" s="632" t="s">
        <v>1611</v>
      </c>
      <c r="P114" s="632" t="s">
        <v>2204</v>
      </c>
      <c r="Q114" s="632">
        <v>385</v>
      </c>
      <c r="R114" s="632" t="s">
        <v>1577</v>
      </c>
      <c r="S114" s="632" t="s">
        <v>2209</v>
      </c>
      <c r="T114" s="633" t="s">
        <v>2210</v>
      </c>
      <c r="U114" s="634" t="s">
        <v>2211</v>
      </c>
      <c r="V114" s="635" t="s">
        <v>2212</v>
      </c>
      <c r="W114" s="633" t="s">
        <v>2213</v>
      </c>
      <c r="X114" s="634" t="s">
        <v>2214</v>
      </c>
      <c r="Y114" s="632">
        <f t="shared" si="10"/>
        <v>29465</v>
      </c>
      <c r="Z114" s="632">
        <f t="shared" si="11"/>
        <v>11</v>
      </c>
      <c r="AA114" s="636">
        <f t="shared" si="12"/>
        <v>-1</v>
      </c>
      <c r="AB114" s="636">
        <f t="shared" si="13"/>
        <v>-1</v>
      </c>
      <c r="AC114" s="632">
        <f t="shared" si="14"/>
        <v>0</v>
      </c>
      <c r="AD114" s="632">
        <f t="shared" si="15"/>
        <v>13</v>
      </c>
      <c r="AE114" s="636">
        <f t="shared" si="16"/>
        <v>1</v>
      </c>
      <c r="AF114" s="632">
        <f t="shared" si="17"/>
        <v>25781</v>
      </c>
      <c r="AG114" s="632">
        <f t="shared" si="18"/>
        <v>18476</v>
      </c>
      <c r="AH114" s="625">
        <f t="shared" si="19"/>
        <v>0.39500000000000002</v>
      </c>
    </row>
    <row r="115" spans="1:34">
      <c r="A115" s="623">
        <f t="shared" si="0"/>
        <v>10</v>
      </c>
      <c r="B115" s="624">
        <f t="shared" si="112"/>
        <v>8</v>
      </c>
      <c r="C115" s="623">
        <f t="shared" si="113"/>
        <v>5</v>
      </c>
      <c r="D115" s="623">
        <f t="shared" si="3"/>
        <v>6</v>
      </c>
      <c r="E115" s="624">
        <f t="shared" si="99"/>
        <v>7.3</v>
      </c>
      <c r="F115" s="625" t="str">
        <f t="shared" si="5"/>
        <v xml:space="preserve">     -</v>
      </c>
      <c r="G115" s="626">
        <f t="shared" si="22"/>
        <v>0.29499999999999998</v>
      </c>
      <c r="H115" s="627">
        <f t="shared" si="45"/>
        <v>-0.10100000000000001</v>
      </c>
      <c r="I115" s="628">
        <f t="shared" si="8"/>
        <v>6150</v>
      </c>
      <c r="J115" s="629">
        <f t="shared" si="9"/>
        <v>2100</v>
      </c>
      <c r="K115" s="630">
        <v>150</v>
      </c>
      <c r="L115" s="631">
        <v>44923</v>
      </c>
      <c r="M115" s="638">
        <f t="shared" si="72"/>
        <v>44923</v>
      </c>
      <c r="N115" s="632" t="s">
        <v>1584</v>
      </c>
      <c r="O115" s="632" t="s">
        <v>2215</v>
      </c>
      <c r="P115" s="632" t="s">
        <v>2204</v>
      </c>
      <c r="Q115" s="632">
        <v>4400</v>
      </c>
      <c r="R115" s="632" t="s">
        <v>1577</v>
      </c>
      <c r="S115" s="632" t="s">
        <v>2216</v>
      </c>
      <c r="T115" s="633" t="s">
        <v>1906</v>
      </c>
      <c r="U115" s="634" t="s">
        <v>2217</v>
      </c>
      <c r="V115" s="635" t="s">
        <v>2218</v>
      </c>
      <c r="W115" s="633" t="s">
        <v>2219</v>
      </c>
      <c r="X115" s="634" t="s">
        <v>2220</v>
      </c>
      <c r="Y115" s="632">
        <f t="shared" si="10"/>
        <v>139</v>
      </c>
      <c r="Z115" s="632">
        <f t="shared" si="11"/>
        <v>165</v>
      </c>
      <c r="AA115" s="636">
        <f t="shared" si="12"/>
        <v>0.187</v>
      </c>
      <c r="AB115" s="636">
        <f t="shared" si="13"/>
        <v>0.121</v>
      </c>
      <c r="AC115" s="632">
        <f t="shared" si="14"/>
        <v>185</v>
      </c>
      <c r="AD115" s="632">
        <f t="shared" si="15"/>
        <v>180</v>
      </c>
      <c r="AE115" s="636" t="str">
        <f t="shared" si="16"/>
        <v>Tgt Hit</v>
      </c>
      <c r="AF115" s="632">
        <f t="shared" si="17"/>
        <v>150</v>
      </c>
      <c r="AG115" s="632">
        <f t="shared" si="18"/>
        <v>125</v>
      </c>
      <c r="AH115" s="625">
        <f t="shared" si="19"/>
        <v>0.2</v>
      </c>
    </row>
    <row r="116" spans="1:34">
      <c r="A116" s="623">
        <f t="shared" si="0"/>
        <v>10</v>
      </c>
      <c r="B116" s="624">
        <f t="shared" ref="B116:B117" si="114">IF(AF116&lt;=AG116,1,IF(AH116&lt;=0.005,2,IF(AND(AH116&gt;0.005,AH116&lt;=0.02, L182),4,IF(AND(AH116&gt;0.02,AH116&lt;=0.05),5,IF(AND(AH116&gt;0.05,AH116&lt;=0.1),7,IF(AND(AH116&gt;0.1,AH116&lt;=0.2),8,IF(AH116&gt;0.2,10)))))))</f>
        <v>10</v>
      </c>
      <c r="C116" s="623">
        <f t="shared" ref="C116:C117" si="115">IF(AA116&lt;=0.005,10,IF(AND(AA116&gt;0.005,AA116&lt;=0.01, C167),9,IF(AND(AA116&gt;0.01,AA116&lt;=0.02),8,IF(AND(AA116&gt;0.02,AA116&lt;=0.05),7,IF(AND(AA116&gt;0.05,AA116&lt;=0.1),6,IF(AND(AA116&gt;0.1,AA116&lt;=0.2),5,IF(AND(AA116&gt;0.2,AA116&lt;=0.3),4,IF(AND(AA116&gt;0.3,AA116&lt;=0.4),3,IF(AND(AA116&gt;0.4,AA116&lt;=0.5),2,IF(AA116&gt;0.5,1))))))))))</f>
        <v>1</v>
      </c>
      <c r="D116" s="623">
        <f t="shared" si="3"/>
        <v>7</v>
      </c>
      <c r="E116" s="624">
        <f t="shared" si="99"/>
        <v>7</v>
      </c>
      <c r="F116" s="625" t="str">
        <f t="shared" si="5"/>
        <v xml:space="preserve">     -</v>
      </c>
      <c r="G116" s="626">
        <f t="shared" si="22"/>
        <v>-8.9399999999999993E-2</v>
      </c>
      <c r="H116" s="627">
        <f t="shared" si="45"/>
        <v>-0.45400000000000001</v>
      </c>
      <c r="I116" s="628">
        <f t="shared" si="8"/>
        <v>-13485000</v>
      </c>
      <c r="J116" s="629">
        <f t="shared" si="9"/>
        <v>68482500</v>
      </c>
      <c r="K116" s="630">
        <v>7500</v>
      </c>
      <c r="L116" s="631">
        <v>44924</v>
      </c>
      <c r="M116" s="638">
        <f t="shared" si="72"/>
        <v>44924</v>
      </c>
      <c r="N116" s="632" t="s">
        <v>1610</v>
      </c>
      <c r="O116" s="632" t="s">
        <v>496</v>
      </c>
      <c r="P116" s="632" t="s">
        <v>2204</v>
      </c>
      <c r="Q116" s="632">
        <v>78</v>
      </c>
      <c r="R116" s="632" t="s">
        <v>1577</v>
      </c>
      <c r="S116" s="632" t="s">
        <v>2221</v>
      </c>
      <c r="T116" s="633" t="s">
        <v>2222</v>
      </c>
      <c r="U116" s="634" t="s">
        <v>2223</v>
      </c>
      <c r="V116" s="635" t="s">
        <v>2224</v>
      </c>
      <c r="W116" s="633" t="s">
        <v>1772</v>
      </c>
      <c r="X116" s="634" t="s">
        <v>2225</v>
      </c>
      <c r="Y116" s="632">
        <f t="shared" si="10"/>
        <v>20121</v>
      </c>
      <c r="Z116" s="632">
        <f t="shared" si="11"/>
        <v>32905</v>
      </c>
      <c r="AA116" s="636">
        <f t="shared" si="12"/>
        <v>0.63500000000000001</v>
      </c>
      <c r="AB116" s="636">
        <f t="shared" si="13"/>
        <v>0.27800000000000002</v>
      </c>
      <c r="AC116" s="632">
        <f t="shared" si="14"/>
        <v>42064</v>
      </c>
      <c r="AD116" s="632">
        <f t="shared" si="15"/>
        <v>18323</v>
      </c>
      <c r="AE116" s="636" t="str">
        <f t="shared" si="16"/>
        <v>Tgt Hit</v>
      </c>
      <c r="AF116" s="632">
        <f t="shared" si="17"/>
        <v>45048</v>
      </c>
      <c r="AG116" s="632">
        <f t="shared" si="18"/>
        <v>10990</v>
      </c>
      <c r="AH116" s="625">
        <f t="shared" si="19"/>
        <v>3.0990000000000002</v>
      </c>
    </row>
    <row r="117" spans="1:34">
      <c r="A117" s="623">
        <f t="shared" si="0"/>
        <v>1</v>
      </c>
      <c r="B117" s="624">
        <f t="shared" si="114"/>
        <v>10</v>
      </c>
      <c r="C117" s="623">
        <f t="shared" si="115"/>
        <v>1</v>
      </c>
      <c r="D117" s="623">
        <f t="shared" si="3"/>
        <v>1</v>
      </c>
      <c r="E117" s="624">
        <f t="shared" si="99"/>
        <v>3.3</v>
      </c>
      <c r="F117" s="625" t="str">
        <f t="shared" si="5"/>
        <v xml:space="preserve">     -</v>
      </c>
      <c r="G117" s="626" t="str">
        <f t="shared" si="22"/>
        <v/>
      </c>
      <c r="H117" s="627" t="str">
        <f t="shared" si="45"/>
        <v/>
      </c>
      <c r="I117" s="628" t="e">
        <f t="shared" si="8"/>
        <v>#VALUE!</v>
      </c>
      <c r="J117" s="629" t="e">
        <f t="shared" si="9"/>
        <v>#VALUE!</v>
      </c>
      <c r="K117" s="630">
        <v>1400</v>
      </c>
      <c r="L117" s="631">
        <v>44924</v>
      </c>
      <c r="M117" s="638">
        <f t="shared" si="72"/>
        <v>44924</v>
      </c>
      <c r="N117" s="632" t="s">
        <v>1584</v>
      </c>
      <c r="O117" s="632" t="s">
        <v>481</v>
      </c>
      <c r="P117" s="632" t="s">
        <v>2204</v>
      </c>
      <c r="Q117" s="632">
        <v>470</v>
      </c>
      <c r="R117" s="632" t="s">
        <v>1577</v>
      </c>
      <c r="S117" s="632" t="s">
        <v>2055</v>
      </c>
      <c r="T117" s="633" t="s">
        <v>2226</v>
      </c>
      <c r="U117" s="634" t="s">
        <v>1907</v>
      </c>
      <c r="V117" s="635" t="s">
        <v>2227</v>
      </c>
      <c r="W117" s="633" t="s">
        <v>2228</v>
      </c>
      <c r="X117" s="634" t="s">
        <v>2229</v>
      </c>
      <c r="Y117" s="632" t="str">
        <f t="shared" si="10"/>
        <v/>
      </c>
      <c r="Z117" s="632">
        <f t="shared" si="11"/>
        <v>45066</v>
      </c>
      <c r="AA117" s="636" t="str">
        <f t="shared" si="12"/>
        <v/>
      </c>
      <c r="AB117" s="636">
        <f t="shared" si="13"/>
        <v>-1</v>
      </c>
      <c r="AC117" s="632">
        <f t="shared" si="14"/>
        <v>0</v>
      </c>
      <c r="AD117" s="632">
        <f t="shared" si="15"/>
        <v>28</v>
      </c>
      <c r="AE117" s="636">
        <f t="shared" si="16"/>
        <v>1</v>
      </c>
      <c r="AF117" s="632" t="str">
        <f t="shared" si="17"/>
        <v/>
      </c>
      <c r="AG117" s="632">
        <f t="shared" si="18"/>
        <v>13</v>
      </c>
      <c r="AH117" s="625" t="str">
        <f t="shared" si="19"/>
        <v/>
      </c>
    </row>
    <row r="118" spans="1:34">
      <c r="A118" s="623">
        <f t="shared" si="0"/>
        <v>1</v>
      </c>
      <c r="B118" s="624">
        <f t="shared" ref="B118:B119" si="116">IF(AF118&lt;=AG118,1,IF(AH118&lt;=0.005,2,IF(AND(AH118&gt;0.005,AH118&lt;=0.02, L182),4,IF(AND(AH118&gt;0.02,AH118&lt;=0.05),5,IF(AND(AH118&gt;0.05,AH118&lt;=0.1),7,IF(AND(AH118&gt;0.1,AH118&lt;=0.2),8,IF(AH118&gt;0.2,10)))))))</f>
        <v>10</v>
      </c>
      <c r="C118" s="623">
        <f t="shared" ref="C118:C119" si="117">IF(AA118&lt;=0.005,10,IF(AND(AA118&gt;0.005,AA118&lt;=0.01, C167),9,IF(AND(AA118&gt;0.01,AA118&lt;=0.02),8,IF(AND(AA118&gt;0.02,AA118&lt;=0.05),7,IF(AND(AA118&gt;0.05,AA118&lt;=0.1),6,IF(AND(AA118&gt;0.1,AA118&lt;=0.2),5,IF(AND(AA118&gt;0.2,AA118&lt;=0.3),4,IF(AND(AA118&gt;0.3,AA118&lt;=0.4),3,IF(AND(AA118&gt;0.4,AA118&lt;=0.5),2,IF(AA118&gt;0.5,1))))))))))</f>
        <v>10</v>
      </c>
      <c r="D118" s="623">
        <f t="shared" si="3"/>
        <v>1</v>
      </c>
      <c r="E118" s="624">
        <f t="shared" si="99"/>
        <v>5.5</v>
      </c>
      <c r="F118" s="625" t="str">
        <f t="shared" si="5"/>
        <v xml:space="preserve">     -</v>
      </c>
      <c r="G118" s="626">
        <f t="shared" si="22"/>
        <v>-0.99919999999999998</v>
      </c>
      <c r="H118" s="627">
        <f t="shared" si="45"/>
        <v>-0.999</v>
      </c>
      <c r="I118" s="628">
        <f t="shared" si="8"/>
        <v>-40756000</v>
      </c>
      <c r="J118" s="629">
        <f t="shared" si="9"/>
        <v>40766000</v>
      </c>
      <c r="K118" s="630">
        <v>2000</v>
      </c>
      <c r="L118" s="631">
        <v>44924</v>
      </c>
      <c r="M118" s="638">
        <f t="shared" si="72"/>
        <v>44924</v>
      </c>
      <c r="N118" s="632" t="s">
        <v>1610</v>
      </c>
      <c r="O118" s="632" t="s">
        <v>499</v>
      </c>
      <c r="P118" s="632" t="s">
        <v>2204</v>
      </c>
      <c r="Q118" s="632">
        <v>295</v>
      </c>
      <c r="R118" s="632" t="s">
        <v>1585</v>
      </c>
      <c r="S118" s="632" t="s">
        <v>2230</v>
      </c>
      <c r="T118" s="633" t="s">
        <v>2107</v>
      </c>
      <c r="U118" s="634" t="s">
        <v>2231</v>
      </c>
      <c r="V118" s="635" t="s">
        <v>2232</v>
      </c>
      <c r="W118" s="633" t="s">
        <v>2233</v>
      </c>
      <c r="X118" s="634" t="s">
        <v>2234</v>
      </c>
      <c r="Y118" s="632">
        <f t="shared" si="10"/>
        <v>20394</v>
      </c>
      <c r="Z118" s="632">
        <f t="shared" si="11"/>
        <v>15</v>
      </c>
      <c r="AA118" s="636">
        <f t="shared" si="12"/>
        <v>-0.999</v>
      </c>
      <c r="AB118" s="636">
        <f t="shared" si="13"/>
        <v>-1</v>
      </c>
      <c r="AC118" s="632">
        <f t="shared" si="14"/>
        <v>0</v>
      </c>
      <c r="AD118" s="632">
        <f t="shared" si="15"/>
        <v>16</v>
      </c>
      <c r="AE118" s="636">
        <f t="shared" si="16"/>
        <v>1</v>
      </c>
      <c r="AF118" s="632">
        <f t="shared" si="17"/>
        <v>14</v>
      </c>
      <c r="AG118" s="632">
        <f t="shared" si="18"/>
        <v>11</v>
      </c>
      <c r="AH118" s="625">
        <f t="shared" si="19"/>
        <v>0.27300000000000002</v>
      </c>
    </row>
    <row r="119" spans="1:34">
      <c r="A119" s="623">
        <f t="shared" si="0"/>
        <v>1</v>
      </c>
      <c r="B119" s="624">
        <f t="shared" si="116"/>
        <v>10</v>
      </c>
      <c r="C119" s="623">
        <f t="shared" si="117"/>
        <v>1</v>
      </c>
      <c r="D119" s="623">
        <f t="shared" si="3"/>
        <v>1</v>
      </c>
      <c r="E119" s="624">
        <f t="shared" si="99"/>
        <v>3.3</v>
      </c>
      <c r="F119" s="625" t="str">
        <f t="shared" si="5"/>
        <v xml:space="preserve">     -</v>
      </c>
      <c r="G119" s="626" t="str">
        <f t="shared" si="22"/>
        <v/>
      </c>
      <c r="H119" s="627" t="str">
        <f t="shared" si="45"/>
        <v/>
      </c>
      <c r="I119" s="628" t="e">
        <f t="shared" si="8"/>
        <v>#VALUE!</v>
      </c>
      <c r="J119" s="629" t="e">
        <f t="shared" si="9"/>
        <v>#VALUE!</v>
      </c>
      <c r="K119" s="630">
        <v>400</v>
      </c>
      <c r="L119" s="631">
        <v>44924</v>
      </c>
      <c r="M119" s="638">
        <f t="shared" si="72"/>
        <v>44924</v>
      </c>
      <c r="N119" s="632" t="s">
        <v>1584</v>
      </c>
      <c r="O119" s="632" t="s">
        <v>472</v>
      </c>
      <c r="P119" s="632" t="s">
        <v>2204</v>
      </c>
      <c r="Q119" s="632">
        <v>1520</v>
      </c>
      <c r="R119" s="632" t="s">
        <v>1585</v>
      </c>
      <c r="S119" s="632" t="s">
        <v>2235</v>
      </c>
      <c r="T119" s="633" t="s">
        <v>1605</v>
      </c>
      <c r="U119" s="634" t="s">
        <v>2236</v>
      </c>
      <c r="V119" s="635" t="s">
        <v>2237</v>
      </c>
      <c r="W119" s="633" t="s">
        <v>2238</v>
      </c>
      <c r="X119" s="634" t="s">
        <v>2239</v>
      </c>
      <c r="Y119" s="632" t="str">
        <f t="shared" si="10"/>
        <v/>
      </c>
      <c r="Z119" s="632">
        <f t="shared" si="11"/>
        <v>47</v>
      </c>
      <c r="AA119" s="636" t="str">
        <f t="shared" si="12"/>
        <v/>
      </c>
      <c r="AB119" s="636">
        <f t="shared" si="13"/>
        <v>-1</v>
      </c>
      <c r="AC119" s="632">
        <f t="shared" si="14"/>
        <v>0</v>
      </c>
      <c r="AD119" s="632">
        <f t="shared" si="15"/>
        <v>60</v>
      </c>
      <c r="AE119" s="636">
        <f t="shared" si="16"/>
        <v>1</v>
      </c>
      <c r="AF119" s="632" t="str">
        <f t="shared" si="17"/>
        <v/>
      </c>
      <c r="AG119" s="632">
        <f t="shared" si="18"/>
        <v>38</v>
      </c>
      <c r="AH119" s="625" t="str">
        <f t="shared" si="19"/>
        <v/>
      </c>
    </row>
    <row r="120" spans="1:34">
      <c r="A120" s="623">
        <f t="shared" si="0"/>
        <v>1</v>
      </c>
      <c r="B120" s="624">
        <f t="shared" ref="B120:B121" si="118">IF(AF120&lt;=AG120,1,IF(AH120&lt;=0.005,2,IF(AND(AH120&gt;0.005,AH120&lt;=0.02, L182),4,IF(AND(AH120&gt;0.02,AH120&lt;=0.05),5,IF(AND(AH120&gt;0.05,AH120&lt;=0.1),7,IF(AND(AH120&gt;0.1,AH120&lt;=0.2),8,IF(AH120&gt;0.2,10)))))))</f>
        <v>10</v>
      </c>
      <c r="C120" s="623">
        <f t="shared" ref="C120:C121" si="119">IF(AA120&lt;=0.005,10,IF(AND(AA120&gt;0.005,AA120&lt;=0.01, C167),9,IF(AND(AA120&gt;0.01,AA120&lt;=0.02),8,IF(AND(AA120&gt;0.02,AA120&lt;=0.05),7,IF(AND(AA120&gt;0.05,AA120&lt;=0.1),6,IF(AND(AA120&gt;0.1,AA120&lt;=0.2),5,IF(AND(AA120&gt;0.2,AA120&lt;=0.3),4,IF(AND(AA120&gt;0.3,AA120&lt;=0.4),3,IF(AND(AA120&gt;0.4,AA120&lt;=0.5),2,IF(AA120&gt;0.5,1))))))))))</f>
        <v>1</v>
      </c>
      <c r="D120" s="623">
        <f t="shared" si="3"/>
        <v>1</v>
      </c>
      <c r="E120" s="624">
        <f t="shared" si="99"/>
        <v>3.3</v>
      </c>
      <c r="F120" s="625" t="str">
        <f t="shared" si="5"/>
        <v xml:space="preserve">     -</v>
      </c>
      <c r="G120" s="626">
        <f t="shared" si="22"/>
        <v>0.21049999999999999</v>
      </c>
      <c r="H120" s="627">
        <f t="shared" si="45"/>
        <v>-0.21099999999999999</v>
      </c>
      <c r="I120" s="628">
        <f t="shared" si="8"/>
        <v>2600</v>
      </c>
      <c r="J120" s="629">
        <f t="shared" si="9"/>
        <v>2600</v>
      </c>
      <c r="K120" s="630">
        <v>650</v>
      </c>
      <c r="L120" s="631">
        <v>44928</v>
      </c>
      <c r="M120" s="638">
        <f t="shared" si="72"/>
        <v>44928</v>
      </c>
      <c r="N120" s="632" t="s">
        <v>1574</v>
      </c>
      <c r="O120" s="632" t="s">
        <v>2240</v>
      </c>
      <c r="P120" s="632" t="s">
        <v>2204</v>
      </c>
      <c r="Q120" s="632">
        <v>830</v>
      </c>
      <c r="R120" s="632" t="s">
        <v>1577</v>
      </c>
      <c r="S120" s="632" t="s">
        <v>2241</v>
      </c>
      <c r="T120" s="633" t="s">
        <v>1644</v>
      </c>
      <c r="U120" s="634" t="s">
        <v>2165</v>
      </c>
      <c r="V120" s="635" t="s">
        <v>2242</v>
      </c>
      <c r="W120" s="633" t="s">
        <v>2243</v>
      </c>
      <c r="X120" s="634" t="s">
        <v>2244</v>
      </c>
      <c r="Y120" s="632">
        <f t="shared" si="10"/>
        <v>19</v>
      </c>
      <c r="Z120" s="632">
        <f t="shared" si="11"/>
        <v>45067</v>
      </c>
      <c r="AA120" s="636">
        <f t="shared" si="12"/>
        <v>2370.9470000000001</v>
      </c>
      <c r="AB120" s="636">
        <f t="shared" si="13"/>
        <v>-1</v>
      </c>
      <c r="AC120" s="632">
        <f t="shared" si="14"/>
        <v>0</v>
      </c>
      <c r="AD120" s="632">
        <f t="shared" si="15"/>
        <v>23</v>
      </c>
      <c r="AE120" s="636">
        <f t="shared" si="16"/>
        <v>1</v>
      </c>
      <c r="AF120" s="632" t="str">
        <f t="shared" si="17"/>
        <v/>
      </c>
      <c r="AG120" s="632">
        <f t="shared" si="18"/>
        <v>15</v>
      </c>
      <c r="AH120" s="625" t="str">
        <f t="shared" si="19"/>
        <v/>
      </c>
    </row>
    <row r="121" spans="1:34">
      <c r="A121" s="623">
        <f t="shared" si="0"/>
        <v>1</v>
      </c>
      <c r="B121" s="624">
        <f t="shared" si="118"/>
        <v>10</v>
      </c>
      <c r="C121" s="623">
        <f t="shared" si="119"/>
        <v>1</v>
      </c>
      <c r="D121" s="623">
        <f t="shared" si="3"/>
        <v>1</v>
      </c>
      <c r="E121" s="624">
        <f t="shared" si="99"/>
        <v>3.3</v>
      </c>
      <c r="F121" s="625" t="str">
        <f t="shared" si="5"/>
        <v xml:space="preserve">     -</v>
      </c>
      <c r="G121" s="626" t="str">
        <f t="shared" si="22"/>
        <v/>
      </c>
      <c r="H121" s="627" t="str">
        <f t="shared" si="45"/>
        <v/>
      </c>
      <c r="I121" s="628" t="e">
        <f t="shared" si="8"/>
        <v>#VALUE!</v>
      </c>
      <c r="J121" s="629" t="e">
        <f t="shared" si="9"/>
        <v>#VALUE!</v>
      </c>
      <c r="K121" s="630">
        <v>275</v>
      </c>
      <c r="L121" s="631">
        <v>44928</v>
      </c>
      <c r="M121" s="638">
        <f t="shared" si="72"/>
        <v>44928</v>
      </c>
      <c r="N121" s="632" t="s">
        <v>1584</v>
      </c>
      <c r="O121" s="632" t="s">
        <v>684</v>
      </c>
      <c r="P121" s="632" t="s">
        <v>2204</v>
      </c>
      <c r="Q121" s="632">
        <v>2120</v>
      </c>
      <c r="R121" s="632" t="s">
        <v>1585</v>
      </c>
      <c r="S121" s="632" t="s">
        <v>2245</v>
      </c>
      <c r="T121" s="633" t="s">
        <v>2246</v>
      </c>
      <c r="U121" s="634" t="s">
        <v>2247</v>
      </c>
      <c r="V121" s="635" t="s">
        <v>2248</v>
      </c>
      <c r="W121" s="633" t="s">
        <v>2249</v>
      </c>
      <c r="X121" s="634" t="s">
        <v>2250</v>
      </c>
      <c r="Y121" s="632" t="str">
        <f t="shared" si="10"/>
        <v/>
      </c>
      <c r="Z121" s="632">
        <f t="shared" si="11"/>
        <v>113</v>
      </c>
      <c r="AA121" s="636" t="str">
        <f t="shared" si="12"/>
        <v/>
      </c>
      <c r="AB121" s="636">
        <f t="shared" si="13"/>
        <v>-1</v>
      </c>
      <c r="AC121" s="632">
        <f t="shared" si="14"/>
        <v>0</v>
      </c>
      <c r="AD121" s="632">
        <f t="shared" si="15"/>
        <v>104</v>
      </c>
      <c r="AE121" s="636">
        <f t="shared" si="16"/>
        <v>1</v>
      </c>
      <c r="AF121" s="632" t="str">
        <f t="shared" si="17"/>
        <v/>
      </c>
      <c r="AG121" s="632">
        <f t="shared" si="18"/>
        <v>74</v>
      </c>
      <c r="AH121" s="625" t="str">
        <f t="shared" si="19"/>
        <v/>
      </c>
    </row>
    <row r="122" spans="1:34">
      <c r="A122" s="623">
        <f t="shared" si="0"/>
        <v>1</v>
      </c>
      <c r="B122" s="624">
        <f t="shared" ref="B122:B123" si="120">IF(AF122&lt;=AG122,1,IF(AH122&lt;=0.005,2,IF(AND(AH122&gt;0.005,AH122&lt;=0.02, L182),4,IF(AND(AH122&gt;0.02,AH122&lt;=0.05),5,IF(AND(AH122&gt;0.05,AH122&lt;=0.1),7,IF(AND(AH122&gt;0.1,AH122&lt;=0.2),8,IF(AH122&gt;0.2,10)))))))</f>
        <v>10</v>
      </c>
      <c r="C122" s="623">
        <f t="shared" ref="C122:C123" si="121">IF(AA122&lt;=0.005,10,IF(AND(AA122&gt;0.005,AA122&lt;=0.01, C167),9,IF(AND(AA122&gt;0.01,AA122&lt;=0.02),8,IF(AND(AA122&gt;0.02,AA122&lt;=0.05),7,IF(AND(AA122&gt;0.05,AA122&lt;=0.1),6,IF(AND(AA122&gt;0.1,AA122&lt;=0.2),5,IF(AND(AA122&gt;0.2,AA122&lt;=0.3),4,IF(AND(AA122&gt;0.3,AA122&lt;=0.4),3,IF(AND(AA122&gt;0.4,AA122&lt;=0.5),2,IF(AA122&gt;0.5,1))))))))))</f>
        <v>10</v>
      </c>
      <c r="D122" s="623">
        <f t="shared" si="3"/>
        <v>1</v>
      </c>
      <c r="E122" s="624">
        <f t="shared" si="99"/>
        <v>5.5</v>
      </c>
      <c r="F122" s="625" t="str">
        <f t="shared" si="5"/>
        <v xml:space="preserve">     -</v>
      </c>
      <c r="G122" s="626" t="str">
        <f t="shared" si="22"/>
        <v/>
      </c>
      <c r="H122" s="627">
        <f t="shared" si="45"/>
        <v>-1</v>
      </c>
      <c r="I122" s="628" t="e">
        <f t="shared" si="8"/>
        <v>#VALUE!</v>
      </c>
      <c r="J122" s="629">
        <f t="shared" si="9"/>
        <v>154339500</v>
      </c>
      <c r="K122" s="630">
        <v>3500</v>
      </c>
      <c r="L122" s="631">
        <v>44929</v>
      </c>
      <c r="M122" s="638">
        <f t="shared" si="72"/>
        <v>44929</v>
      </c>
      <c r="N122" s="632" t="s">
        <v>1574</v>
      </c>
      <c r="O122" s="632" t="s">
        <v>680</v>
      </c>
      <c r="P122" s="632" t="s">
        <v>2204</v>
      </c>
      <c r="Q122" s="632">
        <v>330</v>
      </c>
      <c r="R122" s="632" t="s">
        <v>1585</v>
      </c>
      <c r="S122" s="632" t="s">
        <v>2251</v>
      </c>
      <c r="T122" s="633" t="s">
        <v>1878</v>
      </c>
      <c r="U122" s="634" t="s">
        <v>1626</v>
      </c>
      <c r="V122" s="635" t="s">
        <v>2252</v>
      </c>
      <c r="W122" s="633" t="s">
        <v>2253</v>
      </c>
      <c r="X122" s="634" t="s">
        <v>2254</v>
      </c>
      <c r="Y122" s="632">
        <f t="shared" si="10"/>
        <v>44105</v>
      </c>
      <c r="Z122" s="632">
        <f t="shared" si="11"/>
        <v>27668</v>
      </c>
      <c r="AA122" s="636">
        <f t="shared" si="12"/>
        <v>-0.373</v>
      </c>
      <c r="AB122" s="636">
        <f t="shared" si="13"/>
        <v>-0.32900000000000001</v>
      </c>
      <c r="AC122" s="632">
        <f t="shared" si="14"/>
        <v>18568</v>
      </c>
      <c r="AD122" s="632" t="str">
        <f t="shared" si="15"/>
        <v/>
      </c>
      <c r="AE122" s="636" t="str">
        <f t="shared" si="16"/>
        <v/>
      </c>
      <c r="AF122" s="632">
        <f t="shared" si="17"/>
        <v>45207</v>
      </c>
      <c r="AG122" s="632">
        <f t="shared" si="18"/>
        <v>8</v>
      </c>
      <c r="AH122" s="625">
        <f t="shared" si="19"/>
        <v>5649.875</v>
      </c>
    </row>
    <row r="123" spans="1:34">
      <c r="A123" s="623">
        <f t="shared" si="0"/>
        <v>1</v>
      </c>
      <c r="B123" s="624">
        <f t="shared" si="120"/>
        <v>10</v>
      </c>
      <c r="C123" s="623">
        <f t="shared" si="121"/>
        <v>10</v>
      </c>
      <c r="D123" s="623">
        <f t="shared" si="3"/>
        <v>1</v>
      </c>
      <c r="E123" s="624">
        <f t="shared" si="99"/>
        <v>5.5</v>
      </c>
      <c r="F123" s="625" t="str">
        <f t="shared" si="5"/>
        <v xml:space="preserve">     -</v>
      </c>
      <c r="G123" s="626">
        <f t="shared" si="22"/>
        <v>-0.99919999999999998</v>
      </c>
      <c r="H123" s="627">
        <f t="shared" si="45"/>
        <v>-1</v>
      </c>
      <c r="I123" s="628">
        <f t="shared" si="8"/>
        <v>-109746000</v>
      </c>
      <c r="J123" s="629">
        <f t="shared" si="9"/>
        <v>109809000</v>
      </c>
      <c r="K123" s="630">
        <v>3500</v>
      </c>
      <c r="L123" s="631">
        <v>44929</v>
      </c>
      <c r="M123" s="638">
        <f t="shared" si="72"/>
        <v>44929</v>
      </c>
      <c r="N123" s="632" t="s">
        <v>1584</v>
      </c>
      <c r="O123" s="632" t="s">
        <v>2255</v>
      </c>
      <c r="P123" s="632" t="s">
        <v>2204</v>
      </c>
      <c r="Q123" s="632">
        <v>170</v>
      </c>
      <c r="R123" s="632" t="s">
        <v>1585</v>
      </c>
      <c r="S123" s="632" t="s">
        <v>2256</v>
      </c>
      <c r="T123" s="633" t="s">
        <v>2257</v>
      </c>
      <c r="U123" s="634" t="s">
        <v>1626</v>
      </c>
      <c r="V123" s="635" t="s">
        <v>1719</v>
      </c>
      <c r="W123" s="633" t="s">
        <v>2258</v>
      </c>
      <c r="X123" s="634" t="s">
        <v>2259</v>
      </c>
      <c r="Y123" s="632">
        <f t="shared" si="10"/>
        <v>31382</v>
      </c>
      <c r="Z123" s="632">
        <f t="shared" si="11"/>
        <v>13</v>
      </c>
      <c r="AA123" s="636">
        <f t="shared" si="12"/>
        <v>-1</v>
      </c>
      <c r="AB123" s="636">
        <f t="shared" si="13"/>
        <v>-1</v>
      </c>
      <c r="AC123" s="632">
        <f t="shared" si="14"/>
        <v>0</v>
      </c>
      <c r="AD123" s="632">
        <f t="shared" si="15"/>
        <v>26</v>
      </c>
      <c r="AE123" s="636">
        <f t="shared" si="16"/>
        <v>1</v>
      </c>
      <c r="AF123" s="632">
        <f t="shared" si="17"/>
        <v>16742</v>
      </c>
      <c r="AG123" s="632">
        <f t="shared" si="18"/>
        <v>8</v>
      </c>
      <c r="AH123" s="625">
        <f t="shared" si="19"/>
        <v>2091.75</v>
      </c>
    </row>
    <row r="124" spans="1:34">
      <c r="A124" s="623">
        <f t="shared" si="0"/>
        <v>1</v>
      </c>
      <c r="B124" s="624">
        <f t="shared" ref="B124:B125" si="122">IF(AF124&lt;=AG124,1,IF(AH124&lt;=0.005,2,IF(AND(AH124&gt;0.005,AH124&lt;=0.02, L182),4,IF(AND(AH124&gt;0.02,AH124&lt;=0.05),5,IF(AND(AH124&gt;0.05,AH124&lt;=0.1),7,IF(AND(AH124&gt;0.1,AH124&lt;=0.2),8,IF(AH124&gt;0.2,10)))))))</f>
        <v>10</v>
      </c>
      <c r="C124" s="623">
        <f t="shared" ref="C124:C125" si="123">IF(AA124&lt;=0.005,10,IF(AND(AA124&gt;0.005,AA124&lt;=0.01, C167),9,IF(AND(AA124&gt;0.01,AA124&lt;=0.02),8,IF(AND(AA124&gt;0.02,AA124&lt;=0.05),7,IF(AND(AA124&gt;0.05,AA124&lt;=0.1),6,IF(AND(AA124&gt;0.1,AA124&lt;=0.2),5,IF(AND(AA124&gt;0.2,AA124&lt;=0.3),4,IF(AND(AA124&gt;0.3,AA124&lt;=0.4),3,IF(AND(AA124&gt;0.4,AA124&lt;=0.5),2,IF(AA124&gt;0.5,1))))))))))</f>
        <v>1</v>
      </c>
      <c r="D124" s="623">
        <f t="shared" si="3"/>
        <v>10</v>
      </c>
      <c r="E124" s="624">
        <f t="shared" si="99"/>
        <v>5.5</v>
      </c>
      <c r="F124" s="625" t="str">
        <f t="shared" si="5"/>
        <v xml:space="preserve">     -</v>
      </c>
      <c r="G124" s="626" t="str">
        <f t="shared" si="22"/>
        <v/>
      </c>
      <c r="H124" s="627" t="str">
        <f t="shared" si="45"/>
        <v/>
      </c>
      <c r="I124" s="628" t="e">
        <f t="shared" si="8"/>
        <v>#VALUE!</v>
      </c>
      <c r="J124" s="629" t="e">
        <f t="shared" si="9"/>
        <v>#VALUE!</v>
      </c>
      <c r="K124" s="630">
        <v>1200</v>
      </c>
      <c r="L124" s="631">
        <v>44930</v>
      </c>
      <c r="M124" s="638">
        <f t="shared" si="72"/>
        <v>44930</v>
      </c>
      <c r="N124" s="632" t="s">
        <v>1584</v>
      </c>
      <c r="O124" s="632" t="s">
        <v>677</v>
      </c>
      <c r="P124" s="632" t="s">
        <v>2204</v>
      </c>
      <c r="Q124" s="632">
        <v>960</v>
      </c>
      <c r="R124" s="632" t="s">
        <v>1585</v>
      </c>
      <c r="S124" s="632" t="s">
        <v>2260</v>
      </c>
      <c r="T124" s="633" t="s">
        <v>2261</v>
      </c>
      <c r="U124" s="634" t="s">
        <v>1741</v>
      </c>
      <c r="V124" s="635" t="s">
        <v>2262</v>
      </c>
      <c r="W124" s="633" t="s">
        <v>1922</v>
      </c>
      <c r="X124" s="634" t="s">
        <v>2263</v>
      </c>
      <c r="Y124" s="632" t="str">
        <f t="shared" si="10"/>
        <v/>
      </c>
      <c r="Z124" s="632" t="str">
        <f t="shared" si="11"/>
        <v/>
      </c>
      <c r="AA124" s="636" t="str">
        <f t="shared" si="12"/>
        <v/>
      </c>
      <c r="AB124" s="636" t="str">
        <f t="shared" si="13"/>
        <v/>
      </c>
      <c r="AC124" s="632">
        <f t="shared" si="14"/>
        <v>0</v>
      </c>
      <c r="AD124" s="632">
        <f t="shared" si="15"/>
        <v>40</v>
      </c>
      <c r="AE124" s="636">
        <f t="shared" si="16"/>
        <v>1</v>
      </c>
      <c r="AF124" s="632" t="str">
        <f t="shared" si="17"/>
        <v/>
      </c>
      <c r="AG124" s="632">
        <f t="shared" si="18"/>
        <v>20</v>
      </c>
      <c r="AH124" s="625" t="str">
        <f t="shared" si="19"/>
        <v/>
      </c>
    </row>
    <row r="125" spans="1:34">
      <c r="A125" s="623">
        <f t="shared" si="0"/>
        <v>1</v>
      </c>
      <c r="B125" s="624">
        <f t="shared" si="122"/>
        <v>10</v>
      </c>
      <c r="C125" s="623">
        <f t="shared" si="123"/>
        <v>1</v>
      </c>
      <c r="D125" s="623">
        <f t="shared" si="3"/>
        <v>1</v>
      </c>
      <c r="E125" s="624">
        <f t="shared" si="99"/>
        <v>3.3</v>
      </c>
      <c r="F125" s="625" t="str">
        <f t="shared" si="5"/>
        <v xml:space="preserve">     -</v>
      </c>
      <c r="G125" s="626" t="str">
        <f t="shared" si="22"/>
        <v/>
      </c>
      <c r="H125" s="627">
        <f t="shared" si="45"/>
        <v>-0.999</v>
      </c>
      <c r="I125" s="628" t="e">
        <f t="shared" si="8"/>
        <v>#VALUE!</v>
      </c>
      <c r="J125" s="629">
        <f t="shared" si="9"/>
        <v>9255625</v>
      </c>
      <c r="K125" s="630">
        <v>625</v>
      </c>
      <c r="L125" s="631">
        <v>44930</v>
      </c>
      <c r="M125" s="638">
        <f t="shared" si="72"/>
        <v>44930</v>
      </c>
      <c r="N125" s="632" t="s">
        <v>1574</v>
      </c>
      <c r="O125" s="632" t="s">
        <v>2264</v>
      </c>
      <c r="P125" s="632" t="s">
        <v>2204</v>
      </c>
      <c r="Q125" s="632">
        <v>830</v>
      </c>
      <c r="R125" s="632" t="s">
        <v>1577</v>
      </c>
      <c r="S125" s="632" t="s">
        <v>2265</v>
      </c>
      <c r="T125" s="633" t="s">
        <v>2266</v>
      </c>
      <c r="U125" s="634" t="s">
        <v>2165</v>
      </c>
      <c r="V125" s="635" t="s">
        <v>2267</v>
      </c>
      <c r="W125" s="633" t="s">
        <v>2268</v>
      </c>
      <c r="X125" s="634" t="s">
        <v>2214</v>
      </c>
      <c r="Y125" s="632">
        <f t="shared" si="10"/>
        <v>14824</v>
      </c>
      <c r="Z125" s="632">
        <f t="shared" si="11"/>
        <v>42248</v>
      </c>
      <c r="AA125" s="636">
        <f t="shared" si="12"/>
        <v>1.85</v>
      </c>
      <c r="AB125" s="636">
        <f t="shared" si="13"/>
        <v>-1</v>
      </c>
      <c r="AC125" s="632">
        <f t="shared" si="14"/>
        <v>0</v>
      </c>
      <c r="AD125" s="632" t="str">
        <f t="shared" si="15"/>
        <v/>
      </c>
      <c r="AE125" s="636" t="str">
        <f t="shared" si="16"/>
        <v/>
      </c>
      <c r="AF125" s="632">
        <f t="shared" si="17"/>
        <v>25781</v>
      </c>
      <c r="AG125" s="632">
        <f t="shared" si="18"/>
        <v>15</v>
      </c>
      <c r="AH125" s="625">
        <f t="shared" si="19"/>
        <v>1717.7329999999999</v>
      </c>
    </row>
    <row r="126" spans="1:34">
      <c r="A126" s="623">
        <f t="shared" si="0"/>
        <v>1</v>
      </c>
      <c r="B126" s="624">
        <f t="shared" ref="B126:B127" si="124">IF(AF126&lt;=AG126,1,IF(AH126&lt;=0.005,2,IF(AND(AH126&gt;0.005,AH126&lt;=0.02, L182),4,IF(AND(AH126&gt;0.02,AH126&lt;=0.05),5,IF(AND(AH126&gt;0.05,AH126&lt;=0.1),7,IF(AND(AH126&gt;0.1,AH126&lt;=0.2),8,IF(AH126&gt;0.2,10)))))))</f>
        <v>10</v>
      </c>
      <c r="C126" s="623">
        <f t="shared" ref="C126:C127" si="125">IF(AA126&lt;=0.005,10,IF(AND(AA126&gt;0.005,AA126&lt;=0.01, C167),9,IF(AND(AA126&gt;0.01,AA126&lt;=0.02),8,IF(AND(AA126&gt;0.02,AA126&lt;=0.05),7,IF(AND(AA126&gt;0.05,AA126&lt;=0.1),6,IF(AND(AA126&gt;0.1,AA126&lt;=0.2),5,IF(AND(AA126&gt;0.2,AA126&lt;=0.3),4,IF(AND(AA126&gt;0.3,AA126&lt;=0.4),3,IF(AND(AA126&gt;0.4,AA126&lt;=0.5),2,IF(AA126&gt;0.5,1))))))))))</f>
        <v>1</v>
      </c>
      <c r="D126" s="623">
        <f t="shared" si="3"/>
        <v>1</v>
      </c>
      <c r="E126" s="624">
        <f t="shared" si="99"/>
        <v>3.3</v>
      </c>
      <c r="F126" s="625" t="str">
        <f t="shared" si="5"/>
        <v xml:space="preserve">     -</v>
      </c>
      <c r="G126" s="626" t="str">
        <f t="shared" si="22"/>
        <v/>
      </c>
      <c r="H126" s="627" t="str">
        <f t="shared" si="45"/>
        <v/>
      </c>
      <c r="I126" s="628" t="e">
        <f t="shared" si="8"/>
        <v>#VALUE!</v>
      </c>
      <c r="J126" s="629" t="e">
        <f t="shared" si="9"/>
        <v>#VALUE!</v>
      </c>
      <c r="K126" s="630">
        <v>1250</v>
      </c>
      <c r="L126" s="631">
        <v>44931</v>
      </c>
      <c r="M126" s="638">
        <f t="shared" si="72"/>
        <v>44931</v>
      </c>
      <c r="N126" s="632" t="s">
        <v>1584</v>
      </c>
      <c r="O126" s="632" t="s">
        <v>704</v>
      </c>
      <c r="P126" s="632" t="s">
        <v>2204</v>
      </c>
      <c r="Q126" s="632">
        <v>580</v>
      </c>
      <c r="R126" s="632" t="s">
        <v>1585</v>
      </c>
      <c r="S126" s="632" t="s">
        <v>2269</v>
      </c>
      <c r="T126" s="633" t="s">
        <v>2270</v>
      </c>
      <c r="U126" s="634" t="s">
        <v>2271</v>
      </c>
      <c r="V126" s="635" t="s">
        <v>2272</v>
      </c>
      <c r="W126" s="633" t="s">
        <v>1922</v>
      </c>
      <c r="X126" s="634" t="s">
        <v>2273</v>
      </c>
      <c r="Y126" s="632" t="str">
        <f t="shared" si="10"/>
        <v/>
      </c>
      <c r="Z126" s="632">
        <f t="shared" si="11"/>
        <v>26</v>
      </c>
      <c r="AA126" s="636" t="str">
        <f t="shared" si="12"/>
        <v/>
      </c>
      <c r="AB126" s="636">
        <f t="shared" si="13"/>
        <v>-1</v>
      </c>
      <c r="AC126" s="632">
        <f t="shared" si="14"/>
        <v>0</v>
      </c>
      <c r="AD126" s="632">
        <f t="shared" si="15"/>
        <v>37</v>
      </c>
      <c r="AE126" s="636">
        <f t="shared" si="16"/>
        <v>1</v>
      </c>
      <c r="AF126" s="632" t="str">
        <f t="shared" si="17"/>
        <v/>
      </c>
      <c r="AG126" s="632">
        <f t="shared" si="18"/>
        <v>18</v>
      </c>
      <c r="AH126" s="625" t="str">
        <f t="shared" si="19"/>
        <v/>
      </c>
    </row>
    <row r="127" spans="1:34">
      <c r="A127" s="623">
        <f t="shared" si="0"/>
        <v>1</v>
      </c>
      <c r="B127" s="624">
        <f t="shared" si="124"/>
        <v>10</v>
      </c>
      <c r="C127" s="623">
        <f t="shared" si="125"/>
        <v>1</v>
      </c>
      <c r="D127" s="623">
        <f t="shared" si="3"/>
        <v>10</v>
      </c>
      <c r="E127" s="624">
        <f t="shared" si="99"/>
        <v>5.5</v>
      </c>
      <c r="F127" s="625" t="str">
        <f t="shared" si="5"/>
        <v xml:space="preserve">     -</v>
      </c>
      <c r="G127" s="626" t="str">
        <f t="shared" si="22"/>
        <v/>
      </c>
      <c r="H127" s="627" t="str">
        <f t="shared" si="45"/>
        <v/>
      </c>
      <c r="I127" s="628" t="e">
        <f t="shared" si="8"/>
        <v>#VALUE!</v>
      </c>
      <c r="J127" s="629" t="e">
        <f t="shared" si="9"/>
        <v>#VALUE!</v>
      </c>
      <c r="K127" s="630">
        <v>175</v>
      </c>
      <c r="L127" s="631">
        <v>44931</v>
      </c>
      <c r="M127" s="638">
        <f t="shared" si="72"/>
        <v>44931</v>
      </c>
      <c r="N127" s="632" t="s">
        <v>1574</v>
      </c>
      <c r="O127" s="632" t="s">
        <v>588</v>
      </c>
      <c r="P127" s="632" t="s">
        <v>2204</v>
      </c>
      <c r="Q127" s="632">
        <v>3320</v>
      </c>
      <c r="R127" s="632" t="s">
        <v>1585</v>
      </c>
      <c r="S127" s="632" t="s">
        <v>2274</v>
      </c>
      <c r="T127" s="633" t="s">
        <v>2275</v>
      </c>
      <c r="U127" s="634" t="s">
        <v>2276</v>
      </c>
      <c r="V127" s="635" t="s">
        <v>2277</v>
      </c>
      <c r="W127" s="633" t="s">
        <v>2278</v>
      </c>
      <c r="X127" s="634" t="s">
        <v>2279</v>
      </c>
      <c r="Y127" s="632" t="str">
        <f t="shared" si="10"/>
        <v/>
      </c>
      <c r="Z127" s="632" t="str">
        <f t="shared" si="11"/>
        <v/>
      </c>
      <c r="AA127" s="636" t="str">
        <f t="shared" si="12"/>
        <v/>
      </c>
      <c r="AB127" s="636" t="str">
        <f t="shared" si="13"/>
        <v/>
      </c>
      <c r="AC127" s="632">
        <f t="shared" si="14"/>
        <v>0</v>
      </c>
      <c r="AD127" s="632">
        <f t="shared" si="15"/>
        <v>93</v>
      </c>
      <c r="AE127" s="636">
        <f t="shared" si="16"/>
        <v>1</v>
      </c>
      <c r="AF127" s="632" t="str">
        <f t="shared" si="17"/>
        <v/>
      </c>
      <c r="AG127" s="632">
        <f t="shared" si="18"/>
        <v>57</v>
      </c>
      <c r="AH127" s="625" t="str">
        <f t="shared" si="19"/>
        <v/>
      </c>
    </row>
    <row r="128" spans="1:34">
      <c r="A128" s="623">
        <f t="shared" si="0"/>
        <v>1</v>
      </c>
      <c r="B128" s="624">
        <f t="shared" ref="B128:B129" si="126">IF(AF128&lt;=AG128,1,IF(AH128&lt;=0.005,2,IF(AND(AH128&gt;0.005,AH128&lt;=0.02, L182),4,IF(AND(AH128&gt;0.02,AH128&lt;=0.05),5,IF(AND(AH128&gt;0.05,AH128&lt;=0.1),7,IF(AND(AH128&gt;0.1,AH128&lt;=0.2),8,IF(AH128&gt;0.2,10)))))))</f>
        <v>10</v>
      </c>
      <c r="C128" s="623">
        <f t="shared" ref="C128:C129" si="127">IF(AA128&lt;=0.005,10,IF(AND(AA128&gt;0.005,AA128&lt;=0.01, C167),9,IF(AND(AA128&gt;0.01,AA128&lt;=0.02),8,IF(AND(AA128&gt;0.02,AA128&lt;=0.05),7,IF(AND(AA128&gt;0.05,AA128&lt;=0.1),6,IF(AND(AA128&gt;0.1,AA128&lt;=0.2),5,IF(AND(AA128&gt;0.2,AA128&lt;=0.3),4,IF(AND(AA128&gt;0.3,AA128&lt;=0.4),3,IF(AND(AA128&gt;0.4,AA128&lt;=0.5),2,IF(AA128&gt;0.5,1))))))))))</f>
        <v>1</v>
      </c>
      <c r="D128" s="623">
        <f t="shared" si="3"/>
        <v>10</v>
      </c>
      <c r="E128" s="624">
        <f t="shared" si="99"/>
        <v>5.5</v>
      </c>
      <c r="F128" s="625" t="str">
        <f t="shared" si="5"/>
        <v xml:space="preserve">     -</v>
      </c>
      <c r="G128" s="626" t="str">
        <f t="shared" si="22"/>
        <v/>
      </c>
      <c r="H128" s="627" t="str">
        <f t="shared" si="45"/>
        <v/>
      </c>
      <c r="I128" s="628" t="e">
        <f t="shared" si="8"/>
        <v>#VALUE!</v>
      </c>
      <c r="J128" s="629" t="e">
        <f t="shared" si="9"/>
        <v>#VALUE!</v>
      </c>
      <c r="K128" s="630">
        <v>1200</v>
      </c>
      <c r="L128" s="631">
        <v>44932</v>
      </c>
      <c r="M128" s="638">
        <f t="shared" si="72"/>
        <v>44932</v>
      </c>
      <c r="N128" s="632" t="s">
        <v>1584</v>
      </c>
      <c r="O128" s="632" t="s">
        <v>677</v>
      </c>
      <c r="P128" s="632" t="s">
        <v>2204</v>
      </c>
      <c r="Q128" s="632">
        <v>950</v>
      </c>
      <c r="R128" s="632" t="s">
        <v>1577</v>
      </c>
      <c r="S128" s="632" t="s">
        <v>2280</v>
      </c>
      <c r="T128" s="633" t="s">
        <v>2226</v>
      </c>
      <c r="U128" s="634" t="s">
        <v>2281</v>
      </c>
      <c r="V128" s="635" t="s">
        <v>2282</v>
      </c>
      <c r="W128" s="633" t="s">
        <v>2283</v>
      </c>
      <c r="X128" s="634" t="s">
        <v>2284</v>
      </c>
      <c r="Y128" s="632" t="str">
        <f t="shared" si="10"/>
        <v/>
      </c>
      <c r="Z128" s="632" t="str">
        <f t="shared" si="11"/>
        <v/>
      </c>
      <c r="AA128" s="636" t="str">
        <f t="shared" si="12"/>
        <v/>
      </c>
      <c r="AB128" s="636" t="str">
        <f t="shared" si="13"/>
        <v/>
      </c>
      <c r="AC128" s="632">
        <f t="shared" si="14"/>
        <v>0</v>
      </c>
      <c r="AD128" s="632">
        <f t="shared" si="15"/>
        <v>28</v>
      </c>
      <c r="AE128" s="636">
        <f t="shared" si="16"/>
        <v>1</v>
      </c>
      <c r="AF128" s="632" t="str">
        <f t="shared" si="17"/>
        <v/>
      </c>
      <c r="AG128" s="632">
        <f t="shared" si="18"/>
        <v>14</v>
      </c>
      <c r="AH128" s="625" t="str">
        <f t="shared" si="19"/>
        <v/>
      </c>
    </row>
    <row r="129" spans="1:34">
      <c r="A129" s="623">
        <f t="shared" si="0"/>
        <v>1</v>
      </c>
      <c r="B129" s="624">
        <f t="shared" si="126"/>
        <v>10</v>
      </c>
      <c r="C129" s="623">
        <f t="shared" si="127"/>
        <v>1</v>
      </c>
      <c r="D129" s="623">
        <f t="shared" si="3"/>
        <v>1</v>
      </c>
      <c r="E129" s="624">
        <f t="shared" si="99"/>
        <v>3.3</v>
      </c>
      <c r="F129" s="625" t="str">
        <f t="shared" si="5"/>
        <v xml:space="preserve">     -</v>
      </c>
      <c r="G129" s="626" t="str">
        <f t="shared" si="22"/>
        <v/>
      </c>
      <c r="H129" s="627" t="str">
        <f t="shared" si="45"/>
        <v/>
      </c>
      <c r="I129" s="628" t="e">
        <f t="shared" si="8"/>
        <v>#VALUE!</v>
      </c>
      <c r="J129" s="629" t="e">
        <f t="shared" si="9"/>
        <v>#VALUE!</v>
      </c>
      <c r="K129" s="630">
        <v>1000</v>
      </c>
      <c r="L129" s="631">
        <v>44932</v>
      </c>
      <c r="M129" s="638">
        <f t="shared" si="72"/>
        <v>44932</v>
      </c>
      <c r="N129" s="632" t="s">
        <v>1574</v>
      </c>
      <c r="O129" s="632" t="s">
        <v>2285</v>
      </c>
      <c r="P129" s="632" t="s">
        <v>2204</v>
      </c>
      <c r="Q129" s="632">
        <v>430</v>
      </c>
      <c r="R129" s="632" t="s">
        <v>1577</v>
      </c>
      <c r="S129" s="632" t="s">
        <v>2286</v>
      </c>
      <c r="T129" s="633" t="s">
        <v>2287</v>
      </c>
      <c r="U129" s="634" t="s">
        <v>1907</v>
      </c>
      <c r="V129" s="635" t="s">
        <v>2166</v>
      </c>
      <c r="W129" s="633" t="s">
        <v>1789</v>
      </c>
      <c r="X129" s="634" t="s">
        <v>2288</v>
      </c>
      <c r="Y129" s="632" t="str">
        <f t="shared" si="10"/>
        <v/>
      </c>
      <c r="Z129" s="632">
        <f t="shared" si="11"/>
        <v>17</v>
      </c>
      <c r="AA129" s="636" t="str">
        <f t="shared" si="12"/>
        <v/>
      </c>
      <c r="AB129" s="636">
        <f t="shared" si="13"/>
        <v>-1</v>
      </c>
      <c r="AC129" s="632">
        <f t="shared" si="14"/>
        <v>0</v>
      </c>
      <c r="AD129" s="632" t="str">
        <f t="shared" si="15"/>
        <v/>
      </c>
      <c r="AE129" s="636" t="str">
        <f t="shared" si="16"/>
        <v/>
      </c>
      <c r="AF129" s="632" t="str">
        <f t="shared" si="17"/>
        <v/>
      </c>
      <c r="AG129" s="632">
        <f t="shared" si="18"/>
        <v>13</v>
      </c>
      <c r="AH129" s="625" t="str">
        <f t="shared" si="19"/>
        <v/>
      </c>
    </row>
    <row r="130" spans="1:34">
      <c r="A130" s="623">
        <f t="shared" si="0"/>
        <v>10</v>
      </c>
      <c r="B130" s="624">
        <f>IF(AF130&lt;=AG130,1,IF(AH130&lt;=0.005,2,IF(AND(AH130&gt;0.005,AH130&lt;=0.02, L183),4,IF(AND(AH130&gt;0.02,AH130&lt;=0.05),5,IF(AND(AH130&gt;0.05,AH130&lt;=0.1),7,IF(AND(AH130&gt;0.1,AH130&lt;=0.2),8,IF(AH130&gt;0.2,10)))))))</f>
        <v>10</v>
      </c>
      <c r="C130" s="623">
        <f>IF(AA130&lt;=0.005,10,IF(AND(AA130&gt;0.005,AA130&lt;=0.01, C168),9,IF(AND(AA130&gt;0.01,AA130&lt;=0.02),8,IF(AND(AA130&gt;0.02,AA130&lt;=0.05),7,IF(AND(AA130&gt;0.05,AA130&lt;=0.1),6,IF(AND(AA130&gt;0.1,AA130&lt;=0.2),5,IF(AND(AA130&gt;0.2,AA130&lt;=0.3),4,IF(AND(AA130&gt;0.3,AA130&lt;=0.4),3,IF(AND(AA130&gt;0.4,AA130&lt;=0.5),2,IF(AA130&gt;0.5,1))))))))))</f>
        <v>1</v>
      </c>
      <c r="D130" s="623">
        <f t="shared" si="3"/>
        <v>1</v>
      </c>
      <c r="E130" s="624">
        <f t="shared" si="99"/>
        <v>5.5</v>
      </c>
      <c r="F130" s="625" t="str">
        <f t="shared" si="5"/>
        <v xml:space="preserve">     -</v>
      </c>
      <c r="G130" s="626">
        <f t="shared" si="22"/>
        <v>0.1547</v>
      </c>
      <c r="H130" s="627">
        <f t="shared" si="45"/>
        <v>-0.53700000000000003</v>
      </c>
      <c r="I130" s="628">
        <f t="shared" si="8"/>
        <v>16573500</v>
      </c>
      <c r="J130" s="629">
        <f t="shared" si="9"/>
        <v>57528000</v>
      </c>
      <c r="K130" s="630">
        <v>4500</v>
      </c>
      <c r="L130" s="631">
        <v>44935</v>
      </c>
      <c r="M130" s="638">
        <f t="shared" si="72"/>
        <v>44935</v>
      </c>
      <c r="N130" s="632" t="s">
        <v>1882</v>
      </c>
      <c r="O130" s="632" t="s">
        <v>553</v>
      </c>
      <c r="P130" s="632" t="s">
        <v>2204</v>
      </c>
      <c r="Q130" s="632">
        <v>122.5</v>
      </c>
      <c r="R130" s="632" t="s">
        <v>1585</v>
      </c>
      <c r="S130" s="632" t="s">
        <v>2289</v>
      </c>
      <c r="T130" s="633" t="s">
        <v>2290</v>
      </c>
      <c r="U130" s="634" t="s">
        <v>1724</v>
      </c>
      <c r="V130" s="635" t="s">
        <v>2291</v>
      </c>
      <c r="W130" s="633" t="s">
        <v>2292</v>
      </c>
      <c r="X130" s="634" t="s">
        <v>1727</v>
      </c>
      <c r="Y130" s="632">
        <f t="shared" si="10"/>
        <v>23802</v>
      </c>
      <c r="Z130" s="632">
        <f t="shared" si="11"/>
        <v>45203</v>
      </c>
      <c r="AA130" s="636">
        <f t="shared" si="12"/>
        <v>0.89900000000000002</v>
      </c>
      <c r="AB130" s="636">
        <f t="shared" si="13"/>
        <v>-0.311</v>
      </c>
      <c r="AC130" s="632">
        <f t="shared" si="14"/>
        <v>31138</v>
      </c>
      <c r="AD130" s="632">
        <f t="shared" si="15"/>
        <v>27485</v>
      </c>
      <c r="AE130" s="636" t="str">
        <f t="shared" si="16"/>
        <v>Tgt Hit</v>
      </c>
      <c r="AF130" s="632">
        <f t="shared" si="17"/>
        <v>25628</v>
      </c>
      <c r="AG130" s="632">
        <f t="shared" si="18"/>
        <v>11018</v>
      </c>
      <c r="AH130" s="625">
        <f t="shared" si="19"/>
        <v>1.3260000000000001</v>
      </c>
    </row>
    <row r="131" spans="1:34">
      <c r="A131" s="623">
        <f t="shared" si="0"/>
        <v>1</v>
      </c>
      <c r="B131" s="624">
        <f>IF(AF131&lt;=AG131,1,IF(AH131&lt;=0.005,2,IF(AND(AH131&gt;0.005,AH131&lt;=0.02, L183),4,IF(AND(AH131&gt;0.02,AH131&lt;=0.05),5,IF(AND(AH131&gt;0.05,AH131&lt;=0.1),7,IF(AND(AH131&gt;0.1,AH131&lt;=0.2),8,IF(AH131&gt;0.2,10)))))))</f>
        <v>10</v>
      </c>
      <c r="C131" s="623">
        <f>IF(AA131&lt;=0.005,10,IF(AND(AA131&gt;0.005,AA131&lt;=0.01, C168),9,IF(AND(AA131&gt;0.01,AA131&lt;=0.02),8,IF(AND(AA131&gt;0.02,AA131&lt;=0.05),7,IF(AND(AA131&gt;0.05,AA131&lt;=0.1),6,IF(AND(AA131&gt;0.1,AA131&lt;=0.2),5,IF(AND(AA131&gt;0.2,AA131&lt;=0.3),4,IF(AND(AA131&gt;0.3,AA131&lt;=0.4),3,IF(AND(AA131&gt;0.4,AA131&lt;=0.5),2,IF(AA131&gt;0.5,1))))))))))</f>
        <v>1</v>
      </c>
      <c r="D131" s="623">
        <f t="shared" si="3"/>
        <v>10</v>
      </c>
      <c r="E131" s="624">
        <f t="shared" si="99"/>
        <v>5.5</v>
      </c>
      <c r="F131" s="625" t="str">
        <f t="shared" si="5"/>
        <v xml:space="preserve">     -</v>
      </c>
      <c r="G131" s="626">
        <f t="shared" si="22"/>
        <v>0.64710000000000001</v>
      </c>
      <c r="H131" s="627">
        <f t="shared" si="45"/>
        <v>-0.29399999999999998</v>
      </c>
      <c r="I131" s="628">
        <f t="shared" si="8"/>
        <v>9350</v>
      </c>
      <c r="J131" s="629">
        <f t="shared" si="9"/>
        <v>4250</v>
      </c>
      <c r="K131" s="630">
        <v>850</v>
      </c>
      <c r="L131" s="631">
        <v>44935</v>
      </c>
      <c r="M131" s="638">
        <f t="shared" si="72"/>
        <v>44935</v>
      </c>
      <c r="N131" s="632" t="s">
        <v>1584</v>
      </c>
      <c r="O131" s="632" t="s">
        <v>1828</v>
      </c>
      <c r="P131" s="632" t="s">
        <v>2204</v>
      </c>
      <c r="Q131" s="632">
        <v>740</v>
      </c>
      <c r="R131" s="632" t="s">
        <v>1585</v>
      </c>
      <c r="S131" s="632" t="s">
        <v>2293</v>
      </c>
      <c r="T131" s="633" t="s">
        <v>2226</v>
      </c>
      <c r="U131" s="634" t="s">
        <v>2294</v>
      </c>
      <c r="V131" s="635" t="s">
        <v>2295</v>
      </c>
      <c r="W131" s="633" t="s">
        <v>2296</v>
      </c>
      <c r="X131" s="634" t="s">
        <v>2297</v>
      </c>
      <c r="Y131" s="632">
        <f t="shared" si="10"/>
        <v>17</v>
      </c>
      <c r="Z131" s="632" t="str">
        <f t="shared" si="11"/>
        <v/>
      </c>
      <c r="AA131" s="636" t="str">
        <f t="shared" si="12"/>
        <v/>
      </c>
      <c r="AB131" s="636" t="str">
        <f t="shared" si="13"/>
        <v/>
      </c>
      <c r="AC131" s="632">
        <f t="shared" si="14"/>
        <v>0</v>
      </c>
      <c r="AD131" s="632">
        <f t="shared" si="15"/>
        <v>28</v>
      </c>
      <c r="AE131" s="636">
        <f t="shared" si="16"/>
        <v>1</v>
      </c>
      <c r="AF131" s="632" t="str">
        <f t="shared" si="17"/>
        <v/>
      </c>
      <c r="AG131" s="632">
        <f t="shared" si="18"/>
        <v>12</v>
      </c>
      <c r="AH131" s="625" t="str">
        <f t="shared" si="19"/>
        <v/>
      </c>
    </row>
    <row r="132" spans="1:34">
      <c r="A132" s="623">
        <f t="shared" si="0"/>
        <v>7</v>
      </c>
      <c r="B132" s="624">
        <f t="shared" ref="B132:B133" si="128">IF(AF132&lt;=AG132,1,IF(AH132&lt;=0.005,2,IF(AND(AH132&gt;0.005,AH132&lt;=0.02, L182),4,IF(AND(AH132&gt;0.02,AH132&lt;=0.05),5,IF(AND(AH132&gt;0.05,AH132&lt;=0.1),7,IF(AND(AH132&gt;0.1,AH132&lt;=0.2),8,IF(AH132&gt;0.2,10)))))))</f>
        <v>10</v>
      </c>
      <c r="C132" s="623">
        <f t="shared" ref="C132:C133" si="129">IF(AA132&lt;=0.005,10,IF(AND(AA132&gt;0.005,AA132&lt;=0.01, C167),9,IF(AND(AA132&gt;0.01,AA132&lt;=0.02),8,IF(AND(AA132&gt;0.02,AA132&lt;=0.05),7,IF(AND(AA132&gt;0.05,AA132&lt;=0.1),6,IF(AND(AA132&gt;0.1,AA132&lt;=0.2),5,IF(AND(AA132&gt;0.2,AA132&lt;=0.3),4,IF(AND(AA132&gt;0.3,AA132&lt;=0.4),3,IF(AND(AA132&gt;0.4,AA132&lt;=0.5),2,IF(AA132&gt;0.5,1))))))))))</f>
        <v>1</v>
      </c>
      <c r="D132" s="623">
        <f t="shared" si="3"/>
        <v>1</v>
      </c>
      <c r="E132" s="624">
        <f t="shared" si="99"/>
        <v>4.8</v>
      </c>
      <c r="F132" s="625" t="str">
        <f t="shared" si="5"/>
        <v xml:space="preserve">     -</v>
      </c>
      <c r="G132" s="626" t="str">
        <f t="shared" si="22"/>
        <v/>
      </c>
      <c r="H132" s="627" t="str">
        <f t="shared" si="45"/>
        <v/>
      </c>
      <c r="I132" s="628" t="e">
        <f t="shared" si="8"/>
        <v>#VALUE!</v>
      </c>
      <c r="J132" s="629" t="e">
        <f t="shared" si="9"/>
        <v>#VALUE!</v>
      </c>
      <c r="K132" s="630">
        <v>1400</v>
      </c>
      <c r="L132" s="631">
        <v>44936</v>
      </c>
      <c r="M132" s="638">
        <f t="shared" si="72"/>
        <v>44936</v>
      </c>
      <c r="N132" s="632" t="s">
        <v>1584</v>
      </c>
      <c r="O132" s="632" t="s">
        <v>481</v>
      </c>
      <c r="P132" s="632" t="s">
        <v>2204</v>
      </c>
      <c r="Q132" s="632">
        <v>470</v>
      </c>
      <c r="R132" s="632" t="s">
        <v>1585</v>
      </c>
      <c r="S132" s="632" t="s">
        <v>2298</v>
      </c>
      <c r="T132" s="633" t="s">
        <v>2299</v>
      </c>
      <c r="U132" s="634" t="s">
        <v>1645</v>
      </c>
      <c r="V132" s="635" t="s">
        <v>2300</v>
      </c>
      <c r="W132" s="633" t="s">
        <v>2301</v>
      </c>
      <c r="X132" s="634" t="s">
        <v>2302</v>
      </c>
      <c r="Y132" s="632" t="str">
        <f t="shared" si="10"/>
        <v/>
      </c>
      <c r="Z132" s="632">
        <f t="shared" si="11"/>
        <v>22</v>
      </c>
      <c r="AA132" s="636" t="str">
        <f t="shared" si="12"/>
        <v/>
      </c>
      <c r="AB132" s="636">
        <f t="shared" si="13"/>
        <v>0</v>
      </c>
      <c r="AC132" s="632">
        <f t="shared" si="14"/>
        <v>22</v>
      </c>
      <c r="AD132" s="632">
        <f t="shared" si="15"/>
        <v>25</v>
      </c>
      <c r="AE132" s="636">
        <f t="shared" si="16"/>
        <v>0.12</v>
      </c>
      <c r="AF132" s="632" t="str">
        <f t="shared" si="17"/>
        <v/>
      </c>
      <c r="AG132" s="632">
        <f t="shared" si="18"/>
        <v>10</v>
      </c>
      <c r="AH132" s="625" t="str">
        <f t="shared" si="19"/>
        <v/>
      </c>
    </row>
    <row r="133" spans="1:34">
      <c r="A133" s="623">
        <f t="shared" si="0"/>
        <v>10</v>
      </c>
      <c r="B133" s="624">
        <f t="shared" si="128"/>
        <v>10</v>
      </c>
      <c r="C133" s="623">
        <f t="shared" si="129"/>
        <v>10</v>
      </c>
      <c r="D133" s="623">
        <f t="shared" si="3"/>
        <v>10</v>
      </c>
      <c r="E133" s="624">
        <f t="shared" si="99"/>
        <v>10</v>
      </c>
      <c r="F133" s="625" t="str">
        <f t="shared" si="5"/>
        <v xml:space="preserve">     -</v>
      </c>
      <c r="G133" s="626">
        <f t="shared" si="22"/>
        <v>0.1547</v>
      </c>
      <c r="H133" s="627">
        <f t="shared" si="45"/>
        <v>-0.53700000000000003</v>
      </c>
      <c r="I133" s="628">
        <f t="shared" si="8"/>
        <v>17678400</v>
      </c>
      <c r="J133" s="629">
        <f t="shared" si="9"/>
        <v>61363200</v>
      </c>
      <c r="K133" s="630">
        <v>4800</v>
      </c>
      <c r="L133" s="631">
        <v>44936</v>
      </c>
      <c r="M133" s="638">
        <f t="shared" si="72"/>
        <v>44936</v>
      </c>
      <c r="N133" s="632" t="s">
        <v>1882</v>
      </c>
      <c r="O133" s="632" t="s">
        <v>1816</v>
      </c>
      <c r="P133" s="632" t="s">
        <v>2204</v>
      </c>
      <c r="Q133" s="632">
        <v>120</v>
      </c>
      <c r="R133" s="632" t="s">
        <v>1585</v>
      </c>
      <c r="S133" s="632" t="s">
        <v>2289</v>
      </c>
      <c r="T133" s="633" t="s">
        <v>2290</v>
      </c>
      <c r="U133" s="634" t="s">
        <v>1724</v>
      </c>
      <c r="V133" s="635" t="s">
        <v>2303</v>
      </c>
      <c r="W133" s="633" t="s">
        <v>2140</v>
      </c>
      <c r="X133" s="634" t="s">
        <v>1727</v>
      </c>
      <c r="Y133" s="632">
        <f t="shared" si="10"/>
        <v>23802</v>
      </c>
      <c r="Z133" s="632">
        <f t="shared" si="11"/>
        <v>4</v>
      </c>
      <c r="AA133" s="636">
        <f t="shared" si="12"/>
        <v>-1</v>
      </c>
      <c r="AB133" s="636">
        <f t="shared" si="13"/>
        <v>7349.75</v>
      </c>
      <c r="AC133" s="632">
        <f t="shared" si="14"/>
        <v>29403</v>
      </c>
      <c r="AD133" s="632">
        <f t="shared" si="15"/>
        <v>27485</v>
      </c>
      <c r="AE133" s="636" t="str">
        <f t="shared" si="16"/>
        <v>Tgt Hit</v>
      </c>
      <c r="AF133" s="632">
        <f t="shared" si="17"/>
        <v>25628</v>
      </c>
      <c r="AG133" s="632">
        <f t="shared" si="18"/>
        <v>11018</v>
      </c>
      <c r="AH133" s="625">
        <f t="shared" si="19"/>
        <v>1.3260000000000001</v>
      </c>
    </row>
    <row r="134" spans="1:34">
      <c r="A134" s="623">
        <f t="shared" si="0"/>
        <v>10</v>
      </c>
      <c r="B134" s="624">
        <f t="shared" ref="B134:B135" si="130">IF(AF134&lt;=AG134,1,IF(AH134&lt;=0.005,2,IF(AND(AH134&gt;0.005,AH134&lt;=0.02, L182),4,IF(AND(AH134&gt;0.02,AH134&lt;=0.05),5,IF(AND(AH134&gt;0.05,AH134&lt;=0.1),7,IF(AND(AH134&gt;0.1,AH134&lt;=0.2),8,IF(AH134&gt;0.2,10)))))))</f>
        <v>1</v>
      </c>
      <c r="C134" s="623">
        <f t="shared" ref="C134:C135" si="131">IF(AA134&lt;=0.005,10,IF(AND(AA134&gt;0.005,AA134&lt;=0.01, C167),9,IF(AND(AA134&gt;0.01,AA134&lt;=0.02),8,IF(AND(AA134&gt;0.02,AA134&lt;=0.05),7,IF(AND(AA134&gt;0.05,AA134&lt;=0.1),6,IF(AND(AA134&gt;0.1,AA134&lt;=0.2),5,IF(AND(AA134&gt;0.2,AA134&lt;=0.3),4,IF(AND(AA134&gt;0.3,AA134&lt;=0.4),3,IF(AND(AA134&gt;0.4,AA134&lt;=0.5),2,IF(AA134&gt;0.5,1))))))))))</f>
        <v>10</v>
      </c>
      <c r="D134" s="623">
        <f t="shared" si="3"/>
        <v>10</v>
      </c>
      <c r="E134" s="624">
        <f t="shared" si="99"/>
        <v>7.8</v>
      </c>
      <c r="F134" s="625">
        <f t="shared" si="5"/>
        <v>0.99967309578293562</v>
      </c>
      <c r="G134" s="626">
        <f t="shared" si="22"/>
        <v>-0.99970000000000003</v>
      </c>
      <c r="H134" s="627">
        <f t="shared" si="45"/>
        <v>-0.56499999999999995</v>
      </c>
      <c r="I134" s="628">
        <f t="shared" si="8"/>
        <v>-210870000</v>
      </c>
      <c r="J134" s="629">
        <f t="shared" si="9"/>
        <v>119160000</v>
      </c>
      <c r="K134" s="630">
        <v>5000</v>
      </c>
      <c r="L134" s="631">
        <v>44937</v>
      </c>
      <c r="M134" s="638">
        <f t="shared" si="72"/>
        <v>44937</v>
      </c>
      <c r="N134" s="632" t="s">
        <v>1882</v>
      </c>
      <c r="O134" s="632" t="s">
        <v>2304</v>
      </c>
      <c r="P134" s="632" t="s">
        <v>2204</v>
      </c>
      <c r="Q134" s="632">
        <v>180</v>
      </c>
      <c r="R134" s="632" t="s">
        <v>1585</v>
      </c>
      <c r="S134" s="632" t="s">
        <v>2305</v>
      </c>
      <c r="T134" s="633" t="s">
        <v>1625</v>
      </c>
      <c r="U134" s="634" t="s">
        <v>1730</v>
      </c>
      <c r="V134" s="635" t="s">
        <v>2191</v>
      </c>
      <c r="W134" s="633" t="s">
        <v>2021</v>
      </c>
      <c r="X134" s="634" t="s">
        <v>2306</v>
      </c>
      <c r="Y134" s="632">
        <f t="shared" si="10"/>
        <v>42186</v>
      </c>
      <c r="Z134" s="632">
        <f t="shared" si="11"/>
        <v>7</v>
      </c>
      <c r="AA134" s="636">
        <f t="shared" si="12"/>
        <v>-1</v>
      </c>
      <c r="AB134" s="636">
        <f t="shared" si="13"/>
        <v>6435.2860000000001</v>
      </c>
      <c r="AC134" s="632">
        <f t="shared" si="14"/>
        <v>45054</v>
      </c>
      <c r="AD134" s="632">
        <f t="shared" si="15"/>
        <v>12</v>
      </c>
      <c r="AE134" s="636" t="str">
        <f t="shared" si="16"/>
        <v>Tgt Hit</v>
      </c>
      <c r="AF134" s="632">
        <f t="shared" si="17"/>
        <v>6</v>
      </c>
      <c r="AG134" s="632">
        <f t="shared" si="18"/>
        <v>18354</v>
      </c>
      <c r="AH134" s="625" t="str">
        <f t="shared" si="19"/>
        <v>SL Hit</v>
      </c>
    </row>
    <row r="135" spans="1:34">
      <c r="A135" s="623">
        <f t="shared" si="0"/>
        <v>1</v>
      </c>
      <c r="B135" s="624">
        <f t="shared" si="130"/>
        <v>10</v>
      </c>
      <c r="C135" s="623">
        <f t="shared" si="131"/>
        <v>1</v>
      </c>
      <c r="D135" s="623">
        <f t="shared" si="3"/>
        <v>10</v>
      </c>
      <c r="E135" s="624">
        <f t="shared" si="99"/>
        <v>5.5</v>
      </c>
      <c r="F135" s="625" t="str">
        <f t="shared" si="5"/>
        <v xml:space="preserve">     -</v>
      </c>
      <c r="G135" s="626" t="str">
        <f t="shared" si="22"/>
        <v/>
      </c>
      <c r="H135" s="627" t="str">
        <f t="shared" si="45"/>
        <v/>
      </c>
      <c r="I135" s="628" t="e">
        <f t="shared" si="8"/>
        <v>#VALUE!</v>
      </c>
      <c r="J135" s="629" t="e">
        <f t="shared" si="9"/>
        <v>#VALUE!</v>
      </c>
      <c r="K135" s="630">
        <v>1250</v>
      </c>
      <c r="L135" s="631">
        <v>44937</v>
      </c>
      <c r="M135" s="638">
        <f t="shared" si="72"/>
        <v>44937</v>
      </c>
      <c r="N135" s="632" t="s">
        <v>1584</v>
      </c>
      <c r="O135" s="632" t="s">
        <v>704</v>
      </c>
      <c r="P135" s="632" t="s">
        <v>2204</v>
      </c>
      <c r="Q135" s="632">
        <v>600</v>
      </c>
      <c r="R135" s="632" t="s">
        <v>1585</v>
      </c>
      <c r="S135" s="632" t="s">
        <v>2307</v>
      </c>
      <c r="T135" s="633" t="s">
        <v>2257</v>
      </c>
      <c r="U135" s="634" t="s">
        <v>2294</v>
      </c>
      <c r="V135" s="635" t="s">
        <v>2308</v>
      </c>
      <c r="W135" s="633" t="s">
        <v>2309</v>
      </c>
      <c r="X135" s="634" t="s">
        <v>2310</v>
      </c>
      <c r="Y135" s="632" t="str">
        <f t="shared" si="10"/>
        <v/>
      </c>
      <c r="Z135" s="632" t="str">
        <f t="shared" si="11"/>
        <v/>
      </c>
      <c r="AA135" s="636" t="str">
        <f t="shared" si="12"/>
        <v/>
      </c>
      <c r="AB135" s="636" t="str">
        <f t="shared" si="13"/>
        <v/>
      </c>
      <c r="AC135" s="632">
        <f t="shared" si="14"/>
        <v>0</v>
      </c>
      <c r="AD135" s="632">
        <f t="shared" si="15"/>
        <v>26</v>
      </c>
      <c r="AE135" s="636">
        <f t="shared" si="16"/>
        <v>1</v>
      </c>
      <c r="AF135" s="632">
        <f t="shared" si="17"/>
        <v>18</v>
      </c>
      <c r="AG135" s="632">
        <f t="shared" si="18"/>
        <v>12</v>
      </c>
      <c r="AH135" s="625">
        <f t="shared" si="19"/>
        <v>0.5</v>
      </c>
    </row>
    <row r="136" spans="1:34">
      <c r="A136" s="623">
        <f t="shared" si="0"/>
        <v>4</v>
      </c>
      <c r="B136" s="624">
        <f t="shared" ref="B136:B137" si="132">IF(AF136&lt;=AG136,1,IF(AH136&lt;=0.005,2,IF(AND(AH136&gt;0.005,AH136&lt;=0.02, L182),4,IF(AND(AH136&gt;0.02,AH136&lt;=0.05),5,IF(AND(AH136&gt;0.05,AH136&lt;=0.1),7,IF(AND(AH136&gt;0.1,AH136&lt;=0.2),8,IF(AH136&gt;0.2,10)))))))</f>
        <v>1</v>
      </c>
      <c r="C136" s="623">
        <f t="shared" ref="C136:C137" si="133">IF(AA136&lt;=0.005,10,IF(AND(AA136&gt;0.005,AA136&lt;=0.01, C167),9,IF(AND(AA136&gt;0.01,AA136&lt;=0.02),8,IF(AND(AA136&gt;0.02,AA136&lt;=0.05),7,IF(AND(AA136&gt;0.05,AA136&lt;=0.1),6,IF(AND(AA136&gt;0.1,AA136&lt;=0.2),5,IF(AND(AA136&gt;0.2,AA136&lt;=0.3),4,IF(AND(AA136&gt;0.3,AA136&lt;=0.4),3,IF(AND(AA136&gt;0.4,AA136&lt;=0.5),2,IF(AA136&gt;0.5,1))))))))))</f>
        <v>3</v>
      </c>
      <c r="D136" s="623">
        <f t="shared" si="3"/>
        <v>10</v>
      </c>
      <c r="E136" s="624">
        <f t="shared" si="99"/>
        <v>4.5</v>
      </c>
      <c r="F136" s="625">
        <f t="shared" si="5"/>
        <v>0.9997277182791795</v>
      </c>
      <c r="G136" s="626">
        <f t="shared" si="22"/>
        <v>2.9807000000000001</v>
      </c>
      <c r="H136" s="627">
        <f t="shared" si="45"/>
        <v>-3.0000000000000001E-3</v>
      </c>
      <c r="I136" s="628">
        <f t="shared" si="8"/>
        <v>148203000</v>
      </c>
      <c r="J136" s="629">
        <f t="shared" si="9"/>
        <v>139500</v>
      </c>
      <c r="K136" s="630">
        <v>4500</v>
      </c>
      <c r="L136" s="631">
        <v>44938</v>
      </c>
      <c r="M136" s="638">
        <f t="shared" si="72"/>
        <v>44938</v>
      </c>
      <c r="N136" s="632" t="s">
        <v>1882</v>
      </c>
      <c r="O136" s="632" t="s">
        <v>553</v>
      </c>
      <c r="P136" s="632" t="s">
        <v>2204</v>
      </c>
      <c r="Q136" s="632">
        <v>127.5</v>
      </c>
      <c r="R136" s="632" t="s">
        <v>1585</v>
      </c>
      <c r="S136" s="632" t="s">
        <v>2009</v>
      </c>
      <c r="T136" s="633" t="s">
        <v>2311</v>
      </c>
      <c r="U136" s="634" t="s">
        <v>1724</v>
      </c>
      <c r="V136" s="635" t="s">
        <v>2201</v>
      </c>
      <c r="W136" s="633" t="s">
        <v>2292</v>
      </c>
      <c r="X136" s="634" t="s">
        <v>2312</v>
      </c>
      <c r="Y136" s="632">
        <f t="shared" si="10"/>
        <v>11049</v>
      </c>
      <c r="Z136" s="632">
        <f t="shared" si="11"/>
        <v>14702</v>
      </c>
      <c r="AA136" s="636">
        <f t="shared" si="12"/>
        <v>0.33100000000000002</v>
      </c>
      <c r="AB136" s="636">
        <f t="shared" si="13"/>
        <v>1.1180000000000001</v>
      </c>
      <c r="AC136" s="632">
        <f t="shared" si="14"/>
        <v>31138</v>
      </c>
      <c r="AD136" s="632">
        <f t="shared" si="15"/>
        <v>43983</v>
      </c>
      <c r="AE136" s="636">
        <f t="shared" si="16"/>
        <v>0.29199999999999998</v>
      </c>
      <c r="AF136" s="632">
        <f t="shared" si="17"/>
        <v>3</v>
      </c>
      <c r="AG136" s="632">
        <f t="shared" si="18"/>
        <v>11018</v>
      </c>
      <c r="AH136" s="625" t="str">
        <f t="shared" si="19"/>
        <v>SL Hit</v>
      </c>
    </row>
    <row r="137" spans="1:34">
      <c r="A137" s="623">
        <f t="shared" si="0"/>
        <v>4</v>
      </c>
      <c r="B137" s="624">
        <f t="shared" si="132"/>
        <v>7</v>
      </c>
      <c r="C137" s="623">
        <f t="shared" si="133"/>
        <v>1</v>
      </c>
      <c r="D137" s="623">
        <f t="shared" si="3"/>
        <v>10</v>
      </c>
      <c r="E137" s="624">
        <f t="shared" si="99"/>
        <v>5.5</v>
      </c>
      <c r="F137" s="625" t="str">
        <f t="shared" si="5"/>
        <v xml:space="preserve">     -</v>
      </c>
      <c r="G137" s="626">
        <f t="shared" si="22"/>
        <v>0.5</v>
      </c>
      <c r="H137" s="627">
        <f t="shared" si="45"/>
        <v>-0.25</v>
      </c>
      <c r="I137" s="628">
        <f t="shared" si="8"/>
        <v>12500</v>
      </c>
      <c r="J137" s="629">
        <f t="shared" si="9"/>
        <v>6250</v>
      </c>
      <c r="K137" s="630">
        <v>1250</v>
      </c>
      <c r="L137" s="631">
        <v>44938</v>
      </c>
      <c r="M137" s="638">
        <f t="shared" si="72"/>
        <v>44938</v>
      </c>
      <c r="N137" s="632" t="s">
        <v>1584</v>
      </c>
      <c r="O137" s="632" t="s">
        <v>704</v>
      </c>
      <c r="P137" s="632" t="s">
        <v>2204</v>
      </c>
      <c r="Q137" s="632">
        <v>600</v>
      </c>
      <c r="R137" s="632" t="s">
        <v>1585</v>
      </c>
      <c r="S137" s="632" t="s">
        <v>2313</v>
      </c>
      <c r="T137" s="633" t="s">
        <v>1740</v>
      </c>
      <c r="U137" s="634" t="s">
        <v>2165</v>
      </c>
      <c r="V137" s="635" t="s">
        <v>2314</v>
      </c>
      <c r="W137" s="633" t="s">
        <v>2301</v>
      </c>
      <c r="X137" s="634" t="s">
        <v>2315</v>
      </c>
      <c r="Y137" s="632">
        <f t="shared" si="10"/>
        <v>20</v>
      </c>
      <c r="Z137" s="632" t="str">
        <f t="shared" si="11"/>
        <v/>
      </c>
      <c r="AA137" s="636" t="str">
        <f t="shared" si="12"/>
        <v/>
      </c>
      <c r="AB137" s="636" t="str">
        <f t="shared" si="13"/>
        <v/>
      </c>
      <c r="AC137" s="632">
        <f t="shared" si="14"/>
        <v>22</v>
      </c>
      <c r="AD137" s="632">
        <f t="shared" si="15"/>
        <v>30</v>
      </c>
      <c r="AE137" s="636">
        <f t="shared" si="16"/>
        <v>0.26700000000000002</v>
      </c>
      <c r="AF137" s="632">
        <f t="shared" si="17"/>
        <v>16</v>
      </c>
      <c r="AG137" s="632">
        <f t="shared" si="18"/>
        <v>15</v>
      </c>
      <c r="AH137" s="625">
        <f t="shared" si="19"/>
        <v>6.7000000000000004E-2</v>
      </c>
    </row>
    <row r="138" spans="1:34">
      <c r="A138" s="623">
        <f t="shared" si="0"/>
        <v>1</v>
      </c>
      <c r="B138" s="624">
        <f t="shared" ref="B138:B139" si="134">IF(AF138&lt;=AG138,1,IF(AH138&lt;=0.005,2,IF(AND(AH138&gt;0.005,AH138&lt;=0.02, L182),4,IF(AND(AH138&gt;0.02,AH138&lt;=0.05),5,IF(AND(AH138&gt;0.05,AH138&lt;=0.1),7,IF(AND(AH138&gt;0.1,AH138&lt;=0.2),8,IF(AH138&gt;0.2,10)))))))</f>
        <v>1</v>
      </c>
      <c r="C138" s="623">
        <f t="shared" ref="C138:C139" si="135">IF(AA138&lt;=0.005,10,IF(AND(AA138&gt;0.005,AA138&lt;=0.01, C167),9,IF(AND(AA138&gt;0.01,AA138&lt;=0.02),8,IF(AND(AA138&gt;0.02,AA138&lt;=0.05),7,IF(AND(AA138&gt;0.05,AA138&lt;=0.1),6,IF(AND(AA138&gt;0.1,AA138&lt;=0.2),5,IF(AND(AA138&gt;0.2,AA138&lt;=0.3),4,IF(AND(AA138&gt;0.3,AA138&lt;=0.4),3,IF(AND(AA138&gt;0.4,AA138&lt;=0.5),2,IF(AA138&gt;0.5,1))))))))))</f>
        <v>10</v>
      </c>
      <c r="D138" s="623">
        <f t="shared" si="3"/>
        <v>1</v>
      </c>
      <c r="E138" s="624">
        <f t="shared" si="99"/>
        <v>3.3</v>
      </c>
      <c r="F138" s="625">
        <f t="shared" si="5"/>
        <v>0.2906577541322784</v>
      </c>
      <c r="G138" s="626">
        <f t="shared" si="22"/>
        <v>-0.15959999999999999</v>
      </c>
      <c r="H138" s="627">
        <f t="shared" si="45"/>
        <v>0.98799999999999999</v>
      </c>
      <c r="I138" s="628">
        <f t="shared" si="8"/>
        <v>-7062000</v>
      </c>
      <c r="J138" s="629">
        <f t="shared" si="9"/>
        <v>-43708000</v>
      </c>
      <c r="K138" s="630">
        <v>2000</v>
      </c>
      <c r="L138" s="631">
        <v>44939</v>
      </c>
      <c r="M138" s="638">
        <f t="shared" si="72"/>
        <v>44939</v>
      </c>
      <c r="N138" s="632" t="s">
        <v>1882</v>
      </c>
      <c r="O138" s="632" t="s">
        <v>499</v>
      </c>
      <c r="P138" s="632" t="s">
        <v>2204</v>
      </c>
      <c r="Q138" s="632">
        <v>290</v>
      </c>
      <c r="R138" s="632" t="s">
        <v>1585</v>
      </c>
      <c r="S138" s="632" t="s">
        <v>2316</v>
      </c>
      <c r="T138" s="633" t="s">
        <v>2317</v>
      </c>
      <c r="U138" s="634" t="s">
        <v>2318</v>
      </c>
      <c r="V138" s="635" t="s">
        <v>2319</v>
      </c>
      <c r="W138" s="633" t="s">
        <v>2320</v>
      </c>
      <c r="X138" s="634" t="s">
        <v>2321</v>
      </c>
      <c r="Y138" s="632">
        <f t="shared" si="10"/>
        <v>22129</v>
      </c>
      <c r="Z138" s="632">
        <f t="shared" si="11"/>
        <v>10</v>
      </c>
      <c r="AA138" s="636">
        <f t="shared" si="12"/>
        <v>-1</v>
      </c>
      <c r="AB138" s="636">
        <f t="shared" si="13"/>
        <v>-1</v>
      </c>
      <c r="AC138" s="632">
        <f t="shared" si="14"/>
        <v>0</v>
      </c>
      <c r="AD138" s="632">
        <f t="shared" si="15"/>
        <v>18598</v>
      </c>
      <c r="AE138" s="636">
        <f t="shared" si="16"/>
        <v>1</v>
      </c>
      <c r="AF138" s="632">
        <f t="shared" si="17"/>
        <v>31199</v>
      </c>
      <c r="AG138" s="632">
        <f t="shared" si="18"/>
        <v>43983</v>
      </c>
      <c r="AH138" s="625" t="str">
        <f t="shared" si="19"/>
        <v>SL Hit</v>
      </c>
    </row>
    <row r="139" spans="1:34">
      <c r="A139" s="623">
        <f t="shared" si="0"/>
        <v>1</v>
      </c>
      <c r="B139" s="624">
        <f t="shared" si="134"/>
        <v>10</v>
      </c>
      <c r="C139" s="623">
        <f t="shared" si="135"/>
        <v>10</v>
      </c>
      <c r="D139" s="623">
        <f t="shared" si="3"/>
        <v>1</v>
      </c>
      <c r="E139" s="624">
        <f t="shared" si="99"/>
        <v>5.5</v>
      </c>
      <c r="F139" s="625" t="str">
        <f t="shared" si="5"/>
        <v xml:space="preserve">     -</v>
      </c>
      <c r="G139" s="626">
        <f t="shared" si="22"/>
        <v>-0.99960000000000004</v>
      </c>
      <c r="H139" s="627">
        <f t="shared" si="45"/>
        <v>-1</v>
      </c>
      <c r="I139" s="628">
        <f t="shared" si="8"/>
        <v>-67785000</v>
      </c>
      <c r="J139" s="629">
        <f t="shared" si="9"/>
        <v>67803000</v>
      </c>
      <c r="K139" s="630">
        <v>1500</v>
      </c>
      <c r="L139" s="631">
        <v>44939</v>
      </c>
      <c r="M139" s="638">
        <f t="shared" si="72"/>
        <v>44939</v>
      </c>
      <c r="N139" s="632" t="s">
        <v>1584</v>
      </c>
      <c r="O139" s="632" t="s">
        <v>1611</v>
      </c>
      <c r="P139" s="632" t="s">
        <v>2204</v>
      </c>
      <c r="Q139" s="632">
        <v>395</v>
      </c>
      <c r="R139" s="632" t="s">
        <v>1585</v>
      </c>
      <c r="S139" s="632" t="s">
        <v>2322</v>
      </c>
      <c r="T139" s="633" t="s">
        <v>2323</v>
      </c>
      <c r="U139" s="634" t="s">
        <v>1614</v>
      </c>
      <c r="V139" s="635" t="s">
        <v>2319</v>
      </c>
      <c r="W139" s="633" t="s">
        <v>2324</v>
      </c>
      <c r="X139" s="634" t="s">
        <v>1888</v>
      </c>
      <c r="Y139" s="632">
        <f t="shared" si="10"/>
        <v>45208</v>
      </c>
      <c r="Z139" s="632">
        <f t="shared" si="11"/>
        <v>10</v>
      </c>
      <c r="AA139" s="636">
        <f t="shared" si="12"/>
        <v>-1</v>
      </c>
      <c r="AB139" s="636">
        <f t="shared" si="13"/>
        <v>-1</v>
      </c>
      <c r="AC139" s="632">
        <f t="shared" si="14"/>
        <v>0</v>
      </c>
      <c r="AD139" s="632">
        <f t="shared" si="15"/>
        <v>18</v>
      </c>
      <c r="AE139" s="636">
        <f t="shared" si="16"/>
        <v>1</v>
      </c>
      <c r="AF139" s="632">
        <f t="shared" si="17"/>
        <v>45778</v>
      </c>
      <c r="AG139" s="632">
        <f t="shared" si="18"/>
        <v>6</v>
      </c>
      <c r="AH139" s="625">
        <f t="shared" si="19"/>
        <v>7628.6670000000004</v>
      </c>
    </row>
    <row r="140" spans="1:34">
      <c r="A140" s="623">
        <f t="shared" si="0"/>
        <v>1</v>
      </c>
      <c r="B140" s="624">
        <f t="shared" ref="B140:B141" si="136">IF(AF140&lt;=AG140,1,IF(AH140&lt;=0.005,2,IF(AND(AH140&gt;0.005,AH140&lt;=0.02, L182),4,IF(AND(AH140&gt;0.02,AH140&lt;=0.05),5,IF(AND(AH140&gt;0.05,AH140&lt;=0.1),7,IF(AND(AH140&gt;0.1,AH140&lt;=0.2),8,IF(AH140&gt;0.2,10)))))))</f>
        <v>10</v>
      </c>
      <c r="C140" s="623">
        <f t="shared" ref="C140:C141" si="137">IF(AA140&lt;=0.005,10,IF(AND(AA140&gt;0.005,AA140&lt;=0.01, C167),9,IF(AND(AA140&gt;0.01,AA140&lt;=0.02),8,IF(AND(AA140&gt;0.02,AA140&lt;=0.05),7,IF(AND(AA140&gt;0.05,AA140&lt;=0.1),6,IF(AND(AA140&gt;0.1,AA140&lt;=0.2),5,IF(AND(AA140&gt;0.2,AA140&lt;=0.3),4,IF(AND(AA140&gt;0.3,AA140&lt;=0.4),3,IF(AND(AA140&gt;0.4,AA140&lt;=0.5),2,IF(AA140&gt;0.5,1))))))))))</f>
        <v>1</v>
      </c>
      <c r="D140" s="623">
        <f t="shared" si="3"/>
        <v>10</v>
      </c>
      <c r="E140" s="624">
        <f t="shared" si="99"/>
        <v>5.5</v>
      </c>
      <c r="F140" s="625" t="str">
        <f t="shared" si="5"/>
        <v xml:space="preserve">     -</v>
      </c>
      <c r="G140" s="626" t="str">
        <f t="shared" si="22"/>
        <v/>
      </c>
      <c r="H140" s="627" t="str">
        <f t="shared" si="45"/>
        <v/>
      </c>
      <c r="I140" s="628" t="e">
        <f t="shared" si="8"/>
        <v>#VALUE!</v>
      </c>
      <c r="J140" s="629" t="e">
        <f t="shared" si="9"/>
        <v>#VALUE!</v>
      </c>
      <c r="K140" s="630">
        <v>700</v>
      </c>
      <c r="L140" s="631">
        <v>44942</v>
      </c>
      <c r="M140" s="638">
        <f t="shared" si="72"/>
        <v>44942</v>
      </c>
      <c r="N140" s="632" t="s">
        <v>1584</v>
      </c>
      <c r="O140" s="632" t="s">
        <v>501</v>
      </c>
      <c r="P140" s="632" t="s">
        <v>2204</v>
      </c>
      <c r="Q140" s="632">
        <v>870</v>
      </c>
      <c r="R140" s="632" t="s">
        <v>1585</v>
      </c>
      <c r="S140" s="632" t="s">
        <v>2325</v>
      </c>
      <c r="T140" s="633" t="s">
        <v>2257</v>
      </c>
      <c r="U140" s="634" t="s">
        <v>1645</v>
      </c>
      <c r="V140" s="635" t="s">
        <v>2326</v>
      </c>
      <c r="W140" s="633" t="s">
        <v>2327</v>
      </c>
      <c r="X140" s="634" t="s">
        <v>2328</v>
      </c>
      <c r="Y140" s="632" t="str">
        <f t="shared" si="10"/>
        <v/>
      </c>
      <c r="Z140" s="632" t="str">
        <f t="shared" si="11"/>
        <v/>
      </c>
      <c r="AA140" s="636" t="str">
        <f t="shared" si="12"/>
        <v/>
      </c>
      <c r="AB140" s="636" t="str">
        <f t="shared" si="13"/>
        <v/>
      </c>
      <c r="AC140" s="632">
        <f t="shared" si="14"/>
        <v>0</v>
      </c>
      <c r="AD140" s="632">
        <f t="shared" si="15"/>
        <v>26</v>
      </c>
      <c r="AE140" s="636">
        <f t="shared" si="16"/>
        <v>1</v>
      </c>
      <c r="AF140" s="632">
        <f t="shared" si="17"/>
        <v>45211</v>
      </c>
      <c r="AG140" s="632">
        <f t="shared" si="18"/>
        <v>10</v>
      </c>
      <c r="AH140" s="625">
        <f t="shared" si="19"/>
        <v>4520.1000000000004</v>
      </c>
    </row>
    <row r="141" spans="1:34">
      <c r="A141" s="623">
        <f t="shared" si="0"/>
        <v>10</v>
      </c>
      <c r="B141" s="624">
        <f t="shared" si="136"/>
        <v>10</v>
      </c>
      <c r="C141" s="623">
        <f t="shared" si="137"/>
        <v>6</v>
      </c>
      <c r="D141" s="623">
        <f t="shared" si="3"/>
        <v>10</v>
      </c>
      <c r="E141" s="624">
        <f t="shared" si="99"/>
        <v>9</v>
      </c>
      <c r="F141" s="625" t="str">
        <f t="shared" si="5"/>
        <v xml:space="preserve">     -</v>
      </c>
      <c r="G141" s="626">
        <f t="shared" si="22"/>
        <v>-0.99950000000000006</v>
      </c>
      <c r="H141" s="627">
        <f t="shared" si="45"/>
        <v>-1</v>
      </c>
      <c r="I141" s="628">
        <f t="shared" si="8"/>
        <v>-44176000</v>
      </c>
      <c r="J141" s="629">
        <f t="shared" si="9"/>
        <v>44182000</v>
      </c>
      <c r="K141" s="630">
        <v>2000</v>
      </c>
      <c r="L141" s="631">
        <v>44942</v>
      </c>
      <c r="M141" s="638">
        <f t="shared" si="72"/>
        <v>44942</v>
      </c>
      <c r="N141" s="632" t="s">
        <v>1610</v>
      </c>
      <c r="O141" s="632" t="s">
        <v>2329</v>
      </c>
      <c r="P141" s="632" t="s">
        <v>2204</v>
      </c>
      <c r="Q141" s="632">
        <v>320</v>
      </c>
      <c r="R141" s="632" t="s">
        <v>1577</v>
      </c>
      <c r="S141" s="632" t="s">
        <v>1612</v>
      </c>
      <c r="T141" s="633" t="s">
        <v>1613</v>
      </c>
      <c r="U141" s="634" t="s">
        <v>2135</v>
      </c>
      <c r="V141" s="635" t="s">
        <v>2330</v>
      </c>
      <c r="W141" s="633" t="s">
        <v>2207</v>
      </c>
      <c r="X141" s="634" t="s">
        <v>2093</v>
      </c>
      <c r="Y141" s="632">
        <f t="shared" si="10"/>
        <v>22098</v>
      </c>
      <c r="Z141" s="632">
        <f t="shared" si="11"/>
        <v>23955</v>
      </c>
      <c r="AA141" s="636">
        <f t="shared" si="12"/>
        <v>8.4000000000000005E-2</v>
      </c>
      <c r="AB141" s="636">
        <f t="shared" si="13"/>
        <v>0.88100000000000001</v>
      </c>
      <c r="AC141" s="632">
        <f t="shared" si="14"/>
        <v>45057</v>
      </c>
      <c r="AD141" s="632">
        <f t="shared" si="15"/>
        <v>10</v>
      </c>
      <c r="AE141" s="636" t="str">
        <f t="shared" si="16"/>
        <v>Tgt Hit</v>
      </c>
      <c r="AF141" s="632">
        <f t="shared" si="17"/>
        <v>18476</v>
      </c>
      <c r="AG141" s="632">
        <f t="shared" si="18"/>
        <v>7</v>
      </c>
      <c r="AH141" s="625">
        <f t="shared" si="19"/>
        <v>2638.4290000000001</v>
      </c>
    </row>
    <row r="142" spans="1:34">
      <c r="A142" s="623">
        <f t="shared" si="0"/>
        <v>1</v>
      </c>
      <c r="B142" s="624">
        <f t="shared" ref="B142:B143" si="138">IF(AF142&lt;=AG142,1,IF(AH142&lt;=0.005,2,IF(AND(AH142&gt;0.005,AH142&lt;=0.02, L182),4,IF(AND(AH142&gt;0.02,AH142&lt;=0.05),5,IF(AND(AH142&gt;0.05,AH142&lt;=0.1),7,IF(AND(AH142&gt;0.1,AH142&lt;=0.2),8,IF(AH142&gt;0.2,10)))))))</f>
        <v>10</v>
      </c>
      <c r="C142" s="623">
        <f t="shared" ref="C142:C143" si="139">IF(AA142&lt;=0.005,10,IF(AND(AA142&gt;0.005,AA142&lt;=0.01, C167),9,IF(AND(AA142&gt;0.01,AA142&lt;=0.02),8,IF(AND(AA142&gt;0.02,AA142&lt;=0.05),7,IF(AND(AA142&gt;0.05,AA142&lt;=0.1),6,IF(AND(AA142&gt;0.1,AA142&lt;=0.2),5,IF(AND(AA142&gt;0.2,AA142&lt;=0.3),4,IF(AND(AA142&gt;0.3,AA142&lt;=0.4),3,IF(AND(AA142&gt;0.4,AA142&lt;=0.5),2,IF(AA142&gt;0.5,1))))))))))</f>
        <v>1</v>
      </c>
      <c r="D142" s="623">
        <f t="shared" si="3"/>
        <v>10</v>
      </c>
      <c r="E142" s="624">
        <f t="shared" si="99"/>
        <v>5.5</v>
      </c>
      <c r="F142" s="625" t="str">
        <f t="shared" si="5"/>
        <v xml:space="preserve">     -</v>
      </c>
      <c r="G142" s="626">
        <f t="shared" si="22"/>
        <v>0.3</v>
      </c>
      <c r="H142" s="627">
        <f t="shared" si="45"/>
        <v>-0.2</v>
      </c>
      <c r="I142" s="628">
        <f t="shared" si="8"/>
        <v>1875</v>
      </c>
      <c r="J142" s="629">
        <f t="shared" si="9"/>
        <v>1250</v>
      </c>
      <c r="K142" s="630">
        <v>125</v>
      </c>
      <c r="L142" s="631">
        <v>44943</v>
      </c>
      <c r="M142" s="638">
        <f t="shared" si="72"/>
        <v>44943</v>
      </c>
      <c r="N142" s="632" t="s">
        <v>1584</v>
      </c>
      <c r="O142" s="632" t="s">
        <v>2331</v>
      </c>
      <c r="P142" s="632" t="s">
        <v>2204</v>
      </c>
      <c r="Q142" s="632">
        <v>3500</v>
      </c>
      <c r="R142" s="632" t="s">
        <v>1577</v>
      </c>
      <c r="S142" s="632" t="s">
        <v>2332</v>
      </c>
      <c r="T142" s="633" t="s">
        <v>2333</v>
      </c>
      <c r="U142" s="634" t="s">
        <v>1606</v>
      </c>
      <c r="V142" s="635" t="s">
        <v>2334</v>
      </c>
      <c r="W142" s="633" t="s">
        <v>1706</v>
      </c>
      <c r="X142" s="634" t="s">
        <v>2335</v>
      </c>
      <c r="Y142" s="632">
        <f t="shared" si="10"/>
        <v>50</v>
      </c>
      <c r="Z142" s="632" t="str">
        <f t="shared" si="11"/>
        <v/>
      </c>
      <c r="AA142" s="636" t="str">
        <f t="shared" si="12"/>
        <v/>
      </c>
      <c r="AB142" s="636" t="str">
        <f t="shared" si="13"/>
        <v/>
      </c>
      <c r="AC142" s="632">
        <f t="shared" si="14"/>
        <v>0</v>
      </c>
      <c r="AD142" s="632">
        <f t="shared" si="15"/>
        <v>65</v>
      </c>
      <c r="AE142" s="636">
        <f t="shared" si="16"/>
        <v>1</v>
      </c>
      <c r="AF142" s="632" t="str">
        <f t="shared" si="17"/>
        <v/>
      </c>
      <c r="AG142" s="632">
        <f t="shared" si="18"/>
        <v>40</v>
      </c>
      <c r="AH142" s="625" t="str">
        <f t="shared" si="19"/>
        <v/>
      </c>
    </row>
    <row r="143" spans="1:34">
      <c r="A143" s="623">
        <f t="shared" si="0"/>
        <v>1</v>
      </c>
      <c r="B143" s="624">
        <f t="shared" si="138"/>
        <v>10</v>
      </c>
      <c r="C143" s="623">
        <f t="shared" si="139"/>
        <v>1</v>
      </c>
      <c r="D143" s="623">
        <f t="shared" si="3"/>
        <v>10</v>
      </c>
      <c r="E143" s="624">
        <f t="shared" si="99"/>
        <v>5.5</v>
      </c>
      <c r="F143" s="625" t="str">
        <f t="shared" si="5"/>
        <v xml:space="preserve">     -</v>
      </c>
      <c r="G143" s="626" t="str">
        <f t="shared" si="22"/>
        <v/>
      </c>
      <c r="H143" s="627" t="str">
        <f t="shared" si="45"/>
        <v/>
      </c>
      <c r="I143" s="628" t="e">
        <f t="shared" si="8"/>
        <v>#VALUE!</v>
      </c>
      <c r="J143" s="629" t="e">
        <f t="shared" si="9"/>
        <v>#VALUE!</v>
      </c>
      <c r="K143" s="630">
        <v>500</v>
      </c>
      <c r="L143" s="631">
        <v>44943</v>
      </c>
      <c r="M143" s="638">
        <f t="shared" si="72"/>
        <v>44943</v>
      </c>
      <c r="N143" s="632" t="s">
        <v>1610</v>
      </c>
      <c r="O143" s="632" t="s">
        <v>696</v>
      </c>
      <c r="P143" s="632" t="s">
        <v>2204</v>
      </c>
      <c r="Q143" s="632">
        <v>1580</v>
      </c>
      <c r="R143" s="632" t="s">
        <v>1585</v>
      </c>
      <c r="S143" s="632" t="s">
        <v>2336</v>
      </c>
      <c r="T143" s="633" t="s">
        <v>2299</v>
      </c>
      <c r="U143" s="634" t="s">
        <v>2337</v>
      </c>
      <c r="V143" s="635" t="s">
        <v>2338</v>
      </c>
      <c r="W143" s="633" t="s">
        <v>2339</v>
      </c>
      <c r="X143" s="634" t="s">
        <v>2340</v>
      </c>
      <c r="Y143" s="632" t="str">
        <f t="shared" si="10"/>
        <v/>
      </c>
      <c r="Z143" s="632" t="str">
        <f t="shared" si="11"/>
        <v/>
      </c>
      <c r="AA143" s="636" t="str">
        <f t="shared" si="12"/>
        <v/>
      </c>
      <c r="AB143" s="636" t="str">
        <f t="shared" si="13"/>
        <v/>
      </c>
      <c r="AC143" s="632">
        <f t="shared" si="14"/>
        <v>0</v>
      </c>
      <c r="AD143" s="632">
        <f t="shared" si="15"/>
        <v>25</v>
      </c>
      <c r="AE143" s="636">
        <f t="shared" si="16"/>
        <v>1</v>
      </c>
      <c r="AF143" s="632" t="str">
        <f t="shared" si="17"/>
        <v/>
      </c>
      <c r="AG143" s="632">
        <f t="shared" si="18"/>
        <v>17</v>
      </c>
      <c r="AH143" s="625" t="str">
        <f t="shared" si="19"/>
        <v/>
      </c>
    </row>
    <row r="144" spans="1:34">
      <c r="A144" s="623">
        <f t="shared" si="0"/>
        <v>10</v>
      </c>
      <c r="B144" s="624">
        <f t="shared" ref="B144:B145" si="140">IF(AF144&lt;=AG144,1,IF(AH144&lt;=0.005,2,IF(AND(AH144&gt;0.005,AH144&lt;=0.02, L182),4,IF(AND(AH144&gt;0.02,AH144&lt;=0.05),5,IF(AND(AH144&gt;0.05,AH144&lt;=0.1),7,IF(AND(AH144&gt;0.1,AH144&lt;=0.2),8,IF(AH144&gt;0.2,10)))))))</f>
        <v>10</v>
      </c>
      <c r="C144" s="623">
        <f t="shared" ref="C144:C145" si="141">IF(AA144&lt;=0.005,10,IF(AND(AA144&gt;0.005,AA144&lt;=0.01, C167),9,IF(AND(AA144&gt;0.01,AA144&lt;=0.02),8,IF(AND(AA144&gt;0.02,AA144&lt;=0.05),7,IF(AND(AA144&gt;0.05,AA144&lt;=0.1),6,IF(AND(AA144&gt;0.1,AA144&lt;=0.2),5,IF(AND(AA144&gt;0.2,AA144&lt;=0.3),4,IF(AND(AA144&gt;0.3,AA144&lt;=0.4),3,IF(AND(AA144&gt;0.4,AA144&lt;=0.5),2,IF(AA144&gt;0.5,1))))))))))</f>
        <v>2</v>
      </c>
      <c r="D144" s="623">
        <f t="shared" si="3"/>
        <v>1</v>
      </c>
      <c r="E144" s="624">
        <f t="shared" si="99"/>
        <v>5.8</v>
      </c>
      <c r="F144" s="625" t="str">
        <f t="shared" si="5"/>
        <v xml:space="preserve">     -</v>
      </c>
      <c r="G144" s="626">
        <f t="shared" si="22"/>
        <v>-0.4108</v>
      </c>
      <c r="H144" s="627">
        <f t="shared" si="45"/>
        <v>-0.17599999999999999</v>
      </c>
      <c r="I144" s="628">
        <f t="shared" si="8"/>
        <v>-70141500</v>
      </c>
      <c r="J144" s="629">
        <f t="shared" si="9"/>
        <v>30134500</v>
      </c>
      <c r="K144" s="630">
        <v>5500</v>
      </c>
      <c r="L144" s="631">
        <v>44944</v>
      </c>
      <c r="M144" s="638">
        <f t="shared" si="72"/>
        <v>44944</v>
      </c>
      <c r="N144" s="632" t="s">
        <v>1610</v>
      </c>
      <c r="O144" s="632" t="s">
        <v>604</v>
      </c>
      <c r="P144" s="632" t="s">
        <v>2204</v>
      </c>
      <c r="Q144" s="632">
        <v>120</v>
      </c>
      <c r="R144" s="632" t="s">
        <v>1585</v>
      </c>
      <c r="S144" s="632" t="s">
        <v>2341</v>
      </c>
      <c r="T144" s="633" t="s">
        <v>2342</v>
      </c>
      <c r="U144" s="634" t="s">
        <v>2343</v>
      </c>
      <c r="V144" s="635" t="s">
        <v>2344</v>
      </c>
      <c r="W144" s="633" t="s">
        <v>2345</v>
      </c>
      <c r="X144" s="634" t="s">
        <v>2225</v>
      </c>
      <c r="Y144" s="632">
        <f t="shared" si="10"/>
        <v>31048</v>
      </c>
      <c r="Z144" s="632">
        <f t="shared" si="11"/>
        <v>45201</v>
      </c>
      <c r="AA144" s="636">
        <f t="shared" si="12"/>
        <v>0.45600000000000002</v>
      </c>
      <c r="AB144" s="636">
        <f t="shared" si="13"/>
        <v>0</v>
      </c>
      <c r="AC144" s="632">
        <f t="shared" si="14"/>
        <v>45203</v>
      </c>
      <c r="AD144" s="632">
        <f t="shared" si="15"/>
        <v>18295</v>
      </c>
      <c r="AE144" s="636" t="str">
        <f t="shared" si="16"/>
        <v>Tgt Hit</v>
      </c>
      <c r="AF144" s="632">
        <f t="shared" si="17"/>
        <v>45048</v>
      </c>
      <c r="AG144" s="632">
        <f t="shared" si="18"/>
        <v>25569</v>
      </c>
      <c r="AH144" s="625">
        <f t="shared" si="19"/>
        <v>0.76200000000000001</v>
      </c>
    </row>
    <row r="145" spans="1:34">
      <c r="A145" s="623">
        <f t="shared" si="0"/>
        <v>10</v>
      </c>
      <c r="B145" s="624">
        <f t="shared" si="140"/>
        <v>10</v>
      </c>
      <c r="C145" s="623">
        <f t="shared" si="141"/>
        <v>10</v>
      </c>
      <c r="D145" s="623">
        <f t="shared" si="3"/>
        <v>1</v>
      </c>
      <c r="E145" s="624">
        <f t="shared" si="99"/>
        <v>7.8</v>
      </c>
      <c r="F145" s="625" t="str">
        <f t="shared" si="5"/>
        <v xml:space="preserve">     -</v>
      </c>
      <c r="G145" s="626">
        <f t="shared" si="22"/>
        <v>-0.99919999999999998</v>
      </c>
      <c r="H145" s="627">
        <f t="shared" si="45"/>
        <v>-1</v>
      </c>
      <c r="I145" s="628">
        <f t="shared" si="8"/>
        <v>-32277500</v>
      </c>
      <c r="J145" s="629">
        <f t="shared" si="9"/>
        <v>32295000</v>
      </c>
      <c r="K145" s="630">
        <v>1250</v>
      </c>
      <c r="L145" s="631">
        <v>44944</v>
      </c>
      <c r="M145" s="638">
        <f t="shared" si="72"/>
        <v>44944</v>
      </c>
      <c r="N145" s="632" t="s">
        <v>1584</v>
      </c>
      <c r="O145" s="632" t="s">
        <v>704</v>
      </c>
      <c r="P145" s="632" t="s">
        <v>2204</v>
      </c>
      <c r="Q145" s="632">
        <v>590</v>
      </c>
      <c r="R145" s="632" t="s">
        <v>1585</v>
      </c>
      <c r="S145" s="632" t="s">
        <v>2346</v>
      </c>
      <c r="T145" s="633" t="s">
        <v>2347</v>
      </c>
      <c r="U145" s="634" t="s">
        <v>1614</v>
      </c>
      <c r="V145" s="635" t="s">
        <v>2348</v>
      </c>
      <c r="W145" s="633" t="s">
        <v>2349</v>
      </c>
      <c r="X145" s="634" t="s">
        <v>2328</v>
      </c>
      <c r="Y145" s="632">
        <f t="shared" si="10"/>
        <v>25842</v>
      </c>
      <c r="Z145" s="632">
        <f t="shared" si="11"/>
        <v>18598</v>
      </c>
      <c r="AA145" s="636">
        <f t="shared" si="12"/>
        <v>-0.28000000000000003</v>
      </c>
      <c r="AB145" s="636">
        <f t="shared" si="13"/>
        <v>-0.999</v>
      </c>
      <c r="AC145" s="632">
        <f t="shared" si="14"/>
        <v>20</v>
      </c>
      <c r="AD145" s="632">
        <f t="shared" si="15"/>
        <v>20</v>
      </c>
      <c r="AE145" s="636" t="str">
        <f t="shared" si="16"/>
        <v>Tgt Hit</v>
      </c>
      <c r="AF145" s="632">
        <f t="shared" si="17"/>
        <v>45211</v>
      </c>
      <c r="AG145" s="632">
        <f t="shared" si="18"/>
        <v>6</v>
      </c>
      <c r="AH145" s="625">
        <f t="shared" si="19"/>
        <v>7534.1670000000004</v>
      </c>
    </row>
    <row r="146" spans="1:34">
      <c r="A146" s="623">
        <f t="shared" si="0"/>
        <v>10</v>
      </c>
      <c r="B146" s="624">
        <f t="shared" ref="B146:B147" si="142">IF(AF146&lt;=AG146,1,IF(AH146&lt;=0.005,2,IF(AND(AH146&gt;0.005,AH146&lt;=0.02, L182),4,IF(AND(AH146&gt;0.02,AH146&lt;=0.05),5,IF(AND(AH146&gt;0.05,AH146&lt;=0.1),7,IF(AND(AH146&gt;0.1,AH146&lt;=0.2),8,IF(AH146&gt;0.2,10)))))))</f>
        <v>10</v>
      </c>
      <c r="C146" s="623">
        <f t="shared" ref="C146:C147" si="143">IF(AA146&lt;=0.005,10,IF(AND(AA146&gt;0.005,AA146&lt;=0.01, C167),9,IF(AND(AA146&gt;0.01,AA146&lt;=0.02),8,IF(AND(AA146&gt;0.02,AA146&lt;=0.05),7,IF(AND(AA146&gt;0.05,AA146&lt;=0.1),6,IF(AND(AA146&gt;0.1,AA146&lt;=0.2),5,IF(AND(AA146&gt;0.2,AA146&lt;=0.3),4,IF(AND(AA146&gt;0.3,AA146&lt;=0.4),3,IF(AND(AA146&gt;0.4,AA146&lt;=0.5),2,IF(AA146&gt;0.5,1))))))))))</f>
        <v>5</v>
      </c>
      <c r="D146" s="623">
        <f t="shared" si="3"/>
        <v>10</v>
      </c>
      <c r="E146" s="624">
        <f t="shared" si="99"/>
        <v>8.8000000000000007</v>
      </c>
      <c r="F146" s="625" t="str">
        <f t="shared" si="5"/>
        <v xml:space="preserve">     -</v>
      </c>
      <c r="G146" s="626">
        <f t="shared" si="22"/>
        <v>1.1667000000000001</v>
      </c>
      <c r="H146" s="627">
        <f t="shared" si="45"/>
        <v>-0.66700000000000004</v>
      </c>
      <c r="I146" s="628">
        <f t="shared" si="8"/>
        <v>7000</v>
      </c>
      <c r="J146" s="629">
        <f t="shared" si="9"/>
        <v>4000</v>
      </c>
      <c r="K146" s="630">
        <v>1000</v>
      </c>
      <c r="L146" s="631">
        <v>44945</v>
      </c>
      <c r="M146" s="638">
        <f t="shared" si="72"/>
        <v>44945</v>
      </c>
      <c r="N146" s="632" t="s">
        <v>1574</v>
      </c>
      <c r="O146" s="632" t="s">
        <v>2285</v>
      </c>
      <c r="P146" s="632" t="s">
        <v>2204</v>
      </c>
      <c r="Q146" s="632">
        <v>420</v>
      </c>
      <c r="R146" s="632" t="s">
        <v>1577</v>
      </c>
      <c r="S146" s="632" t="s">
        <v>2350</v>
      </c>
      <c r="T146" s="633" t="s">
        <v>2210</v>
      </c>
      <c r="U146" s="634" t="s">
        <v>2351</v>
      </c>
      <c r="V146" s="635" t="s">
        <v>2191</v>
      </c>
      <c r="W146" s="633" t="s">
        <v>2183</v>
      </c>
      <c r="X146" s="634" t="s">
        <v>2321</v>
      </c>
      <c r="Y146" s="632">
        <f t="shared" si="10"/>
        <v>6</v>
      </c>
      <c r="Z146" s="632">
        <f t="shared" si="11"/>
        <v>7</v>
      </c>
      <c r="AA146" s="636">
        <f t="shared" si="12"/>
        <v>0.16700000000000001</v>
      </c>
      <c r="AB146" s="636">
        <f t="shared" si="13"/>
        <v>5003.857</v>
      </c>
      <c r="AC146" s="632">
        <f t="shared" si="14"/>
        <v>35034</v>
      </c>
      <c r="AD146" s="632">
        <f t="shared" si="15"/>
        <v>13</v>
      </c>
      <c r="AE146" s="636" t="str">
        <f t="shared" si="16"/>
        <v>Tgt Hit</v>
      </c>
      <c r="AF146" s="632">
        <f t="shared" si="17"/>
        <v>31199</v>
      </c>
      <c r="AG146" s="632">
        <f t="shared" si="18"/>
        <v>2</v>
      </c>
      <c r="AH146" s="625">
        <f t="shared" si="19"/>
        <v>15598.5</v>
      </c>
    </row>
    <row r="147" spans="1:34">
      <c r="A147" s="623">
        <f t="shared" si="0"/>
        <v>10</v>
      </c>
      <c r="B147" s="624">
        <f t="shared" si="142"/>
        <v>10</v>
      </c>
      <c r="C147" s="623">
        <f t="shared" si="143"/>
        <v>10</v>
      </c>
      <c r="D147" s="623">
        <f t="shared" si="3"/>
        <v>1</v>
      </c>
      <c r="E147" s="624">
        <f t="shared" si="99"/>
        <v>7.8</v>
      </c>
      <c r="F147" s="625" t="str">
        <f t="shared" si="5"/>
        <v xml:space="preserve">     -</v>
      </c>
      <c r="G147" s="626">
        <f t="shared" si="22"/>
        <v>-0.99929999999999997</v>
      </c>
      <c r="H147" s="627">
        <f t="shared" si="45"/>
        <v>-1</v>
      </c>
      <c r="I147" s="628">
        <f t="shared" si="8"/>
        <v>-30916200</v>
      </c>
      <c r="J147" s="629">
        <f t="shared" si="9"/>
        <v>30931600</v>
      </c>
      <c r="K147" s="630">
        <v>1400</v>
      </c>
      <c r="L147" s="631">
        <v>44945</v>
      </c>
      <c r="M147" s="638">
        <f t="shared" si="72"/>
        <v>44945</v>
      </c>
      <c r="N147" s="632" t="s">
        <v>1584</v>
      </c>
      <c r="O147" s="632" t="s">
        <v>481</v>
      </c>
      <c r="P147" s="632" t="s">
        <v>2204</v>
      </c>
      <c r="Q147" s="632">
        <v>500</v>
      </c>
      <c r="R147" s="632" t="s">
        <v>1577</v>
      </c>
      <c r="S147" s="632" t="s">
        <v>1612</v>
      </c>
      <c r="T147" s="633" t="s">
        <v>2352</v>
      </c>
      <c r="U147" s="634" t="s">
        <v>2181</v>
      </c>
      <c r="V147" s="635" t="s">
        <v>2348</v>
      </c>
      <c r="W147" s="633" t="s">
        <v>2353</v>
      </c>
      <c r="X147" s="634" t="s">
        <v>2354</v>
      </c>
      <c r="Y147" s="632">
        <f t="shared" si="10"/>
        <v>22098</v>
      </c>
      <c r="Z147" s="632">
        <f t="shared" si="11"/>
        <v>18598</v>
      </c>
      <c r="AA147" s="636">
        <f t="shared" si="12"/>
        <v>-0.158</v>
      </c>
      <c r="AB147" s="636">
        <f t="shared" si="13"/>
        <v>-0.999</v>
      </c>
      <c r="AC147" s="632">
        <f t="shared" si="14"/>
        <v>15</v>
      </c>
      <c r="AD147" s="632">
        <f t="shared" si="15"/>
        <v>15</v>
      </c>
      <c r="AE147" s="636" t="str">
        <f t="shared" si="16"/>
        <v>Tgt Hit</v>
      </c>
      <c r="AF147" s="632">
        <f t="shared" si="17"/>
        <v>44013</v>
      </c>
      <c r="AG147" s="632">
        <f t="shared" si="18"/>
        <v>4</v>
      </c>
      <c r="AH147" s="625">
        <f t="shared" si="19"/>
        <v>11002.25</v>
      </c>
    </row>
    <row r="148" spans="1:34">
      <c r="A148" s="623">
        <f t="shared" si="0"/>
        <v>10</v>
      </c>
      <c r="B148" s="624">
        <f t="shared" ref="B148:B149" si="144">IF(AF148&lt;=AG148,1,IF(AH148&lt;=0.005,2,IF(AND(AH148&gt;0.005,AH148&lt;=0.02, L182),4,IF(AND(AH148&gt;0.02,AH148&lt;=0.05),5,IF(AND(AH148&gt;0.05,AH148&lt;=0.1),7,IF(AND(AH148&gt;0.1,AH148&lt;=0.2),8,IF(AH148&gt;0.2,10)))))))</f>
        <v>10</v>
      </c>
      <c r="C148" s="623">
        <f t="shared" ref="C148:C149" si="145">IF(AA148&lt;=0.005,10,IF(AND(AA148&gt;0.005,AA148&lt;=0.01, C167),9,IF(AND(AA148&gt;0.01,AA148&lt;=0.02),8,IF(AND(AA148&gt;0.02,AA148&lt;=0.05),7,IF(AND(AA148&gt;0.05,AA148&lt;=0.1),6,IF(AND(AA148&gt;0.1,AA148&lt;=0.2),5,IF(AND(AA148&gt;0.2,AA148&lt;=0.3),4,IF(AND(AA148&gt;0.3,AA148&lt;=0.4),3,IF(AND(AA148&gt;0.4,AA148&lt;=0.5),2,IF(AA148&gt;0.5,1))))))))))</f>
        <v>1</v>
      </c>
      <c r="D148" s="623">
        <f t="shared" si="3"/>
        <v>5</v>
      </c>
      <c r="E148" s="624">
        <f t="shared" si="99"/>
        <v>6.5</v>
      </c>
      <c r="F148" s="625" t="str">
        <f t="shared" si="5"/>
        <v xml:space="preserve">     -</v>
      </c>
      <c r="G148" s="626" t="str">
        <f t="shared" si="22"/>
        <v/>
      </c>
      <c r="H148" s="627" t="str">
        <f t="shared" si="45"/>
        <v/>
      </c>
      <c r="I148" s="628" t="e">
        <f t="shared" si="8"/>
        <v>#VALUE!</v>
      </c>
      <c r="J148" s="629" t="e">
        <f t="shared" si="9"/>
        <v>#VALUE!</v>
      </c>
      <c r="K148" s="630">
        <v>300</v>
      </c>
      <c r="L148" s="631">
        <v>44946</v>
      </c>
      <c r="M148" s="638">
        <f t="shared" si="72"/>
        <v>44946</v>
      </c>
      <c r="N148" s="632" t="s">
        <v>1610</v>
      </c>
      <c r="O148" s="632" t="s">
        <v>504</v>
      </c>
      <c r="P148" s="632" t="s">
        <v>2204</v>
      </c>
      <c r="Q148" s="632">
        <v>2660</v>
      </c>
      <c r="R148" s="632" t="s">
        <v>1577</v>
      </c>
      <c r="S148" s="632" t="s">
        <v>2355</v>
      </c>
      <c r="T148" s="633" t="s">
        <v>1740</v>
      </c>
      <c r="U148" s="634" t="s">
        <v>1741</v>
      </c>
      <c r="V148" s="635" t="s">
        <v>2356</v>
      </c>
      <c r="W148" s="633" t="s">
        <v>2357</v>
      </c>
      <c r="X148" s="634" t="s">
        <v>2358</v>
      </c>
      <c r="Y148" s="632" t="str">
        <f t="shared" si="10"/>
        <v/>
      </c>
      <c r="Z148" s="632">
        <f t="shared" si="11"/>
        <v>110</v>
      </c>
      <c r="AA148" s="636" t="str">
        <f t="shared" si="12"/>
        <v/>
      </c>
      <c r="AB148" s="636">
        <f t="shared" si="13"/>
        <v>7.2999999999999995E-2</v>
      </c>
      <c r="AC148" s="632">
        <f t="shared" si="14"/>
        <v>118</v>
      </c>
      <c r="AD148" s="632">
        <f t="shared" si="15"/>
        <v>30</v>
      </c>
      <c r="AE148" s="636" t="str">
        <f t="shared" si="16"/>
        <v>Tgt Hit</v>
      </c>
      <c r="AF148" s="632">
        <f t="shared" si="17"/>
        <v>63</v>
      </c>
      <c r="AG148" s="632">
        <f t="shared" si="18"/>
        <v>20</v>
      </c>
      <c r="AH148" s="625">
        <f t="shared" si="19"/>
        <v>2.15</v>
      </c>
    </row>
    <row r="149" spans="1:34">
      <c r="A149" s="623">
        <f t="shared" si="0"/>
        <v>1</v>
      </c>
      <c r="B149" s="624">
        <f t="shared" si="144"/>
        <v>10</v>
      </c>
      <c r="C149" s="623">
        <f t="shared" si="145"/>
        <v>10</v>
      </c>
      <c r="D149" s="623">
        <f t="shared" si="3"/>
        <v>1</v>
      </c>
      <c r="E149" s="624">
        <f t="shared" si="99"/>
        <v>5.5</v>
      </c>
      <c r="F149" s="625" t="str">
        <f t="shared" si="5"/>
        <v xml:space="preserve">     -</v>
      </c>
      <c r="G149" s="626">
        <f t="shared" si="22"/>
        <v>-0.99960000000000004</v>
      </c>
      <c r="H149" s="627">
        <f t="shared" si="45"/>
        <v>-1</v>
      </c>
      <c r="I149" s="628">
        <f t="shared" si="8"/>
        <v>-64236200</v>
      </c>
      <c r="J149" s="629">
        <f t="shared" si="9"/>
        <v>64253000</v>
      </c>
      <c r="K149" s="630">
        <v>1400</v>
      </c>
      <c r="L149" s="631">
        <v>44946</v>
      </c>
      <c r="M149" s="638">
        <f t="shared" si="72"/>
        <v>44946</v>
      </c>
      <c r="N149" s="632" t="s">
        <v>1584</v>
      </c>
      <c r="O149" s="632" t="s">
        <v>481</v>
      </c>
      <c r="P149" s="632" t="s">
        <v>2204</v>
      </c>
      <c r="Q149" s="632">
        <v>500</v>
      </c>
      <c r="R149" s="632" t="s">
        <v>1577</v>
      </c>
      <c r="S149" s="632" t="s">
        <v>2359</v>
      </c>
      <c r="T149" s="633" t="s">
        <v>2323</v>
      </c>
      <c r="U149" s="634" t="s">
        <v>1614</v>
      </c>
      <c r="V149" s="635" t="s">
        <v>2360</v>
      </c>
      <c r="W149" s="633" t="s">
        <v>2361</v>
      </c>
      <c r="X149" s="634" t="s">
        <v>2362</v>
      </c>
      <c r="Y149" s="632">
        <f t="shared" si="10"/>
        <v>45901</v>
      </c>
      <c r="Z149" s="632">
        <f t="shared" si="11"/>
        <v>45901</v>
      </c>
      <c r="AA149" s="636">
        <f t="shared" si="12"/>
        <v>0</v>
      </c>
      <c r="AB149" s="636">
        <f t="shared" si="13"/>
        <v>-1</v>
      </c>
      <c r="AC149" s="632">
        <f t="shared" si="14"/>
        <v>0</v>
      </c>
      <c r="AD149" s="632">
        <f t="shared" si="15"/>
        <v>18</v>
      </c>
      <c r="AE149" s="636">
        <f t="shared" si="16"/>
        <v>1</v>
      </c>
      <c r="AF149" s="632">
        <f t="shared" si="17"/>
        <v>27576</v>
      </c>
      <c r="AG149" s="632">
        <f t="shared" si="18"/>
        <v>6</v>
      </c>
      <c r="AH149" s="625">
        <f t="shared" si="19"/>
        <v>4595</v>
      </c>
    </row>
    <row r="150" spans="1:34">
      <c r="A150" s="623">
        <f t="shared" si="0"/>
        <v>1</v>
      </c>
      <c r="B150" s="624">
        <f t="shared" ref="B150:B151" si="146">IF(AF150&lt;=AG150,1,IF(AH150&lt;=0.005,2,IF(AND(AH150&gt;0.005,AH150&lt;=0.02, L182),4,IF(AND(AH150&gt;0.02,AH150&lt;=0.05),5,IF(AND(AH150&gt;0.05,AH150&lt;=0.1),7,IF(AND(AH150&gt;0.1,AH150&lt;=0.2),8,IF(AH150&gt;0.2,10)))))))</f>
        <v>10</v>
      </c>
      <c r="C150" s="623">
        <f t="shared" ref="C150:C151" si="147">IF(AA150&lt;=0.005,10,IF(AND(AA150&gt;0.005,AA150&lt;=0.01, C167),9,IF(AND(AA150&gt;0.01,AA150&lt;=0.02),8,IF(AND(AA150&gt;0.02,AA150&lt;=0.05),7,IF(AND(AA150&gt;0.05,AA150&lt;=0.1),6,IF(AND(AA150&gt;0.1,AA150&lt;=0.2),5,IF(AND(AA150&gt;0.2,AA150&lt;=0.3),4,IF(AND(AA150&gt;0.3,AA150&lt;=0.4),3,IF(AND(AA150&gt;0.4,AA150&lt;=0.5),2,IF(AA150&gt;0.5,1))))))))))</f>
        <v>1</v>
      </c>
      <c r="D150" s="623">
        <f t="shared" si="3"/>
        <v>10</v>
      </c>
      <c r="E150" s="624">
        <f t="shared" si="99"/>
        <v>5.5</v>
      </c>
      <c r="F150" s="625" t="str">
        <f t="shared" si="5"/>
        <v xml:space="preserve">     -</v>
      </c>
      <c r="G150" s="626">
        <f t="shared" si="22"/>
        <v>0.28570000000000001</v>
      </c>
      <c r="H150" s="627">
        <f t="shared" si="45"/>
        <v>-0.14299999999999999</v>
      </c>
      <c r="I150" s="628">
        <f t="shared" si="8"/>
        <v>3000</v>
      </c>
      <c r="J150" s="629">
        <f t="shared" si="9"/>
        <v>1500</v>
      </c>
      <c r="K150" s="630">
        <v>150</v>
      </c>
      <c r="L150" s="631">
        <v>44949</v>
      </c>
      <c r="M150" s="638">
        <f t="shared" si="72"/>
        <v>44949</v>
      </c>
      <c r="N150" s="632" t="s">
        <v>1584</v>
      </c>
      <c r="O150" s="632" t="s">
        <v>2215</v>
      </c>
      <c r="P150" s="632" t="s">
        <v>2204</v>
      </c>
      <c r="Q150" s="632">
        <v>4250</v>
      </c>
      <c r="R150" s="632" t="s">
        <v>1577</v>
      </c>
      <c r="S150" s="632" t="s">
        <v>2363</v>
      </c>
      <c r="T150" s="633" t="s">
        <v>1759</v>
      </c>
      <c r="U150" s="634" t="s">
        <v>1668</v>
      </c>
      <c r="V150" s="635" t="s">
        <v>2364</v>
      </c>
      <c r="W150" s="633" t="s">
        <v>2365</v>
      </c>
      <c r="X150" s="634" t="s">
        <v>2036</v>
      </c>
      <c r="Y150" s="632">
        <f t="shared" si="10"/>
        <v>70</v>
      </c>
      <c r="Z150" s="632" t="str">
        <f t="shared" si="11"/>
        <v/>
      </c>
      <c r="AA150" s="636" t="str">
        <f t="shared" si="12"/>
        <v/>
      </c>
      <c r="AB150" s="636" t="str">
        <f t="shared" si="13"/>
        <v/>
      </c>
      <c r="AC150" s="632">
        <f t="shared" si="14"/>
        <v>0</v>
      </c>
      <c r="AD150" s="632">
        <f t="shared" si="15"/>
        <v>90</v>
      </c>
      <c r="AE150" s="636">
        <f t="shared" si="16"/>
        <v>1</v>
      </c>
      <c r="AF150" s="632">
        <f t="shared" si="17"/>
        <v>42156</v>
      </c>
      <c r="AG150" s="632">
        <f t="shared" si="18"/>
        <v>60</v>
      </c>
      <c r="AH150" s="625">
        <f t="shared" si="19"/>
        <v>701.6</v>
      </c>
    </row>
    <row r="151" spans="1:34">
      <c r="A151" s="623">
        <f t="shared" si="0"/>
        <v>10</v>
      </c>
      <c r="B151" s="624">
        <f t="shared" si="146"/>
        <v>10</v>
      </c>
      <c r="C151" s="623">
        <f t="shared" si="147"/>
        <v>10</v>
      </c>
      <c r="D151" s="623">
        <f t="shared" si="3"/>
        <v>10</v>
      </c>
      <c r="E151" s="624">
        <f t="shared" si="99"/>
        <v>10</v>
      </c>
      <c r="F151" s="625" t="str">
        <f t="shared" si="5"/>
        <v xml:space="preserve">     -</v>
      </c>
      <c r="G151" s="626">
        <f t="shared" si="22"/>
        <v>-0.99970000000000003</v>
      </c>
      <c r="H151" s="627">
        <f t="shared" si="45"/>
        <v>-1</v>
      </c>
      <c r="I151" s="628">
        <f t="shared" si="8"/>
        <v>-26103150</v>
      </c>
      <c r="J151" s="629">
        <f t="shared" si="9"/>
        <v>26106000</v>
      </c>
      <c r="K151" s="630">
        <v>1425</v>
      </c>
      <c r="L151" s="631">
        <v>44949</v>
      </c>
      <c r="M151" s="638">
        <f t="shared" si="72"/>
        <v>44949</v>
      </c>
      <c r="N151" s="632" t="s">
        <v>1610</v>
      </c>
      <c r="O151" s="632" t="s">
        <v>518</v>
      </c>
      <c r="P151" s="632" t="s">
        <v>2204</v>
      </c>
      <c r="Q151" s="632">
        <v>405</v>
      </c>
      <c r="R151" s="632" t="s">
        <v>1585</v>
      </c>
      <c r="S151" s="632" t="s">
        <v>2366</v>
      </c>
      <c r="T151" s="633" t="s">
        <v>1650</v>
      </c>
      <c r="U151" s="634" t="s">
        <v>1651</v>
      </c>
      <c r="V151" s="635" t="s">
        <v>2367</v>
      </c>
      <c r="W151" s="633" t="s">
        <v>2011</v>
      </c>
      <c r="X151" s="634" t="s">
        <v>2368</v>
      </c>
      <c r="Y151" s="632">
        <f t="shared" si="10"/>
        <v>18323</v>
      </c>
      <c r="Z151" s="632">
        <f t="shared" si="11"/>
        <v>5</v>
      </c>
      <c r="AA151" s="636">
        <f t="shared" si="12"/>
        <v>-1</v>
      </c>
      <c r="AB151" s="636">
        <f t="shared" si="13"/>
        <v>6610</v>
      </c>
      <c r="AC151" s="632">
        <f t="shared" si="14"/>
        <v>33055</v>
      </c>
      <c r="AD151" s="632">
        <f t="shared" si="15"/>
        <v>5</v>
      </c>
      <c r="AE151" s="636" t="str">
        <f t="shared" si="16"/>
        <v>Tgt Hit</v>
      </c>
      <c r="AF151" s="632">
        <f t="shared" si="17"/>
        <v>14702</v>
      </c>
      <c r="AG151" s="632">
        <f t="shared" si="18"/>
        <v>3</v>
      </c>
      <c r="AH151" s="625">
        <f t="shared" si="19"/>
        <v>4899.6670000000004</v>
      </c>
    </row>
    <row r="152" spans="1:34">
      <c r="A152" s="623">
        <f t="shared" si="0"/>
        <v>10</v>
      </c>
      <c r="B152" s="624">
        <f t="shared" ref="B152:B153" si="148">IF(AF152&lt;=AG152,1,IF(AH152&lt;=0.005,2,IF(AND(AH152&gt;0.005,AH152&lt;=0.02, L182),4,IF(AND(AH152&gt;0.02,AH152&lt;=0.05),5,IF(AND(AH152&gt;0.05,AH152&lt;=0.1),7,IF(AND(AH152&gt;0.1,AH152&lt;=0.2),8,IF(AH152&gt;0.2,10)))))))</f>
        <v>10</v>
      </c>
      <c r="C152" s="623">
        <f t="shared" ref="C152:C153" si="149">IF(AA152&lt;=0.005,10,IF(AND(AA152&gt;0.005,AA152&lt;=0.01, C167),9,IF(AND(AA152&gt;0.01,AA152&lt;=0.02),8,IF(AND(AA152&gt;0.02,AA152&lt;=0.05),7,IF(AND(AA152&gt;0.05,AA152&lt;=0.1),6,IF(AND(AA152&gt;0.1,AA152&lt;=0.2),5,IF(AND(AA152&gt;0.2,AA152&lt;=0.3),4,IF(AND(AA152&gt;0.3,AA152&lt;=0.4),3,IF(AND(AA152&gt;0.4,AA152&lt;=0.5),2,IF(AA152&gt;0.5,1))))))))))</f>
        <v>1</v>
      </c>
      <c r="D152" s="623">
        <f t="shared" si="3"/>
        <v>1</v>
      </c>
      <c r="E152" s="624">
        <f t="shared" si="99"/>
        <v>5.5</v>
      </c>
      <c r="F152" s="625" t="str">
        <f t="shared" si="5"/>
        <v xml:space="preserve">     -</v>
      </c>
      <c r="G152" s="626">
        <f t="shared" si="22"/>
        <v>-0.99960000000000004</v>
      </c>
      <c r="H152" s="627">
        <f t="shared" si="45"/>
        <v>-1</v>
      </c>
      <c r="I152" s="628">
        <f t="shared" si="8"/>
        <v>-36632000</v>
      </c>
      <c r="J152" s="629">
        <f t="shared" si="9"/>
        <v>36642000</v>
      </c>
      <c r="K152" s="630">
        <v>2000</v>
      </c>
      <c r="L152" s="631">
        <v>44950</v>
      </c>
      <c r="M152" s="638">
        <f t="shared" si="72"/>
        <v>44950</v>
      </c>
      <c r="N152" s="632" t="s">
        <v>1584</v>
      </c>
      <c r="O152" s="632" t="s">
        <v>1715</v>
      </c>
      <c r="P152" s="632" t="s">
        <v>2204</v>
      </c>
      <c r="Q152" s="632">
        <v>327.5</v>
      </c>
      <c r="R152" s="632" t="s">
        <v>1585</v>
      </c>
      <c r="S152" s="632" t="s">
        <v>2366</v>
      </c>
      <c r="T152" s="633" t="s">
        <v>2180</v>
      </c>
      <c r="U152" s="634" t="s">
        <v>2351</v>
      </c>
      <c r="V152" s="635" t="s">
        <v>2369</v>
      </c>
      <c r="W152" s="633" t="s">
        <v>2292</v>
      </c>
      <c r="X152" s="634" t="s">
        <v>2370</v>
      </c>
      <c r="Y152" s="632">
        <f t="shared" si="10"/>
        <v>18323</v>
      </c>
      <c r="Z152" s="632">
        <f t="shared" si="11"/>
        <v>31138</v>
      </c>
      <c r="AA152" s="636">
        <f t="shared" si="12"/>
        <v>0.69899999999999995</v>
      </c>
      <c r="AB152" s="636">
        <f t="shared" si="13"/>
        <v>0</v>
      </c>
      <c r="AC152" s="632">
        <f t="shared" si="14"/>
        <v>31138</v>
      </c>
      <c r="AD152" s="632">
        <f t="shared" si="15"/>
        <v>7</v>
      </c>
      <c r="AE152" s="636" t="str">
        <f t="shared" si="16"/>
        <v>Tgt Hit</v>
      </c>
      <c r="AF152" s="632">
        <f t="shared" si="17"/>
        <v>31048</v>
      </c>
      <c r="AG152" s="632">
        <f t="shared" si="18"/>
        <v>2</v>
      </c>
      <c r="AH152" s="625">
        <f t="shared" si="19"/>
        <v>15523</v>
      </c>
    </row>
    <row r="153" spans="1:34">
      <c r="A153" s="623">
        <f t="shared" si="0"/>
        <v>1</v>
      </c>
      <c r="B153" s="624">
        <f t="shared" si="148"/>
        <v>10</v>
      </c>
      <c r="C153" s="623">
        <f t="shared" si="149"/>
        <v>1</v>
      </c>
      <c r="D153" s="623">
        <f t="shared" si="3"/>
        <v>10</v>
      </c>
      <c r="E153" s="624">
        <f t="shared" si="99"/>
        <v>5.5</v>
      </c>
      <c r="F153" s="625" t="str">
        <f t="shared" si="5"/>
        <v xml:space="preserve">     -</v>
      </c>
      <c r="G153" s="626">
        <f t="shared" si="22"/>
        <v>-0.99950000000000006</v>
      </c>
      <c r="H153" s="627">
        <f t="shared" si="45"/>
        <v>-1</v>
      </c>
      <c r="I153" s="628">
        <f t="shared" si="8"/>
        <v>-27625000</v>
      </c>
      <c r="J153" s="629">
        <f t="shared" si="9"/>
        <v>27629000</v>
      </c>
      <c r="K153" s="630">
        <v>1000</v>
      </c>
      <c r="L153" s="631">
        <v>44950</v>
      </c>
      <c r="M153" s="638">
        <f t="shared" si="72"/>
        <v>44950</v>
      </c>
      <c r="N153" s="632" t="s">
        <v>1610</v>
      </c>
      <c r="O153" s="632" t="s">
        <v>681</v>
      </c>
      <c r="P153" s="632" t="s">
        <v>2204</v>
      </c>
      <c r="Q153" s="632">
        <v>700</v>
      </c>
      <c r="R153" s="632" t="s">
        <v>1577</v>
      </c>
      <c r="S153" s="632" t="s">
        <v>2371</v>
      </c>
      <c r="T153" s="633" t="s">
        <v>2210</v>
      </c>
      <c r="U153" s="634" t="s">
        <v>2123</v>
      </c>
      <c r="V153" s="635" t="s">
        <v>2372</v>
      </c>
      <c r="W153" s="633" t="s">
        <v>2373</v>
      </c>
      <c r="X153" s="634" t="s">
        <v>2374</v>
      </c>
      <c r="Y153" s="632">
        <f t="shared" si="10"/>
        <v>27638</v>
      </c>
      <c r="Z153" s="632" t="str">
        <f t="shared" si="11"/>
        <v/>
      </c>
      <c r="AA153" s="636" t="str">
        <f t="shared" si="12"/>
        <v/>
      </c>
      <c r="AB153" s="636" t="str">
        <f t="shared" si="13"/>
        <v/>
      </c>
      <c r="AC153" s="632">
        <f t="shared" si="14"/>
        <v>0</v>
      </c>
      <c r="AD153" s="632">
        <f t="shared" si="15"/>
        <v>13</v>
      </c>
      <c r="AE153" s="636">
        <f t="shared" si="16"/>
        <v>1</v>
      </c>
      <c r="AF153" s="632" t="str">
        <f t="shared" si="17"/>
        <v/>
      </c>
      <c r="AG153" s="632">
        <f t="shared" si="18"/>
        <v>9</v>
      </c>
      <c r="AH153" s="625" t="str">
        <f t="shared" si="19"/>
        <v/>
      </c>
    </row>
    <row r="154" spans="1:34">
      <c r="A154" s="623">
        <f t="shared" ca="1" si="0"/>
        <v>1</v>
      </c>
      <c r="B154" s="624">
        <f t="shared" ref="B154:B155" ca="1" si="150">IF(AF154&lt;=AG154,1,IF(AH154&lt;=0.005,2,IF(AND(AH154&gt;0.005,AH154&lt;=0.02, L182),4,IF(AND(AH154&gt;0.02,AH154&lt;=0.05),5,IF(AND(AH154&gt;0.05,AH154&lt;=0.1),7,IF(AND(AH154&gt;0.1,AH154&lt;=0.2),8,IF(AH154&gt;0.2,10)))))))</f>
        <v>10</v>
      </c>
      <c r="C154" s="623">
        <f t="shared" ref="C154:C155" ca="1" si="151">IF(AA154&lt;=0.005,10,IF(AND(AA154&gt;0.005,AA154&lt;=0.01, C167),9,IF(AND(AA154&gt;0.01,AA154&lt;=0.02),8,IF(AND(AA154&gt;0.02,AA154&lt;=0.05),7,IF(AND(AA154&gt;0.05,AA154&lt;=0.1),6,IF(AND(AA154&gt;0.1,AA154&lt;=0.2),5,IF(AND(AA154&gt;0.2,AA154&lt;=0.3),4,IF(AND(AA154&gt;0.3,AA154&lt;=0.4),3,IF(AND(AA154&gt;0.4,AA154&lt;=0.5),2,IF(AA154&gt;0.5,1))))))))))</f>
        <v>1</v>
      </c>
      <c r="D154" s="623">
        <f t="shared" ca="1" si="3"/>
        <v>1</v>
      </c>
      <c r="E154" s="624">
        <f t="shared" ca="1" si="99"/>
        <v>3.3</v>
      </c>
      <c r="F154" s="625" t="str">
        <f t="shared" ca="1" si="5"/>
        <v xml:space="preserve">     -</v>
      </c>
      <c r="G154" s="626">
        <f t="shared" ca="1" si="22"/>
        <v>0.38890000000000002</v>
      </c>
      <c r="H154" s="627">
        <f t="shared" ca="1" si="45"/>
        <v>-0.16700000000000001</v>
      </c>
      <c r="I154" s="628">
        <f t="shared" ca="1" si="8"/>
        <v>10500</v>
      </c>
      <c r="J154" s="629">
        <f t="shared" ca="1" si="9"/>
        <v>4500</v>
      </c>
      <c r="K154" s="630">
        <v>250</v>
      </c>
      <c r="L154" s="631">
        <v>44953</v>
      </c>
      <c r="M154" s="639" t="s">
        <v>2375</v>
      </c>
      <c r="N154" s="632" t="str">
        <f ca="1">IFERROR(__xludf.DUMMYFUNCTION("split(M154,"" "")"),"Kushal")</f>
        <v>Kushal</v>
      </c>
      <c r="O154" s="632" t="str">
        <f ca="1">IFERROR(__xludf.DUMMYFUNCTION("""COMPUTED_VALUE"""),"BAJAJ-AUTO")</f>
        <v>BAJAJ-AUTO</v>
      </c>
      <c r="P154" s="632" t="str">
        <f ca="1">IFERROR(__xludf.DUMMYFUNCTION("""COMPUTED_VALUE"""),"FEB")</f>
        <v>FEB</v>
      </c>
      <c r="Q154" s="632">
        <f ca="1">IFERROR(__xludf.DUMMYFUNCTION("""COMPUTED_VALUE"""),3740)</f>
        <v>3740</v>
      </c>
      <c r="R154" s="632" t="str">
        <f ca="1">IFERROR(__xludf.DUMMYFUNCTION("""COMPUTED_VALUE"""),"CE")</f>
        <v>CE</v>
      </c>
      <c r="S154" s="632" t="str">
        <f ca="1">IFERROR(__xludf.DUMMYFUNCTION("""COMPUTED_VALUE"""),"@108")</f>
        <v>@108</v>
      </c>
      <c r="T154" s="633" t="str">
        <f ca="1">IFERROR(__xludf.DUMMYFUNCTION("""COMPUTED_VALUE"""),"T-150")</f>
        <v>T-150</v>
      </c>
      <c r="U154" s="634" t="str">
        <f ca="1">IFERROR(__xludf.DUMMYFUNCTION("""COMPUTED_VALUE"""),"SL-90")</f>
        <v>SL-90</v>
      </c>
      <c r="V154" s="635" t="str">
        <f ca="1">IFERROR(__xludf.DUMMYFUNCTION("""COMPUTED_VALUE"""),"O-200")</f>
        <v>O-200</v>
      </c>
      <c r="W154" s="633" t="str">
        <f ca="1">IFERROR(__xludf.DUMMYFUNCTION("""COMPUTED_VALUE"""),"H-285.05")</f>
        <v>H-285.05</v>
      </c>
      <c r="X154" s="634" t="str">
        <f ca="1">IFERROR(__xludf.DUMMYFUNCTION("""COMPUTED_VALUE"""),"L-200")</f>
        <v>L-200</v>
      </c>
      <c r="Y154" s="632">
        <f t="shared" ca="1" si="10"/>
        <v>108</v>
      </c>
      <c r="Z154" s="632">
        <f t="shared" ca="1" si="11"/>
        <v>200</v>
      </c>
      <c r="AA154" s="636">
        <f t="shared" ca="1" si="12"/>
        <v>0.85199999999999998</v>
      </c>
      <c r="AB154" s="636">
        <f t="shared" ca="1" si="13"/>
        <v>-1</v>
      </c>
      <c r="AC154" s="632">
        <f t="shared" ca="1" si="14"/>
        <v>0</v>
      </c>
      <c r="AD154" s="632">
        <f t="shared" ca="1" si="15"/>
        <v>150</v>
      </c>
      <c r="AE154" s="636">
        <f t="shared" ca="1" si="16"/>
        <v>1</v>
      </c>
      <c r="AF154" s="632">
        <f t="shared" ca="1" si="17"/>
        <v>200</v>
      </c>
      <c r="AG154" s="632">
        <f t="shared" ca="1" si="18"/>
        <v>90</v>
      </c>
      <c r="AH154" s="625">
        <f t="shared" ca="1" si="19"/>
        <v>1.222</v>
      </c>
    </row>
    <row r="155" spans="1:34">
      <c r="A155" s="623">
        <f t="shared" ca="1" si="0"/>
        <v>1</v>
      </c>
      <c r="B155" s="624">
        <f t="shared" ca="1" si="150"/>
        <v>1</v>
      </c>
      <c r="C155" s="623">
        <f t="shared" ca="1" si="151"/>
        <v>1</v>
      </c>
      <c r="D155" s="623">
        <f t="shared" ca="1" si="3"/>
        <v>1</v>
      </c>
      <c r="E155" s="624">
        <f t="shared" ca="1" si="99"/>
        <v>1</v>
      </c>
      <c r="F155" s="625">
        <f t="shared" ca="1" si="5"/>
        <v>0.375</v>
      </c>
      <c r="G155" s="626">
        <f t="shared" ca="1" si="22"/>
        <v>1.1667000000000001</v>
      </c>
      <c r="H155" s="627">
        <f t="shared" ca="1" si="45"/>
        <v>0.33300000000000002</v>
      </c>
      <c r="I155" s="628">
        <f t="shared" ca="1" si="8"/>
        <v>24500</v>
      </c>
      <c r="J155" s="629">
        <f t="shared" ca="1" si="9"/>
        <v>-7000</v>
      </c>
      <c r="K155" s="630">
        <v>3500</v>
      </c>
      <c r="L155" s="631">
        <v>44953</v>
      </c>
      <c r="M155" s="639" t="s">
        <v>2376</v>
      </c>
      <c r="N155" s="632" t="str">
        <f ca="1">IFERROR(__xludf.DUMMYFUNCTION("split(M155,"" "")"),"Varun")</f>
        <v>Varun</v>
      </c>
      <c r="O155" s="632" t="str">
        <f ca="1">IFERROR(__xludf.DUMMYFUNCTION("""COMPUTED_VALUE"""),"APOLLOTYRE")</f>
        <v>APOLLOTYRE</v>
      </c>
      <c r="P155" s="632" t="str">
        <f ca="1">IFERROR(__xludf.DUMMYFUNCTION("""COMPUTED_VALUE"""),"FEB")</f>
        <v>FEB</v>
      </c>
      <c r="Q155" s="632">
        <f ca="1">IFERROR(__xludf.DUMMYFUNCTION("""COMPUTED_VALUE"""),325)</f>
        <v>325</v>
      </c>
      <c r="R155" s="632" t="str">
        <f ca="1">IFERROR(__xludf.DUMMYFUNCTION("""COMPUTED_VALUE"""),"CE")</f>
        <v>CE</v>
      </c>
      <c r="S155" s="632" t="str">
        <f ca="1">IFERROR(__xludf.DUMMYFUNCTION("""COMPUTED_VALUE"""),"@6")</f>
        <v>@6</v>
      </c>
      <c r="T155" s="633" t="str">
        <f ca="1">IFERROR(__xludf.DUMMYFUNCTION("""COMPUTED_VALUE"""),"T-13")</f>
        <v>T-13</v>
      </c>
      <c r="U155" s="634" t="str">
        <f ca="1">IFERROR(__xludf.DUMMYFUNCTION("""COMPUTED_VALUE"""),"SL-8")</f>
        <v>SL-8</v>
      </c>
      <c r="V155" s="635" t="str">
        <f ca="1">IFERROR(__xludf.DUMMYFUNCTION("""COMPUTED_VALUE"""),"O-12")</f>
        <v>O-12</v>
      </c>
      <c r="W155" s="633" t="str">
        <f ca="1">IFERROR(__xludf.DUMMYFUNCTION("""COMPUTED_VALUE"""),"H-17.95")</f>
        <v>H-17.95</v>
      </c>
      <c r="X155" s="634" t="str">
        <f ca="1">IFERROR(__xludf.DUMMYFUNCTION("""COMPUTED_VALUE"""),"L-5")</f>
        <v>L-5</v>
      </c>
      <c r="Y155" s="632">
        <f t="shared" ca="1" si="10"/>
        <v>6</v>
      </c>
      <c r="Z155" s="632">
        <f t="shared" ca="1" si="11"/>
        <v>12</v>
      </c>
      <c r="AA155" s="636">
        <f t="shared" ca="1" si="12"/>
        <v>1</v>
      </c>
      <c r="AB155" s="636">
        <f t="shared" ca="1" si="13"/>
        <v>-1</v>
      </c>
      <c r="AC155" s="632">
        <f t="shared" ca="1" si="14"/>
        <v>0</v>
      </c>
      <c r="AD155" s="632">
        <f t="shared" ca="1" si="15"/>
        <v>13</v>
      </c>
      <c r="AE155" s="636">
        <f t="shared" ca="1" si="16"/>
        <v>1</v>
      </c>
      <c r="AF155" s="632">
        <f t="shared" ca="1" si="17"/>
        <v>5</v>
      </c>
      <c r="AG155" s="632">
        <f t="shared" ca="1" si="18"/>
        <v>8</v>
      </c>
      <c r="AH155" s="625" t="str">
        <f t="shared" ca="1" si="19"/>
        <v>SL Hit</v>
      </c>
    </row>
    <row r="156" spans="1:34">
      <c r="A156" s="623">
        <f t="shared" ca="1" si="0"/>
        <v>1</v>
      </c>
      <c r="B156" s="624">
        <f t="shared" ref="B156:B157" ca="1" si="152">IF(AF156&lt;=AG156,1,IF(AH156&lt;=0.005,2,IF(AND(AH156&gt;0.005,AH156&lt;=0.02, L182),4,IF(AND(AH156&gt;0.02,AH156&lt;=0.05),5,IF(AND(AH156&gt;0.05,AH156&lt;=0.1),7,IF(AND(AH156&gt;0.1,AH156&lt;=0.2),8,IF(AH156&gt;0.2,10)))))))</f>
        <v>10</v>
      </c>
      <c r="C156" s="623">
        <f t="shared" ref="C156:C157" ca="1" si="153">IF(AA156&lt;=0.005,10,IF(AND(AA156&gt;0.005,AA156&lt;=0.01, C167),9,IF(AND(AA156&gt;0.01,AA156&lt;=0.02),8,IF(AND(AA156&gt;0.02,AA156&lt;=0.05),7,IF(AND(AA156&gt;0.05,AA156&lt;=0.1),6,IF(AND(AA156&gt;0.1,AA156&lt;=0.2),5,IF(AND(AA156&gt;0.2,AA156&lt;=0.3),4,IF(AND(AA156&gt;0.3,AA156&lt;=0.4),3,IF(AND(AA156&gt;0.4,AA156&lt;=0.5),2,IF(AA156&gt;0.5,1))))))))))</f>
        <v>1</v>
      </c>
      <c r="D156" s="623">
        <f t="shared" ca="1" si="3"/>
        <v>10</v>
      </c>
      <c r="E156" s="624">
        <f t="shared" ca="1" si="99"/>
        <v>5.5</v>
      </c>
      <c r="F156" s="625" t="str">
        <f t="shared" ca="1" si="5"/>
        <v xml:space="preserve">     -</v>
      </c>
      <c r="G156" s="626">
        <f t="shared" ca="1" si="22"/>
        <v>-0.99980000000000002</v>
      </c>
      <c r="H156" s="627">
        <f t="shared" ca="1" si="45"/>
        <v>-0.5</v>
      </c>
      <c r="I156" s="628">
        <f t="shared" ca="1" si="8"/>
        <v>-125582400</v>
      </c>
      <c r="J156" s="629">
        <f t="shared" ca="1" si="9"/>
        <v>62808300</v>
      </c>
      <c r="K156" s="630">
        <v>5700</v>
      </c>
      <c r="L156" s="631">
        <v>44956</v>
      </c>
      <c r="M156" s="639" t="s">
        <v>2377</v>
      </c>
      <c r="N156" s="632" t="str">
        <f ca="1">IFERROR(__xludf.DUMMYFUNCTION("split(M156,"" "")"),"Varun")</f>
        <v>Varun</v>
      </c>
      <c r="O156" s="632" t="str">
        <f ca="1">IFERROR(__xludf.DUMMYFUNCTION("""COMPUTED_VALUE"""),"NTPC")</f>
        <v>NTPC</v>
      </c>
      <c r="P156" s="632" t="str">
        <f ca="1">IFERROR(__xludf.DUMMYFUNCTION("""COMPUTED_VALUE"""),"FEB")</f>
        <v>FEB</v>
      </c>
      <c r="Q156" s="632">
        <f ca="1">IFERROR(__xludf.DUMMYFUNCTION("""COMPUTED_VALUE"""),167.5)</f>
        <v>167.5</v>
      </c>
      <c r="R156" s="632" t="str">
        <f ca="1">IFERROR(__xludf.DUMMYFUNCTION("""COMPUTED_VALUE"""),"CE")</f>
        <v>CE</v>
      </c>
      <c r="S156" s="632" t="str">
        <f ca="1">IFERROR(__xludf.DUMMYFUNCTION("""COMPUTED_VALUE"""),"@5.60")</f>
        <v>@5.60</v>
      </c>
      <c r="T156" s="633" t="str">
        <f ca="1">IFERROR(__xludf.DUMMYFUNCTION("""COMPUTED_VALUE"""),"T-5")</f>
        <v>T-5</v>
      </c>
      <c r="U156" s="634" t="str">
        <f ca="1">IFERROR(__xludf.DUMMYFUNCTION("""COMPUTED_VALUE"""),"SL-3.30")</f>
        <v>SL-3.30</v>
      </c>
      <c r="V156" s="635" t="str">
        <f ca="1">IFERROR(__xludf.DUMMYFUNCTION("""COMPUTED_VALUE"""),"O-")</f>
        <v>O-</v>
      </c>
      <c r="W156" s="633" t="str">
        <f ca="1">IFERROR(__xludf.DUMMYFUNCTION("""COMPUTED_VALUE"""),"H-")</f>
        <v>H-</v>
      </c>
      <c r="X156" s="634" t="str">
        <f ca="1">IFERROR(__xludf.DUMMYFUNCTION("""COMPUTED_VALUE"""),"L-")</f>
        <v>L-</v>
      </c>
      <c r="Y156" s="632">
        <f t="shared" ca="1" si="10"/>
        <v>22037</v>
      </c>
      <c r="Z156" s="632" t="str">
        <f t="shared" ca="1" si="11"/>
        <v/>
      </c>
      <c r="AA156" s="636" t="str">
        <f t="shared" ca="1" si="12"/>
        <v/>
      </c>
      <c r="AB156" s="636" t="str">
        <f t="shared" ca="1" si="13"/>
        <v/>
      </c>
      <c r="AC156" s="632">
        <f t="shared" ca="1" si="14"/>
        <v>0</v>
      </c>
      <c r="AD156" s="632">
        <f t="shared" ca="1" si="15"/>
        <v>5</v>
      </c>
      <c r="AE156" s="636">
        <f t="shared" ca="1" si="16"/>
        <v>1</v>
      </c>
      <c r="AF156" s="632" t="str">
        <f t="shared" ca="1" si="17"/>
        <v/>
      </c>
      <c r="AG156" s="632">
        <f t="shared" ca="1" si="18"/>
        <v>11018</v>
      </c>
      <c r="AH156" s="625" t="str">
        <f t="shared" ca="1" si="19"/>
        <v/>
      </c>
    </row>
    <row r="157" spans="1:34">
      <c r="A157" s="623">
        <f t="shared" ca="1" si="0"/>
        <v>1</v>
      </c>
      <c r="B157" s="624">
        <f t="shared" ca="1" si="152"/>
        <v>10</v>
      </c>
      <c r="C157" s="623">
        <f t="shared" ca="1" si="153"/>
        <v>10</v>
      </c>
      <c r="D157" s="623">
        <f t="shared" ca="1" si="3"/>
        <v>1</v>
      </c>
      <c r="E157" s="624">
        <f t="shared" ca="1" si="99"/>
        <v>5.5</v>
      </c>
      <c r="F157" s="625" t="str">
        <f t="shared" ca="1" si="5"/>
        <v xml:space="preserve">     -</v>
      </c>
      <c r="G157" s="626">
        <f t="shared" ca="1" si="22"/>
        <v>-0.99960000000000004</v>
      </c>
      <c r="H157" s="627">
        <f t="shared" ca="1" si="45"/>
        <v>-1</v>
      </c>
      <c r="I157" s="628">
        <f t="shared" ca="1" si="8"/>
        <v>-67619200</v>
      </c>
      <c r="J157" s="629">
        <f t="shared" ca="1" si="9"/>
        <v>67633600</v>
      </c>
      <c r="K157" s="630">
        <v>1600</v>
      </c>
      <c r="L157" s="631">
        <v>44956</v>
      </c>
      <c r="M157" s="639" t="s">
        <v>2378</v>
      </c>
      <c r="N157" s="632" t="str">
        <f ca="1">IFERROR(__xludf.DUMMYFUNCTION("split(M157,"" "")"),"Kushal")</f>
        <v>Kushal</v>
      </c>
      <c r="O157" s="632" t="str">
        <f ca="1">IFERROR(__xludf.DUMMYFUNCTION("""COMPUTED_VALUE"""),"ITC")</f>
        <v>ITC</v>
      </c>
      <c r="P157" s="632" t="str">
        <f ca="1">IFERROR(__xludf.DUMMYFUNCTION("""COMPUTED_VALUE"""),"FEB")</f>
        <v>FEB</v>
      </c>
      <c r="Q157" s="632">
        <f ca="1">IFERROR(__xludf.DUMMYFUNCTION("""COMPUTED_VALUE"""),345)</f>
        <v>345</v>
      </c>
      <c r="R157" s="632" t="str">
        <f ca="1">IFERROR(__xludf.DUMMYFUNCTION("""COMPUTED_VALUE"""),"CE")</f>
        <v>CE</v>
      </c>
      <c r="S157" s="632" t="str">
        <f ca="1">IFERROR(__xludf.DUMMYFUNCTION("""COMPUTED_VALUE"""),"@10.15")</f>
        <v>@10.15</v>
      </c>
      <c r="T157" s="633" t="str">
        <f ca="1">IFERROR(__xludf.DUMMYFUNCTION("""COMPUTED_VALUE"""),"T-16")</f>
        <v>T-16</v>
      </c>
      <c r="U157" s="634" t="str">
        <f ca="1">IFERROR(__xludf.DUMMYFUNCTION("""COMPUTED_VALUE"""),"SL-7")</f>
        <v>SL-7</v>
      </c>
      <c r="V157" s="635" t="str">
        <f ca="1">IFERROR(__xludf.DUMMYFUNCTION("""COMPUTED_VALUE"""),"O-10.75")</f>
        <v>O-10.75</v>
      </c>
      <c r="W157" s="633" t="str">
        <f ca="1">IFERROR(__xludf.DUMMYFUNCTION("""COMPUTED_VALUE"""),"H-13.85")</f>
        <v>H-13.85</v>
      </c>
      <c r="X157" s="634" t="str">
        <f ca="1">IFERROR(__xludf.DUMMYFUNCTION("""COMPUTED_VALUE"""),"L-8.70")</f>
        <v>L-8.70</v>
      </c>
      <c r="Y157" s="632">
        <f t="shared" ca="1" si="10"/>
        <v>42278</v>
      </c>
      <c r="Z157" s="632">
        <f t="shared" ca="1" si="11"/>
        <v>27668</v>
      </c>
      <c r="AA157" s="636">
        <f t="shared" ca="1" si="12"/>
        <v>-0.34599999999999997</v>
      </c>
      <c r="AB157" s="636">
        <f t="shared" ca="1" si="13"/>
        <v>-1</v>
      </c>
      <c r="AC157" s="632">
        <f t="shared" ca="1" si="14"/>
        <v>0</v>
      </c>
      <c r="AD157" s="632">
        <f t="shared" ca="1" si="15"/>
        <v>16</v>
      </c>
      <c r="AE157" s="636">
        <f t="shared" ca="1" si="16"/>
        <v>1</v>
      </c>
      <c r="AF157" s="632">
        <f t="shared" ca="1" si="17"/>
        <v>25781</v>
      </c>
      <c r="AG157" s="632">
        <f t="shared" ca="1" si="18"/>
        <v>7</v>
      </c>
      <c r="AH157" s="625">
        <f t="shared" ca="1" si="19"/>
        <v>3682</v>
      </c>
    </row>
    <row r="158" spans="1:34">
      <c r="A158" s="623">
        <f t="shared" ca="1" si="0"/>
        <v>1</v>
      </c>
      <c r="B158" s="624">
        <f t="shared" ref="B158:B160" ca="1" si="154">IF(AF158&lt;=AG158,1,IF(AH158&lt;=0.005,2,IF(AND(AH158&gt;0.005,AH158&lt;=0.02, L182),4,IF(AND(AH158&gt;0.02,AH158&lt;=0.05),5,IF(AND(AH158&gt;0.05,AH158&lt;=0.1),7,IF(AND(AH158&gt;0.1,AH158&lt;=0.2),8,IF(AH158&gt;0.2,10)))))))</f>
        <v>10</v>
      </c>
      <c r="C158" s="623">
        <f t="shared" ref="C158:C160" ca="1" si="155">IF(AA158&lt;=0.005,10,IF(AND(AA158&gt;0.005,AA158&lt;=0.01, C167),9,IF(AND(AA158&gt;0.01,AA158&lt;=0.02),8,IF(AND(AA158&gt;0.02,AA158&lt;=0.05),7,IF(AND(AA158&gt;0.05,AA158&lt;=0.1),6,IF(AND(AA158&gt;0.1,AA158&lt;=0.2),5,IF(AND(AA158&gt;0.2,AA158&lt;=0.3),4,IF(AND(AA158&gt;0.3,AA158&lt;=0.4),3,IF(AND(AA158&gt;0.4,AA158&lt;=0.5),2,IF(AA158&gt;0.5,1))))))))))</f>
        <v>10</v>
      </c>
      <c r="D158" s="623">
        <f t="shared" ca="1" si="3"/>
        <v>1</v>
      </c>
      <c r="E158" s="624">
        <f t="shared" ca="1" si="99"/>
        <v>5.5</v>
      </c>
      <c r="F158" s="625" t="str">
        <f t="shared" ca="1" si="5"/>
        <v xml:space="preserve">     -</v>
      </c>
      <c r="G158" s="626">
        <f t="shared" ca="1" si="22"/>
        <v>-0.99919999999999998</v>
      </c>
      <c r="H158" s="627">
        <f t="shared" ca="1" si="45"/>
        <v>-1</v>
      </c>
      <c r="I158" s="628">
        <f t="shared" ca="1" si="8"/>
        <v>-77710500</v>
      </c>
      <c r="J158" s="629">
        <f t="shared" ca="1" si="9"/>
        <v>77749000</v>
      </c>
      <c r="K158" s="630">
        <v>3500</v>
      </c>
      <c r="L158" s="631">
        <v>44957</v>
      </c>
      <c r="M158" s="639" t="s">
        <v>2379</v>
      </c>
      <c r="N158" s="632" t="str">
        <f ca="1">IFERROR(__xludf.DUMMYFUNCTION("split(M158,"" "")"),"Kushal")</f>
        <v>Kushal</v>
      </c>
      <c r="O158" s="632" t="str">
        <f ca="1">IFERROR(__xludf.DUMMYFUNCTION("""COMPUTED_VALUE"""),"APOLLOTYRE")</f>
        <v>APOLLOTYRE</v>
      </c>
      <c r="P158" s="632" t="str">
        <f ca="1">IFERROR(__xludf.DUMMYFUNCTION("""COMPUTED_VALUE"""),"FEB")</f>
        <v>FEB</v>
      </c>
      <c r="Q158" s="632">
        <f ca="1">IFERROR(__xludf.DUMMYFUNCTION("""COMPUTED_VALUE"""),315)</f>
        <v>315</v>
      </c>
      <c r="R158" s="632" t="str">
        <f ca="1">IFERROR(__xludf.DUMMYFUNCTION("""COMPUTED_VALUE"""),"CE")</f>
        <v>CE</v>
      </c>
      <c r="S158" s="632" t="str">
        <f ca="1">IFERROR(__xludf.DUMMYFUNCTION("""COMPUTED_VALUE"""),"@11.60")</f>
        <v>@11.60</v>
      </c>
      <c r="T158" s="633" t="str">
        <f ca="1">IFERROR(__xludf.DUMMYFUNCTION("""COMPUTED_VALUE"""),"T-18")</f>
        <v>T-18</v>
      </c>
      <c r="U158" s="634" t="str">
        <f ca="1">IFERROR(__xludf.DUMMYFUNCTION("""COMPUTED_VALUE"""),"SL-7")</f>
        <v>SL-7</v>
      </c>
      <c r="V158" s="635" t="str">
        <f ca="1">IFERROR(__xludf.DUMMYFUNCTION("""COMPUTED_VALUE"""),"O-12.50")</f>
        <v>O-12.50</v>
      </c>
      <c r="W158" s="633" t="str">
        <f ca="1">IFERROR(__xludf.DUMMYFUNCTION("""COMPUTED_VALUE"""),"H-17.95")</f>
        <v>H-17.95</v>
      </c>
      <c r="X158" s="634" t="str">
        <f ca="1">IFERROR(__xludf.DUMMYFUNCTION("""COMPUTED_VALUE"""),"L-11.60")</f>
        <v>L-11.60</v>
      </c>
      <c r="Y158" s="632">
        <f t="shared" ca="1" si="10"/>
        <v>22221</v>
      </c>
      <c r="Z158" s="632">
        <f t="shared" ca="1" si="11"/>
        <v>18598</v>
      </c>
      <c r="AA158" s="636">
        <f t="shared" ca="1" si="12"/>
        <v>-0.16300000000000001</v>
      </c>
      <c r="AB158" s="636">
        <f t="shared" ca="1" si="13"/>
        <v>-1</v>
      </c>
      <c r="AC158" s="632">
        <f t="shared" ca="1" si="14"/>
        <v>0</v>
      </c>
      <c r="AD158" s="632">
        <f t="shared" ca="1" si="15"/>
        <v>18</v>
      </c>
      <c r="AE158" s="636">
        <f t="shared" ca="1" si="16"/>
        <v>1</v>
      </c>
      <c r="AF158" s="632">
        <f t="shared" ca="1" si="17"/>
        <v>22221</v>
      </c>
      <c r="AG158" s="632">
        <f t="shared" ca="1" si="18"/>
        <v>7</v>
      </c>
      <c r="AH158" s="625">
        <f t="shared" ca="1" si="19"/>
        <v>3173.4290000000001</v>
      </c>
    </row>
    <row r="159" spans="1:34">
      <c r="A159" s="623">
        <f t="shared" si="0"/>
        <v>1</v>
      </c>
      <c r="B159" s="624">
        <f t="shared" si="154"/>
        <v>10</v>
      </c>
      <c r="C159" s="623">
        <f t="shared" si="155"/>
        <v>1</v>
      </c>
      <c r="D159" s="623">
        <f t="shared" si="3"/>
        <v>10</v>
      </c>
      <c r="E159" s="624" t="str">
        <f t="shared" si="99"/>
        <v/>
      </c>
      <c r="F159" s="625" t="str">
        <f t="shared" si="5"/>
        <v xml:space="preserve">     -</v>
      </c>
      <c r="G159" s="626" t="str">
        <f t="shared" si="22"/>
        <v/>
      </c>
      <c r="H159" s="627" t="str">
        <f t="shared" si="45"/>
        <v/>
      </c>
      <c r="I159" s="628" t="e">
        <f t="shared" si="8"/>
        <v>#VALUE!</v>
      </c>
      <c r="J159" s="629" t="e">
        <f t="shared" si="9"/>
        <v>#VALUE!</v>
      </c>
      <c r="K159" s="630"/>
      <c r="L159" s="631">
        <v>44957</v>
      </c>
      <c r="M159" s="639" t="s">
        <v>1201</v>
      </c>
      <c r="N159" s="632" t="str">
        <f ca="1">IFERROR(__xludf.DUMMYFUNCTION("split(M159,"" "")"),"-")</f>
        <v>-</v>
      </c>
      <c r="O159" s="632"/>
      <c r="P159" s="632"/>
      <c r="Q159" s="632"/>
      <c r="R159" s="632"/>
      <c r="S159" s="632"/>
      <c r="T159" s="633"/>
      <c r="U159" s="634"/>
      <c r="V159" s="635"/>
      <c r="W159" s="633"/>
      <c r="X159" s="634"/>
      <c r="Y159" s="632" t="str">
        <f t="shared" si="10"/>
        <v/>
      </c>
      <c r="Z159" s="632" t="str">
        <f t="shared" si="11"/>
        <v/>
      </c>
      <c r="AA159" s="636" t="str">
        <f t="shared" si="12"/>
        <v/>
      </c>
      <c r="AB159" s="636" t="str">
        <f t="shared" si="13"/>
        <v/>
      </c>
      <c r="AC159" s="632">
        <f t="shared" si="14"/>
        <v>0</v>
      </c>
      <c r="AD159" s="632" t="str">
        <f t="shared" si="15"/>
        <v/>
      </c>
      <c r="AE159" s="636" t="str">
        <f t="shared" si="16"/>
        <v/>
      </c>
      <c r="AF159" s="632" t="str">
        <f t="shared" si="17"/>
        <v/>
      </c>
      <c r="AG159" s="632">
        <f t="shared" si="18"/>
        <v>0</v>
      </c>
      <c r="AH159" s="625" t="str">
        <f t="shared" si="19"/>
        <v/>
      </c>
    </row>
    <row r="160" spans="1:34">
      <c r="A160" s="623">
        <f t="shared" si="0"/>
        <v>1</v>
      </c>
      <c r="B160" s="624">
        <f t="shared" si="154"/>
        <v>10</v>
      </c>
      <c r="C160" s="623">
        <f t="shared" si="155"/>
        <v>1</v>
      </c>
      <c r="D160" s="623">
        <f t="shared" si="3"/>
        <v>10</v>
      </c>
      <c r="E160" s="624" t="str">
        <f t="shared" si="99"/>
        <v/>
      </c>
      <c r="F160" s="625" t="str">
        <f t="shared" si="5"/>
        <v xml:space="preserve">     -</v>
      </c>
      <c r="G160" s="626" t="str">
        <f t="shared" si="22"/>
        <v/>
      </c>
      <c r="H160" s="627" t="str">
        <f t="shared" si="45"/>
        <v/>
      </c>
      <c r="I160" s="628" t="e">
        <f t="shared" si="8"/>
        <v>#VALUE!</v>
      </c>
      <c r="J160" s="629" t="e">
        <f t="shared" si="9"/>
        <v>#VALUE!</v>
      </c>
      <c r="K160" s="630"/>
      <c r="L160" s="631"/>
      <c r="M160" s="639" t="s">
        <v>1201</v>
      </c>
      <c r="N160" s="632" t="str">
        <f ca="1">IFERROR(__xludf.DUMMYFUNCTION("split(M160,"" "")"),"-")</f>
        <v>-</v>
      </c>
      <c r="O160" s="632"/>
      <c r="P160" s="632"/>
      <c r="Q160" s="632"/>
      <c r="R160" s="632"/>
      <c r="S160" s="632"/>
      <c r="T160" s="633"/>
      <c r="U160" s="634"/>
      <c r="V160" s="635"/>
      <c r="W160" s="633"/>
      <c r="X160" s="634"/>
      <c r="Y160" s="632" t="str">
        <f t="shared" si="10"/>
        <v/>
      </c>
      <c r="Z160" s="632" t="str">
        <f t="shared" si="11"/>
        <v/>
      </c>
      <c r="AA160" s="636" t="str">
        <f t="shared" si="12"/>
        <v/>
      </c>
      <c r="AB160" s="636" t="str">
        <f t="shared" si="13"/>
        <v/>
      </c>
      <c r="AC160" s="632">
        <f t="shared" si="14"/>
        <v>0</v>
      </c>
      <c r="AD160" s="632" t="str">
        <f t="shared" si="15"/>
        <v/>
      </c>
      <c r="AE160" s="636" t="str">
        <f t="shared" si="16"/>
        <v/>
      </c>
      <c r="AF160" s="632" t="str">
        <f t="shared" si="17"/>
        <v/>
      </c>
      <c r="AG160" s="632">
        <f t="shared" si="18"/>
        <v>0</v>
      </c>
      <c r="AH160" s="625" t="str">
        <f t="shared" si="19"/>
        <v/>
      </c>
    </row>
    <row r="161" spans="1:37" ht="3.75" customHeight="1">
      <c r="C161" s="40"/>
      <c r="D161" s="40"/>
      <c r="E161" s="40"/>
      <c r="K161" s="103"/>
      <c r="L161" s="103"/>
      <c r="N161" s="40"/>
    </row>
    <row r="162" spans="1:37" ht="15" customHeight="1">
      <c r="A162" s="640">
        <f ca="1">ROUND(COUNTIFS(A2:A161,"=10",N2:N161,F162)/E162,2)</f>
        <v>0.15</v>
      </c>
      <c r="B162" s="641">
        <f ca="1">ROUND(COUNTIFS(B2:B161,"=10",N2:N161,F162)/E162,2)</f>
        <v>0.94</v>
      </c>
      <c r="C162" s="642">
        <f ca="1">ROUND(COUNTIFS(C2:C161,"&gt;=8",N2:N161,F162)/E162,2)</f>
        <v>0.19</v>
      </c>
      <c r="D162" s="640">
        <f ca="1">ROUND(COUNTIFS(D2:D161,"&gt;=8",N2:N161,F162)/E162,2)</f>
        <v>0.54</v>
      </c>
      <c r="E162" s="643">
        <f ca="1">COUNTIF(N2:N161,F162)</f>
        <v>48</v>
      </c>
      <c r="F162" s="644" t="s">
        <v>1584</v>
      </c>
      <c r="K162" s="103"/>
      <c r="L162" s="103"/>
      <c r="M162" s="637" t="s">
        <v>1827</v>
      </c>
      <c r="V162" s="645" t="s">
        <v>2380</v>
      </c>
      <c r="W162" s="40" t="s">
        <v>1201</v>
      </c>
      <c r="X162" s="645" t="s">
        <v>2381</v>
      </c>
      <c r="AI162" s="40" t="s">
        <v>1201</v>
      </c>
      <c r="AJ162" s="633" t="s">
        <v>2382</v>
      </c>
      <c r="AK162" s="40" t="s">
        <v>2383</v>
      </c>
    </row>
    <row r="163" spans="1:37" ht="3.75" customHeight="1">
      <c r="C163" s="40"/>
      <c r="D163" s="40"/>
      <c r="E163" s="40"/>
      <c r="F163" s="40"/>
      <c r="K163" s="103"/>
      <c r="L163" s="103"/>
      <c r="N163" s="40"/>
    </row>
    <row r="164" spans="1:37" ht="15" customHeight="1">
      <c r="A164" s="640">
        <v>0.64</v>
      </c>
      <c r="B164" s="641">
        <v>0.41</v>
      </c>
      <c r="C164" s="642">
        <v>0.18</v>
      </c>
      <c r="D164" s="640">
        <v>0.46</v>
      </c>
      <c r="E164" s="643">
        <v>39</v>
      </c>
      <c r="F164" s="644" t="s">
        <v>1610</v>
      </c>
      <c r="K164" s="103"/>
      <c r="L164" s="103"/>
      <c r="N164" s="40"/>
    </row>
    <row r="165" spans="1:37" ht="90">
      <c r="A165" s="614" t="s">
        <v>1549</v>
      </c>
      <c r="B165" s="614" t="s">
        <v>1550</v>
      </c>
      <c r="C165" s="614" t="s">
        <v>1551</v>
      </c>
      <c r="D165" s="614" t="s">
        <v>1552</v>
      </c>
      <c r="E165" s="614" t="s">
        <v>1553</v>
      </c>
      <c r="F165" s="614" t="s">
        <v>1554</v>
      </c>
      <c r="G165" s="615" t="s">
        <v>1555</v>
      </c>
      <c r="H165" s="616" t="s">
        <v>1556</v>
      </c>
      <c r="I165" s="615" t="s">
        <v>1557</v>
      </c>
      <c r="J165" s="616" t="s">
        <v>1558</v>
      </c>
      <c r="K165" s="617" t="s">
        <v>736</v>
      </c>
      <c r="L165" s="614" t="s">
        <v>1559</v>
      </c>
      <c r="M165" s="618" t="s">
        <v>1560</v>
      </c>
      <c r="N165" s="614" t="s">
        <v>1120</v>
      </c>
      <c r="O165" s="614" t="s">
        <v>1561</v>
      </c>
      <c r="P165" s="614" t="s">
        <v>733</v>
      </c>
      <c r="Q165" s="614" t="s">
        <v>734</v>
      </c>
      <c r="R165" s="614" t="s">
        <v>735</v>
      </c>
      <c r="S165" s="614" t="s">
        <v>1562</v>
      </c>
      <c r="T165" s="619" t="s">
        <v>1118</v>
      </c>
      <c r="U165" s="620" t="s">
        <v>1563</v>
      </c>
      <c r="V165" s="621" t="s">
        <v>1564</v>
      </c>
      <c r="W165" s="622" t="s">
        <v>1565</v>
      </c>
      <c r="X165" s="620" t="s">
        <v>1566</v>
      </c>
      <c r="Y165" s="614" t="s">
        <v>667</v>
      </c>
      <c r="Z165" s="614" t="s">
        <v>1564</v>
      </c>
      <c r="AA165" s="614" t="s">
        <v>1567</v>
      </c>
      <c r="AB165" s="614" t="s">
        <v>1568</v>
      </c>
      <c r="AC165" s="614" t="s">
        <v>1565</v>
      </c>
      <c r="AD165" s="614" t="s">
        <v>1118</v>
      </c>
      <c r="AE165" s="614" t="s">
        <v>1569</v>
      </c>
      <c r="AF165" s="614" t="s">
        <v>1566</v>
      </c>
      <c r="AG165" s="614" t="s">
        <v>1563</v>
      </c>
      <c r="AH165" s="614" t="s">
        <v>1570</v>
      </c>
      <c r="AI165" s="646"/>
    </row>
    <row r="166" spans="1:37" ht="3.75" customHeight="1">
      <c r="C166" s="40"/>
      <c r="D166" s="40"/>
      <c r="E166" s="40"/>
      <c r="K166" s="103"/>
      <c r="L166" s="103"/>
      <c r="N166" s="40"/>
    </row>
    <row r="167" spans="1:37">
      <c r="A167" s="647" t="s">
        <v>2384</v>
      </c>
      <c r="B167" s="647"/>
      <c r="C167" s="647"/>
      <c r="D167" s="632"/>
      <c r="E167" s="632"/>
      <c r="F167" s="632"/>
      <c r="G167" s="632"/>
      <c r="L167" s="647" t="s">
        <v>2385</v>
      </c>
      <c r="M167" s="647"/>
      <c r="N167" s="647"/>
      <c r="O167" s="647"/>
      <c r="AD167" s="40"/>
      <c r="AE167" s="40"/>
    </row>
    <row r="168" spans="1:37">
      <c r="A168" s="648" t="s">
        <v>2386</v>
      </c>
      <c r="B168" s="648"/>
      <c r="C168" s="648"/>
      <c r="D168" s="648"/>
      <c r="E168" s="648"/>
      <c r="F168" s="648"/>
      <c r="G168" s="632"/>
      <c r="L168" s="648" t="s">
        <v>2387</v>
      </c>
      <c r="M168" s="648"/>
      <c r="N168" s="648"/>
      <c r="O168" s="648"/>
      <c r="Z168" s="40"/>
      <c r="AA168" s="40"/>
      <c r="AB168" s="40"/>
      <c r="AD168" s="40"/>
      <c r="AE168" s="40"/>
      <c r="AF168" s="40"/>
      <c r="AG168" s="40"/>
    </row>
    <row r="169" spans="1:37">
      <c r="A169" s="649" t="s">
        <v>2388</v>
      </c>
      <c r="B169" s="649"/>
      <c r="C169" s="649"/>
      <c r="D169" s="649"/>
      <c r="E169" s="649"/>
      <c r="F169" s="649"/>
      <c r="G169" s="632"/>
      <c r="L169" s="649" t="s">
        <v>2389</v>
      </c>
      <c r="M169" s="649"/>
      <c r="N169" s="649"/>
      <c r="O169" s="649"/>
      <c r="Z169" s="40"/>
      <c r="AA169" s="40"/>
      <c r="AB169" s="40"/>
      <c r="AD169" s="40"/>
      <c r="AE169" s="40"/>
      <c r="AF169" s="40"/>
      <c r="AG169" s="40"/>
    </row>
    <row r="170" spans="1:37">
      <c r="A170" s="650" t="s">
        <v>2390</v>
      </c>
      <c r="B170" s="650"/>
      <c r="C170" s="650"/>
      <c r="D170" s="650"/>
      <c r="E170" s="650"/>
      <c r="F170" s="650"/>
      <c r="G170" s="632"/>
      <c r="L170" s="650" t="s">
        <v>2391</v>
      </c>
      <c r="M170" s="650"/>
      <c r="N170" s="650"/>
      <c r="O170" s="650"/>
      <c r="Z170" s="40"/>
      <c r="AA170" s="40"/>
      <c r="AB170" s="40"/>
      <c r="AD170" s="40"/>
      <c r="AE170" s="40"/>
      <c r="AF170" s="40"/>
      <c r="AG170" s="40"/>
    </row>
    <row r="171" spans="1:37">
      <c r="A171" s="651" t="s">
        <v>2392</v>
      </c>
      <c r="B171" s="651"/>
      <c r="C171" s="651"/>
      <c r="D171" s="651"/>
      <c r="E171" s="651"/>
      <c r="F171" s="651"/>
      <c r="G171" s="632"/>
      <c r="L171" s="651" t="s">
        <v>2393</v>
      </c>
      <c r="M171" s="651"/>
      <c r="N171" s="651"/>
      <c r="O171" s="651"/>
      <c r="Z171" s="40"/>
      <c r="AA171" s="40"/>
      <c r="AB171" s="40"/>
      <c r="AD171" s="40"/>
      <c r="AE171" s="40"/>
      <c r="AF171" s="40"/>
      <c r="AG171" s="40"/>
    </row>
    <row r="172" spans="1:37">
      <c r="A172" s="652" t="s">
        <v>2394</v>
      </c>
      <c r="B172" s="652"/>
      <c r="C172" s="652"/>
      <c r="D172" s="652"/>
      <c r="E172" s="652"/>
      <c r="F172" s="652"/>
      <c r="G172" s="632"/>
      <c r="L172" s="652" t="s">
        <v>2395</v>
      </c>
      <c r="M172" s="652"/>
      <c r="N172" s="652"/>
      <c r="O172" s="652"/>
      <c r="Z172" s="40"/>
      <c r="AA172" s="40"/>
      <c r="AB172" s="40"/>
      <c r="AD172" s="40"/>
      <c r="AE172" s="40"/>
      <c r="AF172" s="40"/>
      <c r="AG172" s="40"/>
    </row>
    <row r="173" spans="1:37">
      <c r="A173" s="653" t="s">
        <v>2396</v>
      </c>
      <c r="B173" s="653"/>
      <c r="C173" s="653"/>
      <c r="D173" s="653"/>
      <c r="E173" s="653"/>
      <c r="F173" s="653"/>
      <c r="G173" s="632"/>
      <c r="L173" s="653" t="s">
        <v>2397</v>
      </c>
      <c r="M173" s="653"/>
      <c r="N173" s="653"/>
      <c r="O173" s="653"/>
      <c r="Z173" s="40"/>
      <c r="AA173" s="40"/>
      <c r="AB173" s="40"/>
      <c r="AD173" s="40"/>
      <c r="AE173" s="40"/>
      <c r="AF173" s="40"/>
      <c r="AG173" s="40"/>
    </row>
    <row r="174" spans="1:37">
      <c r="A174" s="654" t="s">
        <v>2398</v>
      </c>
      <c r="B174" s="654"/>
      <c r="C174" s="654"/>
      <c r="D174" s="654"/>
      <c r="E174" s="654"/>
      <c r="F174" s="654"/>
      <c r="G174" s="632"/>
      <c r="L174" s="654" t="s">
        <v>2399</v>
      </c>
      <c r="M174" s="654"/>
      <c r="N174" s="654"/>
      <c r="O174" s="654"/>
      <c r="Z174" s="40"/>
      <c r="AA174" s="40"/>
      <c r="AB174" s="40"/>
      <c r="AD174" s="40"/>
      <c r="AE174" s="40"/>
      <c r="AF174" s="40"/>
      <c r="AG174" s="40"/>
    </row>
    <row r="175" spans="1:37">
      <c r="A175" s="655" t="s">
        <v>2400</v>
      </c>
      <c r="B175" s="655"/>
      <c r="C175" s="655"/>
      <c r="D175" s="655"/>
      <c r="E175" s="655"/>
      <c r="F175" s="655"/>
      <c r="G175" s="632"/>
      <c r="L175" s="655" t="s">
        <v>2401</v>
      </c>
      <c r="M175" s="655"/>
      <c r="N175" s="655"/>
      <c r="O175" s="655"/>
    </row>
    <row r="176" spans="1:37">
      <c r="A176" s="656" t="s">
        <v>2402</v>
      </c>
      <c r="B176" s="656"/>
      <c r="C176" s="656"/>
      <c r="D176" s="656"/>
      <c r="E176" s="656"/>
      <c r="F176" s="656"/>
      <c r="G176" s="632"/>
      <c r="L176" s="656" t="s">
        <v>2403</v>
      </c>
      <c r="M176" s="656"/>
      <c r="N176" s="656"/>
      <c r="O176" s="656"/>
      <c r="Z176" s="40"/>
      <c r="AA176" s="40"/>
      <c r="AB176" s="40"/>
      <c r="AD176" s="40"/>
      <c r="AE176" s="40"/>
      <c r="AF176" s="40"/>
      <c r="AG176" s="40"/>
    </row>
    <row r="177" spans="1:33">
      <c r="A177" s="657" t="s">
        <v>2404</v>
      </c>
      <c r="B177" s="657"/>
      <c r="C177" s="657"/>
      <c r="D177" s="657"/>
      <c r="E177" s="657"/>
      <c r="F177" s="657"/>
      <c r="G177" s="632"/>
      <c r="L177" s="657" t="s">
        <v>2405</v>
      </c>
      <c r="M177" s="657"/>
      <c r="N177" s="657"/>
      <c r="O177" s="657"/>
      <c r="Z177" s="40"/>
      <c r="AA177" s="40"/>
      <c r="AB177" s="40"/>
      <c r="AD177" s="40"/>
      <c r="AE177" s="40"/>
      <c r="AF177" s="40"/>
      <c r="AG177" s="40"/>
    </row>
    <row r="178" spans="1:33">
      <c r="G178" s="632"/>
      <c r="Z178" s="40"/>
      <c r="AA178" s="40"/>
      <c r="AB178" s="40"/>
      <c r="AD178" s="40"/>
      <c r="AE178" s="40"/>
      <c r="AF178" s="40"/>
      <c r="AG178" s="40"/>
    </row>
    <row r="179" spans="1:33">
      <c r="A179" s="647" t="s">
        <v>2406</v>
      </c>
      <c r="B179" s="633"/>
      <c r="C179" s="633"/>
      <c r="D179" s="633"/>
      <c r="E179" s="633"/>
      <c r="F179" s="632"/>
      <c r="G179" s="632"/>
      <c r="L179" s="658" t="s">
        <v>2407</v>
      </c>
      <c r="M179" s="634"/>
      <c r="N179" s="634"/>
      <c r="O179" s="658"/>
    </row>
    <row r="180" spans="1:33">
      <c r="A180" s="648" t="s">
        <v>2408</v>
      </c>
      <c r="B180" s="648"/>
      <c r="C180" s="648"/>
      <c r="D180" s="648"/>
      <c r="E180" s="648"/>
      <c r="F180" s="648"/>
      <c r="G180" s="632"/>
      <c r="L180" s="655" t="s">
        <v>2409</v>
      </c>
      <c r="M180" s="655"/>
      <c r="N180" s="655"/>
      <c r="O180" s="655"/>
    </row>
    <row r="181" spans="1:33">
      <c r="A181" s="649" t="s">
        <v>2410</v>
      </c>
      <c r="B181" s="649"/>
      <c r="C181" s="649"/>
      <c r="D181" s="649"/>
      <c r="E181" s="649"/>
      <c r="F181" s="649"/>
      <c r="G181" s="632"/>
      <c r="L181" s="656" t="s">
        <v>2411</v>
      </c>
      <c r="M181" s="656"/>
      <c r="N181" s="656"/>
      <c r="O181" s="656"/>
    </row>
    <row r="182" spans="1:33">
      <c r="A182" s="650" t="s">
        <v>2412</v>
      </c>
      <c r="B182" s="650"/>
      <c r="C182" s="650"/>
      <c r="D182" s="650"/>
      <c r="E182" s="650"/>
      <c r="F182" s="650"/>
      <c r="G182" s="632"/>
      <c r="L182" s="657" t="s">
        <v>2413</v>
      </c>
      <c r="M182" s="657"/>
      <c r="N182" s="657"/>
      <c r="O182" s="657"/>
    </row>
    <row r="183" spans="1:33">
      <c r="A183" s="651" t="s">
        <v>2414</v>
      </c>
      <c r="B183" s="651"/>
      <c r="C183" s="651"/>
      <c r="D183" s="651"/>
      <c r="E183" s="651"/>
      <c r="F183" s="651"/>
      <c r="G183" s="632"/>
      <c r="L183" s="659" t="s">
        <v>2415</v>
      </c>
      <c r="M183" s="659"/>
      <c r="N183" s="659"/>
      <c r="O183" s="659"/>
    </row>
    <row r="184" spans="1:33">
      <c r="A184" s="652" t="s">
        <v>2416</v>
      </c>
      <c r="B184" s="652"/>
      <c r="C184" s="652"/>
      <c r="D184" s="652"/>
      <c r="E184" s="652"/>
      <c r="F184" s="652"/>
      <c r="G184" s="632"/>
      <c r="L184" s="660" t="s">
        <v>2417</v>
      </c>
      <c r="M184" s="660"/>
      <c r="N184" s="660"/>
      <c r="O184" s="660"/>
    </row>
    <row r="185" spans="1:33">
      <c r="A185" s="653" t="s">
        <v>2418</v>
      </c>
      <c r="B185" s="653"/>
      <c r="C185" s="653"/>
      <c r="D185" s="653"/>
      <c r="E185" s="653"/>
      <c r="F185" s="653"/>
      <c r="G185" s="632"/>
      <c r="L185" s="661" t="s">
        <v>2419</v>
      </c>
      <c r="M185" s="661"/>
      <c r="N185" s="661"/>
      <c r="O185" s="661"/>
    </row>
    <row r="186" spans="1:33">
      <c r="A186" s="654" t="s">
        <v>2420</v>
      </c>
      <c r="B186" s="654"/>
      <c r="C186" s="654"/>
      <c r="D186" s="654"/>
      <c r="E186" s="654"/>
      <c r="F186" s="654"/>
      <c r="G186" s="632"/>
      <c r="L186" s="662" t="s">
        <v>2421</v>
      </c>
      <c r="M186" s="662"/>
      <c r="N186" s="662"/>
      <c r="O186" s="662"/>
    </row>
  </sheetData>
  <conditionalFormatting sqref="A2:A160 C2:D160">
    <cfRule type="cellIs" dxfId="35" priority="1" operator="equal">
      <formula>1</formula>
    </cfRule>
  </conditionalFormatting>
  <conditionalFormatting sqref="A2:A160 C2:D160">
    <cfRule type="cellIs" dxfId="34" priority="2" operator="equal">
      <formula>2</formula>
    </cfRule>
  </conditionalFormatting>
  <conditionalFormatting sqref="A2:A160 C2:D160">
    <cfRule type="cellIs" dxfId="33" priority="3" operator="equal">
      <formula>4</formula>
    </cfRule>
  </conditionalFormatting>
  <conditionalFormatting sqref="A2:A160 C2:D160">
    <cfRule type="cellIs" dxfId="32" priority="4" operator="equal">
      <formula>5</formula>
    </cfRule>
  </conditionalFormatting>
  <conditionalFormatting sqref="A2:A160 C2:D160">
    <cfRule type="cellIs" dxfId="31" priority="5" operator="equal">
      <formula>7</formula>
    </cfRule>
  </conditionalFormatting>
  <conditionalFormatting sqref="A2:A160 C2:D160">
    <cfRule type="cellIs" dxfId="30" priority="6" operator="equal">
      <formula>8</formula>
    </cfRule>
  </conditionalFormatting>
  <conditionalFormatting sqref="A2:A160 C2:D160">
    <cfRule type="cellIs" dxfId="29" priority="7" operator="equal">
      <formula>9</formula>
    </cfRule>
  </conditionalFormatting>
  <conditionalFormatting sqref="A2:A160 C2:D160">
    <cfRule type="cellIs" dxfId="28" priority="8" operator="equal">
      <formula>10</formula>
    </cfRule>
  </conditionalFormatting>
  <conditionalFormatting sqref="B2:E160">
    <cfRule type="cellIs" dxfId="27" priority="9" operator="equal">
      <formula>1</formula>
    </cfRule>
  </conditionalFormatting>
  <conditionalFormatting sqref="B2:E160">
    <cfRule type="cellIs" dxfId="26" priority="10" operator="equal">
      <formula>2</formula>
    </cfRule>
  </conditionalFormatting>
  <conditionalFormatting sqref="B2:E160">
    <cfRule type="cellIs" dxfId="25" priority="11" operator="equal">
      <formula>4</formula>
    </cfRule>
  </conditionalFormatting>
  <conditionalFormatting sqref="B2:E160">
    <cfRule type="cellIs" dxfId="24" priority="12" operator="equal">
      <formula>5</formula>
    </cfRule>
  </conditionalFormatting>
  <conditionalFormatting sqref="B2:E160">
    <cfRule type="cellIs" dxfId="23" priority="13" operator="equal">
      <formula>7</formula>
    </cfRule>
  </conditionalFormatting>
  <conditionalFormatting sqref="B2:E160">
    <cfRule type="cellIs" dxfId="22" priority="14" operator="equal">
      <formula>8</formula>
    </cfRule>
  </conditionalFormatting>
  <conditionalFormatting sqref="B2:E160">
    <cfRule type="cellIs" dxfId="21" priority="15" operator="equal">
      <formula>10</formula>
    </cfRule>
  </conditionalFormatting>
  <conditionalFormatting sqref="F2:F160">
    <cfRule type="cellIs" dxfId="20" priority="16" operator="equal">
      <formula>"SL Hit"</formula>
    </cfRule>
  </conditionalFormatting>
  <conditionalFormatting sqref="F2:F160">
    <cfRule type="cellIs" dxfId="19" priority="17" operator="between">
      <formula>0</formula>
      <formula>0.05</formula>
    </cfRule>
  </conditionalFormatting>
  <conditionalFormatting sqref="F2:F160">
    <cfRule type="cellIs" dxfId="18" priority="18" operator="between">
      <formula>0.05</formula>
      <formula>0.15</formula>
    </cfRule>
  </conditionalFormatting>
  <conditionalFormatting sqref="F2:F160">
    <cfRule type="cellIs" dxfId="17" priority="19" operator="between">
      <formula>0.15</formula>
      <formula>0.25</formula>
    </cfRule>
  </conditionalFormatting>
  <conditionalFormatting sqref="F2:F160">
    <cfRule type="cellIs" dxfId="16" priority="20" operator="between">
      <formula>0.25</formula>
      <formula>0.35</formula>
    </cfRule>
  </conditionalFormatting>
  <conditionalFormatting sqref="F2:F160">
    <cfRule type="cellIs" dxfId="15" priority="21" operator="between">
      <formula>0.35</formula>
      <formula>0.5</formula>
    </cfRule>
  </conditionalFormatting>
  <conditionalFormatting sqref="F2:F160">
    <cfRule type="cellIs" dxfId="14" priority="22" operator="greaterThan">
      <formula>0.5</formula>
    </cfRule>
  </conditionalFormatting>
  <conditionalFormatting sqref="AA2:AB160 AE2:AE160">
    <cfRule type="cellIs" dxfId="13" priority="23" operator="equal">
      <formula>"Tgt Hit"</formula>
    </cfRule>
  </conditionalFormatting>
  <conditionalFormatting sqref="AA2:AB160 AE2:AE160">
    <cfRule type="cellIs" dxfId="12" priority="24" operator="lessThanOrEqual">
      <formula>0.05</formula>
    </cfRule>
  </conditionalFormatting>
  <conditionalFormatting sqref="AA2:AB160 AE2:AE160">
    <cfRule type="cellIs" dxfId="11" priority="25" operator="between">
      <formula>0.05</formula>
      <formula>0.15</formula>
    </cfRule>
  </conditionalFormatting>
  <conditionalFormatting sqref="AA2:AB160 AE2:AE160">
    <cfRule type="cellIs" dxfId="10" priority="26" operator="between">
      <formula>0.15</formula>
      <formula>0.25</formula>
    </cfRule>
  </conditionalFormatting>
  <conditionalFormatting sqref="AA2:AB160 AE2:AE160">
    <cfRule type="cellIs" dxfId="9" priority="27" operator="between">
      <formula>0.25</formula>
      <formula>0.35</formula>
    </cfRule>
  </conditionalFormatting>
  <conditionalFormatting sqref="AA2:AB160 AE2:AE160">
    <cfRule type="cellIs" dxfId="8" priority="28" operator="between">
      <formula>0.35</formula>
      <formula>0.45</formula>
    </cfRule>
  </conditionalFormatting>
  <conditionalFormatting sqref="AA2:AB160 AE2:AE160">
    <cfRule type="cellIs" dxfId="7" priority="29" operator="greaterThan">
      <formula>0.45</formula>
    </cfRule>
  </conditionalFormatting>
  <conditionalFormatting sqref="AH2:AH160">
    <cfRule type="cellIs" dxfId="6" priority="30" operator="equal">
      <formula>"SL Hit"</formula>
    </cfRule>
  </conditionalFormatting>
  <conditionalFormatting sqref="AH2:AH160">
    <cfRule type="cellIs" dxfId="5" priority="31" operator="between">
      <formula>0</formula>
      <formula>0.05</formula>
    </cfRule>
  </conditionalFormatting>
  <conditionalFormatting sqref="AH2:AH160">
    <cfRule type="cellIs" dxfId="4" priority="32" operator="between">
      <formula>0.05</formula>
      <formula>0.15</formula>
    </cfRule>
  </conditionalFormatting>
  <conditionalFormatting sqref="AH2:AH160">
    <cfRule type="cellIs" dxfId="3" priority="33" operator="between">
      <formula>0.15</formula>
      <formula>0.25</formula>
    </cfRule>
  </conditionalFormatting>
  <conditionalFormatting sqref="AH2:AH160">
    <cfRule type="cellIs" dxfId="2" priority="34" operator="between">
      <formula>0.25</formula>
      <formula>0.35</formula>
    </cfRule>
  </conditionalFormatting>
  <conditionalFormatting sqref="AH2:AH160">
    <cfRule type="cellIs" dxfId="1" priority="35" operator="between">
      <formula>0.35</formula>
      <formula>0.5</formula>
    </cfRule>
  </conditionalFormatting>
  <conditionalFormatting sqref="AH2:AH160">
    <cfRule type="cellIs" dxfId="0" priority="36" operator="greaterThan">
      <formula>0.5</formula>
    </cfRule>
  </conditionalFormatting>
  <dataValidations count="1">
    <dataValidation type="list" allowBlank="1" sqref="F162">
      <formula1>N2:N161</formula1>
    </dataValidation>
  </dataValidations>
  <pageMargins left="0.7" right="0.7" top="0.75" bottom="0.75" header="0" footer="0"/>
  <pageSetup orientation="landscape"/>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Z45"/>
  <sheetViews>
    <sheetView workbookViewId="0"/>
  </sheetViews>
  <sheetFormatPr baseColWidth="10" defaultColWidth="14.42578125" defaultRowHeight="15" customHeight="1"/>
  <cols>
    <col min="1" max="1" width="3.140625" customWidth="1"/>
    <col min="2" max="2" width="16.140625" customWidth="1"/>
    <col min="3" max="3" width="16" customWidth="1"/>
    <col min="4" max="5" width="11.5703125" customWidth="1"/>
    <col min="6" max="6" width="6.5703125" hidden="1" customWidth="1"/>
    <col min="7" max="7" width="9.85546875" customWidth="1"/>
    <col min="8" max="8" width="9.85546875" hidden="1" customWidth="1"/>
    <col min="9" max="26" width="9.85546875" customWidth="1"/>
  </cols>
  <sheetData>
    <row r="1" spans="1:26" ht="13.5" customHeight="1">
      <c r="A1" s="4" t="s">
        <v>2422</v>
      </c>
      <c r="B1" s="4" t="s">
        <v>987</v>
      </c>
      <c r="C1" s="4" t="s">
        <v>1117</v>
      </c>
      <c r="D1" s="4" t="s">
        <v>2423</v>
      </c>
      <c r="E1" s="4" t="s">
        <v>2424</v>
      </c>
      <c r="F1" s="4" t="s">
        <v>2424</v>
      </c>
      <c r="G1" s="4" t="s">
        <v>2425</v>
      </c>
      <c r="H1" s="4" t="s">
        <v>2426</v>
      </c>
      <c r="I1" s="4" t="s">
        <v>2426</v>
      </c>
      <c r="J1" s="4" t="s">
        <v>2427</v>
      </c>
      <c r="K1" s="4"/>
      <c r="L1" s="4"/>
      <c r="M1" s="4"/>
      <c r="N1" s="4"/>
      <c r="O1" s="4"/>
      <c r="P1" s="4"/>
      <c r="Q1" s="4"/>
      <c r="R1" s="4"/>
      <c r="S1" s="4"/>
      <c r="T1" s="4"/>
      <c r="U1" s="4"/>
      <c r="V1" s="4"/>
      <c r="W1" s="4"/>
      <c r="X1" s="4"/>
      <c r="Y1" s="4"/>
      <c r="Z1" s="4"/>
    </row>
    <row r="2" spans="1:26" ht="13.5" customHeight="1">
      <c r="A2" s="4">
        <v>8</v>
      </c>
      <c r="B2" s="4" t="s">
        <v>607</v>
      </c>
      <c r="C2" s="663" t="s">
        <v>1168</v>
      </c>
      <c r="D2" s="664" t="s">
        <v>2428</v>
      </c>
      <c r="E2" s="4">
        <f t="shared" ref="E2:E14" si="0">G2*I2</f>
        <v>10650</v>
      </c>
      <c r="F2" s="4">
        <v>10000</v>
      </c>
      <c r="G2" s="4">
        <v>710</v>
      </c>
      <c r="H2" s="4">
        <f t="shared" ref="H2:H14" si="1">F2/G2</f>
        <v>14.084507042253522</v>
      </c>
      <c r="I2" s="4">
        <v>15</v>
      </c>
      <c r="J2" s="4"/>
      <c r="K2" s="4"/>
      <c r="L2" s="4"/>
      <c r="M2" s="4"/>
      <c r="N2" s="4"/>
      <c r="O2" s="4"/>
      <c r="P2" s="4"/>
      <c r="Q2" s="4"/>
      <c r="R2" s="4"/>
      <c r="S2" s="4"/>
      <c r="T2" s="4"/>
      <c r="U2" s="4"/>
      <c r="V2" s="4"/>
      <c r="W2" s="4"/>
      <c r="X2" s="4"/>
      <c r="Y2" s="4"/>
      <c r="Z2" s="4"/>
    </row>
    <row r="3" spans="1:26" ht="13.5" customHeight="1">
      <c r="A3" s="4">
        <v>9</v>
      </c>
      <c r="B3" s="4" t="s">
        <v>527</v>
      </c>
      <c r="C3" s="663" t="s">
        <v>1371</v>
      </c>
      <c r="D3" s="664" t="s">
        <v>2429</v>
      </c>
      <c r="E3" s="4">
        <f t="shared" si="0"/>
        <v>9900</v>
      </c>
      <c r="F3" s="4">
        <v>10000</v>
      </c>
      <c r="G3" s="4">
        <v>396</v>
      </c>
      <c r="H3" s="4">
        <f t="shared" si="1"/>
        <v>25.252525252525253</v>
      </c>
      <c r="I3" s="4">
        <v>25</v>
      </c>
      <c r="J3" s="4" t="s">
        <v>2430</v>
      </c>
      <c r="K3" s="4"/>
      <c r="L3" s="4"/>
      <c r="M3" s="4"/>
      <c r="N3" s="4"/>
      <c r="O3" s="4"/>
      <c r="P3" s="4"/>
      <c r="Q3" s="4"/>
      <c r="R3" s="4"/>
      <c r="S3" s="4"/>
      <c r="T3" s="4"/>
      <c r="U3" s="4"/>
      <c r="V3" s="4"/>
      <c r="W3" s="4"/>
      <c r="X3" s="4"/>
      <c r="Y3" s="4"/>
      <c r="Z3" s="4"/>
    </row>
    <row r="4" spans="1:26" ht="13.5" customHeight="1">
      <c r="A4" s="4">
        <v>10</v>
      </c>
      <c r="B4" s="4" t="s">
        <v>721</v>
      </c>
      <c r="C4" s="663" t="s">
        <v>1158</v>
      </c>
      <c r="D4" s="664" t="s">
        <v>2431</v>
      </c>
      <c r="E4" s="4">
        <f t="shared" si="0"/>
        <v>11680</v>
      </c>
      <c r="F4" s="4">
        <v>10000</v>
      </c>
      <c r="G4" s="4">
        <v>584</v>
      </c>
      <c r="H4" s="4">
        <f t="shared" si="1"/>
        <v>17.123287671232877</v>
      </c>
      <c r="I4" s="4">
        <v>20</v>
      </c>
      <c r="J4" s="4" t="s">
        <v>2430</v>
      </c>
      <c r="K4" s="4"/>
      <c r="L4" s="4"/>
      <c r="M4" s="4"/>
      <c r="N4" s="4"/>
      <c r="O4" s="4"/>
      <c r="P4" s="4"/>
      <c r="Q4" s="4"/>
      <c r="R4" s="4"/>
      <c r="S4" s="4"/>
      <c r="T4" s="4"/>
      <c r="U4" s="4"/>
      <c r="V4" s="4"/>
      <c r="W4" s="4"/>
      <c r="X4" s="4"/>
      <c r="Y4" s="4"/>
      <c r="Z4" s="4"/>
    </row>
    <row r="5" spans="1:26" ht="13.5" customHeight="1">
      <c r="A5" s="4">
        <v>11</v>
      </c>
      <c r="B5" s="4" t="s">
        <v>601</v>
      </c>
      <c r="C5" s="663" t="s">
        <v>1328</v>
      </c>
      <c r="D5" s="664" t="s">
        <v>2428</v>
      </c>
      <c r="E5" s="4">
        <f t="shared" si="0"/>
        <v>9140</v>
      </c>
      <c r="F5" s="4">
        <v>10000</v>
      </c>
      <c r="G5" s="4">
        <v>91.4</v>
      </c>
      <c r="H5" s="4">
        <f t="shared" si="1"/>
        <v>109.40919037199124</v>
      </c>
      <c r="I5" s="4">
        <v>100</v>
      </c>
      <c r="J5" s="4" t="s">
        <v>2430</v>
      </c>
      <c r="K5" s="4"/>
      <c r="L5" s="4"/>
      <c r="M5" s="4"/>
      <c r="N5" s="4"/>
      <c r="O5" s="4"/>
      <c r="P5" s="4"/>
      <c r="Q5" s="4"/>
      <c r="R5" s="4"/>
      <c r="S5" s="4"/>
      <c r="T5" s="4"/>
      <c r="U5" s="4"/>
      <c r="V5" s="4"/>
      <c r="W5" s="4"/>
      <c r="X5" s="4"/>
      <c r="Y5" s="4"/>
      <c r="Z5" s="4"/>
    </row>
    <row r="6" spans="1:26" ht="13.5" customHeight="1">
      <c r="A6" s="4">
        <v>12</v>
      </c>
      <c r="B6" s="4" t="s">
        <v>689</v>
      </c>
      <c r="C6" s="663" t="s">
        <v>1371</v>
      </c>
      <c r="D6" s="664" t="s">
        <v>2428</v>
      </c>
      <c r="E6" s="4">
        <f t="shared" si="0"/>
        <v>9600</v>
      </c>
      <c r="F6" s="4">
        <v>10000</v>
      </c>
      <c r="G6" s="4">
        <v>320</v>
      </c>
      <c r="H6" s="4">
        <f t="shared" si="1"/>
        <v>31.25</v>
      </c>
      <c r="I6" s="4">
        <v>30</v>
      </c>
      <c r="J6" s="4"/>
      <c r="K6" s="4"/>
      <c r="L6" s="4"/>
      <c r="M6" s="4"/>
      <c r="N6" s="4"/>
      <c r="O6" s="4"/>
      <c r="P6" s="4"/>
      <c r="Q6" s="4"/>
      <c r="R6" s="4"/>
      <c r="S6" s="4"/>
      <c r="T6" s="4"/>
      <c r="U6" s="4"/>
      <c r="V6" s="4"/>
      <c r="W6" s="4"/>
      <c r="X6" s="4"/>
      <c r="Y6" s="4"/>
      <c r="Z6" s="4"/>
    </row>
    <row r="7" spans="1:26" ht="13.5" customHeight="1">
      <c r="A7" s="4">
        <v>7</v>
      </c>
      <c r="B7" s="4" t="s">
        <v>472</v>
      </c>
      <c r="C7" s="663" t="s">
        <v>1401</v>
      </c>
      <c r="D7" s="664" t="s">
        <v>2429</v>
      </c>
      <c r="E7" s="4">
        <f t="shared" si="0"/>
        <v>9070</v>
      </c>
      <c r="F7" s="4">
        <v>10000</v>
      </c>
      <c r="G7" s="665">
        <v>1814</v>
      </c>
      <c r="H7" s="4">
        <f t="shared" si="1"/>
        <v>5.5126791620727671</v>
      </c>
      <c r="I7" s="4">
        <v>5</v>
      </c>
      <c r="J7" s="4" t="s">
        <v>2430</v>
      </c>
      <c r="K7" s="4"/>
      <c r="L7" s="4"/>
      <c r="M7" s="4"/>
      <c r="N7" s="4"/>
      <c r="O7" s="4"/>
      <c r="P7" s="4"/>
      <c r="Q7" s="4"/>
      <c r="R7" s="4"/>
      <c r="S7" s="4"/>
      <c r="T7" s="4"/>
      <c r="U7" s="4"/>
      <c r="V7" s="4"/>
      <c r="W7" s="4"/>
      <c r="X7" s="4"/>
      <c r="Y7" s="4"/>
      <c r="Z7" s="4"/>
    </row>
    <row r="8" spans="1:26" ht="13.5" customHeight="1">
      <c r="A8" s="4">
        <v>13</v>
      </c>
      <c r="B8" s="4" t="s">
        <v>2432</v>
      </c>
      <c r="C8" s="663" t="s">
        <v>1328</v>
      </c>
      <c r="D8" s="664" t="s">
        <v>2431</v>
      </c>
      <c r="E8" s="4">
        <f t="shared" si="0"/>
        <v>9300</v>
      </c>
      <c r="F8" s="4">
        <v>10000</v>
      </c>
      <c r="G8" s="4">
        <v>46.5</v>
      </c>
      <c r="H8" s="4">
        <f t="shared" si="1"/>
        <v>215.05376344086022</v>
      </c>
      <c r="I8" s="4">
        <v>200</v>
      </c>
      <c r="J8" s="4"/>
      <c r="K8" s="4"/>
      <c r="L8" s="4"/>
      <c r="M8" s="4"/>
      <c r="N8" s="4"/>
      <c r="O8" s="4"/>
      <c r="P8" s="4"/>
      <c r="Q8" s="4"/>
      <c r="R8" s="4"/>
      <c r="S8" s="4"/>
      <c r="T8" s="4"/>
      <c r="U8" s="4"/>
      <c r="V8" s="4"/>
      <c r="W8" s="4"/>
      <c r="X8" s="4"/>
      <c r="Y8" s="4"/>
      <c r="Z8" s="4"/>
    </row>
    <row r="9" spans="1:26" ht="13.5" customHeight="1">
      <c r="A9" s="4">
        <v>1</v>
      </c>
      <c r="B9" s="4" t="s">
        <v>605</v>
      </c>
      <c r="C9" s="663" t="s">
        <v>1158</v>
      </c>
      <c r="D9" s="664" t="s">
        <v>2428</v>
      </c>
      <c r="E9" s="4">
        <f t="shared" si="0"/>
        <v>9400</v>
      </c>
      <c r="F9" s="4">
        <v>10000</v>
      </c>
      <c r="G9" s="4">
        <v>376</v>
      </c>
      <c r="H9" s="4">
        <f t="shared" si="1"/>
        <v>26.595744680851062</v>
      </c>
      <c r="I9" s="4">
        <v>25</v>
      </c>
      <c r="J9" s="4"/>
      <c r="K9" s="4"/>
      <c r="L9" s="4"/>
      <c r="M9" s="4"/>
      <c r="N9" s="4"/>
      <c r="O9" s="4"/>
      <c r="P9" s="4"/>
      <c r="Q9" s="4"/>
      <c r="R9" s="4"/>
      <c r="S9" s="4"/>
      <c r="T9" s="4"/>
      <c r="U9" s="4"/>
      <c r="V9" s="4"/>
      <c r="W9" s="4"/>
      <c r="X9" s="4"/>
      <c r="Y9" s="4"/>
      <c r="Z9" s="4"/>
    </row>
    <row r="10" spans="1:26" ht="13.5" customHeight="1">
      <c r="A10" s="4">
        <v>2</v>
      </c>
      <c r="B10" s="4" t="s">
        <v>2433</v>
      </c>
      <c r="C10" s="663" t="s">
        <v>1210</v>
      </c>
      <c r="D10" s="664" t="s">
        <v>2431</v>
      </c>
      <c r="E10" s="4">
        <f t="shared" si="0"/>
        <v>10320</v>
      </c>
      <c r="F10" s="4">
        <v>10000</v>
      </c>
      <c r="G10" s="4">
        <v>516</v>
      </c>
      <c r="H10" s="4">
        <f t="shared" si="1"/>
        <v>19.379844961240309</v>
      </c>
      <c r="I10" s="4">
        <v>20</v>
      </c>
      <c r="J10" s="4"/>
      <c r="K10" s="4"/>
      <c r="L10" s="4"/>
      <c r="M10" s="4"/>
      <c r="N10" s="4"/>
      <c r="O10" s="4"/>
      <c r="P10" s="4"/>
      <c r="Q10" s="4"/>
      <c r="R10" s="4"/>
      <c r="S10" s="4"/>
      <c r="T10" s="4"/>
      <c r="U10" s="4"/>
      <c r="V10" s="4"/>
      <c r="W10" s="4"/>
      <c r="X10" s="4"/>
      <c r="Y10" s="4"/>
      <c r="Z10" s="4"/>
    </row>
    <row r="11" spans="1:26" ht="13.5" customHeight="1">
      <c r="A11" s="4">
        <v>3</v>
      </c>
      <c r="B11" s="4" t="s">
        <v>2434</v>
      </c>
      <c r="C11" s="663" t="s">
        <v>1226</v>
      </c>
      <c r="D11" s="664" t="s">
        <v>2431</v>
      </c>
      <c r="E11" s="4">
        <f t="shared" si="0"/>
        <v>10680</v>
      </c>
      <c r="F11" s="4">
        <v>10000</v>
      </c>
      <c r="G11" s="4">
        <v>35.6</v>
      </c>
      <c r="H11" s="4">
        <f t="shared" si="1"/>
        <v>280.89887640449439</v>
      </c>
      <c r="I11" s="4">
        <v>300</v>
      </c>
      <c r="J11" s="4"/>
      <c r="K11" s="4"/>
      <c r="L11" s="4"/>
      <c r="M11" s="4"/>
      <c r="N11" s="4"/>
      <c r="O11" s="4"/>
      <c r="P11" s="4"/>
      <c r="Q11" s="4"/>
      <c r="R11" s="4"/>
      <c r="S11" s="4"/>
      <c r="T11" s="4"/>
      <c r="U11" s="4"/>
      <c r="V11" s="4"/>
      <c r="W11" s="4"/>
      <c r="X11" s="4"/>
      <c r="Y11" s="4"/>
      <c r="Z11" s="4"/>
    </row>
    <row r="12" spans="1:26" ht="13.5" customHeight="1">
      <c r="A12" s="4">
        <v>4</v>
      </c>
      <c r="B12" s="4" t="s">
        <v>495</v>
      </c>
      <c r="C12" s="663" t="s">
        <v>1193</v>
      </c>
      <c r="D12" s="664" t="s">
        <v>2429</v>
      </c>
      <c r="E12" s="4">
        <f t="shared" si="0"/>
        <v>10080</v>
      </c>
      <c r="F12" s="4">
        <v>10000</v>
      </c>
      <c r="G12" s="4">
        <v>112</v>
      </c>
      <c r="H12" s="4">
        <f t="shared" si="1"/>
        <v>89.285714285714292</v>
      </c>
      <c r="I12" s="4">
        <v>90</v>
      </c>
      <c r="J12" s="4" t="s">
        <v>2430</v>
      </c>
      <c r="K12" s="4"/>
      <c r="L12" s="4"/>
      <c r="M12" s="4"/>
      <c r="N12" s="4"/>
      <c r="O12" s="4"/>
      <c r="P12" s="4"/>
      <c r="Q12" s="4"/>
      <c r="R12" s="4"/>
      <c r="S12" s="4"/>
      <c r="T12" s="4"/>
      <c r="U12" s="4"/>
      <c r="V12" s="4"/>
      <c r="W12" s="4"/>
      <c r="X12" s="4"/>
      <c r="Y12" s="4"/>
      <c r="Z12" s="4"/>
    </row>
    <row r="13" spans="1:26" ht="13.5" customHeight="1">
      <c r="A13" s="4">
        <v>6</v>
      </c>
      <c r="B13" s="4" t="s">
        <v>604</v>
      </c>
      <c r="C13" s="663" t="s">
        <v>1193</v>
      </c>
      <c r="D13" s="664" t="s">
        <v>2429</v>
      </c>
      <c r="E13" s="4">
        <f t="shared" si="0"/>
        <v>11600</v>
      </c>
      <c r="F13" s="4">
        <v>10000</v>
      </c>
      <c r="G13" s="4">
        <v>1160</v>
      </c>
      <c r="H13" s="4">
        <f t="shared" si="1"/>
        <v>8.6206896551724146</v>
      </c>
      <c r="I13" s="4">
        <v>10</v>
      </c>
      <c r="J13" s="4" t="s">
        <v>2430</v>
      </c>
      <c r="K13" s="4"/>
      <c r="L13" s="4"/>
      <c r="M13" s="4"/>
      <c r="N13" s="4"/>
      <c r="O13" s="4"/>
      <c r="P13" s="4"/>
      <c r="Q13" s="4"/>
      <c r="R13" s="4"/>
      <c r="S13" s="4"/>
      <c r="T13" s="4"/>
      <c r="U13" s="4"/>
      <c r="V13" s="4"/>
      <c r="W13" s="4"/>
      <c r="X13" s="4"/>
      <c r="Y13" s="4"/>
      <c r="Z13" s="4"/>
    </row>
    <row r="14" spans="1:26" ht="13.5" customHeight="1">
      <c r="A14" s="4">
        <v>5</v>
      </c>
      <c r="B14" s="4" t="s">
        <v>591</v>
      </c>
      <c r="C14" s="663" t="s">
        <v>1193</v>
      </c>
      <c r="D14" s="664" t="s">
        <v>2431</v>
      </c>
      <c r="E14" s="4">
        <f t="shared" si="0"/>
        <v>10640</v>
      </c>
      <c r="F14" s="4">
        <v>10000</v>
      </c>
      <c r="G14" s="4">
        <v>266</v>
      </c>
      <c r="H14" s="4">
        <f t="shared" si="1"/>
        <v>37.593984962406012</v>
      </c>
      <c r="I14" s="4">
        <v>40</v>
      </c>
      <c r="J14" s="4"/>
      <c r="K14" s="4"/>
      <c r="L14" s="4"/>
      <c r="M14" s="4"/>
      <c r="N14" s="4"/>
      <c r="O14" s="4"/>
      <c r="P14" s="4"/>
      <c r="Q14" s="4"/>
      <c r="R14" s="4"/>
      <c r="S14" s="4"/>
      <c r="T14" s="4"/>
      <c r="U14" s="4"/>
      <c r="V14" s="4"/>
      <c r="W14" s="4"/>
      <c r="X14" s="4"/>
      <c r="Y14" s="4"/>
      <c r="Z14" s="4"/>
    </row>
    <row r="15" spans="1:26" ht="13.5" customHeight="1">
      <c r="A15" s="4">
        <v>15</v>
      </c>
      <c r="B15" s="4" t="s">
        <v>681</v>
      </c>
      <c r="C15" s="663" t="s">
        <v>1403</v>
      </c>
      <c r="D15" s="664" t="s">
        <v>2428</v>
      </c>
      <c r="E15" s="4"/>
      <c r="F15" s="4"/>
      <c r="G15" s="4"/>
      <c r="H15" s="4"/>
      <c r="I15" s="4"/>
      <c r="J15" s="4"/>
      <c r="K15" s="4"/>
      <c r="L15" s="4"/>
      <c r="M15" s="4"/>
      <c r="N15" s="4"/>
      <c r="O15" s="4"/>
      <c r="P15" s="4"/>
      <c r="Q15" s="4"/>
      <c r="R15" s="4"/>
      <c r="S15" s="4"/>
      <c r="T15" s="4"/>
      <c r="U15" s="4"/>
      <c r="V15" s="4"/>
      <c r="W15" s="4"/>
      <c r="X15" s="4"/>
      <c r="Y15" s="4"/>
      <c r="Z15" s="4"/>
    </row>
    <row r="16" spans="1:26" ht="13.5" customHeight="1">
      <c r="A16" s="4"/>
      <c r="B16" s="4" t="s">
        <v>493</v>
      </c>
      <c r="C16" s="663" t="s">
        <v>1380</v>
      </c>
      <c r="D16" s="664" t="s">
        <v>2429</v>
      </c>
      <c r="E16" s="4"/>
      <c r="F16" s="4"/>
      <c r="G16" s="4"/>
      <c r="H16" s="4"/>
      <c r="I16" s="4"/>
      <c r="J16" s="4"/>
      <c r="K16" s="4"/>
      <c r="L16" s="4"/>
      <c r="M16" s="4"/>
      <c r="N16" s="4"/>
      <c r="O16" s="4"/>
      <c r="P16" s="4"/>
      <c r="Q16" s="4"/>
      <c r="R16" s="4"/>
      <c r="S16" s="4"/>
      <c r="T16" s="4"/>
      <c r="U16" s="4"/>
      <c r="V16" s="4"/>
      <c r="W16" s="4"/>
      <c r="X16" s="4"/>
      <c r="Y16" s="4"/>
      <c r="Z16" s="4"/>
    </row>
    <row r="17" spans="1:26" ht="13.5" customHeight="1">
      <c r="A17" s="4"/>
      <c r="B17" s="4"/>
      <c r="C17" s="663"/>
      <c r="D17" s="664"/>
      <c r="E17" s="4"/>
      <c r="F17" s="4"/>
      <c r="G17" s="4"/>
      <c r="H17" s="4"/>
      <c r="I17" s="4"/>
      <c r="J17" s="4"/>
      <c r="K17" s="4"/>
      <c r="L17" s="4"/>
      <c r="M17" s="4"/>
      <c r="N17" s="4"/>
      <c r="O17" s="4"/>
      <c r="P17" s="4"/>
      <c r="Q17" s="4"/>
      <c r="R17" s="4"/>
      <c r="S17" s="4"/>
      <c r="T17" s="4"/>
      <c r="U17" s="4"/>
      <c r="V17" s="4"/>
      <c r="W17" s="4"/>
      <c r="X17" s="4"/>
      <c r="Y17" s="4"/>
      <c r="Z17" s="4"/>
    </row>
    <row r="18" spans="1:26" ht="13.5" customHeight="1">
      <c r="A18" s="4"/>
      <c r="B18" s="4"/>
      <c r="C18" s="663"/>
      <c r="D18" s="664"/>
      <c r="E18" s="4"/>
      <c r="F18" s="4"/>
      <c r="G18" s="4"/>
      <c r="H18" s="4"/>
      <c r="I18" s="4"/>
      <c r="J18" s="4"/>
      <c r="K18" s="4"/>
      <c r="L18" s="4"/>
      <c r="M18" s="4"/>
      <c r="N18" s="4"/>
      <c r="O18" s="4"/>
      <c r="P18" s="4"/>
      <c r="Q18" s="4"/>
      <c r="R18" s="4"/>
      <c r="S18" s="4"/>
      <c r="T18" s="4"/>
      <c r="U18" s="4"/>
      <c r="V18" s="4"/>
      <c r="W18" s="4"/>
      <c r="X18" s="4"/>
      <c r="Y18" s="4"/>
      <c r="Z18" s="4"/>
    </row>
    <row r="19" spans="1:26" ht="13.5" customHeight="1">
      <c r="A19" s="4"/>
      <c r="B19" s="4" t="s">
        <v>636</v>
      </c>
      <c r="C19" s="663"/>
      <c r="D19" s="664"/>
      <c r="E19" s="4"/>
      <c r="F19" s="4"/>
      <c r="G19" s="4"/>
      <c r="H19" s="4"/>
      <c r="I19" s="4"/>
      <c r="J19" s="4"/>
      <c r="K19" s="4"/>
      <c r="L19" s="4"/>
      <c r="M19" s="4"/>
      <c r="N19" s="4"/>
      <c r="O19" s="4"/>
      <c r="P19" s="4"/>
      <c r="Q19" s="4"/>
      <c r="R19" s="4"/>
      <c r="S19" s="4"/>
      <c r="T19" s="4"/>
      <c r="U19" s="4"/>
      <c r="V19" s="4"/>
      <c r="W19" s="4"/>
      <c r="X19" s="4"/>
      <c r="Y19" s="4"/>
      <c r="Z19" s="4"/>
    </row>
    <row r="20" spans="1:26" ht="13.5" customHeight="1">
      <c r="A20" s="4"/>
      <c r="B20" s="4" t="s">
        <v>2435</v>
      </c>
      <c r="C20" s="663"/>
      <c r="D20" s="664"/>
      <c r="E20" s="4"/>
      <c r="F20" s="4"/>
      <c r="G20" s="4"/>
      <c r="H20" s="4"/>
      <c r="I20" s="4"/>
      <c r="J20" s="4"/>
      <c r="K20" s="4"/>
      <c r="L20" s="4"/>
      <c r="M20" s="4"/>
      <c r="N20" s="4"/>
      <c r="O20" s="4"/>
      <c r="P20" s="4"/>
      <c r="Q20" s="4"/>
      <c r="R20" s="4"/>
      <c r="S20" s="4"/>
      <c r="T20" s="4"/>
      <c r="U20" s="4"/>
      <c r="V20" s="4"/>
      <c r="W20" s="4"/>
      <c r="X20" s="4"/>
      <c r="Y20" s="4"/>
      <c r="Z20" s="4"/>
    </row>
    <row r="21" spans="1:26" ht="13.5" customHeight="1">
      <c r="A21" s="4"/>
      <c r="B21" s="4" t="s">
        <v>2436</v>
      </c>
      <c r="C21" s="663"/>
      <c r="D21" s="664"/>
      <c r="E21" s="4"/>
      <c r="F21" s="4"/>
      <c r="G21" s="4"/>
      <c r="H21" s="4"/>
      <c r="I21" s="4"/>
      <c r="J21" s="4"/>
      <c r="K21" s="4"/>
      <c r="L21" s="4"/>
      <c r="M21" s="4"/>
      <c r="N21" s="4"/>
      <c r="O21" s="4"/>
      <c r="P21" s="4"/>
      <c r="Q21" s="4"/>
      <c r="R21" s="4"/>
      <c r="S21" s="4"/>
      <c r="T21" s="4"/>
      <c r="U21" s="4"/>
      <c r="V21" s="4"/>
      <c r="W21" s="4"/>
      <c r="X21" s="4"/>
      <c r="Y21" s="4"/>
      <c r="Z21" s="4"/>
    </row>
    <row r="22" spans="1:26" ht="13.5" customHeight="1">
      <c r="A22" s="4"/>
      <c r="B22" s="4" t="s">
        <v>504</v>
      </c>
      <c r="C22" s="663"/>
      <c r="D22" s="664"/>
      <c r="E22" s="4"/>
      <c r="F22" s="4"/>
      <c r="G22" s="4"/>
      <c r="H22" s="4"/>
      <c r="I22" s="4"/>
      <c r="J22" s="4"/>
      <c r="K22" s="4"/>
      <c r="L22" s="4"/>
      <c r="M22" s="4"/>
      <c r="N22" s="4"/>
      <c r="O22" s="4"/>
      <c r="P22" s="4"/>
      <c r="Q22" s="4"/>
      <c r="R22" s="4"/>
      <c r="S22" s="4"/>
      <c r="T22" s="4"/>
      <c r="U22" s="4"/>
      <c r="V22" s="4"/>
      <c r="W22" s="4"/>
      <c r="X22" s="4"/>
      <c r="Y22" s="4"/>
      <c r="Z22" s="4"/>
    </row>
    <row r="23" spans="1:26" ht="13.5" customHeight="1">
      <c r="A23" s="4"/>
      <c r="B23" s="4" t="s">
        <v>576</v>
      </c>
      <c r="C23" s="663"/>
      <c r="D23" s="664"/>
      <c r="E23" s="4"/>
      <c r="F23" s="4"/>
      <c r="G23" s="4"/>
      <c r="H23" s="4"/>
      <c r="I23" s="4"/>
      <c r="J23" s="4"/>
      <c r="K23" s="4"/>
      <c r="L23" s="4"/>
      <c r="M23" s="4"/>
      <c r="N23" s="4"/>
      <c r="O23" s="4"/>
      <c r="P23" s="4"/>
      <c r="Q23" s="4"/>
      <c r="R23" s="4"/>
      <c r="S23" s="4"/>
      <c r="T23" s="4"/>
      <c r="U23" s="4"/>
      <c r="V23" s="4"/>
      <c r="W23" s="4"/>
      <c r="X23" s="4"/>
      <c r="Y23" s="4"/>
      <c r="Z23" s="4"/>
    </row>
    <row r="24" spans="1:26" ht="13.5" customHeight="1">
      <c r="A24" s="4"/>
      <c r="B24" s="4" t="s">
        <v>2437</v>
      </c>
      <c r="C24" s="663"/>
      <c r="D24" s="664"/>
      <c r="E24" s="4"/>
      <c r="F24" s="4"/>
      <c r="G24" s="4"/>
      <c r="H24" s="4"/>
      <c r="I24" s="4"/>
      <c r="J24" s="4"/>
      <c r="K24" s="4"/>
      <c r="L24" s="4"/>
      <c r="M24" s="4"/>
      <c r="N24" s="4"/>
      <c r="O24" s="4"/>
      <c r="P24" s="4"/>
      <c r="Q24" s="4"/>
      <c r="R24" s="4"/>
      <c r="S24" s="4"/>
      <c r="T24" s="4"/>
      <c r="U24" s="4"/>
      <c r="V24" s="4"/>
      <c r="W24" s="4"/>
      <c r="X24" s="4"/>
      <c r="Y24" s="4"/>
      <c r="Z24" s="4"/>
    </row>
    <row r="25" spans="1:26" ht="13.5" customHeight="1">
      <c r="A25" s="4"/>
      <c r="B25" s="4" t="s">
        <v>648</v>
      </c>
      <c r="C25" s="663"/>
      <c r="D25" s="664"/>
      <c r="E25" s="4"/>
      <c r="F25" s="4"/>
      <c r="G25" s="4"/>
      <c r="H25" s="4"/>
      <c r="I25" s="4"/>
      <c r="J25" s="4"/>
      <c r="K25" s="4"/>
      <c r="L25" s="4"/>
      <c r="M25" s="4"/>
      <c r="N25" s="4"/>
      <c r="O25" s="4"/>
      <c r="P25" s="4"/>
      <c r="Q25" s="4"/>
      <c r="R25" s="4"/>
      <c r="S25" s="4"/>
      <c r="T25" s="4"/>
      <c r="U25" s="4"/>
      <c r="V25" s="4"/>
      <c r="W25" s="4"/>
      <c r="X25" s="4"/>
      <c r="Y25" s="4"/>
      <c r="Z25" s="4"/>
    </row>
    <row r="26" spans="1:26" ht="13.5" customHeight="1">
      <c r="A26" s="4"/>
      <c r="B26" s="4" t="s">
        <v>637</v>
      </c>
      <c r="C26" s="663"/>
      <c r="D26" s="664"/>
      <c r="E26" s="4"/>
      <c r="F26" s="4"/>
      <c r="G26" s="4"/>
      <c r="H26" s="4"/>
      <c r="I26" s="4"/>
      <c r="J26" s="4"/>
      <c r="K26" s="4"/>
      <c r="L26" s="4"/>
      <c r="M26" s="4"/>
      <c r="N26" s="4"/>
      <c r="O26" s="4"/>
      <c r="P26" s="4"/>
      <c r="Q26" s="4"/>
      <c r="R26" s="4"/>
      <c r="S26" s="4"/>
      <c r="T26" s="4"/>
      <c r="U26" s="4"/>
      <c r="V26" s="4"/>
      <c r="W26" s="4"/>
      <c r="X26" s="4"/>
      <c r="Y26" s="4"/>
      <c r="Z26" s="4"/>
    </row>
    <row r="27" spans="1:26" ht="13.5" customHeight="1">
      <c r="A27" s="4"/>
      <c r="B27" s="4" t="s">
        <v>529</v>
      </c>
      <c r="C27" s="663"/>
      <c r="D27" s="664"/>
      <c r="E27" s="4"/>
      <c r="F27" s="4"/>
      <c r="G27" s="4"/>
      <c r="H27" s="4"/>
      <c r="I27" s="4"/>
      <c r="J27" s="4"/>
      <c r="K27" s="4"/>
      <c r="L27" s="4"/>
      <c r="M27" s="4"/>
      <c r="N27" s="4"/>
      <c r="O27" s="4"/>
      <c r="P27" s="4"/>
      <c r="Q27" s="4"/>
      <c r="R27" s="4"/>
      <c r="S27" s="4"/>
      <c r="T27" s="4"/>
      <c r="U27" s="4"/>
      <c r="V27" s="4"/>
      <c r="W27" s="4"/>
      <c r="X27" s="4"/>
      <c r="Y27" s="4"/>
      <c r="Z27" s="4"/>
    </row>
    <row r="28" spans="1:26" ht="13.5" customHeight="1">
      <c r="A28" s="4"/>
      <c r="B28" s="4" t="s">
        <v>2438</v>
      </c>
      <c r="C28" s="663"/>
      <c r="D28" s="664"/>
      <c r="E28" s="4"/>
      <c r="F28" s="4"/>
      <c r="G28" s="4"/>
      <c r="H28" s="4"/>
      <c r="I28" s="4"/>
      <c r="J28" s="4"/>
      <c r="K28" s="4"/>
      <c r="L28" s="4"/>
      <c r="M28" s="4"/>
      <c r="N28" s="4"/>
      <c r="O28" s="4"/>
      <c r="P28" s="4"/>
      <c r="Q28" s="4"/>
      <c r="R28" s="4"/>
      <c r="S28" s="4"/>
      <c r="T28" s="4"/>
      <c r="U28" s="4"/>
      <c r="V28" s="4"/>
      <c r="W28" s="4"/>
      <c r="X28" s="4"/>
      <c r="Y28" s="4"/>
      <c r="Z28" s="4"/>
    </row>
    <row r="29" spans="1:26" ht="13.5" customHeight="1">
      <c r="A29" s="4"/>
      <c r="B29" s="4"/>
      <c r="C29" s="663"/>
      <c r="D29" s="664"/>
      <c r="E29" s="4"/>
      <c r="F29" s="4"/>
      <c r="G29" s="4"/>
      <c r="H29" s="4"/>
      <c r="I29" s="4"/>
      <c r="J29" s="4"/>
      <c r="K29" s="4"/>
      <c r="L29" s="4"/>
      <c r="M29" s="4"/>
      <c r="N29" s="4"/>
      <c r="O29" s="4"/>
      <c r="P29" s="4"/>
      <c r="Q29" s="4"/>
      <c r="R29" s="4"/>
      <c r="S29" s="4"/>
      <c r="T29" s="4"/>
      <c r="U29" s="4"/>
      <c r="V29" s="4"/>
      <c r="W29" s="4"/>
      <c r="X29" s="4"/>
      <c r="Y29" s="4"/>
      <c r="Z29" s="4"/>
    </row>
    <row r="30" spans="1:26" ht="13.5" customHeight="1">
      <c r="A30" s="4"/>
      <c r="B30" s="4"/>
      <c r="C30" s="663"/>
      <c r="D30" s="664"/>
      <c r="E30" s="4"/>
      <c r="F30" s="4"/>
      <c r="G30" s="4"/>
      <c r="H30" s="4"/>
      <c r="I30" s="4"/>
      <c r="J30" s="4"/>
      <c r="K30" s="4"/>
      <c r="L30" s="4"/>
      <c r="M30" s="4"/>
      <c r="N30" s="4"/>
      <c r="O30" s="4"/>
      <c r="P30" s="4"/>
      <c r="Q30" s="4"/>
      <c r="R30" s="4"/>
      <c r="S30" s="4"/>
      <c r="T30" s="4"/>
      <c r="U30" s="4"/>
      <c r="V30" s="4"/>
      <c r="W30" s="4"/>
      <c r="X30" s="4"/>
      <c r="Y30" s="4"/>
      <c r="Z30" s="4"/>
    </row>
    <row r="31" spans="1:26" ht="13.5" customHeight="1">
      <c r="A31" s="4"/>
      <c r="B31" s="4"/>
      <c r="C31" s="663"/>
      <c r="D31" s="664"/>
      <c r="E31" s="4"/>
      <c r="F31" s="4"/>
      <c r="G31" s="4"/>
      <c r="H31" s="4"/>
      <c r="I31" s="4"/>
      <c r="J31" s="4"/>
      <c r="K31" s="4"/>
      <c r="L31" s="4"/>
      <c r="M31" s="4"/>
      <c r="N31" s="4"/>
      <c r="O31" s="4"/>
      <c r="P31" s="4"/>
      <c r="Q31" s="4"/>
      <c r="R31" s="4"/>
      <c r="S31" s="4"/>
      <c r="T31" s="4"/>
      <c r="U31" s="4"/>
      <c r="V31" s="4"/>
      <c r="W31" s="4"/>
      <c r="X31" s="4"/>
      <c r="Y31" s="4"/>
      <c r="Z31" s="4"/>
    </row>
    <row r="32" spans="1:26" ht="13.5" customHeight="1">
      <c r="A32" s="4"/>
      <c r="B32" s="4"/>
      <c r="C32" s="663"/>
      <c r="D32" s="664"/>
      <c r="E32" s="4"/>
      <c r="F32" s="4"/>
      <c r="G32" s="4"/>
      <c r="H32" s="4"/>
      <c r="I32" s="4"/>
      <c r="J32" s="4"/>
      <c r="K32" s="4"/>
      <c r="L32" s="4"/>
      <c r="M32" s="4"/>
      <c r="N32" s="4"/>
      <c r="O32" s="4"/>
      <c r="P32" s="4"/>
      <c r="Q32" s="4"/>
      <c r="R32" s="4"/>
      <c r="S32" s="4"/>
      <c r="T32" s="4"/>
      <c r="U32" s="4"/>
      <c r="V32" s="4"/>
      <c r="W32" s="4"/>
      <c r="X32" s="4"/>
      <c r="Y32" s="4"/>
      <c r="Z32" s="4"/>
    </row>
    <row r="33" spans="1:26" ht="13.5" customHeight="1">
      <c r="A33" s="4"/>
      <c r="B33" s="4"/>
      <c r="C33" s="663"/>
      <c r="D33" s="664"/>
      <c r="E33" s="4"/>
      <c r="F33" s="4"/>
      <c r="G33" s="4"/>
      <c r="H33" s="4"/>
      <c r="I33" s="4"/>
      <c r="J33" s="4"/>
      <c r="K33" s="4"/>
      <c r="L33" s="4"/>
      <c r="M33" s="4"/>
      <c r="N33" s="4"/>
      <c r="O33" s="4"/>
      <c r="P33" s="4"/>
      <c r="Q33" s="4"/>
      <c r="R33" s="4"/>
      <c r="S33" s="4"/>
      <c r="T33" s="4"/>
      <c r="U33" s="4"/>
      <c r="V33" s="4"/>
      <c r="W33" s="4"/>
      <c r="X33" s="4"/>
      <c r="Y33" s="4"/>
      <c r="Z33" s="4"/>
    </row>
    <row r="34" spans="1:26" ht="13.5" customHeight="1">
      <c r="A34" s="4"/>
      <c r="B34" s="4"/>
      <c r="C34" s="663"/>
      <c r="D34" s="664"/>
      <c r="E34" s="4"/>
      <c r="F34" s="4"/>
      <c r="G34" s="4"/>
      <c r="H34" s="4"/>
      <c r="I34" s="4"/>
      <c r="J34" s="4"/>
      <c r="K34" s="4"/>
      <c r="L34" s="4"/>
      <c r="M34" s="4"/>
      <c r="N34" s="4"/>
      <c r="O34" s="4"/>
      <c r="P34" s="4"/>
      <c r="Q34" s="4"/>
      <c r="R34" s="4"/>
      <c r="S34" s="4"/>
      <c r="T34" s="4"/>
      <c r="U34" s="4"/>
      <c r="V34" s="4"/>
      <c r="W34" s="4"/>
      <c r="X34" s="4"/>
      <c r="Y34" s="4"/>
      <c r="Z34" s="4"/>
    </row>
    <row r="35" spans="1:26" ht="13.5" customHeight="1">
      <c r="A35" s="4"/>
      <c r="B35" s="4"/>
      <c r="C35" s="663"/>
      <c r="D35" s="664"/>
      <c r="E35" s="4"/>
      <c r="F35" s="4"/>
      <c r="G35" s="4"/>
      <c r="H35" s="4"/>
      <c r="I35" s="4"/>
      <c r="J35" s="4"/>
      <c r="K35" s="4"/>
      <c r="L35" s="4"/>
      <c r="M35" s="4"/>
      <c r="N35" s="4"/>
      <c r="O35" s="4"/>
      <c r="P35" s="4"/>
      <c r="Q35" s="4"/>
      <c r="R35" s="4"/>
      <c r="S35" s="4"/>
      <c r="T35" s="4"/>
      <c r="U35" s="4"/>
      <c r="V35" s="4"/>
      <c r="W35" s="4"/>
      <c r="X35" s="4"/>
      <c r="Y35" s="4"/>
      <c r="Z35" s="4"/>
    </row>
    <row r="36" spans="1:26" ht="13.5" customHeight="1">
      <c r="A36" s="4"/>
      <c r="B36" s="4"/>
      <c r="C36" s="663"/>
      <c r="D36" s="664"/>
      <c r="E36" s="4"/>
      <c r="F36" s="4"/>
      <c r="G36" s="4"/>
      <c r="H36" s="4"/>
      <c r="I36" s="4"/>
      <c r="J36" s="4"/>
      <c r="K36" s="4"/>
      <c r="L36" s="4"/>
      <c r="M36" s="4"/>
      <c r="N36" s="4"/>
      <c r="O36" s="4"/>
      <c r="P36" s="4"/>
      <c r="Q36" s="4"/>
      <c r="R36" s="4"/>
      <c r="S36" s="4"/>
      <c r="T36" s="4"/>
      <c r="U36" s="4"/>
      <c r="V36" s="4"/>
      <c r="W36" s="4"/>
      <c r="X36" s="4"/>
      <c r="Y36" s="4"/>
      <c r="Z36" s="4"/>
    </row>
    <row r="37" spans="1:26" ht="13.5" customHeight="1">
      <c r="A37" s="4"/>
      <c r="B37" s="4"/>
      <c r="C37" s="663"/>
      <c r="D37" s="664"/>
      <c r="E37" s="4"/>
      <c r="F37" s="4"/>
      <c r="G37" s="4"/>
      <c r="H37" s="4"/>
      <c r="I37" s="4"/>
      <c r="J37" s="4"/>
      <c r="K37" s="4"/>
      <c r="L37" s="4"/>
      <c r="M37" s="4"/>
      <c r="N37" s="4"/>
      <c r="O37" s="4"/>
      <c r="P37" s="4"/>
      <c r="Q37" s="4"/>
      <c r="R37" s="4"/>
      <c r="S37" s="4"/>
      <c r="T37" s="4"/>
      <c r="U37" s="4"/>
      <c r="V37" s="4"/>
      <c r="W37" s="4"/>
      <c r="X37" s="4"/>
      <c r="Y37" s="4"/>
      <c r="Z37" s="4"/>
    </row>
    <row r="38" spans="1:26" ht="13.5" customHeight="1">
      <c r="A38" s="4"/>
      <c r="B38" s="4"/>
      <c r="C38" s="663"/>
      <c r="D38" s="664"/>
      <c r="E38" s="4"/>
      <c r="F38" s="4"/>
      <c r="G38" s="4"/>
      <c r="H38" s="4"/>
      <c r="I38" s="4"/>
      <c r="J38" s="4"/>
      <c r="K38" s="4"/>
      <c r="L38" s="4"/>
      <c r="M38" s="4"/>
      <c r="N38" s="4"/>
      <c r="O38" s="4"/>
      <c r="P38" s="4"/>
      <c r="Q38" s="4"/>
      <c r="R38" s="4"/>
      <c r="S38" s="4"/>
      <c r="T38" s="4"/>
      <c r="U38" s="4"/>
      <c r="V38" s="4"/>
      <c r="W38" s="4"/>
      <c r="X38" s="4"/>
      <c r="Y38" s="4"/>
      <c r="Z38" s="4"/>
    </row>
    <row r="39" spans="1:26" ht="13.5" customHeight="1">
      <c r="A39" s="4"/>
      <c r="B39" s="4"/>
      <c r="C39" s="663"/>
      <c r="D39" s="664"/>
      <c r="E39" s="4"/>
      <c r="F39" s="4"/>
      <c r="G39" s="4"/>
      <c r="H39" s="4"/>
      <c r="I39" s="4"/>
      <c r="J39" s="4"/>
      <c r="K39" s="4"/>
      <c r="L39" s="4"/>
      <c r="M39" s="4"/>
      <c r="N39" s="4"/>
      <c r="O39" s="4"/>
      <c r="P39" s="4"/>
      <c r="Q39" s="4"/>
      <c r="R39" s="4"/>
      <c r="S39" s="4"/>
      <c r="T39" s="4"/>
      <c r="U39" s="4"/>
      <c r="V39" s="4"/>
      <c r="W39" s="4"/>
      <c r="X39" s="4"/>
      <c r="Y39" s="4"/>
      <c r="Z39" s="4"/>
    </row>
    <row r="40" spans="1:26" ht="13.5" customHeight="1">
      <c r="A40" s="4"/>
      <c r="B40" s="4"/>
      <c r="C40" s="663"/>
      <c r="D40" s="664"/>
      <c r="E40" s="4"/>
      <c r="F40" s="4"/>
      <c r="G40" s="4"/>
      <c r="H40" s="4"/>
      <c r="I40" s="4"/>
      <c r="J40" s="4"/>
      <c r="K40" s="4"/>
      <c r="L40" s="4"/>
      <c r="M40" s="4"/>
      <c r="N40" s="4"/>
      <c r="O40" s="4"/>
      <c r="P40" s="4"/>
      <c r="Q40" s="4"/>
      <c r="R40" s="4"/>
      <c r="S40" s="4"/>
      <c r="T40" s="4"/>
      <c r="U40" s="4"/>
      <c r="V40" s="4"/>
      <c r="W40" s="4"/>
      <c r="X40" s="4"/>
      <c r="Y40" s="4"/>
      <c r="Z40" s="4"/>
    </row>
    <row r="41" spans="1:26" ht="13.5" customHeight="1">
      <c r="A41" s="4"/>
      <c r="B41" s="4"/>
      <c r="C41" s="663"/>
      <c r="D41" s="664"/>
      <c r="E41" s="4"/>
      <c r="F41" s="4"/>
      <c r="G41" s="4"/>
      <c r="H41" s="4"/>
      <c r="I41" s="4"/>
      <c r="J41" s="4"/>
      <c r="K41" s="4"/>
      <c r="L41" s="4"/>
      <c r="M41" s="4"/>
      <c r="N41" s="4"/>
      <c r="O41" s="4"/>
      <c r="P41" s="4"/>
      <c r="Q41" s="4"/>
      <c r="R41" s="4"/>
      <c r="S41" s="4"/>
      <c r="T41" s="4"/>
      <c r="U41" s="4"/>
      <c r="V41" s="4"/>
      <c r="W41" s="4"/>
      <c r="X41" s="4"/>
      <c r="Y41" s="4"/>
      <c r="Z41" s="4"/>
    </row>
    <row r="42" spans="1:26" ht="13.5" customHeight="1">
      <c r="A42" s="4"/>
      <c r="B42" s="4"/>
      <c r="C42" s="663"/>
      <c r="D42" s="664"/>
      <c r="E42" s="4"/>
      <c r="F42" s="4"/>
      <c r="G42" s="4"/>
      <c r="H42" s="4"/>
      <c r="I42" s="4"/>
      <c r="J42" s="4"/>
      <c r="K42" s="4"/>
      <c r="L42" s="4"/>
      <c r="M42" s="4"/>
      <c r="N42" s="4"/>
      <c r="O42" s="4"/>
      <c r="P42" s="4"/>
      <c r="Q42" s="4"/>
      <c r="R42" s="4"/>
      <c r="S42" s="4"/>
      <c r="T42" s="4"/>
      <c r="U42" s="4"/>
      <c r="V42" s="4"/>
      <c r="W42" s="4"/>
      <c r="X42" s="4"/>
      <c r="Y42" s="4"/>
      <c r="Z42" s="4"/>
    </row>
    <row r="43" spans="1:26" ht="13.5" customHeight="1">
      <c r="A43" s="4"/>
      <c r="B43" s="4"/>
      <c r="C43" s="663"/>
      <c r="D43" s="664"/>
      <c r="E43" s="4"/>
      <c r="F43" s="4"/>
      <c r="G43" s="4"/>
      <c r="H43" s="4"/>
      <c r="I43" s="4"/>
      <c r="J43" s="4"/>
      <c r="K43" s="4"/>
      <c r="L43" s="4"/>
      <c r="M43" s="4"/>
      <c r="N43" s="4"/>
      <c r="O43" s="4"/>
      <c r="P43" s="4"/>
      <c r="Q43" s="4"/>
      <c r="R43" s="4"/>
      <c r="S43" s="4"/>
      <c r="T43" s="4"/>
      <c r="U43" s="4"/>
      <c r="V43" s="4"/>
      <c r="W43" s="4"/>
      <c r="X43" s="4"/>
      <c r="Y43" s="4"/>
      <c r="Z43" s="4"/>
    </row>
    <row r="44" spans="1:26" ht="13.5" customHeight="1">
      <c r="A44" s="4"/>
      <c r="B44" s="4"/>
      <c r="C44" s="663"/>
      <c r="D44" s="664"/>
      <c r="E44" s="4"/>
      <c r="F44" s="4"/>
      <c r="G44" s="4"/>
      <c r="H44" s="4"/>
      <c r="I44" s="4"/>
      <c r="J44" s="4"/>
      <c r="K44" s="4"/>
      <c r="L44" s="4"/>
      <c r="M44" s="4"/>
      <c r="N44" s="4"/>
      <c r="O44" s="4"/>
      <c r="P44" s="4"/>
      <c r="Q44" s="4"/>
      <c r="R44" s="4"/>
      <c r="S44" s="4"/>
      <c r="T44" s="4"/>
      <c r="U44" s="4"/>
      <c r="V44" s="4"/>
      <c r="W44" s="4"/>
      <c r="X44" s="4"/>
      <c r="Y44" s="4"/>
      <c r="Z44" s="4"/>
    </row>
    <row r="45" spans="1:26" ht="13.5" customHeight="1">
      <c r="A45" s="4"/>
      <c r="B45" s="4"/>
      <c r="C45" s="663"/>
      <c r="D45" s="664"/>
      <c r="E45" s="4"/>
      <c r="F45" s="4"/>
      <c r="G45" s="4"/>
      <c r="H45" s="4"/>
      <c r="I45" s="4"/>
      <c r="J45" s="4"/>
      <c r="K45" s="4"/>
      <c r="L45" s="4"/>
      <c r="M45" s="4"/>
      <c r="N45" s="4"/>
      <c r="O45" s="4"/>
      <c r="P45" s="4"/>
      <c r="Q45" s="4"/>
      <c r="R45" s="4"/>
      <c r="S45" s="4"/>
      <c r="T45" s="4"/>
      <c r="U45" s="4"/>
      <c r="V45" s="4"/>
      <c r="W45" s="4"/>
      <c r="X45" s="4"/>
      <c r="Y45" s="4"/>
      <c r="Z45" s="4"/>
    </row>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outlinePr summaryBelow="0" summaryRight="0"/>
  </sheetPr>
  <dimension ref="A1:W368"/>
  <sheetViews>
    <sheetView workbookViewId="0"/>
  </sheetViews>
  <sheetFormatPr baseColWidth="10" defaultColWidth="14.42578125" defaultRowHeight="15" customHeight="1"/>
  <cols>
    <col min="1" max="1" width="3.5703125" customWidth="1"/>
    <col min="2" max="2" width="26.28515625" customWidth="1"/>
    <col min="3" max="3" width="12.85546875" customWidth="1"/>
    <col min="4" max="4" width="7.42578125" customWidth="1"/>
    <col min="5" max="6" width="8" customWidth="1"/>
  </cols>
  <sheetData>
    <row r="1" spans="1:23" ht="15" customHeight="1">
      <c r="A1" s="666" t="s">
        <v>2439</v>
      </c>
      <c r="C1" s="98"/>
      <c r="D1" s="98"/>
      <c r="E1" s="98"/>
      <c r="F1" s="98"/>
      <c r="G1" s="98"/>
      <c r="H1" s="98"/>
      <c r="I1" s="98"/>
      <c r="J1" s="98"/>
      <c r="K1" s="98"/>
      <c r="L1" s="98"/>
      <c r="M1" s="98"/>
      <c r="N1" s="98"/>
      <c r="O1" s="98"/>
      <c r="P1" s="98"/>
      <c r="Q1" s="98"/>
      <c r="R1" s="98"/>
      <c r="S1" s="98"/>
      <c r="T1" s="98"/>
      <c r="U1" s="98"/>
      <c r="V1" s="98"/>
      <c r="W1" s="98"/>
    </row>
    <row r="2" spans="1:23" ht="15" customHeight="1">
      <c r="A2" s="667" t="s">
        <v>2440</v>
      </c>
      <c r="B2" s="667" t="s">
        <v>987</v>
      </c>
      <c r="C2" s="667" t="s">
        <v>435</v>
      </c>
      <c r="D2" s="668" t="s">
        <v>2441</v>
      </c>
      <c r="E2" s="669" t="s">
        <v>2442</v>
      </c>
      <c r="F2" s="669" t="s">
        <v>2443</v>
      </c>
      <c r="G2" s="98"/>
      <c r="H2" s="98"/>
      <c r="I2" s="98"/>
      <c r="J2" s="98"/>
      <c r="K2" s="98"/>
      <c r="L2" s="98"/>
      <c r="M2" s="98"/>
      <c r="N2" s="98"/>
      <c r="O2" s="98"/>
      <c r="P2" s="98"/>
      <c r="Q2" s="98"/>
      <c r="R2" s="98"/>
      <c r="S2" s="98"/>
      <c r="T2" s="98"/>
      <c r="U2" s="98"/>
      <c r="V2" s="98"/>
      <c r="W2" s="98"/>
    </row>
    <row r="3" spans="1:23" ht="15" customHeight="1">
      <c r="A3" s="40">
        <v>1</v>
      </c>
      <c r="B3" s="40" t="s">
        <v>2444</v>
      </c>
      <c r="C3" s="670" t="s">
        <v>969</v>
      </c>
      <c r="D3" s="671">
        <v>25</v>
      </c>
      <c r="E3" s="671">
        <v>25</v>
      </c>
      <c r="F3" s="671">
        <v>25</v>
      </c>
      <c r="G3" s="98"/>
      <c r="H3" s="98"/>
      <c r="I3" s="98"/>
      <c r="J3" s="98"/>
      <c r="K3" s="98"/>
      <c r="L3" s="98"/>
      <c r="M3" s="98"/>
      <c r="N3" s="98"/>
      <c r="O3" s="98"/>
      <c r="P3" s="98"/>
      <c r="Q3" s="98"/>
      <c r="R3" s="98"/>
      <c r="S3" s="98"/>
      <c r="T3" s="98"/>
      <c r="U3" s="98"/>
      <c r="V3" s="98"/>
      <c r="W3" s="98"/>
    </row>
    <row r="4" spans="1:23" ht="15" customHeight="1">
      <c r="A4" s="40">
        <v>2</v>
      </c>
      <c r="B4" s="40" t="s">
        <v>2445</v>
      </c>
      <c r="C4" s="670" t="s">
        <v>971</v>
      </c>
      <c r="D4" s="671">
        <v>40</v>
      </c>
      <c r="E4" s="671">
        <v>40</v>
      </c>
      <c r="F4" s="671">
        <v>40</v>
      </c>
      <c r="G4" s="98"/>
      <c r="H4" s="98"/>
      <c r="I4" s="98"/>
      <c r="J4" s="98"/>
      <c r="K4" s="98"/>
      <c r="L4" s="98"/>
      <c r="M4" s="98"/>
      <c r="N4" s="98"/>
      <c r="O4" s="98"/>
      <c r="P4" s="98"/>
      <c r="Q4" s="98"/>
      <c r="R4" s="98"/>
      <c r="S4" s="98"/>
      <c r="T4" s="98"/>
      <c r="U4" s="98"/>
      <c r="V4" s="98"/>
      <c r="W4" s="98"/>
    </row>
    <row r="5" spans="1:23" ht="15" customHeight="1">
      <c r="A5" s="40">
        <v>3</v>
      </c>
      <c r="B5" s="40" t="s">
        <v>2446</v>
      </c>
      <c r="C5" s="670" t="s">
        <v>2447</v>
      </c>
      <c r="D5" s="671">
        <v>75</v>
      </c>
      <c r="E5" s="671">
        <v>75</v>
      </c>
      <c r="F5" s="671">
        <v>75</v>
      </c>
      <c r="G5" s="98"/>
      <c r="H5" s="98"/>
      <c r="I5" s="98"/>
      <c r="J5" s="98"/>
      <c r="K5" s="98"/>
      <c r="L5" s="98"/>
      <c r="M5" s="98"/>
      <c r="N5" s="98"/>
      <c r="O5" s="98"/>
      <c r="P5" s="98"/>
      <c r="Q5" s="98"/>
      <c r="R5" s="98"/>
      <c r="S5" s="98"/>
      <c r="T5" s="98"/>
      <c r="U5" s="98"/>
      <c r="V5" s="98"/>
      <c r="W5" s="98"/>
    </row>
    <row r="6" spans="1:23" ht="15" customHeight="1">
      <c r="A6" s="40">
        <v>4</v>
      </c>
      <c r="B6" s="40" t="s">
        <v>2448</v>
      </c>
      <c r="C6" s="670" t="s">
        <v>962</v>
      </c>
      <c r="D6" s="671">
        <v>50</v>
      </c>
      <c r="E6" s="671">
        <v>50</v>
      </c>
      <c r="F6" s="671">
        <v>50</v>
      </c>
      <c r="G6" s="98"/>
      <c r="H6" s="98"/>
      <c r="I6" s="98"/>
      <c r="J6" s="98"/>
      <c r="K6" s="98"/>
      <c r="L6" s="98"/>
      <c r="M6" s="98"/>
      <c r="N6" s="98"/>
      <c r="O6" s="98"/>
      <c r="P6" s="98"/>
      <c r="Q6" s="98"/>
      <c r="R6" s="98"/>
      <c r="S6" s="98"/>
      <c r="T6" s="98"/>
      <c r="U6" s="98"/>
      <c r="V6" s="98"/>
      <c r="W6" s="98"/>
    </row>
    <row r="7" spans="1:23" ht="15" customHeight="1">
      <c r="A7" s="40"/>
      <c r="B7" s="40"/>
      <c r="C7" s="40"/>
      <c r="D7" s="671"/>
      <c r="E7" s="671"/>
      <c r="F7" s="671"/>
      <c r="G7" s="98"/>
      <c r="H7" s="98"/>
      <c r="I7" s="98"/>
      <c r="J7" s="98"/>
      <c r="K7" s="98"/>
      <c r="L7" s="98"/>
      <c r="M7" s="98"/>
      <c r="N7" s="98"/>
      <c r="O7" s="98"/>
      <c r="P7" s="98"/>
      <c r="Q7" s="98"/>
      <c r="R7" s="98"/>
      <c r="S7" s="98"/>
      <c r="T7" s="98"/>
      <c r="U7" s="98"/>
      <c r="V7" s="98"/>
      <c r="W7" s="98"/>
    </row>
    <row r="8" spans="1:23" ht="15" customHeight="1">
      <c r="A8" s="40">
        <v>1</v>
      </c>
      <c r="B8" s="40" t="s">
        <v>2449</v>
      </c>
      <c r="C8" s="670" t="s">
        <v>587</v>
      </c>
      <c r="D8" s="671">
        <v>850</v>
      </c>
      <c r="E8" s="671">
        <v>850</v>
      </c>
      <c r="F8" s="671">
        <v>850</v>
      </c>
      <c r="G8" s="98"/>
      <c r="H8" s="98"/>
      <c r="I8" s="98"/>
      <c r="J8" s="98"/>
      <c r="K8" s="98"/>
      <c r="L8" s="98"/>
      <c r="M8" s="98"/>
      <c r="N8" s="98"/>
      <c r="O8" s="98"/>
      <c r="P8" s="98"/>
      <c r="Q8" s="98"/>
      <c r="R8" s="98"/>
      <c r="S8" s="98"/>
      <c r="T8" s="98"/>
      <c r="U8" s="98"/>
      <c r="V8" s="98"/>
      <c r="W8" s="98"/>
    </row>
    <row r="9" spans="1:23" ht="15" customHeight="1">
      <c r="A9" s="40">
        <v>2</v>
      </c>
      <c r="B9" s="40" t="s">
        <v>2450</v>
      </c>
      <c r="C9" s="670" t="s">
        <v>519</v>
      </c>
      <c r="D9" s="671">
        <v>250</v>
      </c>
      <c r="E9" s="671">
        <v>250</v>
      </c>
      <c r="F9" s="671">
        <v>250</v>
      </c>
      <c r="G9" s="98"/>
      <c r="H9" s="98"/>
      <c r="I9" s="98"/>
      <c r="J9" s="98"/>
      <c r="K9" s="98"/>
      <c r="L9" s="98"/>
      <c r="M9" s="98"/>
      <c r="N9" s="98"/>
      <c r="O9" s="98"/>
      <c r="P9" s="98"/>
      <c r="Q9" s="98"/>
      <c r="R9" s="98"/>
      <c r="S9" s="98"/>
      <c r="T9" s="98"/>
      <c r="U9" s="98"/>
      <c r="V9" s="98"/>
      <c r="W9" s="98"/>
    </row>
    <row r="10" spans="1:23" ht="15" customHeight="1">
      <c r="A10" s="40">
        <v>3</v>
      </c>
      <c r="B10" s="40" t="s">
        <v>2451</v>
      </c>
      <c r="C10" s="670" t="s">
        <v>2452</v>
      </c>
      <c r="D10" s="671">
        <v>40</v>
      </c>
      <c r="E10" s="671">
        <v>40</v>
      </c>
      <c r="F10" s="671">
        <v>40</v>
      </c>
      <c r="G10" s="98"/>
      <c r="H10" s="98"/>
      <c r="I10" s="98"/>
      <c r="J10" s="98"/>
      <c r="K10" s="98"/>
      <c r="L10" s="98"/>
      <c r="M10" s="98"/>
      <c r="N10" s="98"/>
      <c r="O10" s="98"/>
      <c r="P10" s="98"/>
      <c r="Q10" s="98"/>
      <c r="R10" s="98"/>
      <c r="S10" s="98"/>
      <c r="T10" s="98"/>
      <c r="U10" s="98"/>
      <c r="V10" s="98"/>
      <c r="W10" s="98"/>
    </row>
    <row r="11" spans="1:23" ht="15" customHeight="1">
      <c r="A11" s="40">
        <v>4</v>
      </c>
      <c r="B11" s="40" t="s">
        <v>2453</v>
      </c>
      <c r="C11" s="670" t="s">
        <v>724</v>
      </c>
      <c r="D11" s="671">
        <v>5400</v>
      </c>
      <c r="E11" s="671">
        <v>5400</v>
      </c>
      <c r="F11" s="671">
        <v>5400</v>
      </c>
      <c r="G11" s="98"/>
      <c r="H11" s="98"/>
      <c r="I11" s="98"/>
      <c r="J11" s="98"/>
      <c r="K11" s="98"/>
      <c r="L11" s="98"/>
      <c r="M11" s="98"/>
      <c r="N11" s="98"/>
      <c r="O11" s="98"/>
      <c r="P11" s="98"/>
      <c r="Q11" s="98"/>
      <c r="R11" s="98"/>
      <c r="S11" s="98"/>
      <c r="T11" s="98"/>
      <c r="U11" s="98"/>
      <c r="V11" s="98"/>
      <c r="W11" s="98"/>
    </row>
    <row r="12" spans="1:23" ht="15" customHeight="1">
      <c r="A12" s="40">
        <v>5</v>
      </c>
      <c r="B12" s="40" t="s">
        <v>2454</v>
      </c>
      <c r="C12" s="670" t="s">
        <v>2455</v>
      </c>
      <c r="D12" s="671">
        <v>2600</v>
      </c>
      <c r="E12" s="671">
        <v>2600</v>
      </c>
      <c r="F12" s="671">
        <v>2600</v>
      </c>
      <c r="G12" s="98"/>
      <c r="H12" s="98"/>
      <c r="I12" s="98"/>
      <c r="J12" s="98"/>
      <c r="K12" s="98"/>
      <c r="L12" s="98"/>
      <c r="M12" s="98"/>
      <c r="N12" s="98"/>
      <c r="O12" s="98"/>
      <c r="P12" s="98"/>
      <c r="Q12" s="98"/>
      <c r="R12" s="98"/>
      <c r="S12" s="98"/>
      <c r="T12" s="98"/>
      <c r="U12" s="98"/>
      <c r="V12" s="98"/>
      <c r="W12" s="98"/>
    </row>
    <row r="13" spans="1:23" ht="15" customHeight="1">
      <c r="A13" s="40">
        <v>6</v>
      </c>
      <c r="B13" s="40" t="s">
        <v>2456</v>
      </c>
      <c r="C13" s="670" t="s">
        <v>2456</v>
      </c>
      <c r="D13" s="671">
        <v>250</v>
      </c>
      <c r="E13" s="671">
        <v>250</v>
      </c>
      <c r="F13" s="671">
        <v>250</v>
      </c>
      <c r="G13" s="98"/>
      <c r="H13" s="98"/>
      <c r="I13" s="98"/>
      <c r="J13" s="98"/>
      <c r="K13" s="98"/>
      <c r="L13" s="98"/>
      <c r="M13" s="98"/>
      <c r="N13" s="98"/>
      <c r="O13" s="98"/>
      <c r="P13" s="98"/>
      <c r="Q13" s="98"/>
      <c r="R13" s="98"/>
      <c r="S13" s="98"/>
      <c r="T13" s="98"/>
      <c r="U13" s="98"/>
      <c r="V13" s="98"/>
      <c r="W13" s="98"/>
    </row>
    <row r="14" spans="1:23" ht="15" customHeight="1">
      <c r="A14" s="40">
        <v>7</v>
      </c>
      <c r="B14" s="40" t="s">
        <v>2457</v>
      </c>
      <c r="C14" s="670" t="s">
        <v>480</v>
      </c>
      <c r="D14" s="671">
        <v>250</v>
      </c>
      <c r="E14" s="671">
        <v>250</v>
      </c>
      <c r="F14" s="671">
        <v>250</v>
      </c>
      <c r="G14" s="98"/>
      <c r="H14" s="98"/>
      <c r="I14" s="98"/>
      <c r="J14" s="98"/>
      <c r="K14" s="98"/>
      <c r="L14" s="98"/>
      <c r="M14" s="98"/>
      <c r="N14" s="98"/>
      <c r="O14" s="98"/>
      <c r="P14" s="98"/>
      <c r="Q14" s="98"/>
      <c r="R14" s="98"/>
      <c r="S14" s="98"/>
      <c r="T14" s="98"/>
      <c r="U14" s="98"/>
      <c r="V14" s="98"/>
      <c r="W14" s="98"/>
    </row>
    <row r="15" spans="1:23" ht="15" customHeight="1">
      <c r="A15" s="40">
        <v>8</v>
      </c>
      <c r="B15" s="40" t="s">
        <v>2458</v>
      </c>
      <c r="C15" s="670" t="s">
        <v>546</v>
      </c>
      <c r="D15" s="671">
        <v>625</v>
      </c>
      <c r="E15" s="671">
        <v>625</v>
      </c>
      <c r="F15" s="671">
        <v>625</v>
      </c>
      <c r="G15" s="98"/>
      <c r="H15" s="98"/>
      <c r="I15" s="98"/>
      <c r="J15" s="98"/>
      <c r="K15" s="98"/>
      <c r="L15" s="98"/>
      <c r="M15" s="98"/>
      <c r="N15" s="98"/>
      <c r="O15" s="98"/>
      <c r="P15" s="98"/>
      <c r="Q15" s="98"/>
      <c r="R15" s="98"/>
      <c r="S15" s="98"/>
      <c r="T15" s="98"/>
      <c r="U15" s="98"/>
      <c r="V15" s="98"/>
      <c r="W15" s="98"/>
    </row>
    <row r="16" spans="1:23" ht="15" customHeight="1">
      <c r="A16" s="40">
        <v>9</v>
      </c>
      <c r="B16" s="40" t="s">
        <v>2459</v>
      </c>
      <c r="C16" s="670" t="s">
        <v>2460</v>
      </c>
      <c r="D16" s="671">
        <v>200</v>
      </c>
      <c r="E16" s="671">
        <v>200</v>
      </c>
      <c r="F16" s="671">
        <v>200</v>
      </c>
      <c r="G16" s="98"/>
      <c r="H16" s="98"/>
      <c r="I16" s="98"/>
      <c r="J16" s="98"/>
      <c r="K16" s="98"/>
      <c r="L16" s="98"/>
      <c r="M16" s="98"/>
      <c r="N16" s="98"/>
      <c r="O16" s="98"/>
      <c r="P16" s="98"/>
      <c r="Q16" s="98"/>
      <c r="R16" s="98"/>
      <c r="S16" s="98"/>
      <c r="T16" s="98"/>
      <c r="U16" s="98"/>
      <c r="V16" s="98"/>
      <c r="W16" s="98"/>
    </row>
    <row r="17" spans="1:23" ht="15" customHeight="1">
      <c r="A17" s="40">
        <v>10</v>
      </c>
      <c r="B17" s="40" t="s">
        <v>2461</v>
      </c>
      <c r="C17" s="670" t="s">
        <v>2462</v>
      </c>
      <c r="D17" s="671"/>
      <c r="E17" s="671">
        <v>1000</v>
      </c>
      <c r="F17" s="671">
        <v>1000</v>
      </c>
      <c r="G17" s="98"/>
      <c r="H17" s="98"/>
      <c r="I17" s="98"/>
      <c r="J17" s="98"/>
      <c r="K17" s="98"/>
      <c r="L17" s="98"/>
      <c r="M17" s="98"/>
      <c r="N17" s="98"/>
      <c r="O17" s="98"/>
      <c r="P17" s="98"/>
      <c r="Q17" s="98"/>
      <c r="R17" s="98"/>
      <c r="S17" s="98"/>
      <c r="T17" s="98"/>
      <c r="U17" s="98"/>
      <c r="V17" s="98"/>
      <c r="W17" s="98"/>
    </row>
    <row r="18" spans="1:23" ht="15" customHeight="1">
      <c r="A18" s="40">
        <v>11</v>
      </c>
      <c r="B18" s="40" t="s">
        <v>2463</v>
      </c>
      <c r="C18" s="670" t="s">
        <v>2464</v>
      </c>
      <c r="D18" s="671">
        <v>1800</v>
      </c>
      <c r="E18" s="671">
        <v>1800</v>
      </c>
      <c r="F18" s="671">
        <v>1800</v>
      </c>
      <c r="G18" s="98"/>
      <c r="H18" s="98"/>
      <c r="I18" s="98"/>
      <c r="J18" s="98"/>
      <c r="K18" s="98"/>
      <c r="L18" s="98"/>
      <c r="M18" s="98"/>
      <c r="N18" s="98"/>
      <c r="O18" s="98"/>
      <c r="P18" s="98"/>
      <c r="Q18" s="98"/>
      <c r="R18" s="98"/>
      <c r="S18" s="98"/>
      <c r="T18" s="98"/>
      <c r="U18" s="98"/>
      <c r="V18" s="98"/>
      <c r="W18" s="98"/>
    </row>
    <row r="19" spans="1:23" ht="15" customHeight="1">
      <c r="A19" s="40">
        <v>12</v>
      </c>
      <c r="B19" s="40" t="s">
        <v>2465</v>
      </c>
      <c r="C19" s="670" t="s">
        <v>714</v>
      </c>
      <c r="D19" s="671">
        <v>125</v>
      </c>
      <c r="E19" s="671">
        <v>125</v>
      </c>
      <c r="F19" s="671">
        <v>125</v>
      </c>
      <c r="G19" s="98"/>
      <c r="H19" s="98"/>
      <c r="I19" s="98"/>
      <c r="J19" s="98"/>
      <c r="K19" s="98"/>
      <c r="L19" s="98"/>
      <c r="M19" s="98"/>
      <c r="N19" s="98"/>
      <c r="O19" s="98"/>
      <c r="P19" s="98"/>
      <c r="Q19" s="98"/>
      <c r="R19" s="98"/>
      <c r="S19" s="98"/>
      <c r="T19" s="98"/>
      <c r="U19" s="98"/>
      <c r="V19" s="98"/>
      <c r="W19" s="98"/>
    </row>
    <row r="20" spans="1:23" ht="15" customHeight="1">
      <c r="A20" s="40">
        <v>13</v>
      </c>
      <c r="B20" s="40" t="s">
        <v>2466</v>
      </c>
      <c r="C20" s="670" t="s">
        <v>680</v>
      </c>
      <c r="D20" s="671">
        <v>3500</v>
      </c>
      <c r="E20" s="671">
        <v>3500</v>
      </c>
      <c r="F20" s="671">
        <v>3500</v>
      </c>
      <c r="G20" s="98"/>
      <c r="H20" s="98"/>
      <c r="I20" s="98"/>
      <c r="J20" s="98"/>
      <c r="K20" s="98"/>
      <c r="L20" s="98"/>
      <c r="M20" s="98"/>
      <c r="N20" s="98"/>
      <c r="O20" s="98"/>
      <c r="P20" s="98"/>
      <c r="Q20" s="98"/>
      <c r="R20" s="98"/>
      <c r="S20" s="98"/>
      <c r="T20" s="98"/>
      <c r="U20" s="98"/>
      <c r="V20" s="98"/>
      <c r="W20" s="98"/>
    </row>
    <row r="21" spans="1:23" ht="15" customHeight="1">
      <c r="A21" s="40">
        <v>14</v>
      </c>
      <c r="B21" s="40" t="s">
        <v>2467</v>
      </c>
      <c r="C21" s="670" t="s">
        <v>690</v>
      </c>
      <c r="D21" s="671">
        <v>5000</v>
      </c>
      <c r="E21" s="671">
        <v>5000</v>
      </c>
      <c r="F21" s="671">
        <v>5000</v>
      </c>
      <c r="G21" s="98"/>
      <c r="H21" s="98"/>
      <c r="I21" s="98"/>
      <c r="J21" s="98"/>
      <c r="K21" s="98"/>
      <c r="L21" s="98"/>
      <c r="M21" s="98"/>
      <c r="N21" s="98"/>
      <c r="O21" s="98"/>
      <c r="P21" s="98"/>
      <c r="Q21" s="98"/>
      <c r="R21" s="98"/>
      <c r="S21" s="98"/>
      <c r="T21" s="98"/>
      <c r="U21" s="98"/>
      <c r="V21" s="98"/>
      <c r="W21" s="98"/>
    </row>
    <row r="22" spans="1:23" ht="15" customHeight="1">
      <c r="A22" s="40">
        <v>15</v>
      </c>
      <c r="B22" s="40" t="s">
        <v>2468</v>
      </c>
      <c r="C22" s="670" t="s">
        <v>705</v>
      </c>
      <c r="D22" s="671">
        <v>200</v>
      </c>
      <c r="E22" s="671">
        <v>200</v>
      </c>
      <c r="F22" s="671">
        <v>200</v>
      </c>
      <c r="G22" s="98"/>
      <c r="H22" s="98"/>
      <c r="I22" s="98"/>
      <c r="J22" s="98"/>
      <c r="K22" s="98"/>
      <c r="L22" s="98"/>
      <c r="M22" s="98"/>
      <c r="N22" s="98"/>
      <c r="O22" s="98"/>
      <c r="P22" s="98"/>
      <c r="Q22" s="98"/>
      <c r="R22" s="98"/>
      <c r="S22" s="98"/>
      <c r="T22" s="98"/>
      <c r="U22" s="98"/>
      <c r="V22" s="98"/>
      <c r="W22" s="98"/>
    </row>
    <row r="23" spans="1:23" ht="15" customHeight="1">
      <c r="A23" s="40">
        <v>16</v>
      </c>
      <c r="B23" s="40" t="s">
        <v>2469</v>
      </c>
      <c r="C23" s="670" t="s">
        <v>2469</v>
      </c>
      <c r="D23" s="671">
        <v>275</v>
      </c>
      <c r="E23" s="671">
        <v>275</v>
      </c>
      <c r="F23" s="671">
        <v>275</v>
      </c>
      <c r="G23" s="98"/>
      <c r="H23" s="98"/>
      <c r="I23" s="98"/>
      <c r="J23" s="98"/>
      <c r="K23" s="98"/>
      <c r="L23" s="98"/>
      <c r="M23" s="98"/>
      <c r="N23" s="98"/>
      <c r="O23" s="98"/>
      <c r="P23" s="98"/>
      <c r="Q23" s="98"/>
      <c r="R23" s="98"/>
      <c r="S23" s="98"/>
      <c r="T23" s="98"/>
      <c r="U23" s="98"/>
      <c r="V23" s="98"/>
      <c r="W23" s="98"/>
    </row>
    <row r="24" spans="1:23" ht="15" customHeight="1">
      <c r="A24" s="40">
        <v>17</v>
      </c>
      <c r="B24" s="40" t="s">
        <v>2470</v>
      </c>
      <c r="C24" s="670" t="s">
        <v>2470</v>
      </c>
      <c r="D24" s="671">
        <v>75</v>
      </c>
      <c r="E24" s="671">
        <v>75</v>
      </c>
      <c r="F24" s="671">
        <v>75</v>
      </c>
      <c r="G24" s="98"/>
      <c r="H24" s="98"/>
      <c r="I24" s="98"/>
      <c r="J24" s="98"/>
      <c r="K24" s="98"/>
      <c r="L24" s="98"/>
      <c r="M24" s="98"/>
      <c r="N24" s="98"/>
      <c r="O24" s="98"/>
      <c r="P24" s="98"/>
      <c r="Q24" s="98"/>
      <c r="R24" s="98"/>
      <c r="S24" s="98"/>
      <c r="T24" s="98"/>
      <c r="U24" s="98"/>
      <c r="V24" s="98"/>
      <c r="W24" s="98"/>
    </row>
    <row r="25" spans="1:23" ht="15" customHeight="1">
      <c r="A25" s="40">
        <v>18</v>
      </c>
      <c r="B25" s="40" t="s">
        <v>2471</v>
      </c>
      <c r="C25" s="670" t="s">
        <v>608</v>
      </c>
      <c r="D25" s="671">
        <v>1000</v>
      </c>
      <c r="E25" s="671">
        <v>1000</v>
      </c>
      <c r="F25" s="671">
        <v>1000</v>
      </c>
      <c r="G25" s="98"/>
      <c r="H25" s="98"/>
      <c r="I25" s="98"/>
      <c r="J25" s="98"/>
      <c r="K25" s="98"/>
      <c r="L25" s="98"/>
      <c r="M25" s="98"/>
      <c r="N25" s="98"/>
      <c r="O25" s="98"/>
      <c r="P25" s="98"/>
      <c r="Q25" s="98"/>
      <c r="R25" s="98"/>
      <c r="S25" s="98"/>
      <c r="T25" s="98"/>
      <c r="U25" s="98"/>
      <c r="V25" s="98"/>
      <c r="W25" s="98"/>
    </row>
    <row r="26" spans="1:23" ht="15" customHeight="1">
      <c r="A26" s="40">
        <v>19</v>
      </c>
      <c r="B26" s="40" t="s">
        <v>2472</v>
      </c>
      <c r="C26" s="670" t="s">
        <v>607</v>
      </c>
      <c r="D26" s="671">
        <v>1000</v>
      </c>
      <c r="E26" s="671">
        <v>1000</v>
      </c>
      <c r="F26" s="671">
        <v>1000</v>
      </c>
      <c r="G26" s="98"/>
      <c r="H26" s="98"/>
      <c r="I26" s="98"/>
      <c r="J26" s="98"/>
      <c r="K26" s="98"/>
      <c r="L26" s="98"/>
      <c r="M26" s="98"/>
      <c r="N26" s="98"/>
      <c r="O26" s="98"/>
      <c r="P26" s="98"/>
      <c r="Q26" s="98"/>
      <c r="R26" s="98"/>
      <c r="S26" s="98"/>
      <c r="T26" s="98"/>
      <c r="U26" s="98"/>
      <c r="V26" s="98"/>
      <c r="W26" s="98"/>
    </row>
    <row r="27" spans="1:23" ht="15" customHeight="1">
      <c r="A27" s="40">
        <v>20</v>
      </c>
      <c r="B27" s="40" t="s">
        <v>2473</v>
      </c>
      <c r="C27" s="670" t="s">
        <v>677</v>
      </c>
      <c r="D27" s="671">
        <v>1200</v>
      </c>
      <c r="E27" s="671">
        <v>1200</v>
      </c>
      <c r="F27" s="671">
        <v>1200</v>
      </c>
      <c r="G27" s="98"/>
      <c r="H27" s="98"/>
      <c r="I27" s="98"/>
      <c r="J27" s="98"/>
      <c r="K27" s="98"/>
      <c r="L27" s="98"/>
      <c r="M27" s="98"/>
      <c r="N27" s="98"/>
      <c r="O27" s="98"/>
      <c r="P27" s="98"/>
      <c r="Q27" s="98"/>
      <c r="R27" s="98"/>
      <c r="S27" s="98"/>
      <c r="T27" s="98"/>
      <c r="U27" s="98"/>
      <c r="V27" s="98"/>
      <c r="W27" s="98"/>
    </row>
    <row r="28" spans="1:23" ht="15" customHeight="1">
      <c r="A28" s="40">
        <v>21</v>
      </c>
      <c r="B28" s="40" t="s">
        <v>2474</v>
      </c>
      <c r="C28" s="670" t="s">
        <v>2475</v>
      </c>
      <c r="D28" s="671">
        <v>250</v>
      </c>
      <c r="E28" s="671">
        <v>250</v>
      </c>
      <c r="F28" s="671">
        <v>250</v>
      </c>
      <c r="G28" s="98"/>
      <c r="H28" s="98"/>
      <c r="I28" s="98"/>
      <c r="J28" s="98"/>
      <c r="K28" s="98"/>
      <c r="L28" s="98"/>
      <c r="M28" s="98"/>
      <c r="N28" s="98"/>
      <c r="O28" s="98"/>
      <c r="P28" s="98"/>
      <c r="Q28" s="98"/>
      <c r="R28" s="98"/>
      <c r="S28" s="98"/>
      <c r="T28" s="98"/>
      <c r="U28" s="98"/>
      <c r="V28" s="98"/>
      <c r="W28" s="98"/>
    </row>
    <row r="29" spans="1:23" ht="15" customHeight="1">
      <c r="A29" s="40">
        <v>22</v>
      </c>
      <c r="B29" s="40" t="s">
        <v>2476</v>
      </c>
      <c r="C29" s="670" t="s">
        <v>706</v>
      </c>
      <c r="D29" s="671">
        <v>500</v>
      </c>
      <c r="E29" s="671">
        <v>500</v>
      </c>
      <c r="F29" s="671">
        <v>500</v>
      </c>
      <c r="G29" s="98"/>
      <c r="H29" s="98"/>
      <c r="I29" s="98"/>
      <c r="J29" s="98"/>
      <c r="K29" s="98"/>
      <c r="L29" s="98"/>
      <c r="M29" s="98"/>
      <c r="N29" s="98"/>
      <c r="O29" s="98"/>
      <c r="P29" s="98"/>
      <c r="Q29" s="98"/>
      <c r="R29" s="98"/>
      <c r="S29" s="98"/>
      <c r="T29" s="98"/>
      <c r="U29" s="98"/>
      <c r="V29" s="98"/>
      <c r="W29" s="98"/>
    </row>
    <row r="30" spans="1:23" ht="15" customHeight="1">
      <c r="A30" s="40">
        <v>23</v>
      </c>
      <c r="B30" s="40" t="s">
        <v>2477</v>
      </c>
      <c r="C30" s="670" t="s">
        <v>498</v>
      </c>
      <c r="D30" s="671">
        <v>125</v>
      </c>
      <c r="E30" s="671">
        <v>125</v>
      </c>
      <c r="F30" s="671">
        <v>125</v>
      </c>
      <c r="G30" s="98"/>
      <c r="H30" s="98"/>
      <c r="I30" s="98"/>
      <c r="J30" s="98"/>
      <c r="K30" s="98"/>
      <c r="L30" s="98"/>
      <c r="M30" s="98"/>
      <c r="N30" s="98"/>
      <c r="O30" s="98"/>
      <c r="P30" s="98"/>
      <c r="Q30" s="98"/>
      <c r="R30" s="98"/>
      <c r="S30" s="98"/>
      <c r="T30" s="98"/>
      <c r="U30" s="98"/>
      <c r="V30" s="98"/>
      <c r="W30" s="98"/>
    </row>
    <row r="31" spans="1:23" ht="15" customHeight="1">
      <c r="A31" s="40">
        <v>24</v>
      </c>
      <c r="B31" s="40" t="s">
        <v>2478</v>
      </c>
      <c r="C31" s="670" t="s">
        <v>2479</v>
      </c>
      <c r="D31" s="671">
        <v>300</v>
      </c>
      <c r="E31" s="671">
        <v>300</v>
      </c>
      <c r="F31" s="671">
        <v>300</v>
      </c>
      <c r="G31" s="98"/>
      <c r="H31" s="98"/>
      <c r="I31" s="98"/>
      <c r="J31" s="98"/>
      <c r="K31" s="98"/>
      <c r="L31" s="98"/>
      <c r="M31" s="98"/>
      <c r="N31" s="98"/>
      <c r="O31" s="98"/>
      <c r="P31" s="98"/>
      <c r="Q31" s="98"/>
      <c r="R31" s="98"/>
      <c r="S31" s="98"/>
      <c r="T31" s="98"/>
      <c r="U31" s="98"/>
      <c r="V31" s="98"/>
      <c r="W31" s="98"/>
    </row>
    <row r="32" spans="1:23" ht="15" customHeight="1">
      <c r="A32" s="40">
        <v>25</v>
      </c>
      <c r="B32" s="40" t="s">
        <v>2480</v>
      </c>
      <c r="C32" s="670" t="s">
        <v>1924</v>
      </c>
      <c r="D32" s="671">
        <v>1600</v>
      </c>
      <c r="E32" s="671">
        <v>1600</v>
      </c>
      <c r="F32" s="671">
        <v>1600</v>
      </c>
      <c r="G32" s="98"/>
      <c r="H32" s="98"/>
      <c r="I32" s="98"/>
      <c r="J32" s="98"/>
      <c r="K32" s="98"/>
      <c r="L32" s="98"/>
      <c r="M32" s="98"/>
      <c r="N32" s="98"/>
      <c r="O32" s="98"/>
      <c r="P32" s="98"/>
      <c r="Q32" s="98"/>
      <c r="R32" s="98"/>
      <c r="S32" s="98"/>
      <c r="T32" s="98"/>
      <c r="U32" s="98"/>
      <c r="V32" s="98"/>
      <c r="W32" s="98"/>
    </row>
    <row r="33" spans="1:23" ht="15" customHeight="1">
      <c r="A33" s="40">
        <v>26</v>
      </c>
      <c r="B33" s="40" t="s">
        <v>2481</v>
      </c>
      <c r="C33" s="670" t="s">
        <v>1968</v>
      </c>
      <c r="D33" s="671">
        <v>1800</v>
      </c>
      <c r="E33" s="671">
        <v>1800</v>
      </c>
      <c r="F33" s="671">
        <v>1800</v>
      </c>
      <c r="G33" s="98"/>
      <c r="H33" s="98"/>
      <c r="I33" s="98"/>
      <c r="J33" s="98"/>
      <c r="K33" s="98"/>
      <c r="L33" s="98"/>
      <c r="M33" s="98"/>
      <c r="N33" s="98"/>
      <c r="O33" s="98"/>
      <c r="P33" s="98"/>
      <c r="Q33" s="98"/>
      <c r="R33" s="98"/>
      <c r="S33" s="98"/>
      <c r="T33" s="98"/>
      <c r="U33" s="98"/>
      <c r="V33" s="98"/>
      <c r="W33" s="98"/>
    </row>
    <row r="34" spans="1:23" ht="15" customHeight="1">
      <c r="A34" s="40">
        <v>27</v>
      </c>
      <c r="B34" s="40" t="s">
        <v>2482</v>
      </c>
      <c r="C34" s="670" t="s">
        <v>637</v>
      </c>
      <c r="D34" s="671">
        <v>5850</v>
      </c>
      <c r="E34" s="671">
        <v>5850</v>
      </c>
      <c r="F34" s="671">
        <v>5850</v>
      </c>
      <c r="G34" s="98"/>
      <c r="H34" s="98"/>
      <c r="I34" s="98"/>
      <c r="J34" s="98"/>
      <c r="K34" s="98"/>
      <c r="L34" s="98"/>
      <c r="M34" s="98"/>
      <c r="N34" s="98"/>
      <c r="O34" s="98"/>
      <c r="P34" s="98"/>
      <c r="Q34" s="98"/>
      <c r="R34" s="98"/>
      <c r="S34" s="98"/>
      <c r="T34" s="98"/>
      <c r="U34" s="98"/>
      <c r="V34" s="98"/>
      <c r="W34" s="98"/>
    </row>
    <row r="35" spans="1:23" ht="15" customHeight="1">
      <c r="A35" s="40">
        <v>28</v>
      </c>
      <c r="B35" s="40" t="s">
        <v>2483</v>
      </c>
      <c r="C35" s="670" t="s">
        <v>1702</v>
      </c>
      <c r="D35" s="671">
        <v>275</v>
      </c>
      <c r="E35" s="671">
        <v>275</v>
      </c>
      <c r="F35" s="671">
        <v>275</v>
      </c>
      <c r="G35" s="98"/>
      <c r="H35" s="98"/>
      <c r="I35" s="98"/>
      <c r="J35" s="98"/>
      <c r="K35" s="98"/>
      <c r="L35" s="98"/>
      <c r="M35" s="98"/>
      <c r="N35" s="98"/>
      <c r="O35" s="98"/>
      <c r="P35" s="98"/>
      <c r="Q35" s="98"/>
      <c r="R35" s="98"/>
      <c r="S35" s="98"/>
      <c r="T35" s="98"/>
      <c r="U35" s="98"/>
      <c r="V35" s="98"/>
      <c r="W35" s="98"/>
    </row>
    <row r="36" spans="1:23" ht="15" customHeight="1">
      <c r="A36" s="40">
        <v>29</v>
      </c>
      <c r="B36" s="40" t="s">
        <v>2484</v>
      </c>
      <c r="C36" s="670" t="s">
        <v>494</v>
      </c>
      <c r="D36" s="671">
        <v>5700</v>
      </c>
      <c r="E36" s="671">
        <v>5700</v>
      </c>
      <c r="F36" s="671">
        <v>5700</v>
      </c>
      <c r="G36" s="98"/>
      <c r="H36" s="98"/>
      <c r="I36" s="98"/>
      <c r="J36" s="98"/>
      <c r="K36" s="98"/>
      <c r="L36" s="98"/>
      <c r="M36" s="98"/>
      <c r="N36" s="98"/>
      <c r="O36" s="98"/>
      <c r="P36" s="98"/>
      <c r="Q36" s="98"/>
      <c r="R36" s="98"/>
      <c r="S36" s="98"/>
      <c r="T36" s="98"/>
      <c r="U36" s="98"/>
      <c r="V36" s="98"/>
      <c r="W36" s="98"/>
    </row>
    <row r="37" spans="1:23" ht="15" customHeight="1">
      <c r="A37" s="40">
        <v>30</v>
      </c>
      <c r="B37" s="40" t="s">
        <v>2485</v>
      </c>
      <c r="C37" s="670" t="s">
        <v>1630</v>
      </c>
      <c r="D37" s="671">
        <v>1100</v>
      </c>
      <c r="E37" s="671">
        <v>1100</v>
      </c>
      <c r="F37" s="671">
        <v>1100</v>
      </c>
      <c r="G37" s="98"/>
      <c r="H37" s="98"/>
      <c r="I37" s="98"/>
      <c r="J37" s="98"/>
      <c r="K37" s="98"/>
      <c r="L37" s="98"/>
      <c r="M37" s="98"/>
      <c r="N37" s="98"/>
      <c r="O37" s="98"/>
      <c r="P37" s="98"/>
      <c r="Q37" s="98"/>
      <c r="R37" s="98"/>
      <c r="S37" s="98"/>
      <c r="T37" s="98"/>
      <c r="U37" s="98"/>
      <c r="V37" s="98"/>
      <c r="W37" s="98"/>
    </row>
    <row r="38" spans="1:23" ht="15" customHeight="1">
      <c r="A38" s="40">
        <v>31</v>
      </c>
      <c r="B38" s="40" t="s">
        <v>2486</v>
      </c>
      <c r="C38" s="670" t="s">
        <v>2487</v>
      </c>
      <c r="D38" s="671">
        <v>1000</v>
      </c>
      <c r="E38" s="671">
        <v>1000</v>
      </c>
      <c r="F38" s="671">
        <v>1000</v>
      </c>
      <c r="G38" s="98"/>
      <c r="H38" s="98"/>
      <c r="I38" s="98"/>
      <c r="J38" s="98"/>
      <c r="K38" s="98"/>
      <c r="L38" s="98"/>
      <c r="M38" s="98"/>
      <c r="N38" s="98"/>
      <c r="O38" s="98"/>
      <c r="P38" s="98"/>
      <c r="Q38" s="98"/>
      <c r="R38" s="98"/>
      <c r="S38" s="98"/>
      <c r="T38" s="98"/>
      <c r="U38" s="98"/>
      <c r="V38" s="98"/>
      <c r="W38" s="98"/>
    </row>
    <row r="39" spans="1:23" ht="15" customHeight="1">
      <c r="A39" s="40">
        <v>32</v>
      </c>
      <c r="B39" s="40" t="s">
        <v>2488</v>
      </c>
      <c r="C39" s="670" t="s">
        <v>2489</v>
      </c>
      <c r="D39" s="671">
        <v>950</v>
      </c>
      <c r="E39" s="671">
        <v>950</v>
      </c>
      <c r="F39" s="671">
        <v>950</v>
      </c>
      <c r="G39" s="98"/>
      <c r="H39" s="98"/>
      <c r="I39" s="98"/>
      <c r="J39" s="98"/>
      <c r="K39" s="98"/>
      <c r="L39" s="98"/>
      <c r="M39" s="98"/>
      <c r="N39" s="98"/>
      <c r="O39" s="98"/>
      <c r="P39" s="98"/>
      <c r="Q39" s="98"/>
      <c r="R39" s="98"/>
      <c r="S39" s="98"/>
      <c r="T39" s="98"/>
      <c r="U39" s="98"/>
      <c r="V39" s="98"/>
      <c r="W39" s="98"/>
    </row>
    <row r="40" spans="1:23" ht="15" customHeight="1">
      <c r="A40" s="40">
        <v>33</v>
      </c>
      <c r="B40" s="40" t="s">
        <v>471</v>
      </c>
      <c r="C40" s="670" t="s">
        <v>471</v>
      </c>
      <c r="D40" s="671">
        <v>10500</v>
      </c>
      <c r="E40" s="671">
        <v>10500</v>
      </c>
      <c r="F40" s="671">
        <v>10500</v>
      </c>
      <c r="G40" s="98"/>
      <c r="H40" s="98"/>
      <c r="I40" s="98"/>
      <c r="J40" s="98"/>
      <c r="K40" s="98"/>
      <c r="L40" s="98"/>
      <c r="M40" s="98"/>
      <c r="N40" s="98"/>
      <c r="O40" s="98"/>
      <c r="P40" s="98"/>
      <c r="Q40" s="98"/>
      <c r="R40" s="98"/>
      <c r="S40" s="98"/>
      <c r="T40" s="98"/>
      <c r="U40" s="98"/>
      <c r="V40" s="98"/>
      <c r="W40" s="98"/>
    </row>
    <row r="41" spans="1:23" ht="15" customHeight="1">
      <c r="A41" s="40">
        <v>34</v>
      </c>
      <c r="B41" s="40" t="s">
        <v>2490</v>
      </c>
      <c r="C41" s="670" t="s">
        <v>508</v>
      </c>
      <c r="D41" s="671">
        <v>2300</v>
      </c>
      <c r="E41" s="671">
        <v>2300</v>
      </c>
      <c r="F41" s="671">
        <v>2300</v>
      </c>
      <c r="G41" s="98"/>
      <c r="H41" s="98"/>
      <c r="I41" s="98"/>
      <c r="J41" s="98"/>
      <c r="K41" s="98"/>
      <c r="L41" s="98"/>
      <c r="M41" s="98"/>
      <c r="N41" s="98"/>
      <c r="O41" s="98"/>
      <c r="P41" s="98"/>
      <c r="Q41" s="98"/>
      <c r="R41" s="98"/>
      <c r="S41" s="98"/>
      <c r="T41" s="98"/>
      <c r="U41" s="98"/>
      <c r="V41" s="98"/>
      <c r="W41" s="98"/>
    </row>
    <row r="42" spans="1:23" ht="15" customHeight="1">
      <c r="A42" s="40">
        <v>35</v>
      </c>
      <c r="B42" s="40" t="s">
        <v>2491</v>
      </c>
      <c r="C42" s="670" t="s">
        <v>2492</v>
      </c>
      <c r="D42" s="671">
        <v>50</v>
      </c>
      <c r="E42" s="671">
        <v>50</v>
      </c>
      <c r="F42" s="671">
        <v>50</v>
      </c>
      <c r="G42" s="98"/>
      <c r="H42" s="98"/>
      <c r="I42" s="98"/>
      <c r="J42" s="98"/>
      <c r="K42" s="98"/>
      <c r="L42" s="98"/>
      <c r="M42" s="98"/>
      <c r="N42" s="98"/>
      <c r="O42" s="98"/>
      <c r="P42" s="98"/>
      <c r="Q42" s="98"/>
      <c r="R42" s="98"/>
      <c r="S42" s="98"/>
      <c r="T42" s="98"/>
      <c r="U42" s="98"/>
      <c r="V42" s="98"/>
      <c r="W42" s="98"/>
    </row>
    <row r="43" spans="1:23" ht="15" customHeight="1">
      <c r="A43" s="40">
        <v>36</v>
      </c>
      <c r="B43" s="40" t="s">
        <v>2493</v>
      </c>
      <c r="C43" s="670" t="s">
        <v>527</v>
      </c>
      <c r="D43" s="671">
        <v>1800</v>
      </c>
      <c r="E43" s="671">
        <v>1800</v>
      </c>
      <c r="F43" s="671">
        <v>1800</v>
      </c>
      <c r="G43" s="98"/>
      <c r="H43" s="98"/>
      <c r="I43" s="98"/>
      <c r="J43" s="98"/>
      <c r="K43" s="98"/>
      <c r="L43" s="98"/>
      <c r="M43" s="98"/>
      <c r="N43" s="98"/>
      <c r="O43" s="98"/>
      <c r="P43" s="98"/>
      <c r="Q43" s="98"/>
      <c r="R43" s="98"/>
      <c r="S43" s="98"/>
      <c r="T43" s="98"/>
      <c r="U43" s="98"/>
      <c r="V43" s="98"/>
      <c r="W43" s="98"/>
    </row>
    <row r="44" spans="1:23" ht="15" customHeight="1">
      <c r="A44" s="40">
        <v>37</v>
      </c>
      <c r="B44" s="40" t="s">
        <v>2494</v>
      </c>
      <c r="C44" s="670" t="s">
        <v>1934</v>
      </c>
      <c r="D44" s="671">
        <v>200</v>
      </c>
      <c r="E44" s="671">
        <v>200</v>
      </c>
      <c r="F44" s="671">
        <v>200</v>
      </c>
      <c r="G44" s="98"/>
      <c r="H44" s="98"/>
      <c r="I44" s="98"/>
      <c r="J44" s="98"/>
      <c r="K44" s="98"/>
      <c r="L44" s="98"/>
      <c r="M44" s="98"/>
      <c r="N44" s="98"/>
      <c r="O44" s="98"/>
      <c r="P44" s="98"/>
      <c r="Q44" s="98"/>
      <c r="R44" s="98"/>
      <c r="S44" s="98"/>
      <c r="T44" s="98"/>
      <c r="U44" s="98"/>
      <c r="V44" s="98"/>
      <c r="W44" s="98"/>
    </row>
    <row r="45" spans="1:23" ht="15" customHeight="1">
      <c r="A45" s="40">
        <v>38</v>
      </c>
      <c r="B45" s="40" t="s">
        <v>2495</v>
      </c>
      <c r="C45" s="670" t="s">
        <v>499</v>
      </c>
      <c r="D45" s="671">
        <v>2000</v>
      </c>
      <c r="E45" s="671">
        <v>1300</v>
      </c>
      <c r="F45" s="671">
        <v>1300</v>
      </c>
      <c r="G45" s="98"/>
      <c r="H45" s="98"/>
      <c r="I45" s="98"/>
      <c r="J45" s="98"/>
      <c r="K45" s="98"/>
      <c r="L45" s="98"/>
      <c r="M45" s="98"/>
      <c r="N45" s="98"/>
      <c r="O45" s="98"/>
      <c r="P45" s="98"/>
      <c r="Q45" s="98"/>
      <c r="R45" s="98"/>
      <c r="S45" s="98"/>
      <c r="T45" s="98"/>
      <c r="U45" s="98"/>
      <c r="V45" s="98"/>
      <c r="W45" s="98"/>
    </row>
    <row r="46" spans="1:23" ht="15" customHeight="1">
      <c r="A46" s="40">
        <v>39</v>
      </c>
      <c r="B46" s="40" t="s">
        <v>2496</v>
      </c>
      <c r="C46" s="670" t="s">
        <v>611</v>
      </c>
      <c r="D46" s="671">
        <v>2700</v>
      </c>
      <c r="E46" s="671">
        <v>2700</v>
      </c>
      <c r="F46" s="671">
        <v>2700</v>
      </c>
      <c r="G46" s="98"/>
      <c r="H46" s="98"/>
      <c r="I46" s="98"/>
      <c r="J46" s="98"/>
      <c r="K46" s="98"/>
      <c r="L46" s="98"/>
      <c r="M46" s="98"/>
      <c r="N46" s="98"/>
      <c r="O46" s="98"/>
      <c r="P46" s="98"/>
      <c r="Q46" s="98"/>
      <c r="R46" s="98"/>
      <c r="S46" s="98"/>
      <c r="T46" s="98"/>
      <c r="U46" s="98"/>
      <c r="V46" s="98"/>
      <c r="W46" s="98"/>
    </row>
    <row r="47" spans="1:23" ht="15" customHeight="1">
      <c r="A47" s="40">
        <v>40</v>
      </c>
      <c r="B47" s="40" t="s">
        <v>2497</v>
      </c>
      <c r="C47" s="670" t="s">
        <v>721</v>
      </c>
      <c r="D47" s="671">
        <v>975</v>
      </c>
      <c r="E47" s="671">
        <v>975</v>
      </c>
      <c r="F47" s="671">
        <v>975</v>
      </c>
      <c r="G47" s="98"/>
      <c r="H47" s="98"/>
      <c r="I47" s="98"/>
      <c r="J47" s="98"/>
      <c r="K47" s="98"/>
      <c r="L47" s="98"/>
      <c r="M47" s="98"/>
      <c r="N47" s="98"/>
      <c r="O47" s="98"/>
      <c r="P47" s="98"/>
      <c r="Q47" s="98"/>
      <c r="R47" s="98"/>
      <c r="S47" s="98"/>
      <c r="T47" s="98"/>
      <c r="U47" s="98"/>
      <c r="V47" s="98"/>
      <c r="W47" s="98"/>
    </row>
    <row r="48" spans="1:23" ht="15" customHeight="1">
      <c r="A48" s="40">
        <v>41</v>
      </c>
      <c r="B48" s="40" t="s">
        <v>2498</v>
      </c>
      <c r="C48" s="670" t="s">
        <v>1848</v>
      </c>
      <c r="D48" s="671">
        <v>1500</v>
      </c>
      <c r="E48" s="671">
        <v>1500</v>
      </c>
      <c r="F48" s="671">
        <v>1500</v>
      </c>
      <c r="G48" s="98"/>
      <c r="H48" s="98"/>
      <c r="I48" s="98"/>
      <c r="J48" s="98"/>
      <c r="K48" s="98"/>
      <c r="L48" s="98"/>
      <c r="M48" s="98"/>
      <c r="N48" s="98"/>
      <c r="O48" s="98"/>
      <c r="P48" s="98"/>
      <c r="Q48" s="98"/>
      <c r="R48" s="98"/>
      <c r="S48" s="98"/>
      <c r="T48" s="98"/>
      <c r="U48" s="98"/>
      <c r="V48" s="98"/>
      <c r="W48" s="98"/>
    </row>
    <row r="49" spans="1:23" ht="15" customHeight="1">
      <c r="A49" s="40">
        <v>42</v>
      </c>
      <c r="B49" s="40" t="s">
        <v>2499</v>
      </c>
      <c r="C49" s="670" t="s">
        <v>500</v>
      </c>
      <c r="D49" s="671">
        <v>1250</v>
      </c>
      <c r="E49" s="671">
        <v>1250</v>
      </c>
      <c r="F49" s="671">
        <v>1250</v>
      </c>
      <c r="G49" s="98"/>
      <c r="H49" s="98"/>
      <c r="I49" s="98"/>
      <c r="J49" s="98"/>
      <c r="K49" s="98"/>
      <c r="L49" s="98"/>
      <c r="M49" s="98"/>
      <c r="N49" s="98"/>
      <c r="O49" s="98"/>
      <c r="P49" s="98"/>
      <c r="Q49" s="98"/>
      <c r="R49" s="98"/>
      <c r="S49" s="98"/>
      <c r="T49" s="98"/>
      <c r="U49" s="98"/>
      <c r="V49" s="98"/>
      <c r="W49" s="98"/>
    </row>
    <row r="50" spans="1:23" ht="15" customHeight="1">
      <c r="A50" s="40">
        <v>43</v>
      </c>
      <c r="B50" s="40" t="s">
        <v>473</v>
      </c>
      <c r="C50" s="670" t="s">
        <v>473</v>
      </c>
      <c r="D50" s="671">
        <v>650</v>
      </c>
      <c r="E50" s="671">
        <v>650</v>
      </c>
      <c r="F50" s="671">
        <v>650</v>
      </c>
      <c r="G50" s="98"/>
      <c r="H50" s="98"/>
      <c r="I50" s="98"/>
      <c r="J50" s="98"/>
      <c r="K50" s="98"/>
      <c r="L50" s="98"/>
      <c r="M50" s="98"/>
      <c r="N50" s="98"/>
      <c r="O50" s="98"/>
      <c r="P50" s="98"/>
      <c r="Q50" s="98"/>
      <c r="R50" s="98"/>
      <c r="S50" s="98"/>
      <c r="T50" s="98"/>
      <c r="U50" s="98"/>
      <c r="V50" s="98"/>
      <c r="W50" s="98"/>
    </row>
    <row r="51" spans="1:23" ht="15" customHeight="1">
      <c r="A51" s="40">
        <v>44</v>
      </c>
      <c r="B51" s="40" t="s">
        <v>2500</v>
      </c>
      <c r="C51" s="670" t="s">
        <v>2435</v>
      </c>
      <c r="D51" s="671">
        <v>4200</v>
      </c>
      <c r="E51" s="671">
        <v>4200</v>
      </c>
      <c r="F51" s="671">
        <v>4200</v>
      </c>
      <c r="G51" s="98"/>
      <c r="H51" s="98"/>
      <c r="I51" s="98"/>
      <c r="J51" s="98"/>
      <c r="K51" s="98"/>
      <c r="L51" s="98"/>
      <c r="M51" s="98"/>
      <c r="N51" s="98"/>
      <c r="O51" s="98"/>
      <c r="P51" s="98"/>
      <c r="Q51" s="98"/>
      <c r="R51" s="98"/>
      <c r="S51" s="98"/>
      <c r="T51" s="98"/>
      <c r="U51" s="98"/>
      <c r="V51" s="98"/>
      <c r="W51" s="98"/>
    </row>
    <row r="52" spans="1:23" ht="15" customHeight="1">
      <c r="A52" s="40">
        <v>45</v>
      </c>
      <c r="B52" s="40" t="s">
        <v>1904</v>
      </c>
      <c r="C52" s="670" t="s">
        <v>1904</v>
      </c>
      <c r="D52" s="671">
        <v>150</v>
      </c>
      <c r="E52" s="671">
        <v>150</v>
      </c>
      <c r="F52" s="671">
        <v>150</v>
      </c>
      <c r="G52" s="98"/>
      <c r="H52" s="98"/>
      <c r="I52" s="98"/>
      <c r="J52" s="98"/>
      <c r="K52" s="98"/>
      <c r="L52" s="98"/>
      <c r="M52" s="98"/>
      <c r="N52" s="98"/>
      <c r="O52" s="98"/>
      <c r="P52" s="98"/>
      <c r="Q52" s="98"/>
      <c r="R52" s="98"/>
      <c r="S52" s="98"/>
      <c r="T52" s="98"/>
      <c r="U52" s="98"/>
      <c r="V52" s="98"/>
      <c r="W52" s="98"/>
    </row>
    <row r="53" spans="1:23" ht="15" customHeight="1">
      <c r="A53" s="40">
        <v>46</v>
      </c>
      <c r="B53" s="40" t="s">
        <v>2501</v>
      </c>
      <c r="C53" s="670" t="s">
        <v>2502</v>
      </c>
      <c r="D53" s="671">
        <v>350</v>
      </c>
      <c r="E53" s="671">
        <v>350</v>
      </c>
      <c r="F53" s="671">
        <v>350</v>
      </c>
      <c r="G53" s="98"/>
      <c r="H53" s="98"/>
      <c r="I53" s="98"/>
      <c r="J53" s="98"/>
      <c r="K53" s="98"/>
      <c r="L53" s="98"/>
      <c r="M53" s="98"/>
      <c r="N53" s="98"/>
      <c r="O53" s="98"/>
      <c r="P53" s="98"/>
      <c r="Q53" s="98"/>
      <c r="R53" s="98"/>
      <c r="S53" s="98"/>
      <c r="T53" s="98"/>
      <c r="U53" s="98"/>
      <c r="V53" s="98"/>
      <c r="W53" s="98"/>
    </row>
    <row r="54" spans="1:23" ht="15" customHeight="1">
      <c r="A54" s="40">
        <v>47</v>
      </c>
      <c r="B54" s="40" t="s">
        <v>2503</v>
      </c>
      <c r="C54" s="670" t="s">
        <v>681</v>
      </c>
      <c r="D54" s="671">
        <v>1000</v>
      </c>
      <c r="E54" s="671">
        <v>1000</v>
      </c>
      <c r="F54" s="671">
        <v>1000</v>
      </c>
      <c r="G54" s="98"/>
      <c r="H54" s="98"/>
      <c r="I54" s="98"/>
      <c r="J54" s="98"/>
      <c r="K54" s="98"/>
      <c r="L54" s="98"/>
      <c r="M54" s="98"/>
      <c r="N54" s="98"/>
      <c r="O54" s="98"/>
      <c r="P54" s="98"/>
      <c r="Q54" s="98"/>
      <c r="R54" s="98"/>
      <c r="S54" s="98"/>
      <c r="T54" s="98"/>
      <c r="U54" s="98"/>
      <c r="V54" s="98"/>
      <c r="W54" s="98"/>
    </row>
    <row r="55" spans="1:23" ht="15" customHeight="1">
      <c r="A55" s="40">
        <v>48</v>
      </c>
      <c r="B55" s="40" t="s">
        <v>2504</v>
      </c>
      <c r="C55" s="670" t="s">
        <v>685</v>
      </c>
      <c r="D55" s="671">
        <v>700</v>
      </c>
      <c r="E55" s="671">
        <v>700</v>
      </c>
      <c r="F55" s="671">
        <v>700</v>
      </c>
      <c r="G55" s="98"/>
      <c r="H55" s="98"/>
      <c r="I55" s="98"/>
      <c r="J55" s="98"/>
      <c r="K55" s="98"/>
      <c r="L55" s="98"/>
      <c r="M55" s="98"/>
      <c r="N55" s="98"/>
      <c r="O55" s="98"/>
      <c r="P55" s="98"/>
      <c r="Q55" s="98"/>
      <c r="R55" s="98"/>
      <c r="S55" s="98"/>
      <c r="T55" s="98"/>
      <c r="U55" s="98"/>
      <c r="V55" s="98"/>
      <c r="W55" s="98"/>
    </row>
    <row r="56" spans="1:23" ht="15" customHeight="1">
      <c r="A56" s="40">
        <v>49</v>
      </c>
      <c r="B56" s="40" t="s">
        <v>2505</v>
      </c>
      <c r="C56" s="670" t="s">
        <v>477</v>
      </c>
      <c r="D56" s="671">
        <v>1500</v>
      </c>
      <c r="E56" s="671">
        <v>1500</v>
      </c>
      <c r="F56" s="671">
        <v>1500</v>
      </c>
      <c r="G56" s="98"/>
      <c r="H56" s="98"/>
      <c r="I56" s="98"/>
      <c r="J56" s="98"/>
      <c r="K56" s="98"/>
      <c r="L56" s="98"/>
      <c r="M56" s="98"/>
      <c r="N56" s="98"/>
      <c r="O56" s="98"/>
      <c r="P56" s="98"/>
      <c r="Q56" s="98"/>
      <c r="R56" s="98"/>
      <c r="S56" s="98"/>
      <c r="T56" s="98"/>
      <c r="U56" s="98"/>
      <c r="V56" s="98"/>
      <c r="W56" s="98"/>
    </row>
    <row r="57" spans="1:23" ht="15" customHeight="1">
      <c r="A57" s="40">
        <v>50</v>
      </c>
      <c r="B57" s="40" t="s">
        <v>2506</v>
      </c>
      <c r="C57" s="670" t="s">
        <v>2507</v>
      </c>
      <c r="D57" s="671">
        <v>5000</v>
      </c>
      <c r="E57" s="671">
        <v>5000</v>
      </c>
      <c r="F57" s="671">
        <v>5000</v>
      </c>
      <c r="G57" s="98"/>
      <c r="H57" s="98"/>
      <c r="I57" s="98"/>
      <c r="J57" s="98"/>
      <c r="K57" s="98"/>
      <c r="L57" s="98"/>
      <c r="M57" s="98"/>
      <c r="N57" s="98"/>
      <c r="O57" s="98"/>
      <c r="P57" s="98"/>
      <c r="Q57" s="98"/>
      <c r="R57" s="98"/>
      <c r="S57" s="98"/>
      <c r="T57" s="98"/>
      <c r="U57" s="98"/>
      <c r="V57" s="98"/>
      <c r="W57" s="98"/>
    </row>
    <row r="58" spans="1:23" ht="15" customHeight="1">
      <c r="A58" s="40">
        <v>51</v>
      </c>
      <c r="B58" s="40" t="s">
        <v>2508</v>
      </c>
      <c r="C58" s="670" t="s">
        <v>468</v>
      </c>
      <c r="D58" s="671">
        <v>600</v>
      </c>
      <c r="E58" s="671">
        <v>600</v>
      </c>
      <c r="F58" s="671">
        <v>600</v>
      </c>
      <c r="G58" s="98"/>
      <c r="H58" s="98"/>
      <c r="I58" s="98"/>
      <c r="J58" s="98"/>
      <c r="K58" s="98"/>
      <c r="L58" s="98"/>
      <c r="M58" s="98"/>
      <c r="N58" s="98"/>
      <c r="O58" s="98"/>
      <c r="P58" s="98"/>
      <c r="Q58" s="98"/>
      <c r="R58" s="98"/>
      <c r="S58" s="98"/>
      <c r="T58" s="98"/>
      <c r="U58" s="98"/>
      <c r="V58" s="98"/>
      <c r="W58" s="98"/>
    </row>
    <row r="59" spans="1:23" ht="15" customHeight="1">
      <c r="A59" s="40">
        <v>52</v>
      </c>
      <c r="B59" s="40" t="s">
        <v>2509</v>
      </c>
      <c r="C59" s="670" t="s">
        <v>478</v>
      </c>
      <c r="D59" s="671">
        <v>1250</v>
      </c>
      <c r="E59" s="671">
        <v>1250</v>
      </c>
      <c r="F59" s="671">
        <v>1250</v>
      </c>
      <c r="G59" s="98"/>
      <c r="H59" s="98"/>
      <c r="I59" s="98"/>
      <c r="J59" s="98"/>
      <c r="K59" s="98"/>
      <c r="L59" s="98"/>
      <c r="M59" s="98"/>
      <c r="N59" s="98"/>
      <c r="O59" s="98"/>
      <c r="P59" s="98"/>
      <c r="Q59" s="98"/>
      <c r="R59" s="98"/>
      <c r="S59" s="98"/>
      <c r="T59" s="98"/>
      <c r="U59" s="98"/>
      <c r="V59" s="98"/>
      <c r="W59" s="98"/>
    </row>
    <row r="60" spans="1:23" ht="15" customHeight="1">
      <c r="A60" s="40">
        <v>53</v>
      </c>
      <c r="B60" s="40" t="s">
        <v>2510</v>
      </c>
      <c r="C60" s="670" t="s">
        <v>2511</v>
      </c>
      <c r="D60" s="671">
        <v>500</v>
      </c>
      <c r="E60" s="671">
        <v>500</v>
      </c>
      <c r="F60" s="671">
        <v>500</v>
      </c>
      <c r="G60" s="98"/>
      <c r="H60" s="98"/>
      <c r="I60" s="98"/>
      <c r="J60" s="98"/>
      <c r="K60" s="98"/>
      <c r="L60" s="98"/>
      <c r="M60" s="98"/>
      <c r="N60" s="98"/>
      <c r="O60" s="98"/>
      <c r="P60" s="98"/>
      <c r="Q60" s="98"/>
      <c r="R60" s="98"/>
      <c r="S60" s="98"/>
      <c r="T60" s="98"/>
      <c r="U60" s="98"/>
      <c r="V60" s="98"/>
      <c r="W60" s="98"/>
    </row>
    <row r="61" spans="1:23" ht="15" customHeight="1">
      <c r="A61" s="40">
        <v>54</v>
      </c>
      <c r="B61" s="40" t="s">
        <v>2512</v>
      </c>
      <c r="C61" s="670" t="s">
        <v>2513</v>
      </c>
      <c r="D61" s="671">
        <v>250</v>
      </c>
      <c r="E61" s="671">
        <v>250</v>
      </c>
      <c r="F61" s="671">
        <v>250</v>
      </c>
      <c r="G61" s="98"/>
      <c r="H61" s="98"/>
      <c r="I61" s="98"/>
      <c r="J61" s="98"/>
      <c r="K61" s="98"/>
      <c r="L61" s="98"/>
      <c r="M61" s="98"/>
      <c r="N61" s="98"/>
      <c r="O61" s="98"/>
      <c r="P61" s="98"/>
      <c r="Q61" s="98"/>
      <c r="R61" s="98"/>
      <c r="S61" s="98"/>
      <c r="T61" s="98"/>
      <c r="U61" s="98"/>
      <c r="V61" s="98"/>
      <c r="W61" s="98"/>
    </row>
    <row r="62" spans="1:23" ht="15" customHeight="1">
      <c r="A62" s="40">
        <v>55</v>
      </c>
      <c r="B62" s="40" t="s">
        <v>2514</v>
      </c>
      <c r="C62" s="670" t="s">
        <v>2515</v>
      </c>
      <c r="D62" s="671">
        <v>2800</v>
      </c>
      <c r="E62" s="671">
        <v>2300</v>
      </c>
      <c r="F62" s="671">
        <v>2300</v>
      </c>
      <c r="G62" s="98"/>
      <c r="H62" s="98"/>
      <c r="I62" s="98"/>
      <c r="J62" s="98"/>
      <c r="K62" s="98"/>
      <c r="L62" s="98"/>
      <c r="M62" s="98"/>
      <c r="N62" s="98"/>
      <c r="O62" s="98"/>
      <c r="P62" s="98"/>
      <c r="Q62" s="98"/>
      <c r="R62" s="98"/>
      <c r="S62" s="98"/>
      <c r="T62" s="98"/>
      <c r="U62" s="98"/>
      <c r="V62" s="98"/>
      <c r="W62" s="98"/>
    </row>
    <row r="63" spans="1:23" ht="15" customHeight="1">
      <c r="A63" s="40">
        <v>56</v>
      </c>
      <c r="B63" s="40" t="s">
        <v>2516</v>
      </c>
      <c r="C63" s="670" t="s">
        <v>2003</v>
      </c>
      <c r="D63" s="671">
        <v>150</v>
      </c>
      <c r="E63" s="671">
        <v>150</v>
      </c>
      <c r="F63" s="671">
        <v>150</v>
      </c>
      <c r="G63" s="98"/>
      <c r="H63" s="98"/>
      <c r="I63" s="98"/>
      <c r="J63" s="98"/>
      <c r="K63" s="98"/>
      <c r="L63" s="98"/>
      <c r="M63" s="98"/>
      <c r="N63" s="98"/>
      <c r="O63" s="98"/>
      <c r="P63" s="98"/>
      <c r="Q63" s="98"/>
      <c r="R63" s="98"/>
      <c r="S63" s="98"/>
      <c r="T63" s="98"/>
      <c r="U63" s="98"/>
      <c r="V63" s="98"/>
      <c r="W63" s="98"/>
    </row>
    <row r="64" spans="1:23" ht="15" customHeight="1">
      <c r="A64" s="40">
        <v>57</v>
      </c>
      <c r="B64" s="40" t="s">
        <v>2517</v>
      </c>
      <c r="C64" s="670" t="s">
        <v>2331</v>
      </c>
      <c r="D64" s="671">
        <v>125</v>
      </c>
      <c r="E64" s="671">
        <v>125</v>
      </c>
      <c r="F64" s="671">
        <v>125</v>
      </c>
      <c r="G64" s="98"/>
      <c r="H64" s="98"/>
      <c r="I64" s="98"/>
      <c r="J64" s="98"/>
      <c r="K64" s="98"/>
      <c r="L64" s="98"/>
      <c r="M64" s="98"/>
      <c r="N64" s="98"/>
      <c r="O64" s="98"/>
      <c r="P64" s="98"/>
      <c r="Q64" s="98"/>
      <c r="R64" s="98"/>
      <c r="S64" s="98"/>
      <c r="T64" s="98"/>
      <c r="U64" s="98"/>
      <c r="V64" s="98"/>
      <c r="W64" s="98"/>
    </row>
    <row r="65" spans="1:23" ht="15" customHeight="1">
      <c r="A65" s="40">
        <v>58</v>
      </c>
      <c r="B65" s="40" t="s">
        <v>700</v>
      </c>
      <c r="C65" s="670" t="s">
        <v>700</v>
      </c>
      <c r="D65" s="671">
        <v>1650</v>
      </c>
      <c r="E65" s="671">
        <v>1650</v>
      </c>
      <c r="F65" s="671">
        <v>1650</v>
      </c>
      <c r="G65" s="98"/>
      <c r="H65" s="98"/>
      <c r="I65" s="98"/>
      <c r="J65" s="98"/>
      <c r="K65" s="98"/>
      <c r="L65" s="98"/>
      <c r="M65" s="98"/>
      <c r="N65" s="98"/>
      <c r="O65" s="98"/>
      <c r="P65" s="98"/>
      <c r="Q65" s="98"/>
      <c r="R65" s="98"/>
      <c r="S65" s="98"/>
      <c r="T65" s="98"/>
      <c r="U65" s="98"/>
      <c r="V65" s="98"/>
      <c r="W65" s="98"/>
    </row>
    <row r="66" spans="1:23" ht="15" customHeight="1">
      <c r="A66" s="40">
        <v>59</v>
      </c>
      <c r="B66" s="40" t="s">
        <v>2518</v>
      </c>
      <c r="C66" s="670" t="s">
        <v>2519</v>
      </c>
      <c r="D66" s="671">
        <v>125</v>
      </c>
      <c r="E66" s="671">
        <v>125</v>
      </c>
      <c r="F66" s="671">
        <v>125</v>
      </c>
      <c r="G66" s="98"/>
      <c r="H66" s="98"/>
      <c r="I66" s="98"/>
      <c r="J66" s="98"/>
      <c r="K66" s="98"/>
      <c r="L66" s="98"/>
      <c r="M66" s="98"/>
      <c r="N66" s="98"/>
      <c r="O66" s="98"/>
      <c r="P66" s="98"/>
      <c r="Q66" s="98"/>
      <c r="R66" s="98"/>
      <c r="S66" s="98"/>
      <c r="T66" s="98"/>
      <c r="U66" s="98"/>
      <c r="V66" s="98"/>
      <c r="W66" s="98"/>
    </row>
    <row r="67" spans="1:23" ht="15" customHeight="1">
      <c r="A67" s="40">
        <v>60</v>
      </c>
      <c r="B67" s="40" t="s">
        <v>2520</v>
      </c>
      <c r="C67" s="670" t="s">
        <v>2060</v>
      </c>
      <c r="D67" s="671">
        <v>175</v>
      </c>
      <c r="E67" s="671">
        <v>175</v>
      </c>
      <c r="F67" s="671">
        <v>175</v>
      </c>
      <c r="G67" s="98"/>
      <c r="H67" s="98"/>
      <c r="I67" s="98"/>
      <c r="J67" s="98"/>
      <c r="K67" s="98"/>
      <c r="L67" s="98"/>
      <c r="M67" s="98"/>
      <c r="N67" s="98"/>
      <c r="O67" s="98"/>
      <c r="P67" s="98"/>
      <c r="Q67" s="98"/>
      <c r="R67" s="98"/>
      <c r="S67" s="98"/>
      <c r="T67" s="98"/>
      <c r="U67" s="98"/>
      <c r="V67" s="98"/>
      <c r="W67" s="98"/>
    </row>
    <row r="68" spans="1:23" ht="15" customHeight="1">
      <c r="A68" s="40">
        <v>61</v>
      </c>
      <c r="B68" s="40" t="s">
        <v>2521</v>
      </c>
      <c r="C68" s="670" t="s">
        <v>684</v>
      </c>
      <c r="D68" s="671">
        <v>275</v>
      </c>
      <c r="E68" s="671">
        <v>275</v>
      </c>
      <c r="F68" s="671">
        <v>275</v>
      </c>
      <c r="G68" s="98"/>
      <c r="H68" s="98"/>
      <c r="I68" s="98"/>
      <c r="J68" s="98"/>
      <c r="K68" s="98"/>
      <c r="L68" s="98"/>
      <c r="M68" s="98"/>
      <c r="N68" s="98"/>
      <c r="O68" s="98"/>
      <c r="P68" s="98"/>
      <c r="Q68" s="98"/>
      <c r="R68" s="98"/>
      <c r="S68" s="98"/>
      <c r="T68" s="98"/>
      <c r="U68" s="98"/>
      <c r="V68" s="98"/>
      <c r="W68" s="98"/>
    </row>
    <row r="69" spans="1:23" ht="15" customHeight="1">
      <c r="A69" s="40">
        <v>62</v>
      </c>
      <c r="B69" s="40" t="s">
        <v>2522</v>
      </c>
      <c r="C69" s="670" t="s">
        <v>1951</v>
      </c>
      <c r="D69" s="671">
        <v>3600</v>
      </c>
      <c r="E69" s="671">
        <v>3600</v>
      </c>
      <c r="F69" s="671">
        <v>3600</v>
      </c>
      <c r="G69" s="98"/>
      <c r="H69" s="98"/>
      <c r="I69" s="98"/>
      <c r="J69" s="98"/>
      <c r="K69" s="98"/>
      <c r="L69" s="98"/>
      <c r="M69" s="98"/>
      <c r="N69" s="98"/>
      <c r="O69" s="98"/>
      <c r="P69" s="98"/>
      <c r="Q69" s="98"/>
      <c r="R69" s="98"/>
      <c r="S69" s="98"/>
      <c r="T69" s="98"/>
      <c r="U69" s="98"/>
      <c r="V69" s="98"/>
      <c r="W69" s="98"/>
    </row>
    <row r="70" spans="1:23" ht="15" customHeight="1">
      <c r="A70" s="40">
        <v>63</v>
      </c>
      <c r="B70" s="40" t="s">
        <v>2523</v>
      </c>
      <c r="C70" s="670" t="s">
        <v>601</v>
      </c>
      <c r="D70" s="671">
        <v>5000</v>
      </c>
      <c r="E70" s="671">
        <v>5000</v>
      </c>
      <c r="F70" s="671">
        <v>5000</v>
      </c>
      <c r="G70" s="98"/>
      <c r="H70" s="98"/>
      <c r="I70" s="98"/>
      <c r="J70" s="98"/>
      <c r="K70" s="98"/>
      <c r="L70" s="98"/>
      <c r="M70" s="98"/>
      <c r="N70" s="98"/>
      <c r="O70" s="98"/>
      <c r="P70" s="98"/>
      <c r="Q70" s="98"/>
      <c r="R70" s="98"/>
      <c r="S70" s="98"/>
      <c r="T70" s="98"/>
      <c r="U70" s="98"/>
      <c r="V70" s="98"/>
      <c r="W70" s="98"/>
    </row>
    <row r="71" spans="1:23" ht="15" customHeight="1">
      <c r="A71" s="40">
        <v>64</v>
      </c>
      <c r="B71" s="40" t="s">
        <v>2524</v>
      </c>
      <c r="C71" s="670" t="s">
        <v>2525</v>
      </c>
      <c r="D71" s="671">
        <v>5200</v>
      </c>
      <c r="E71" s="671">
        <v>5200</v>
      </c>
      <c r="F71" s="671">
        <v>5200</v>
      </c>
      <c r="G71" s="98"/>
      <c r="H71" s="98"/>
      <c r="I71" s="98"/>
      <c r="J71" s="98"/>
      <c r="K71" s="98"/>
      <c r="L71" s="98"/>
      <c r="M71" s="98"/>
      <c r="N71" s="98"/>
      <c r="O71" s="98"/>
      <c r="P71" s="98"/>
      <c r="Q71" s="98"/>
      <c r="R71" s="98"/>
      <c r="S71" s="98"/>
      <c r="T71" s="98"/>
      <c r="U71" s="98"/>
      <c r="V71" s="98"/>
      <c r="W71" s="98"/>
    </row>
    <row r="72" spans="1:23" ht="15" customHeight="1">
      <c r="A72" s="40">
        <v>65</v>
      </c>
      <c r="B72" s="40" t="s">
        <v>2526</v>
      </c>
      <c r="C72" s="670" t="s">
        <v>612</v>
      </c>
      <c r="D72" s="671">
        <v>9150</v>
      </c>
      <c r="E72" s="671">
        <v>9150</v>
      </c>
      <c r="F72" s="671">
        <v>9150</v>
      </c>
      <c r="G72" s="98"/>
      <c r="H72" s="98"/>
      <c r="I72" s="98"/>
      <c r="J72" s="98"/>
      <c r="K72" s="98"/>
      <c r="L72" s="98"/>
      <c r="M72" s="98"/>
      <c r="N72" s="98"/>
      <c r="O72" s="98"/>
      <c r="P72" s="98"/>
      <c r="Q72" s="98"/>
      <c r="R72" s="98"/>
      <c r="S72" s="98"/>
      <c r="T72" s="98"/>
      <c r="U72" s="98"/>
      <c r="V72" s="98"/>
      <c r="W72" s="98"/>
    </row>
    <row r="73" spans="1:23" ht="15" customHeight="1">
      <c r="A73" s="40">
        <v>66</v>
      </c>
      <c r="B73" s="40" t="s">
        <v>2527</v>
      </c>
      <c r="C73" s="670" t="s">
        <v>1810</v>
      </c>
      <c r="D73" s="671">
        <v>1450</v>
      </c>
      <c r="E73" s="671">
        <v>1150</v>
      </c>
      <c r="F73" s="671">
        <v>1150</v>
      </c>
      <c r="G73" s="98"/>
      <c r="H73" s="98"/>
      <c r="I73" s="98"/>
      <c r="J73" s="98"/>
      <c r="K73" s="98"/>
      <c r="L73" s="98"/>
      <c r="M73" s="98"/>
      <c r="N73" s="98"/>
      <c r="O73" s="98"/>
      <c r="P73" s="98"/>
      <c r="Q73" s="98"/>
      <c r="R73" s="98"/>
      <c r="S73" s="98"/>
      <c r="T73" s="98"/>
      <c r="U73" s="98"/>
      <c r="V73" s="98"/>
      <c r="W73" s="98"/>
    </row>
    <row r="74" spans="1:23" ht="15" customHeight="1">
      <c r="A74" s="40">
        <v>67</v>
      </c>
      <c r="B74" s="40" t="s">
        <v>2528</v>
      </c>
      <c r="C74" s="670" t="s">
        <v>2067</v>
      </c>
      <c r="D74" s="671">
        <v>22500</v>
      </c>
      <c r="E74" s="671">
        <v>22500</v>
      </c>
      <c r="F74" s="671">
        <v>22500</v>
      </c>
      <c r="G74" s="98"/>
      <c r="H74" s="98"/>
      <c r="I74" s="98"/>
      <c r="J74" s="98"/>
      <c r="K74" s="98"/>
      <c r="L74" s="98"/>
      <c r="M74" s="98"/>
      <c r="N74" s="98"/>
      <c r="O74" s="98"/>
      <c r="P74" s="98"/>
      <c r="Q74" s="98"/>
      <c r="R74" s="98"/>
      <c r="S74" s="98"/>
      <c r="T74" s="98"/>
      <c r="U74" s="98"/>
      <c r="V74" s="98"/>
      <c r="W74" s="98"/>
    </row>
    <row r="75" spans="1:23" ht="15" customHeight="1">
      <c r="A75" s="40">
        <v>68</v>
      </c>
      <c r="B75" s="40" t="s">
        <v>2529</v>
      </c>
      <c r="C75" s="670" t="s">
        <v>2530</v>
      </c>
      <c r="D75" s="671">
        <v>1300</v>
      </c>
      <c r="E75" s="671">
        <v>1300</v>
      </c>
      <c r="F75" s="671">
        <v>1300</v>
      </c>
      <c r="G75" s="98"/>
      <c r="H75" s="98"/>
      <c r="I75" s="98"/>
      <c r="J75" s="98"/>
      <c r="K75" s="98"/>
      <c r="L75" s="98"/>
      <c r="M75" s="98"/>
      <c r="N75" s="98"/>
      <c r="O75" s="98"/>
      <c r="P75" s="98"/>
      <c r="Q75" s="98"/>
      <c r="R75" s="98"/>
      <c r="S75" s="98"/>
      <c r="T75" s="98"/>
      <c r="U75" s="98"/>
      <c r="V75" s="98"/>
      <c r="W75" s="98"/>
    </row>
    <row r="76" spans="1:23" ht="15" customHeight="1">
      <c r="A76" s="40">
        <v>69</v>
      </c>
      <c r="B76" s="40" t="s">
        <v>2531</v>
      </c>
      <c r="C76" s="670" t="s">
        <v>720</v>
      </c>
      <c r="D76" s="671">
        <v>1000</v>
      </c>
      <c r="E76" s="671">
        <v>1000</v>
      </c>
      <c r="F76" s="671">
        <v>1000</v>
      </c>
      <c r="G76" s="98"/>
      <c r="H76" s="98"/>
      <c r="I76" s="98"/>
      <c r="J76" s="98"/>
      <c r="K76" s="98"/>
      <c r="L76" s="98"/>
      <c r="M76" s="98"/>
      <c r="N76" s="98"/>
      <c r="O76" s="98"/>
      <c r="P76" s="98"/>
      <c r="Q76" s="98"/>
      <c r="R76" s="98"/>
      <c r="S76" s="98"/>
      <c r="T76" s="98"/>
      <c r="U76" s="98"/>
      <c r="V76" s="98"/>
      <c r="W76" s="98"/>
    </row>
    <row r="77" spans="1:23" ht="15" customHeight="1">
      <c r="A77" s="40">
        <v>70</v>
      </c>
      <c r="B77" s="40" t="s">
        <v>2532</v>
      </c>
      <c r="C77" s="670" t="s">
        <v>2533</v>
      </c>
      <c r="D77" s="671">
        <v>425</v>
      </c>
      <c r="E77" s="671">
        <v>325</v>
      </c>
      <c r="F77" s="671">
        <v>325</v>
      </c>
      <c r="G77" s="98"/>
      <c r="H77" s="98"/>
      <c r="I77" s="98"/>
      <c r="J77" s="98"/>
      <c r="K77" s="98"/>
      <c r="L77" s="98"/>
      <c r="M77" s="98"/>
      <c r="N77" s="98"/>
      <c r="O77" s="98"/>
      <c r="P77" s="98"/>
      <c r="Q77" s="98"/>
      <c r="R77" s="98"/>
      <c r="S77" s="98"/>
      <c r="T77" s="98"/>
      <c r="U77" s="98"/>
      <c r="V77" s="98"/>
      <c r="W77" s="98"/>
    </row>
    <row r="78" spans="1:23" ht="15" customHeight="1">
      <c r="A78" s="40">
        <v>71</v>
      </c>
      <c r="B78" s="40" t="s">
        <v>2534</v>
      </c>
      <c r="C78" s="670" t="s">
        <v>2329</v>
      </c>
      <c r="D78" s="671">
        <v>2000</v>
      </c>
      <c r="E78" s="671">
        <v>2000</v>
      </c>
      <c r="F78" s="671">
        <v>2000</v>
      </c>
      <c r="G78" s="98"/>
      <c r="H78" s="98"/>
      <c r="I78" s="98"/>
      <c r="J78" s="98"/>
      <c r="K78" s="98"/>
      <c r="L78" s="98"/>
      <c r="M78" s="98"/>
      <c r="N78" s="98"/>
      <c r="O78" s="98"/>
      <c r="P78" s="98"/>
      <c r="Q78" s="98"/>
      <c r="R78" s="98"/>
      <c r="S78" s="98"/>
      <c r="T78" s="98"/>
      <c r="U78" s="98"/>
      <c r="V78" s="98"/>
      <c r="W78" s="98"/>
    </row>
    <row r="79" spans="1:23" ht="15" customHeight="1">
      <c r="A79" s="40">
        <v>72</v>
      </c>
      <c r="B79" s="40" t="s">
        <v>2535</v>
      </c>
      <c r="C79" s="670" t="s">
        <v>694</v>
      </c>
      <c r="D79" s="671">
        <v>475</v>
      </c>
      <c r="E79" s="671">
        <v>475</v>
      </c>
      <c r="F79" s="671">
        <v>475</v>
      </c>
      <c r="G79" s="98"/>
      <c r="H79" s="98"/>
      <c r="I79" s="98"/>
      <c r="J79" s="98"/>
      <c r="K79" s="98"/>
      <c r="L79" s="98"/>
      <c r="M79" s="98"/>
      <c r="N79" s="98"/>
      <c r="O79" s="98"/>
      <c r="P79" s="98"/>
      <c r="Q79" s="98"/>
      <c r="R79" s="98"/>
      <c r="S79" s="98"/>
      <c r="T79" s="98"/>
      <c r="U79" s="98"/>
      <c r="V79" s="98"/>
      <c r="W79" s="98"/>
    </row>
    <row r="80" spans="1:23" ht="15" customHeight="1">
      <c r="A80" s="40">
        <v>73</v>
      </c>
      <c r="B80" s="40" t="s">
        <v>2536</v>
      </c>
      <c r="C80" s="670" t="s">
        <v>2537</v>
      </c>
      <c r="D80" s="671"/>
      <c r="E80" s="671">
        <v>2500</v>
      </c>
      <c r="F80" s="671"/>
      <c r="G80" s="98"/>
      <c r="H80" s="98"/>
      <c r="I80" s="98"/>
      <c r="J80" s="98"/>
      <c r="K80" s="98"/>
      <c r="L80" s="98"/>
      <c r="M80" s="98"/>
      <c r="N80" s="98"/>
      <c r="O80" s="98"/>
      <c r="P80" s="98"/>
      <c r="Q80" s="98"/>
      <c r="R80" s="98"/>
      <c r="S80" s="98"/>
      <c r="T80" s="98"/>
      <c r="U80" s="98"/>
      <c r="V80" s="98"/>
      <c r="W80" s="98"/>
    </row>
    <row r="81" spans="1:23" ht="15" customHeight="1">
      <c r="A81" s="40">
        <v>74</v>
      </c>
      <c r="B81" s="40" t="s">
        <v>2538</v>
      </c>
      <c r="C81" s="670" t="s">
        <v>2539</v>
      </c>
      <c r="D81" s="671">
        <v>1250</v>
      </c>
      <c r="E81" s="671">
        <v>1250</v>
      </c>
      <c r="F81" s="671">
        <v>1250</v>
      </c>
      <c r="G81" s="98"/>
      <c r="H81" s="98"/>
      <c r="I81" s="98"/>
      <c r="J81" s="98"/>
      <c r="K81" s="98"/>
      <c r="L81" s="98"/>
      <c r="M81" s="98"/>
      <c r="N81" s="98"/>
      <c r="O81" s="98"/>
      <c r="P81" s="98"/>
      <c r="Q81" s="98"/>
      <c r="R81" s="98"/>
      <c r="S81" s="98"/>
      <c r="T81" s="98"/>
      <c r="U81" s="98"/>
      <c r="V81" s="98"/>
      <c r="W81" s="98"/>
    </row>
    <row r="82" spans="1:23" ht="15" customHeight="1">
      <c r="A82" s="40">
        <v>75</v>
      </c>
      <c r="B82" s="40" t="s">
        <v>2540</v>
      </c>
      <c r="C82" s="670" t="s">
        <v>2541</v>
      </c>
      <c r="D82" s="671">
        <v>300</v>
      </c>
      <c r="E82" s="671">
        <v>475</v>
      </c>
      <c r="F82" s="671">
        <v>475</v>
      </c>
      <c r="G82" s="98"/>
      <c r="H82" s="98"/>
      <c r="I82" s="98"/>
      <c r="J82" s="98"/>
      <c r="K82" s="98"/>
      <c r="L82" s="98"/>
      <c r="M82" s="98"/>
      <c r="N82" s="98"/>
      <c r="O82" s="98"/>
      <c r="P82" s="98"/>
      <c r="Q82" s="98"/>
      <c r="R82" s="98"/>
      <c r="S82" s="98"/>
      <c r="T82" s="98"/>
      <c r="U82" s="98"/>
      <c r="V82" s="98"/>
      <c r="W82" s="98"/>
    </row>
    <row r="83" spans="1:23" ht="15" customHeight="1">
      <c r="A83" s="40">
        <v>76</v>
      </c>
      <c r="B83" s="40" t="s">
        <v>2542</v>
      </c>
      <c r="C83" s="670" t="s">
        <v>595</v>
      </c>
      <c r="D83" s="671">
        <v>500</v>
      </c>
      <c r="E83" s="671">
        <v>500</v>
      </c>
      <c r="F83" s="671">
        <v>500</v>
      </c>
      <c r="G83" s="98"/>
      <c r="H83" s="98"/>
      <c r="I83" s="98"/>
      <c r="J83" s="98"/>
      <c r="K83" s="98"/>
      <c r="L83" s="98"/>
      <c r="M83" s="98"/>
      <c r="N83" s="98"/>
      <c r="O83" s="98"/>
      <c r="P83" s="98"/>
      <c r="Q83" s="98"/>
      <c r="R83" s="98"/>
      <c r="S83" s="98"/>
      <c r="T83" s="98"/>
      <c r="U83" s="98"/>
      <c r="V83" s="98"/>
      <c r="W83" s="98"/>
    </row>
    <row r="84" spans="1:23" ht="15" customHeight="1">
      <c r="A84" s="40">
        <v>77</v>
      </c>
      <c r="B84" s="40" t="s">
        <v>2543</v>
      </c>
      <c r="C84" s="670" t="s">
        <v>1883</v>
      </c>
      <c r="D84" s="671">
        <v>700</v>
      </c>
      <c r="E84" s="671">
        <v>700</v>
      </c>
      <c r="F84" s="671">
        <v>700</v>
      </c>
      <c r="G84" s="98"/>
      <c r="H84" s="98"/>
      <c r="I84" s="98"/>
      <c r="J84" s="98"/>
      <c r="K84" s="98"/>
      <c r="L84" s="98"/>
      <c r="M84" s="98"/>
      <c r="N84" s="98"/>
      <c r="O84" s="98"/>
      <c r="P84" s="98"/>
      <c r="Q84" s="98"/>
      <c r="R84" s="98"/>
      <c r="S84" s="98"/>
      <c r="T84" s="98"/>
      <c r="U84" s="98"/>
      <c r="V84" s="98"/>
      <c r="W84" s="98"/>
    </row>
    <row r="85" spans="1:23" ht="15" customHeight="1">
      <c r="A85" s="40">
        <v>78</v>
      </c>
      <c r="B85" s="40" t="s">
        <v>506</v>
      </c>
      <c r="C85" s="670" t="s">
        <v>506</v>
      </c>
      <c r="D85" s="671">
        <v>300</v>
      </c>
      <c r="E85" s="671">
        <v>300</v>
      </c>
      <c r="F85" s="671">
        <v>300</v>
      </c>
      <c r="G85" s="98"/>
      <c r="H85" s="98"/>
      <c r="I85" s="98"/>
      <c r="J85" s="98"/>
      <c r="K85" s="98"/>
      <c r="L85" s="98"/>
      <c r="M85" s="98"/>
      <c r="N85" s="98"/>
      <c r="O85" s="98"/>
      <c r="P85" s="98"/>
      <c r="Q85" s="98"/>
      <c r="R85" s="98"/>
      <c r="S85" s="98"/>
      <c r="T85" s="98"/>
      <c r="U85" s="98"/>
      <c r="V85" s="98"/>
      <c r="W85" s="98"/>
    </row>
    <row r="86" spans="1:23" ht="15" customHeight="1">
      <c r="A86" s="40">
        <v>79</v>
      </c>
      <c r="B86" s="40" t="s">
        <v>2544</v>
      </c>
      <c r="C86" s="670" t="s">
        <v>2545</v>
      </c>
      <c r="D86" s="671">
        <v>300</v>
      </c>
      <c r="E86" s="671">
        <v>300</v>
      </c>
      <c r="F86" s="671">
        <v>300</v>
      </c>
      <c r="G86" s="98"/>
      <c r="H86" s="98"/>
      <c r="I86" s="98"/>
      <c r="J86" s="98"/>
      <c r="K86" s="98"/>
      <c r="L86" s="98"/>
      <c r="M86" s="98"/>
      <c r="N86" s="98"/>
      <c r="O86" s="98"/>
      <c r="P86" s="98"/>
      <c r="Q86" s="98"/>
      <c r="R86" s="98"/>
      <c r="S86" s="98"/>
      <c r="T86" s="98"/>
      <c r="U86" s="98"/>
      <c r="V86" s="98"/>
      <c r="W86" s="98"/>
    </row>
    <row r="87" spans="1:23" ht="15" customHeight="1">
      <c r="A87" s="40">
        <v>80</v>
      </c>
      <c r="B87" s="40" t="s">
        <v>2546</v>
      </c>
      <c r="C87" s="670" t="s">
        <v>513</v>
      </c>
      <c r="D87" s="671">
        <v>550</v>
      </c>
      <c r="E87" s="671">
        <v>550</v>
      </c>
      <c r="F87" s="671">
        <v>550</v>
      </c>
      <c r="G87" s="98"/>
      <c r="H87" s="98"/>
      <c r="I87" s="98"/>
      <c r="J87" s="98"/>
      <c r="K87" s="98"/>
      <c r="L87" s="98"/>
      <c r="M87" s="98"/>
      <c r="N87" s="98"/>
      <c r="O87" s="98"/>
      <c r="P87" s="98"/>
      <c r="Q87" s="98"/>
      <c r="R87" s="98"/>
      <c r="S87" s="98"/>
      <c r="T87" s="98"/>
      <c r="U87" s="98"/>
      <c r="V87" s="98"/>
      <c r="W87" s="98"/>
    </row>
    <row r="88" spans="1:23" ht="15" customHeight="1">
      <c r="A88" s="40">
        <v>81</v>
      </c>
      <c r="B88" s="40" t="s">
        <v>2547</v>
      </c>
      <c r="C88" s="670" t="s">
        <v>2548</v>
      </c>
      <c r="D88" s="671">
        <v>1100</v>
      </c>
      <c r="E88" s="671">
        <v>1100</v>
      </c>
      <c r="F88" s="671">
        <v>1100</v>
      </c>
      <c r="G88" s="98"/>
      <c r="H88" s="98"/>
      <c r="I88" s="98"/>
      <c r="J88" s="98"/>
      <c r="K88" s="98"/>
      <c r="L88" s="98"/>
      <c r="M88" s="98"/>
      <c r="N88" s="98"/>
      <c r="O88" s="98"/>
      <c r="P88" s="98"/>
      <c r="Q88" s="98"/>
      <c r="R88" s="98"/>
      <c r="S88" s="98"/>
      <c r="T88" s="98"/>
      <c r="U88" s="98"/>
      <c r="V88" s="98"/>
      <c r="W88" s="98"/>
    </row>
    <row r="89" spans="1:23" ht="15" customHeight="1">
      <c r="A89" s="40">
        <v>82</v>
      </c>
      <c r="B89" s="40" t="s">
        <v>2549</v>
      </c>
      <c r="C89" s="670" t="s">
        <v>475</v>
      </c>
      <c r="D89" s="671">
        <v>300</v>
      </c>
      <c r="E89" s="671">
        <v>300</v>
      </c>
      <c r="F89" s="671">
        <v>300</v>
      </c>
      <c r="G89" s="98"/>
      <c r="H89" s="98"/>
      <c r="I89" s="98"/>
      <c r="J89" s="98"/>
      <c r="K89" s="98"/>
      <c r="L89" s="98"/>
      <c r="M89" s="98"/>
      <c r="N89" s="98"/>
      <c r="O89" s="98"/>
      <c r="P89" s="98"/>
      <c r="Q89" s="98"/>
      <c r="R89" s="98"/>
      <c r="S89" s="98"/>
      <c r="T89" s="98"/>
      <c r="U89" s="98"/>
      <c r="V89" s="98"/>
      <c r="W89" s="98"/>
    </row>
    <row r="90" spans="1:23" ht="15" customHeight="1">
      <c r="A90" s="40">
        <v>83</v>
      </c>
      <c r="B90" s="40" t="s">
        <v>2550</v>
      </c>
      <c r="C90" s="670" t="s">
        <v>481</v>
      </c>
      <c r="D90" s="671">
        <v>1400</v>
      </c>
      <c r="E90" s="671">
        <v>1075</v>
      </c>
      <c r="F90" s="671">
        <v>1075</v>
      </c>
      <c r="G90" s="98"/>
      <c r="H90" s="98"/>
      <c r="I90" s="98"/>
      <c r="J90" s="98"/>
      <c r="K90" s="98"/>
      <c r="L90" s="98"/>
      <c r="M90" s="98"/>
      <c r="N90" s="98"/>
      <c r="O90" s="98"/>
      <c r="P90" s="98"/>
      <c r="Q90" s="98"/>
      <c r="R90" s="98"/>
      <c r="S90" s="98"/>
      <c r="T90" s="98"/>
      <c r="U90" s="98"/>
      <c r="V90" s="98"/>
      <c r="W90" s="98"/>
    </row>
    <row r="91" spans="1:23" ht="15" customHeight="1">
      <c r="A91" s="40">
        <v>84</v>
      </c>
      <c r="B91" s="40" t="s">
        <v>2551</v>
      </c>
      <c r="C91" s="670" t="s">
        <v>1816</v>
      </c>
      <c r="D91" s="671">
        <v>4800</v>
      </c>
      <c r="E91" s="671">
        <v>4300</v>
      </c>
      <c r="F91" s="671">
        <v>4300</v>
      </c>
      <c r="G91" s="98"/>
      <c r="H91" s="98"/>
      <c r="I91" s="98"/>
      <c r="J91" s="98"/>
      <c r="K91" s="98"/>
      <c r="L91" s="98"/>
      <c r="M91" s="98"/>
      <c r="N91" s="98"/>
      <c r="O91" s="98"/>
      <c r="P91" s="98"/>
      <c r="Q91" s="98"/>
      <c r="R91" s="98"/>
      <c r="S91" s="98"/>
      <c r="T91" s="98"/>
      <c r="U91" s="98"/>
      <c r="V91" s="98"/>
      <c r="W91" s="98"/>
    </row>
    <row r="92" spans="1:23" ht="15" customHeight="1">
      <c r="A92" s="40">
        <v>85</v>
      </c>
      <c r="B92" s="40" t="s">
        <v>2552</v>
      </c>
      <c r="C92" s="670" t="s">
        <v>689</v>
      </c>
      <c r="D92" s="671">
        <v>2700</v>
      </c>
      <c r="E92" s="671">
        <v>2700</v>
      </c>
      <c r="F92" s="671">
        <v>2700</v>
      </c>
      <c r="G92" s="98"/>
      <c r="H92" s="98"/>
      <c r="I92" s="98"/>
      <c r="J92" s="98"/>
      <c r="K92" s="98"/>
      <c r="L92" s="98"/>
      <c r="M92" s="98"/>
      <c r="N92" s="98"/>
      <c r="O92" s="98"/>
      <c r="P92" s="98"/>
      <c r="Q92" s="98"/>
      <c r="R92" s="98"/>
      <c r="S92" s="98"/>
      <c r="T92" s="98"/>
      <c r="U92" s="98"/>
      <c r="V92" s="98"/>
      <c r="W92" s="98"/>
    </row>
    <row r="93" spans="1:23" ht="15" customHeight="1">
      <c r="A93" s="40">
        <v>86</v>
      </c>
      <c r="B93" s="40" t="s">
        <v>2553</v>
      </c>
      <c r="C93" s="670" t="s">
        <v>504</v>
      </c>
      <c r="D93" s="671">
        <v>300</v>
      </c>
      <c r="E93" s="671">
        <v>300</v>
      </c>
      <c r="F93" s="671">
        <v>300</v>
      </c>
      <c r="G93" s="98"/>
      <c r="H93" s="98"/>
      <c r="I93" s="98"/>
      <c r="J93" s="98"/>
      <c r="K93" s="98"/>
      <c r="L93" s="98"/>
      <c r="M93" s="98"/>
      <c r="N93" s="98"/>
      <c r="O93" s="98"/>
      <c r="P93" s="98"/>
      <c r="Q93" s="98"/>
      <c r="R93" s="98"/>
      <c r="S93" s="98"/>
      <c r="T93" s="98"/>
      <c r="U93" s="98"/>
      <c r="V93" s="98"/>
      <c r="W93" s="98"/>
    </row>
    <row r="94" spans="1:23" ht="15" customHeight="1">
      <c r="A94" s="40">
        <v>87</v>
      </c>
      <c r="B94" s="40" t="s">
        <v>2554</v>
      </c>
      <c r="C94" s="670" t="s">
        <v>2555</v>
      </c>
      <c r="D94" s="671">
        <v>15</v>
      </c>
      <c r="E94" s="671">
        <v>15</v>
      </c>
      <c r="F94" s="671">
        <v>15</v>
      </c>
      <c r="G94" s="98"/>
      <c r="H94" s="98"/>
      <c r="I94" s="98"/>
      <c r="J94" s="98"/>
      <c r="K94" s="98"/>
      <c r="L94" s="98"/>
      <c r="M94" s="98"/>
      <c r="N94" s="98"/>
      <c r="O94" s="98"/>
      <c r="P94" s="98"/>
      <c r="Q94" s="98"/>
      <c r="R94" s="98"/>
      <c r="S94" s="98"/>
      <c r="T94" s="98"/>
      <c r="U94" s="98"/>
      <c r="V94" s="98"/>
      <c r="W94" s="98"/>
    </row>
    <row r="95" spans="1:23" ht="15" customHeight="1">
      <c r="A95" s="40">
        <v>88</v>
      </c>
      <c r="B95" s="40" t="s">
        <v>2556</v>
      </c>
      <c r="C95" s="670" t="s">
        <v>580</v>
      </c>
      <c r="D95" s="671">
        <v>4000</v>
      </c>
      <c r="E95" s="671">
        <v>4000</v>
      </c>
      <c r="F95" s="671">
        <v>4000</v>
      </c>
      <c r="G95" s="98"/>
      <c r="H95" s="98"/>
      <c r="I95" s="98"/>
      <c r="J95" s="98"/>
      <c r="K95" s="98"/>
      <c r="L95" s="98"/>
      <c r="M95" s="98"/>
      <c r="N95" s="98"/>
      <c r="O95" s="98"/>
      <c r="P95" s="98"/>
      <c r="Q95" s="98"/>
      <c r="R95" s="98"/>
      <c r="S95" s="98"/>
      <c r="T95" s="98"/>
      <c r="U95" s="98"/>
      <c r="V95" s="98"/>
      <c r="W95" s="98"/>
    </row>
    <row r="96" spans="1:23" ht="15" customHeight="1">
      <c r="A96" s="40">
        <v>89</v>
      </c>
      <c r="B96" s="40" t="s">
        <v>2557</v>
      </c>
      <c r="C96" s="670" t="s">
        <v>501</v>
      </c>
      <c r="D96" s="671">
        <v>700</v>
      </c>
      <c r="E96" s="671">
        <v>1375</v>
      </c>
      <c r="F96" s="671">
        <v>1375</v>
      </c>
      <c r="G96" s="98"/>
      <c r="H96" s="98"/>
      <c r="I96" s="98"/>
      <c r="J96" s="98"/>
      <c r="K96" s="98"/>
      <c r="L96" s="98"/>
      <c r="M96" s="98"/>
      <c r="N96" s="98"/>
      <c r="O96" s="98"/>
      <c r="P96" s="98"/>
      <c r="Q96" s="98"/>
      <c r="R96" s="98"/>
      <c r="S96" s="98"/>
      <c r="T96" s="98"/>
      <c r="U96" s="98"/>
      <c r="V96" s="98"/>
      <c r="W96" s="98"/>
    </row>
    <row r="97" spans="1:23" ht="15" customHeight="1">
      <c r="A97" s="40">
        <v>90</v>
      </c>
      <c r="B97" s="40" t="s">
        <v>2558</v>
      </c>
      <c r="C97" s="670" t="s">
        <v>2559</v>
      </c>
      <c r="D97" s="671">
        <v>425</v>
      </c>
      <c r="E97" s="671">
        <v>425</v>
      </c>
      <c r="F97" s="671">
        <v>425</v>
      </c>
      <c r="G97" s="98"/>
      <c r="H97" s="98"/>
      <c r="I97" s="98"/>
      <c r="J97" s="98"/>
      <c r="K97" s="98"/>
      <c r="L97" s="98"/>
      <c r="M97" s="98"/>
      <c r="N97" s="98"/>
      <c r="O97" s="98"/>
      <c r="P97" s="98"/>
      <c r="Q97" s="98"/>
      <c r="R97" s="98"/>
      <c r="S97" s="98"/>
      <c r="T97" s="98"/>
      <c r="U97" s="98"/>
      <c r="V97" s="98"/>
      <c r="W97" s="98"/>
    </row>
    <row r="98" spans="1:23" ht="15" customHeight="1">
      <c r="A98" s="40">
        <v>91</v>
      </c>
      <c r="B98" s="40" t="s">
        <v>2560</v>
      </c>
      <c r="C98" s="670" t="s">
        <v>2561</v>
      </c>
      <c r="D98" s="671">
        <v>1500</v>
      </c>
      <c r="E98" s="671">
        <v>1500</v>
      </c>
      <c r="F98" s="671">
        <v>1500</v>
      </c>
      <c r="G98" s="98"/>
      <c r="H98" s="98"/>
      <c r="I98" s="98"/>
      <c r="J98" s="98"/>
      <c r="K98" s="98"/>
      <c r="L98" s="98"/>
      <c r="M98" s="98"/>
      <c r="N98" s="98"/>
      <c r="O98" s="98"/>
      <c r="P98" s="98"/>
      <c r="Q98" s="98"/>
      <c r="R98" s="98"/>
      <c r="S98" s="98"/>
      <c r="T98" s="98"/>
      <c r="U98" s="98"/>
      <c r="V98" s="98"/>
      <c r="W98" s="98"/>
    </row>
    <row r="99" spans="1:23" ht="15" customHeight="1">
      <c r="A99" s="40">
        <v>92</v>
      </c>
      <c r="B99" s="40" t="s">
        <v>2562</v>
      </c>
      <c r="C99" s="670" t="s">
        <v>521</v>
      </c>
      <c r="D99" s="671">
        <v>70000</v>
      </c>
      <c r="E99" s="671">
        <v>70000</v>
      </c>
      <c r="F99" s="671">
        <v>70000</v>
      </c>
      <c r="G99" s="98"/>
      <c r="H99" s="98"/>
      <c r="I99" s="98"/>
      <c r="J99" s="98"/>
      <c r="K99" s="98"/>
      <c r="L99" s="98"/>
      <c r="M99" s="98"/>
      <c r="N99" s="98"/>
      <c r="O99" s="98"/>
      <c r="P99" s="98"/>
      <c r="Q99" s="98"/>
      <c r="R99" s="98"/>
      <c r="S99" s="98"/>
      <c r="T99" s="98"/>
      <c r="U99" s="98"/>
      <c r="V99" s="98"/>
      <c r="W99" s="98"/>
    </row>
    <row r="100" spans="1:23" ht="15" customHeight="1">
      <c r="A100" s="40">
        <v>93</v>
      </c>
      <c r="B100" s="40" t="s">
        <v>507</v>
      </c>
      <c r="C100" s="670" t="s">
        <v>507</v>
      </c>
      <c r="D100" s="671">
        <v>10000</v>
      </c>
      <c r="E100" s="671">
        <v>10000</v>
      </c>
      <c r="F100" s="671">
        <v>10000</v>
      </c>
      <c r="G100" s="98"/>
      <c r="H100" s="98"/>
      <c r="I100" s="98"/>
      <c r="J100" s="98"/>
      <c r="K100" s="98"/>
      <c r="L100" s="98"/>
      <c r="M100" s="98"/>
      <c r="N100" s="98"/>
      <c r="O100" s="98"/>
      <c r="P100" s="98"/>
      <c r="Q100" s="98"/>
      <c r="R100" s="98"/>
      <c r="S100" s="98"/>
      <c r="T100" s="98"/>
      <c r="U100" s="98"/>
      <c r="V100" s="98"/>
      <c r="W100" s="98"/>
    </row>
    <row r="101" spans="1:23" ht="15" customHeight="1">
      <c r="A101" s="40">
        <v>94</v>
      </c>
      <c r="B101" s="40" t="s">
        <v>2563</v>
      </c>
      <c r="C101" s="670" t="s">
        <v>650</v>
      </c>
      <c r="D101" s="671">
        <v>15000</v>
      </c>
      <c r="E101" s="671">
        <v>15000</v>
      </c>
      <c r="F101" s="671">
        <v>15000</v>
      </c>
      <c r="G101" s="98"/>
      <c r="H101" s="98"/>
      <c r="I101" s="98"/>
      <c r="J101" s="98"/>
      <c r="K101" s="98"/>
      <c r="L101" s="98"/>
      <c r="M101" s="98"/>
      <c r="N101" s="98"/>
      <c r="O101" s="98"/>
      <c r="P101" s="98"/>
      <c r="Q101" s="98"/>
      <c r="R101" s="98"/>
      <c r="S101" s="98"/>
      <c r="T101" s="98"/>
      <c r="U101" s="98"/>
      <c r="V101" s="98"/>
      <c r="W101" s="98"/>
    </row>
    <row r="102" spans="1:23" ht="15" customHeight="1">
      <c r="A102" s="40">
        <v>95</v>
      </c>
      <c r="B102" s="40" t="s">
        <v>2564</v>
      </c>
      <c r="C102" s="670" t="s">
        <v>585</v>
      </c>
      <c r="D102" s="671">
        <v>3750</v>
      </c>
      <c r="E102" s="671">
        <v>3750</v>
      </c>
      <c r="F102" s="671">
        <v>3750</v>
      </c>
      <c r="G102" s="98"/>
      <c r="H102" s="98"/>
      <c r="I102" s="98"/>
      <c r="J102" s="98"/>
      <c r="K102" s="98"/>
      <c r="L102" s="98"/>
      <c r="M102" s="98"/>
      <c r="N102" s="98"/>
      <c r="O102" s="98"/>
      <c r="P102" s="98"/>
      <c r="Q102" s="98"/>
      <c r="R102" s="98"/>
      <c r="S102" s="98"/>
      <c r="T102" s="98"/>
      <c r="U102" s="98"/>
      <c r="V102" s="98"/>
      <c r="W102" s="98"/>
    </row>
    <row r="103" spans="1:23" ht="15" customHeight="1">
      <c r="A103" s="40">
        <v>96</v>
      </c>
      <c r="B103" s="40" t="s">
        <v>2565</v>
      </c>
      <c r="C103" s="670" t="s">
        <v>688</v>
      </c>
      <c r="D103" s="671">
        <v>1375</v>
      </c>
      <c r="E103" s="671">
        <v>1375</v>
      </c>
      <c r="F103" s="671">
        <v>1375</v>
      </c>
      <c r="G103" s="98"/>
      <c r="H103" s="98"/>
      <c r="I103" s="98"/>
      <c r="J103" s="98"/>
      <c r="K103" s="98"/>
      <c r="L103" s="98"/>
      <c r="M103" s="98"/>
      <c r="N103" s="98"/>
      <c r="O103" s="98"/>
      <c r="P103" s="98"/>
      <c r="Q103" s="98"/>
      <c r="R103" s="98"/>
      <c r="S103" s="98"/>
      <c r="T103" s="98"/>
      <c r="U103" s="98"/>
      <c r="V103" s="98"/>
      <c r="W103" s="98"/>
    </row>
    <row r="104" spans="1:23" ht="15" customHeight="1">
      <c r="A104" s="40">
        <v>97</v>
      </c>
      <c r="B104" s="40" t="s">
        <v>2566</v>
      </c>
      <c r="C104" s="670" t="s">
        <v>597</v>
      </c>
      <c r="D104" s="671">
        <v>2000</v>
      </c>
      <c r="E104" s="671">
        <v>4022</v>
      </c>
      <c r="F104" s="671">
        <v>4022</v>
      </c>
      <c r="G104" s="98"/>
      <c r="H104" s="98"/>
      <c r="I104" s="98"/>
      <c r="J104" s="98"/>
      <c r="K104" s="98"/>
      <c r="L104" s="98"/>
      <c r="M104" s="98"/>
      <c r="N104" s="98"/>
      <c r="O104" s="98"/>
      <c r="P104" s="98"/>
      <c r="Q104" s="98"/>
      <c r="R104" s="98"/>
      <c r="S104" s="98"/>
      <c r="T104" s="98"/>
      <c r="U104" s="98"/>
      <c r="V104" s="98"/>
      <c r="W104" s="98"/>
    </row>
    <row r="105" spans="1:23" ht="15" customHeight="1">
      <c r="A105" s="40">
        <v>98</v>
      </c>
      <c r="B105" s="40" t="s">
        <v>2567</v>
      </c>
      <c r="C105" s="670" t="s">
        <v>476</v>
      </c>
      <c r="D105" s="671">
        <v>2900</v>
      </c>
      <c r="E105" s="671">
        <v>2900</v>
      </c>
      <c r="F105" s="671">
        <v>2900</v>
      </c>
      <c r="G105" s="98"/>
      <c r="H105" s="98"/>
      <c r="I105" s="98"/>
      <c r="J105" s="98"/>
      <c r="K105" s="98"/>
      <c r="L105" s="98"/>
      <c r="M105" s="98"/>
      <c r="N105" s="98"/>
      <c r="O105" s="98"/>
      <c r="P105" s="98"/>
      <c r="Q105" s="98"/>
      <c r="R105" s="98"/>
      <c r="S105" s="98"/>
      <c r="T105" s="98"/>
      <c r="U105" s="98"/>
      <c r="V105" s="98"/>
      <c r="W105" s="98"/>
    </row>
    <row r="106" spans="1:23" ht="15" customHeight="1">
      <c r="A106" s="40">
        <v>99</v>
      </c>
      <c r="B106" s="40" t="s">
        <v>2568</v>
      </c>
      <c r="C106" s="670" t="s">
        <v>2569</v>
      </c>
      <c r="D106" s="671">
        <v>150</v>
      </c>
      <c r="E106" s="671">
        <v>150</v>
      </c>
      <c r="F106" s="671">
        <v>150</v>
      </c>
      <c r="G106" s="98"/>
      <c r="H106" s="98"/>
      <c r="I106" s="98"/>
      <c r="J106" s="98"/>
      <c r="K106" s="98"/>
      <c r="L106" s="98"/>
      <c r="M106" s="98"/>
      <c r="N106" s="98"/>
      <c r="O106" s="98"/>
      <c r="P106" s="98"/>
      <c r="Q106" s="98"/>
      <c r="R106" s="98"/>
      <c r="S106" s="98"/>
      <c r="T106" s="98"/>
      <c r="U106" s="98"/>
      <c r="V106" s="98"/>
      <c r="W106" s="98"/>
    </row>
    <row r="107" spans="1:23" ht="15" customHeight="1">
      <c r="A107" s="40">
        <v>100</v>
      </c>
      <c r="B107" s="40" t="s">
        <v>2570</v>
      </c>
      <c r="C107" s="670" t="s">
        <v>579</v>
      </c>
      <c r="D107" s="671">
        <v>300</v>
      </c>
      <c r="E107" s="671">
        <v>300</v>
      </c>
      <c r="F107" s="671">
        <v>300</v>
      </c>
      <c r="G107" s="98"/>
      <c r="H107" s="98"/>
      <c r="I107" s="98"/>
      <c r="J107" s="98"/>
      <c r="K107" s="98"/>
      <c r="L107" s="98"/>
      <c r="M107" s="98"/>
      <c r="N107" s="98"/>
      <c r="O107" s="98"/>
      <c r="P107" s="98"/>
      <c r="Q107" s="98"/>
      <c r="R107" s="98"/>
      <c r="S107" s="98"/>
      <c r="T107" s="98"/>
      <c r="U107" s="98"/>
      <c r="V107" s="98"/>
      <c r="W107" s="98"/>
    </row>
    <row r="108" spans="1:23" ht="15" customHeight="1">
      <c r="A108" s="40">
        <v>101</v>
      </c>
      <c r="B108" s="40" t="s">
        <v>2571</v>
      </c>
      <c r="C108" s="670" t="s">
        <v>678</v>
      </c>
      <c r="D108" s="671">
        <v>450</v>
      </c>
      <c r="E108" s="671">
        <v>450</v>
      </c>
      <c r="F108" s="671">
        <v>450</v>
      </c>
      <c r="G108" s="98"/>
      <c r="H108" s="98"/>
      <c r="I108" s="98"/>
      <c r="J108" s="98"/>
      <c r="K108" s="98"/>
      <c r="L108" s="98"/>
      <c r="M108" s="98"/>
      <c r="N108" s="98"/>
      <c r="O108" s="98"/>
      <c r="P108" s="98"/>
      <c r="Q108" s="98"/>
      <c r="R108" s="98"/>
      <c r="S108" s="98"/>
      <c r="T108" s="98"/>
      <c r="U108" s="98"/>
      <c r="V108" s="98"/>
      <c r="W108" s="98"/>
    </row>
    <row r="109" spans="1:23" ht="15" customHeight="1">
      <c r="A109" s="40">
        <v>102</v>
      </c>
      <c r="B109" s="40" t="s">
        <v>2572</v>
      </c>
      <c r="C109" s="670" t="s">
        <v>2573</v>
      </c>
      <c r="D109" s="671">
        <v>2800</v>
      </c>
      <c r="E109" s="671">
        <v>2800</v>
      </c>
      <c r="F109" s="671">
        <v>2800</v>
      </c>
      <c r="G109" s="98"/>
      <c r="H109" s="98"/>
      <c r="I109" s="98"/>
      <c r="J109" s="98"/>
      <c r="K109" s="98"/>
      <c r="L109" s="98"/>
      <c r="M109" s="98"/>
      <c r="N109" s="98"/>
      <c r="O109" s="98"/>
      <c r="P109" s="98"/>
      <c r="Q109" s="98"/>
      <c r="R109" s="98"/>
      <c r="S109" s="98"/>
      <c r="T109" s="98"/>
      <c r="U109" s="98"/>
      <c r="V109" s="98"/>
      <c r="W109" s="98"/>
    </row>
    <row r="110" spans="1:23" ht="15" customHeight="1">
      <c r="A110" s="40">
        <v>103</v>
      </c>
      <c r="B110" s="40" t="s">
        <v>2574</v>
      </c>
      <c r="C110" s="670" t="s">
        <v>472</v>
      </c>
      <c r="D110" s="671">
        <v>400</v>
      </c>
      <c r="E110" s="671">
        <v>300</v>
      </c>
      <c r="F110" s="671">
        <v>300</v>
      </c>
      <c r="G110" s="98"/>
      <c r="H110" s="98"/>
      <c r="I110" s="98"/>
      <c r="J110" s="98"/>
      <c r="K110" s="98"/>
      <c r="L110" s="98"/>
      <c r="M110" s="98"/>
      <c r="N110" s="98"/>
      <c r="O110" s="98"/>
      <c r="P110" s="98"/>
      <c r="Q110" s="98"/>
      <c r="R110" s="98"/>
      <c r="S110" s="98"/>
      <c r="T110" s="98"/>
      <c r="U110" s="98"/>
      <c r="V110" s="98"/>
      <c r="W110" s="98"/>
    </row>
    <row r="111" spans="1:23" ht="15" customHeight="1">
      <c r="A111" s="40">
        <v>104</v>
      </c>
      <c r="B111" s="40" t="s">
        <v>2575</v>
      </c>
      <c r="C111" s="670" t="s">
        <v>2285</v>
      </c>
      <c r="D111" s="671">
        <v>1000</v>
      </c>
      <c r="E111" s="671">
        <v>750</v>
      </c>
      <c r="F111" s="671">
        <v>750</v>
      </c>
      <c r="G111" s="98"/>
      <c r="H111" s="98"/>
      <c r="I111" s="98"/>
      <c r="J111" s="98"/>
      <c r="K111" s="98"/>
      <c r="L111" s="98"/>
      <c r="M111" s="98"/>
      <c r="N111" s="98"/>
      <c r="O111" s="98"/>
      <c r="P111" s="98"/>
      <c r="Q111" s="98"/>
      <c r="R111" s="98"/>
      <c r="S111" s="98"/>
      <c r="T111" s="98"/>
      <c r="U111" s="98"/>
      <c r="V111" s="98"/>
      <c r="W111" s="98"/>
    </row>
    <row r="112" spans="1:23" ht="15" customHeight="1">
      <c r="A112" s="40">
        <v>105</v>
      </c>
      <c r="B112" s="40" t="s">
        <v>2576</v>
      </c>
      <c r="C112" s="670" t="s">
        <v>517</v>
      </c>
      <c r="D112" s="671">
        <v>9750</v>
      </c>
      <c r="E112" s="671">
        <v>9750</v>
      </c>
      <c r="F112" s="671">
        <v>9750</v>
      </c>
      <c r="G112" s="98"/>
      <c r="H112" s="98"/>
      <c r="I112" s="98"/>
      <c r="J112" s="98"/>
      <c r="K112" s="98"/>
      <c r="L112" s="98"/>
      <c r="M112" s="98"/>
      <c r="N112" s="98"/>
      <c r="O112" s="98"/>
      <c r="P112" s="98"/>
      <c r="Q112" s="98"/>
      <c r="R112" s="98"/>
      <c r="S112" s="98"/>
      <c r="T112" s="98"/>
      <c r="U112" s="98"/>
      <c r="V112" s="98"/>
      <c r="W112" s="98"/>
    </row>
    <row r="113" spans="1:23" ht="15" customHeight="1">
      <c r="A113" s="40">
        <v>106</v>
      </c>
      <c r="B113" s="40" t="s">
        <v>2577</v>
      </c>
      <c r="C113" s="670" t="s">
        <v>2240</v>
      </c>
      <c r="D113" s="671">
        <v>650</v>
      </c>
      <c r="E113" s="671">
        <v>650</v>
      </c>
      <c r="F113" s="671">
        <v>650</v>
      </c>
      <c r="G113" s="98"/>
      <c r="H113" s="98"/>
      <c r="I113" s="98"/>
      <c r="J113" s="98"/>
      <c r="K113" s="98"/>
      <c r="L113" s="98"/>
      <c r="M113" s="98"/>
      <c r="N113" s="98"/>
      <c r="O113" s="98"/>
      <c r="P113" s="98"/>
      <c r="Q113" s="98"/>
      <c r="R113" s="98"/>
      <c r="S113" s="98"/>
      <c r="T113" s="98"/>
      <c r="U113" s="98"/>
      <c r="V113" s="98"/>
      <c r="W113" s="98"/>
    </row>
    <row r="114" spans="1:23" ht="15" customHeight="1">
      <c r="A114" s="40">
        <v>107</v>
      </c>
      <c r="B114" s="40" t="s">
        <v>2578</v>
      </c>
      <c r="C114" s="670" t="s">
        <v>715</v>
      </c>
      <c r="D114" s="671">
        <v>875</v>
      </c>
      <c r="E114" s="671">
        <v>875</v>
      </c>
      <c r="F114" s="671">
        <v>875</v>
      </c>
      <c r="G114" s="98"/>
      <c r="H114" s="98"/>
      <c r="I114" s="98"/>
      <c r="J114" s="98"/>
      <c r="K114" s="98"/>
      <c r="L114" s="98"/>
      <c r="M114" s="98"/>
      <c r="N114" s="98"/>
      <c r="O114" s="98"/>
      <c r="P114" s="98"/>
      <c r="Q114" s="98"/>
      <c r="R114" s="98"/>
      <c r="S114" s="98"/>
      <c r="T114" s="98"/>
      <c r="U114" s="98"/>
      <c r="V114" s="98"/>
      <c r="W114" s="98"/>
    </row>
    <row r="115" spans="1:23" ht="15" customHeight="1">
      <c r="A115" s="40">
        <v>108</v>
      </c>
      <c r="B115" s="40" t="s">
        <v>590</v>
      </c>
      <c r="C115" s="670" t="s">
        <v>590</v>
      </c>
      <c r="D115" s="671">
        <v>1600</v>
      </c>
      <c r="E115" s="671">
        <v>1600</v>
      </c>
      <c r="F115" s="671">
        <v>1600</v>
      </c>
      <c r="G115" s="98"/>
      <c r="H115" s="98"/>
      <c r="I115" s="98"/>
      <c r="J115" s="98"/>
      <c r="K115" s="98"/>
      <c r="L115" s="98"/>
      <c r="M115" s="98"/>
      <c r="N115" s="98"/>
      <c r="O115" s="98"/>
      <c r="P115" s="98"/>
      <c r="Q115" s="98"/>
      <c r="R115" s="98"/>
      <c r="S115" s="98"/>
      <c r="T115" s="98"/>
      <c r="U115" s="98"/>
      <c r="V115" s="98"/>
      <c r="W115" s="98"/>
    </row>
    <row r="116" spans="1:23" ht="15" customHeight="1">
      <c r="A116" s="40">
        <v>109</v>
      </c>
      <c r="B116" s="40" t="s">
        <v>2579</v>
      </c>
      <c r="C116" s="670" t="s">
        <v>704</v>
      </c>
      <c r="D116" s="671">
        <v>1250</v>
      </c>
      <c r="E116" s="671">
        <v>1250</v>
      </c>
      <c r="F116" s="671">
        <v>1250</v>
      </c>
      <c r="G116" s="98"/>
      <c r="H116" s="98"/>
      <c r="I116" s="98"/>
      <c r="J116" s="98"/>
      <c r="K116" s="98"/>
      <c r="L116" s="98"/>
      <c r="M116" s="98"/>
      <c r="N116" s="98"/>
      <c r="O116" s="98"/>
      <c r="P116" s="98"/>
      <c r="Q116" s="98"/>
      <c r="R116" s="98"/>
      <c r="S116" s="98"/>
      <c r="T116" s="98"/>
      <c r="U116" s="98"/>
      <c r="V116" s="98"/>
      <c r="W116" s="98"/>
    </row>
    <row r="117" spans="1:23" ht="15" customHeight="1">
      <c r="A117" s="40">
        <v>110</v>
      </c>
      <c r="B117" s="40" t="s">
        <v>2580</v>
      </c>
      <c r="C117" s="670" t="s">
        <v>2581</v>
      </c>
      <c r="D117" s="671">
        <v>250</v>
      </c>
      <c r="E117" s="671">
        <v>250</v>
      </c>
      <c r="F117" s="671">
        <v>250</v>
      </c>
      <c r="G117" s="98"/>
      <c r="H117" s="98"/>
      <c r="I117" s="98"/>
      <c r="J117" s="98"/>
      <c r="K117" s="98"/>
      <c r="L117" s="98"/>
      <c r="M117" s="98"/>
      <c r="N117" s="98"/>
      <c r="O117" s="98"/>
      <c r="P117" s="98"/>
      <c r="Q117" s="98"/>
      <c r="R117" s="98"/>
      <c r="S117" s="98"/>
      <c r="T117" s="98"/>
      <c r="U117" s="98"/>
      <c r="V117" s="98"/>
      <c r="W117" s="98"/>
    </row>
    <row r="118" spans="1:23" ht="15" customHeight="1">
      <c r="A118" s="40">
        <v>111</v>
      </c>
      <c r="B118" s="40" t="s">
        <v>2582</v>
      </c>
      <c r="C118" s="670" t="s">
        <v>673</v>
      </c>
      <c r="D118" s="671">
        <v>1350</v>
      </c>
      <c r="E118" s="671">
        <v>1350</v>
      </c>
      <c r="F118" s="671">
        <v>1350</v>
      </c>
      <c r="G118" s="98"/>
      <c r="H118" s="98"/>
      <c r="I118" s="98"/>
      <c r="J118" s="98"/>
      <c r="K118" s="98"/>
      <c r="L118" s="98"/>
      <c r="M118" s="98"/>
      <c r="N118" s="98"/>
      <c r="O118" s="98"/>
      <c r="P118" s="98"/>
      <c r="Q118" s="98"/>
      <c r="R118" s="98"/>
      <c r="S118" s="98"/>
      <c r="T118" s="98"/>
      <c r="U118" s="98"/>
      <c r="V118" s="98"/>
      <c r="W118" s="98"/>
    </row>
    <row r="119" spans="1:23" ht="15" customHeight="1">
      <c r="A119" s="40">
        <v>112</v>
      </c>
      <c r="B119" s="40" t="s">
        <v>2583</v>
      </c>
      <c r="C119" s="670" t="s">
        <v>679</v>
      </c>
      <c r="D119" s="671">
        <v>1250</v>
      </c>
      <c r="E119" s="671">
        <v>1250</v>
      </c>
      <c r="F119" s="671">
        <v>1250</v>
      </c>
      <c r="G119" s="98"/>
      <c r="H119" s="98"/>
      <c r="I119" s="98"/>
      <c r="J119" s="98"/>
      <c r="K119" s="98"/>
      <c r="L119" s="98"/>
      <c r="M119" s="98"/>
      <c r="N119" s="98"/>
      <c r="O119" s="98"/>
      <c r="P119" s="98"/>
      <c r="Q119" s="98"/>
      <c r="R119" s="98"/>
      <c r="S119" s="98"/>
      <c r="T119" s="98"/>
      <c r="U119" s="98"/>
      <c r="V119" s="98"/>
      <c r="W119" s="98"/>
    </row>
    <row r="120" spans="1:23" ht="15" customHeight="1">
      <c r="A120" s="40">
        <v>113</v>
      </c>
      <c r="B120" s="40" t="s">
        <v>2584</v>
      </c>
      <c r="C120" s="670" t="s">
        <v>2585</v>
      </c>
      <c r="D120" s="671">
        <v>400</v>
      </c>
      <c r="E120" s="671">
        <v>400</v>
      </c>
      <c r="F120" s="671">
        <v>400</v>
      </c>
      <c r="G120" s="98"/>
      <c r="H120" s="98"/>
      <c r="I120" s="98"/>
      <c r="J120" s="98"/>
      <c r="K120" s="98"/>
      <c r="L120" s="98"/>
      <c r="M120" s="98"/>
      <c r="N120" s="98"/>
      <c r="O120" s="98"/>
      <c r="P120" s="98"/>
      <c r="Q120" s="98"/>
      <c r="R120" s="98"/>
      <c r="S120" s="98"/>
      <c r="T120" s="98"/>
      <c r="U120" s="98"/>
      <c r="V120" s="98"/>
      <c r="W120" s="98"/>
    </row>
    <row r="121" spans="1:23" ht="15" customHeight="1">
      <c r="A121" s="40">
        <v>114</v>
      </c>
      <c r="B121" s="40" t="s">
        <v>2586</v>
      </c>
      <c r="C121" s="670" t="s">
        <v>563</v>
      </c>
      <c r="D121" s="671">
        <v>8924</v>
      </c>
      <c r="E121" s="671">
        <v>8924</v>
      </c>
      <c r="F121" s="671">
        <v>8924</v>
      </c>
      <c r="G121" s="98"/>
      <c r="H121" s="98"/>
      <c r="I121" s="98"/>
      <c r="J121" s="98"/>
      <c r="K121" s="98"/>
      <c r="L121" s="98"/>
      <c r="M121" s="98"/>
      <c r="N121" s="98"/>
      <c r="O121" s="98"/>
      <c r="P121" s="98"/>
      <c r="Q121" s="98"/>
      <c r="R121" s="98"/>
      <c r="S121" s="98"/>
      <c r="T121" s="98"/>
      <c r="U121" s="98"/>
      <c r="V121" s="98"/>
      <c r="W121" s="98"/>
    </row>
    <row r="122" spans="1:23" ht="15" customHeight="1">
      <c r="A122" s="40">
        <v>115</v>
      </c>
      <c r="B122" s="40" t="s">
        <v>2587</v>
      </c>
      <c r="C122" s="670" t="s">
        <v>1757</v>
      </c>
      <c r="D122" s="671">
        <v>250</v>
      </c>
      <c r="E122" s="671">
        <v>250</v>
      </c>
      <c r="F122" s="671">
        <v>250</v>
      </c>
      <c r="G122" s="98"/>
      <c r="H122" s="98"/>
      <c r="I122" s="98"/>
      <c r="J122" s="98"/>
      <c r="K122" s="98"/>
      <c r="L122" s="98"/>
      <c r="M122" s="98"/>
      <c r="N122" s="98"/>
      <c r="O122" s="98"/>
      <c r="P122" s="98"/>
      <c r="Q122" s="98"/>
      <c r="R122" s="98"/>
      <c r="S122" s="98"/>
      <c r="T122" s="98"/>
      <c r="U122" s="98"/>
      <c r="V122" s="98"/>
      <c r="W122" s="98"/>
    </row>
    <row r="123" spans="1:23" ht="15" customHeight="1">
      <c r="A123" s="40">
        <v>116</v>
      </c>
      <c r="B123" s="40" t="s">
        <v>2588</v>
      </c>
      <c r="C123" s="670" t="s">
        <v>2589</v>
      </c>
      <c r="D123" s="671">
        <v>1100</v>
      </c>
      <c r="E123" s="671">
        <v>900</v>
      </c>
      <c r="F123" s="671">
        <v>900</v>
      </c>
      <c r="G123" s="98"/>
      <c r="H123" s="98"/>
      <c r="I123" s="98"/>
      <c r="J123" s="98"/>
      <c r="K123" s="98"/>
      <c r="L123" s="98"/>
      <c r="M123" s="98"/>
      <c r="N123" s="98"/>
      <c r="O123" s="98"/>
      <c r="P123" s="98"/>
      <c r="Q123" s="98"/>
      <c r="R123" s="98"/>
      <c r="S123" s="98"/>
      <c r="T123" s="98"/>
      <c r="U123" s="98"/>
      <c r="V123" s="98"/>
      <c r="W123" s="98"/>
    </row>
    <row r="124" spans="1:23" ht="15" customHeight="1">
      <c r="A124" s="40">
        <v>117</v>
      </c>
      <c r="B124" s="40" t="s">
        <v>2590</v>
      </c>
      <c r="C124" s="670" t="s">
        <v>605</v>
      </c>
      <c r="D124" s="671">
        <v>2000</v>
      </c>
      <c r="E124" s="671">
        <v>2000</v>
      </c>
      <c r="F124" s="671">
        <v>2000</v>
      </c>
      <c r="G124" s="98"/>
      <c r="H124" s="98"/>
      <c r="I124" s="98"/>
      <c r="J124" s="98"/>
      <c r="K124" s="98"/>
      <c r="L124" s="98"/>
      <c r="M124" s="98"/>
      <c r="N124" s="98"/>
      <c r="O124" s="98"/>
      <c r="P124" s="98"/>
      <c r="Q124" s="98"/>
      <c r="R124" s="98"/>
      <c r="S124" s="98"/>
      <c r="T124" s="98"/>
      <c r="U124" s="98"/>
      <c r="V124" s="98"/>
      <c r="W124" s="98"/>
    </row>
    <row r="125" spans="1:23" ht="15" customHeight="1">
      <c r="A125" s="40">
        <v>118</v>
      </c>
      <c r="B125" s="40" t="s">
        <v>2591</v>
      </c>
      <c r="C125" s="670" t="s">
        <v>632</v>
      </c>
      <c r="D125" s="671">
        <v>300</v>
      </c>
      <c r="E125" s="671">
        <v>300</v>
      </c>
      <c r="F125" s="671">
        <v>300</v>
      </c>
      <c r="G125" s="98"/>
      <c r="H125" s="98"/>
      <c r="I125" s="98"/>
      <c r="J125" s="98"/>
      <c r="K125" s="98"/>
      <c r="L125" s="98"/>
      <c r="M125" s="98"/>
      <c r="N125" s="98"/>
      <c r="O125" s="98"/>
      <c r="P125" s="98"/>
      <c r="Q125" s="98"/>
      <c r="R125" s="98"/>
      <c r="S125" s="98"/>
      <c r="T125" s="98"/>
      <c r="U125" s="98"/>
      <c r="V125" s="98"/>
      <c r="W125" s="98"/>
    </row>
    <row r="126" spans="1:23" ht="15" customHeight="1">
      <c r="A126" s="40">
        <v>119</v>
      </c>
      <c r="B126" s="40" t="s">
        <v>2592</v>
      </c>
      <c r="C126" s="670" t="s">
        <v>1791</v>
      </c>
      <c r="D126" s="671">
        <v>150</v>
      </c>
      <c r="E126" s="671">
        <v>150</v>
      </c>
      <c r="F126" s="671">
        <v>150</v>
      </c>
      <c r="G126" s="98"/>
      <c r="H126" s="98"/>
      <c r="I126" s="98"/>
      <c r="J126" s="98"/>
      <c r="K126" s="98"/>
      <c r="L126" s="98"/>
      <c r="M126" s="98"/>
      <c r="N126" s="98"/>
      <c r="O126" s="98"/>
      <c r="P126" s="98"/>
      <c r="Q126" s="98"/>
      <c r="R126" s="98"/>
      <c r="S126" s="98"/>
      <c r="T126" s="98"/>
      <c r="U126" s="98"/>
      <c r="V126" s="98"/>
      <c r="W126" s="98"/>
    </row>
    <row r="127" spans="1:23" ht="15" customHeight="1">
      <c r="A127" s="40">
        <v>120</v>
      </c>
      <c r="B127" s="40" t="s">
        <v>2593</v>
      </c>
      <c r="C127" s="670" t="s">
        <v>1911</v>
      </c>
      <c r="D127" s="671">
        <v>200</v>
      </c>
      <c r="E127" s="671">
        <v>200</v>
      </c>
      <c r="F127" s="671">
        <v>200</v>
      </c>
      <c r="G127" s="98"/>
      <c r="H127" s="98"/>
      <c r="I127" s="98"/>
      <c r="J127" s="98"/>
      <c r="K127" s="98"/>
      <c r="L127" s="98"/>
      <c r="M127" s="98"/>
      <c r="N127" s="98"/>
      <c r="O127" s="98"/>
      <c r="P127" s="98"/>
      <c r="Q127" s="98"/>
      <c r="R127" s="98"/>
      <c r="S127" s="98"/>
      <c r="T127" s="98"/>
      <c r="U127" s="98"/>
      <c r="V127" s="98"/>
      <c r="W127" s="98"/>
    </row>
    <row r="128" spans="1:23" ht="15" customHeight="1">
      <c r="A128" s="40">
        <v>121</v>
      </c>
      <c r="B128" s="40" t="s">
        <v>1828</v>
      </c>
      <c r="C128" s="670" t="s">
        <v>1828</v>
      </c>
      <c r="D128" s="671">
        <v>850</v>
      </c>
      <c r="E128" s="671">
        <v>850</v>
      </c>
      <c r="F128" s="671">
        <v>850</v>
      </c>
      <c r="G128" s="98"/>
      <c r="H128" s="98"/>
      <c r="I128" s="98"/>
      <c r="J128" s="98"/>
      <c r="K128" s="98"/>
      <c r="L128" s="98"/>
      <c r="M128" s="98"/>
      <c r="N128" s="98"/>
      <c r="O128" s="98"/>
      <c r="P128" s="98"/>
      <c r="Q128" s="98"/>
      <c r="R128" s="98"/>
      <c r="S128" s="98"/>
      <c r="T128" s="98"/>
      <c r="U128" s="98"/>
      <c r="V128" s="98"/>
      <c r="W128" s="98"/>
    </row>
    <row r="129" spans="1:23" ht="15" customHeight="1">
      <c r="A129" s="40">
        <v>122</v>
      </c>
      <c r="B129" s="40" t="s">
        <v>2594</v>
      </c>
      <c r="C129" s="670" t="s">
        <v>529</v>
      </c>
      <c r="D129" s="671">
        <v>700</v>
      </c>
      <c r="E129" s="671">
        <v>700</v>
      </c>
      <c r="F129" s="671">
        <v>700</v>
      </c>
      <c r="G129" s="98"/>
      <c r="H129" s="98"/>
      <c r="I129" s="98"/>
      <c r="J129" s="98"/>
      <c r="K129" s="98"/>
      <c r="L129" s="98"/>
      <c r="M129" s="98"/>
      <c r="N129" s="98"/>
      <c r="O129" s="98"/>
      <c r="P129" s="98"/>
      <c r="Q129" s="98"/>
      <c r="R129" s="98"/>
      <c r="S129" s="98"/>
      <c r="T129" s="98"/>
      <c r="U129" s="98"/>
      <c r="V129" s="98"/>
      <c r="W129" s="98"/>
    </row>
    <row r="130" spans="1:23" ht="15" customHeight="1">
      <c r="A130" s="40">
        <v>123</v>
      </c>
      <c r="B130" s="40" t="s">
        <v>2595</v>
      </c>
      <c r="C130" s="670" t="s">
        <v>2596</v>
      </c>
      <c r="D130" s="671">
        <v>4000</v>
      </c>
      <c r="E130" s="671">
        <v>4000</v>
      </c>
      <c r="F130" s="671">
        <v>4000</v>
      </c>
      <c r="G130" s="98"/>
      <c r="H130" s="98"/>
      <c r="I130" s="98"/>
      <c r="J130" s="98"/>
      <c r="K130" s="98"/>
      <c r="L130" s="98"/>
      <c r="M130" s="98"/>
      <c r="N130" s="98"/>
      <c r="O130" s="98"/>
      <c r="P130" s="98"/>
      <c r="Q130" s="98"/>
      <c r="R130" s="98"/>
      <c r="S130" s="98"/>
      <c r="T130" s="98"/>
      <c r="U130" s="98"/>
      <c r="V130" s="98"/>
      <c r="W130" s="98"/>
    </row>
    <row r="131" spans="1:23" ht="15" customHeight="1">
      <c r="A131" s="40">
        <v>124</v>
      </c>
      <c r="B131" s="40" t="s">
        <v>2597</v>
      </c>
      <c r="C131" s="670" t="s">
        <v>2598</v>
      </c>
      <c r="D131" s="671">
        <v>6000</v>
      </c>
      <c r="E131" s="671">
        <v>6000</v>
      </c>
      <c r="F131" s="671">
        <v>6000</v>
      </c>
      <c r="G131" s="98"/>
      <c r="H131" s="98"/>
      <c r="I131" s="98"/>
      <c r="J131" s="98"/>
      <c r="K131" s="98"/>
      <c r="L131" s="98"/>
      <c r="M131" s="98"/>
      <c r="N131" s="98"/>
      <c r="O131" s="98"/>
      <c r="P131" s="98"/>
      <c r="Q131" s="98"/>
      <c r="R131" s="98"/>
      <c r="S131" s="98"/>
      <c r="T131" s="98"/>
      <c r="U131" s="98"/>
      <c r="V131" s="98"/>
      <c r="W131" s="98"/>
    </row>
    <row r="132" spans="1:23" ht="15" customHeight="1">
      <c r="A132" s="40">
        <v>125</v>
      </c>
      <c r="B132" s="40" t="s">
        <v>2599</v>
      </c>
      <c r="C132" s="670" t="s">
        <v>2599</v>
      </c>
      <c r="D132" s="671">
        <v>1200</v>
      </c>
      <c r="E132" s="671">
        <v>1200</v>
      </c>
      <c r="F132" s="671">
        <v>1200</v>
      </c>
      <c r="G132" s="98"/>
      <c r="H132" s="98"/>
      <c r="I132" s="98"/>
      <c r="J132" s="98"/>
      <c r="K132" s="98"/>
      <c r="L132" s="98"/>
      <c r="M132" s="98"/>
      <c r="N132" s="98"/>
      <c r="O132" s="98"/>
      <c r="P132" s="98"/>
      <c r="Q132" s="98"/>
      <c r="R132" s="98"/>
      <c r="S132" s="98"/>
      <c r="T132" s="98"/>
      <c r="U132" s="98"/>
      <c r="V132" s="98"/>
      <c r="W132" s="98"/>
    </row>
    <row r="133" spans="1:23" ht="15" customHeight="1">
      <c r="A133" s="40">
        <v>126</v>
      </c>
      <c r="B133" s="40" t="s">
        <v>2600</v>
      </c>
      <c r="C133" s="670" t="s">
        <v>2601</v>
      </c>
      <c r="D133" s="671">
        <v>100</v>
      </c>
      <c r="E133" s="671">
        <v>100</v>
      </c>
      <c r="F133" s="671">
        <v>100</v>
      </c>
      <c r="G133" s="98"/>
      <c r="H133" s="98"/>
      <c r="I133" s="98"/>
      <c r="J133" s="98"/>
      <c r="K133" s="98"/>
      <c r="L133" s="98"/>
      <c r="M133" s="98"/>
      <c r="N133" s="98"/>
      <c r="O133" s="98"/>
      <c r="P133" s="98"/>
      <c r="Q133" s="98"/>
      <c r="R133" s="98"/>
      <c r="S133" s="98"/>
      <c r="T133" s="98"/>
      <c r="U133" s="98"/>
      <c r="V133" s="98"/>
      <c r="W133" s="98"/>
    </row>
    <row r="134" spans="1:23" ht="15" customHeight="1">
      <c r="A134" s="40">
        <v>127</v>
      </c>
      <c r="B134" s="40" t="s">
        <v>2602</v>
      </c>
      <c r="C134" s="670" t="s">
        <v>2264</v>
      </c>
      <c r="D134" s="671">
        <v>625</v>
      </c>
      <c r="E134" s="671">
        <v>625</v>
      </c>
      <c r="F134" s="671">
        <v>625</v>
      </c>
      <c r="G134" s="98"/>
      <c r="H134" s="98"/>
      <c r="I134" s="98"/>
      <c r="J134" s="98"/>
      <c r="K134" s="98"/>
      <c r="L134" s="98"/>
      <c r="M134" s="98"/>
      <c r="N134" s="98"/>
      <c r="O134" s="98"/>
      <c r="P134" s="98"/>
      <c r="Q134" s="98"/>
      <c r="R134" s="98"/>
      <c r="S134" s="98"/>
      <c r="T134" s="98"/>
      <c r="U134" s="98"/>
      <c r="V134" s="98"/>
      <c r="W134" s="98"/>
    </row>
    <row r="135" spans="1:23" ht="15" customHeight="1">
      <c r="A135" s="40">
        <v>128</v>
      </c>
      <c r="B135" s="40" t="s">
        <v>2603</v>
      </c>
      <c r="C135" s="670" t="s">
        <v>603</v>
      </c>
      <c r="D135" s="671">
        <v>400</v>
      </c>
      <c r="E135" s="671">
        <v>400</v>
      </c>
      <c r="F135" s="671">
        <v>400</v>
      </c>
      <c r="G135" s="98"/>
      <c r="H135" s="98"/>
      <c r="I135" s="98"/>
      <c r="J135" s="98"/>
      <c r="K135" s="98"/>
      <c r="L135" s="98"/>
      <c r="M135" s="98"/>
      <c r="N135" s="98"/>
      <c r="O135" s="98"/>
      <c r="P135" s="98"/>
      <c r="Q135" s="98"/>
      <c r="R135" s="98"/>
      <c r="S135" s="98"/>
      <c r="T135" s="98"/>
      <c r="U135" s="98"/>
      <c r="V135" s="98"/>
      <c r="W135" s="98"/>
    </row>
    <row r="136" spans="1:23" ht="15" customHeight="1">
      <c r="A136" s="40">
        <v>129</v>
      </c>
      <c r="B136" s="40" t="s">
        <v>2604</v>
      </c>
      <c r="C136" s="670" t="s">
        <v>2605</v>
      </c>
      <c r="D136" s="671">
        <v>400</v>
      </c>
      <c r="E136" s="671">
        <v>300</v>
      </c>
      <c r="F136" s="671">
        <v>300</v>
      </c>
      <c r="G136" s="98"/>
      <c r="H136" s="98"/>
      <c r="I136" s="98"/>
      <c r="J136" s="98"/>
      <c r="K136" s="98"/>
      <c r="L136" s="98"/>
      <c r="M136" s="98"/>
      <c r="N136" s="98"/>
      <c r="O136" s="98"/>
      <c r="P136" s="98"/>
      <c r="Q136" s="98"/>
      <c r="R136" s="98"/>
      <c r="S136" s="98"/>
      <c r="T136" s="98"/>
      <c r="U136" s="98"/>
      <c r="V136" s="98"/>
      <c r="W136" s="98"/>
    </row>
    <row r="137" spans="1:23" ht="15" customHeight="1">
      <c r="A137" s="40">
        <v>130</v>
      </c>
      <c r="B137" s="40" t="s">
        <v>2606</v>
      </c>
      <c r="C137" s="670" t="s">
        <v>2607</v>
      </c>
      <c r="D137" s="671">
        <v>650</v>
      </c>
      <c r="E137" s="671">
        <v>650</v>
      </c>
      <c r="F137" s="671">
        <v>650</v>
      </c>
      <c r="G137" s="98"/>
      <c r="H137" s="98"/>
      <c r="I137" s="98"/>
      <c r="J137" s="98"/>
      <c r="K137" s="98"/>
      <c r="L137" s="98"/>
      <c r="M137" s="98"/>
      <c r="N137" s="98"/>
      <c r="O137" s="98"/>
      <c r="P137" s="98"/>
      <c r="Q137" s="98"/>
      <c r="R137" s="98"/>
      <c r="S137" s="98"/>
      <c r="T137" s="98"/>
      <c r="U137" s="98"/>
      <c r="V137" s="98"/>
      <c r="W137" s="98"/>
    </row>
    <row r="138" spans="1:23" ht="15" customHeight="1">
      <c r="A138" s="40">
        <v>131</v>
      </c>
      <c r="B138" s="40" t="s">
        <v>2608</v>
      </c>
      <c r="C138" s="670" t="s">
        <v>687</v>
      </c>
      <c r="D138" s="671">
        <v>800</v>
      </c>
      <c r="E138" s="671">
        <v>800</v>
      </c>
      <c r="F138" s="671">
        <v>800</v>
      </c>
      <c r="G138" s="98"/>
      <c r="H138" s="98"/>
      <c r="I138" s="98"/>
      <c r="J138" s="98"/>
      <c r="K138" s="98"/>
      <c r="L138" s="98"/>
      <c r="M138" s="98"/>
      <c r="N138" s="98"/>
      <c r="O138" s="98"/>
      <c r="P138" s="98"/>
      <c r="Q138" s="98"/>
      <c r="R138" s="98"/>
      <c r="S138" s="98"/>
      <c r="T138" s="98"/>
      <c r="U138" s="98"/>
      <c r="V138" s="98"/>
      <c r="W138" s="98"/>
    </row>
    <row r="139" spans="1:23" ht="15" customHeight="1">
      <c r="A139" s="40">
        <v>132</v>
      </c>
      <c r="B139" s="40" t="s">
        <v>2609</v>
      </c>
      <c r="C139" s="670" t="s">
        <v>2609</v>
      </c>
      <c r="D139" s="671">
        <v>200</v>
      </c>
      <c r="E139" s="671">
        <v>200</v>
      </c>
      <c r="F139" s="671">
        <v>200</v>
      </c>
      <c r="G139" s="98"/>
      <c r="H139" s="98"/>
      <c r="I139" s="98"/>
      <c r="J139" s="98"/>
      <c r="K139" s="98"/>
      <c r="L139" s="98"/>
      <c r="M139" s="98"/>
      <c r="N139" s="98"/>
      <c r="O139" s="98"/>
      <c r="P139" s="98"/>
      <c r="Q139" s="98"/>
      <c r="R139" s="98"/>
      <c r="S139" s="98"/>
      <c r="T139" s="98"/>
      <c r="U139" s="98"/>
      <c r="V139" s="98"/>
      <c r="W139" s="98"/>
    </row>
    <row r="140" spans="1:23" ht="15" customHeight="1">
      <c r="A140" s="40">
        <v>133</v>
      </c>
      <c r="B140" s="40" t="s">
        <v>2610</v>
      </c>
      <c r="C140" s="670" t="s">
        <v>631</v>
      </c>
      <c r="D140" s="671">
        <v>6750</v>
      </c>
      <c r="E140" s="671">
        <v>6750</v>
      </c>
      <c r="F140" s="671">
        <v>6750</v>
      </c>
      <c r="G140" s="98"/>
      <c r="H140" s="98"/>
      <c r="I140" s="98"/>
      <c r="J140" s="98"/>
      <c r="K140" s="98"/>
      <c r="L140" s="98"/>
      <c r="M140" s="98"/>
      <c r="N140" s="98"/>
      <c r="O140" s="98"/>
      <c r="P140" s="98"/>
      <c r="Q140" s="98"/>
      <c r="R140" s="98"/>
      <c r="S140" s="98"/>
      <c r="T140" s="98"/>
      <c r="U140" s="98"/>
      <c r="V140" s="98"/>
      <c r="W140" s="98"/>
    </row>
    <row r="141" spans="1:23" ht="15" customHeight="1">
      <c r="A141" s="40">
        <v>134</v>
      </c>
      <c r="B141" s="40" t="s">
        <v>701</v>
      </c>
      <c r="C141" s="670" t="s">
        <v>701</v>
      </c>
      <c r="D141" s="671">
        <v>275</v>
      </c>
      <c r="E141" s="671">
        <v>175</v>
      </c>
      <c r="F141" s="671">
        <v>175</v>
      </c>
      <c r="G141" s="98"/>
      <c r="H141" s="98"/>
      <c r="I141" s="98"/>
      <c r="J141" s="98"/>
      <c r="K141" s="98"/>
      <c r="L141" s="98"/>
      <c r="M141" s="98"/>
      <c r="N141" s="98"/>
      <c r="O141" s="98"/>
      <c r="P141" s="98"/>
      <c r="Q141" s="98"/>
      <c r="R141" s="98"/>
      <c r="S141" s="98"/>
      <c r="T141" s="98"/>
      <c r="U141" s="98"/>
      <c r="V141" s="98"/>
      <c r="W141" s="98"/>
    </row>
    <row r="142" spans="1:23" ht="15" customHeight="1">
      <c r="A142" s="40">
        <v>135</v>
      </c>
      <c r="B142" s="40" t="s">
        <v>2611</v>
      </c>
      <c r="C142" s="670" t="s">
        <v>2611</v>
      </c>
      <c r="D142" s="671">
        <v>10</v>
      </c>
      <c r="E142" s="671">
        <v>10</v>
      </c>
      <c r="F142" s="671">
        <v>10</v>
      </c>
      <c r="G142" s="98"/>
      <c r="H142" s="98"/>
      <c r="I142" s="98"/>
      <c r="J142" s="98"/>
      <c r="K142" s="98"/>
      <c r="L142" s="98"/>
      <c r="M142" s="98"/>
      <c r="N142" s="98"/>
      <c r="O142" s="98"/>
      <c r="P142" s="98"/>
      <c r="Q142" s="98"/>
      <c r="R142" s="98"/>
      <c r="S142" s="98"/>
      <c r="T142" s="98"/>
      <c r="U142" s="98"/>
      <c r="V142" s="98"/>
      <c r="W142" s="98"/>
    </row>
    <row r="143" spans="1:23" ht="15" customHeight="1">
      <c r="A143" s="40">
        <v>136</v>
      </c>
      <c r="B143" s="40" t="s">
        <v>2612</v>
      </c>
      <c r="C143" s="670" t="s">
        <v>581</v>
      </c>
      <c r="D143" s="671">
        <v>550</v>
      </c>
      <c r="E143" s="671">
        <v>375</v>
      </c>
      <c r="F143" s="671">
        <v>375</v>
      </c>
      <c r="G143" s="98"/>
      <c r="H143" s="98"/>
      <c r="I143" s="98"/>
      <c r="J143" s="98"/>
      <c r="K143" s="98"/>
      <c r="L143" s="98"/>
      <c r="M143" s="98"/>
      <c r="N143" s="98"/>
      <c r="O143" s="98"/>
      <c r="P143" s="98"/>
      <c r="Q143" s="98"/>
      <c r="R143" s="98"/>
      <c r="S143" s="98"/>
      <c r="T143" s="98"/>
      <c r="U143" s="98"/>
      <c r="V143" s="98"/>
      <c r="W143" s="98"/>
    </row>
    <row r="144" spans="1:23" ht="15" customHeight="1">
      <c r="A144" s="40">
        <v>137</v>
      </c>
      <c r="B144" s="40" t="s">
        <v>2613</v>
      </c>
      <c r="C144" s="670" t="s">
        <v>496</v>
      </c>
      <c r="D144" s="671">
        <v>7500</v>
      </c>
      <c r="E144" s="671">
        <v>4250</v>
      </c>
      <c r="F144" s="671">
        <v>4250</v>
      </c>
      <c r="G144" s="98"/>
      <c r="H144" s="98"/>
      <c r="I144" s="98"/>
      <c r="J144" s="98"/>
      <c r="K144" s="98"/>
      <c r="L144" s="98"/>
      <c r="M144" s="98"/>
      <c r="N144" s="98"/>
      <c r="O144" s="98"/>
      <c r="P144" s="98"/>
      <c r="Q144" s="98"/>
      <c r="R144" s="98"/>
      <c r="S144" s="98"/>
      <c r="T144" s="98"/>
      <c r="U144" s="98"/>
      <c r="V144" s="98"/>
      <c r="W144" s="98"/>
    </row>
    <row r="145" spans="1:23" ht="15" customHeight="1">
      <c r="A145" s="40">
        <v>138</v>
      </c>
      <c r="B145" s="40" t="s">
        <v>2614</v>
      </c>
      <c r="C145" s="670" t="s">
        <v>2158</v>
      </c>
      <c r="D145" s="671">
        <v>125</v>
      </c>
      <c r="E145" s="671">
        <v>125</v>
      </c>
      <c r="F145" s="671">
        <v>125</v>
      </c>
      <c r="G145" s="98"/>
      <c r="H145" s="98"/>
      <c r="I145" s="98"/>
      <c r="J145" s="98"/>
      <c r="K145" s="98"/>
      <c r="L145" s="98"/>
      <c r="M145" s="98"/>
      <c r="N145" s="98"/>
      <c r="O145" s="98"/>
      <c r="P145" s="98"/>
      <c r="Q145" s="98"/>
      <c r="R145" s="98"/>
      <c r="S145" s="98"/>
      <c r="T145" s="98"/>
      <c r="U145" s="98"/>
      <c r="V145" s="98"/>
      <c r="W145" s="98"/>
    </row>
    <row r="146" spans="1:23" ht="15" customHeight="1">
      <c r="A146" s="40">
        <v>139</v>
      </c>
      <c r="B146" s="40" t="s">
        <v>2615</v>
      </c>
      <c r="C146" s="670" t="s">
        <v>2127</v>
      </c>
      <c r="D146" s="671">
        <v>150</v>
      </c>
      <c r="E146" s="671">
        <v>225</v>
      </c>
      <c r="F146" s="671">
        <v>225</v>
      </c>
      <c r="G146" s="98"/>
      <c r="H146" s="98"/>
      <c r="I146" s="98"/>
      <c r="J146" s="98"/>
      <c r="K146" s="98"/>
      <c r="L146" s="98"/>
      <c r="M146" s="98"/>
      <c r="N146" s="98"/>
      <c r="O146" s="98"/>
      <c r="P146" s="98"/>
      <c r="Q146" s="98"/>
      <c r="R146" s="98"/>
      <c r="S146" s="98"/>
      <c r="T146" s="98"/>
      <c r="U146" s="98"/>
      <c r="V146" s="98"/>
      <c r="W146" s="98"/>
    </row>
    <row r="147" spans="1:23" ht="15" customHeight="1">
      <c r="A147" s="40">
        <v>140</v>
      </c>
      <c r="B147" s="40" t="s">
        <v>2616</v>
      </c>
      <c r="C147" s="670" t="s">
        <v>2617</v>
      </c>
      <c r="D147" s="671">
        <v>40</v>
      </c>
      <c r="E147" s="671">
        <v>40</v>
      </c>
      <c r="F147" s="671">
        <v>40</v>
      </c>
      <c r="G147" s="98"/>
      <c r="H147" s="98"/>
      <c r="I147" s="98"/>
      <c r="J147" s="98"/>
      <c r="K147" s="98"/>
      <c r="L147" s="98"/>
      <c r="M147" s="98"/>
      <c r="N147" s="98"/>
      <c r="O147" s="98"/>
      <c r="P147" s="98"/>
      <c r="Q147" s="98"/>
      <c r="R147" s="98"/>
      <c r="S147" s="98"/>
      <c r="T147" s="98"/>
      <c r="U147" s="98"/>
      <c r="V147" s="98"/>
      <c r="W147" s="98"/>
    </row>
    <row r="148" spans="1:23" ht="15" customHeight="1">
      <c r="A148" s="40">
        <v>141</v>
      </c>
      <c r="B148" s="40" t="s">
        <v>2618</v>
      </c>
      <c r="C148" s="670" t="s">
        <v>553</v>
      </c>
      <c r="D148" s="671">
        <v>4500</v>
      </c>
      <c r="E148" s="671">
        <v>3350</v>
      </c>
      <c r="F148" s="671">
        <v>3350</v>
      </c>
      <c r="G148" s="98"/>
      <c r="H148" s="98"/>
      <c r="I148" s="98"/>
      <c r="J148" s="98"/>
      <c r="K148" s="98"/>
      <c r="L148" s="98"/>
      <c r="M148" s="98"/>
      <c r="N148" s="98"/>
      <c r="O148" s="98"/>
      <c r="P148" s="98"/>
      <c r="Q148" s="98"/>
      <c r="R148" s="98"/>
      <c r="S148" s="98"/>
      <c r="T148" s="98"/>
      <c r="U148" s="98"/>
      <c r="V148" s="98"/>
      <c r="W148" s="98"/>
    </row>
    <row r="149" spans="1:23" ht="15" customHeight="1">
      <c r="A149" s="40">
        <v>142</v>
      </c>
      <c r="B149" s="40" t="s">
        <v>640</v>
      </c>
      <c r="C149" s="670" t="s">
        <v>640</v>
      </c>
      <c r="D149" s="671">
        <v>5700</v>
      </c>
      <c r="E149" s="671">
        <v>5700</v>
      </c>
      <c r="F149" s="671">
        <v>5700</v>
      </c>
      <c r="G149" s="98"/>
      <c r="H149" s="98"/>
      <c r="I149" s="98"/>
      <c r="J149" s="98"/>
      <c r="K149" s="98"/>
      <c r="L149" s="98"/>
      <c r="M149" s="98"/>
      <c r="N149" s="98"/>
      <c r="O149" s="98"/>
      <c r="P149" s="98"/>
      <c r="Q149" s="98"/>
      <c r="R149" s="98"/>
      <c r="S149" s="98"/>
      <c r="T149" s="98"/>
      <c r="U149" s="98"/>
      <c r="V149" s="98"/>
      <c r="W149" s="98"/>
    </row>
    <row r="150" spans="1:23" ht="15" customHeight="1">
      <c r="A150" s="40">
        <v>143</v>
      </c>
      <c r="B150" s="40" t="s">
        <v>2619</v>
      </c>
      <c r="C150" s="670" t="s">
        <v>2620</v>
      </c>
      <c r="D150" s="671">
        <v>700</v>
      </c>
      <c r="E150" s="671">
        <v>700</v>
      </c>
      <c r="F150" s="671">
        <v>700</v>
      </c>
      <c r="G150" s="98"/>
      <c r="H150" s="98"/>
      <c r="I150" s="98"/>
      <c r="J150" s="98"/>
      <c r="K150" s="98"/>
      <c r="L150" s="98"/>
      <c r="M150" s="98"/>
      <c r="N150" s="98"/>
      <c r="O150" s="98"/>
      <c r="P150" s="98"/>
      <c r="Q150" s="98"/>
      <c r="R150" s="98"/>
      <c r="S150" s="98"/>
      <c r="T150" s="98"/>
      <c r="U150" s="98"/>
      <c r="V150" s="98"/>
      <c r="W150" s="98"/>
    </row>
    <row r="151" spans="1:23" ht="15" customHeight="1">
      <c r="A151" s="40">
        <v>144</v>
      </c>
      <c r="B151" s="40" t="s">
        <v>2621</v>
      </c>
      <c r="C151" s="670" t="s">
        <v>2622</v>
      </c>
      <c r="D151" s="671">
        <v>200</v>
      </c>
      <c r="E151" s="671">
        <v>200</v>
      </c>
      <c r="F151" s="671">
        <v>200</v>
      </c>
      <c r="G151" s="98"/>
      <c r="H151" s="98"/>
      <c r="I151" s="98"/>
      <c r="J151" s="98"/>
      <c r="K151" s="98"/>
      <c r="L151" s="98"/>
      <c r="M151" s="98"/>
      <c r="N151" s="98"/>
      <c r="O151" s="98"/>
      <c r="P151" s="98"/>
      <c r="Q151" s="98"/>
      <c r="R151" s="98"/>
      <c r="S151" s="98"/>
      <c r="T151" s="98"/>
      <c r="U151" s="98"/>
      <c r="V151" s="98"/>
      <c r="W151" s="98"/>
    </row>
    <row r="152" spans="1:23" ht="15" customHeight="1">
      <c r="A152" s="40">
        <v>145</v>
      </c>
      <c r="B152" s="40" t="s">
        <v>2623</v>
      </c>
      <c r="C152" s="670" t="s">
        <v>297</v>
      </c>
      <c r="D152" s="671">
        <v>3850</v>
      </c>
      <c r="E152" s="671">
        <v>3850</v>
      </c>
      <c r="F152" s="671">
        <v>3850</v>
      </c>
      <c r="G152" s="98"/>
      <c r="H152" s="98"/>
      <c r="I152" s="98"/>
      <c r="J152" s="98"/>
      <c r="K152" s="98"/>
      <c r="L152" s="98"/>
      <c r="M152" s="98"/>
      <c r="N152" s="98"/>
      <c r="O152" s="98"/>
      <c r="P152" s="98"/>
      <c r="Q152" s="98"/>
      <c r="R152" s="98"/>
      <c r="S152" s="98"/>
      <c r="T152" s="98"/>
      <c r="U152" s="98"/>
      <c r="V152" s="98"/>
      <c r="W152" s="98"/>
    </row>
    <row r="153" spans="1:23" ht="15" customHeight="1">
      <c r="A153" s="40">
        <v>146</v>
      </c>
      <c r="B153" s="40" t="s">
        <v>2624</v>
      </c>
      <c r="C153" s="670" t="s">
        <v>2625</v>
      </c>
      <c r="D153" s="671">
        <v>15</v>
      </c>
      <c r="E153" s="671">
        <v>15</v>
      </c>
      <c r="F153" s="671">
        <v>15</v>
      </c>
      <c r="G153" s="98"/>
      <c r="H153" s="98"/>
      <c r="I153" s="98"/>
      <c r="J153" s="98"/>
      <c r="K153" s="98"/>
      <c r="L153" s="98"/>
      <c r="M153" s="98"/>
      <c r="N153" s="98"/>
      <c r="O153" s="98"/>
      <c r="P153" s="98"/>
      <c r="Q153" s="98"/>
      <c r="R153" s="98"/>
      <c r="S153" s="98"/>
      <c r="T153" s="98"/>
      <c r="U153" s="98"/>
      <c r="V153" s="98"/>
      <c r="W153" s="98"/>
    </row>
    <row r="154" spans="1:23" ht="15" customHeight="1">
      <c r="A154" s="40">
        <v>147</v>
      </c>
      <c r="B154" s="40" t="s">
        <v>2626</v>
      </c>
      <c r="C154" s="670" t="s">
        <v>2627</v>
      </c>
      <c r="D154" s="671">
        <v>550</v>
      </c>
      <c r="E154" s="671">
        <v>275</v>
      </c>
      <c r="F154" s="671">
        <v>275</v>
      </c>
      <c r="G154" s="98"/>
      <c r="H154" s="98"/>
      <c r="I154" s="98"/>
      <c r="J154" s="98"/>
      <c r="K154" s="98"/>
      <c r="L154" s="98"/>
      <c r="M154" s="98"/>
      <c r="N154" s="98"/>
      <c r="O154" s="98"/>
      <c r="P154" s="98"/>
      <c r="Q154" s="98"/>
      <c r="R154" s="98"/>
      <c r="S154" s="98"/>
      <c r="T154" s="98"/>
      <c r="U154" s="98"/>
      <c r="V154" s="98"/>
      <c r="W154" s="98"/>
    </row>
    <row r="155" spans="1:23" ht="15" customHeight="1">
      <c r="A155" s="40">
        <v>148</v>
      </c>
      <c r="B155" s="40" t="s">
        <v>2628</v>
      </c>
      <c r="C155" s="670" t="s">
        <v>2629</v>
      </c>
      <c r="D155" s="671">
        <v>175</v>
      </c>
      <c r="E155" s="671">
        <v>150</v>
      </c>
      <c r="F155" s="671">
        <v>150</v>
      </c>
      <c r="G155" s="98"/>
      <c r="H155" s="98"/>
      <c r="I155" s="98"/>
      <c r="J155" s="98"/>
      <c r="K155" s="98"/>
      <c r="L155" s="98"/>
      <c r="M155" s="98"/>
      <c r="N155" s="98"/>
      <c r="O155" s="98"/>
      <c r="P155" s="98"/>
      <c r="Q155" s="98"/>
      <c r="R155" s="98"/>
      <c r="S155" s="98"/>
      <c r="T155" s="98"/>
      <c r="U155" s="98"/>
      <c r="V155" s="98"/>
      <c r="W155" s="98"/>
    </row>
    <row r="156" spans="1:23" ht="15" customHeight="1">
      <c r="A156" s="40">
        <v>149</v>
      </c>
      <c r="B156" s="40" t="s">
        <v>2630</v>
      </c>
      <c r="C156" s="670" t="s">
        <v>2631</v>
      </c>
      <c r="D156" s="671">
        <v>3000</v>
      </c>
      <c r="E156" s="671">
        <v>3000</v>
      </c>
      <c r="F156" s="671">
        <v>3000</v>
      </c>
      <c r="G156" s="98"/>
      <c r="H156" s="98"/>
      <c r="I156" s="98"/>
      <c r="J156" s="98"/>
      <c r="K156" s="98"/>
      <c r="L156" s="98"/>
      <c r="M156" s="98"/>
      <c r="N156" s="98"/>
      <c r="O156" s="98"/>
      <c r="P156" s="98"/>
      <c r="Q156" s="98"/>
      <c r="R156" s="98"/>
      <c r="S156" s="98"/>
      <c r="T156" s="98"/>
      <c r="U156" s="98"/>
      <c r="V156" s="98"/>
      <c r="W156" s="98"/>
    </row>
    <row r="157" spans="1:23" ht="15" customHeight="1">
      <c r="A157" s="40">
        <v>150</v>
      </c>
      <c r="B157" s="40" t="s">
        <v>2632</v>
      </c>
      <c r="C157" s="670" t="s">
        <v>514</v>
      </c>
      <c r="D157" s="671">
        <v>6200</v>
      </c>
      <c r="E157" s="671">
        <v>6200</v>
      </c>
      <c r="F157" s="671">
        <v>6200</v>
      </c>
      <c r="G157" s="98"/>
      <c r="H157" s="98"/>
      <c r="I157" s="98"/>
      <c r="J157" s="98"/>
      <c r="K157" s="98"/>
      <c r="L157" s="98"/>
      <c r="M157" s="98"/>
      <c r="N157" s="98"/>
      <c r="O157" s="98"/>
      <c r="P157" s="98"/>
      <c r="Q157" s="98"/>
      <c r="R157" s="98"/>
      <c r="S157" s="98"/>
      <c r="T157" s="98"/>
      <c r="U157" s="98"/>
      <c r="V157" s="98"/>
      <c r="W157" s="98"/>
    </row>
    <row r="158" spans="1:23" ht="15" customHeight="1">
      <c r="A158" s="40">
        <v>151</v>
      </c>
      <c r="B158" s="40" t="s">
        <v>2633</v>
      </c>
      <c r="C158" s="670" t="s">
        <v>702</v>
      </c>
      <c r="D158" s="671">
        <v>250</v>
      </c>
      <c r="E158" s="671">
        <v>250</v>
      </c>
      <c r="F158" s="671">
        <v>250</v>
      </c>
      <c r="G158" s="98"/>
      <c r="H158" s="98"/>
      <c r="I158" s="98"/>
      <c r="J158" s="98"/>
      <c r="K158" s="98"/>
      <c r="L158" s="98"/>
      <c r="M158" s="98"/>
      <c r="N158" s="98"/>
      <c r="O158" s="98"/>
      <c r="P158" s="98"/>
      <c r="Q158" s="98"/>
      <c r="R158" s="98"/>
      <c r="S158" s="98"/>
      <c r="T158" s="98"/>
      <c r="U158" s="98"/>
      <c r="V158" s="98"/>
      <c r="W158" s="98"/>
    </row>
    <row r="159" spans="1:23" ht="15" customHeight="1">
      <c r="A159" s="40">
        <v>152</v>
      </c>
      <c r="B159" s="40" t="s">
        <v>2634</v>
      </c>
      <c r="C159" s="670" t="s">
        <v>2635</v>
      </c>
      <c r="D159" s="671">
        <v>250</v>
      </c>
      <c r="E159" s="671">
        <v>250</v>
      </c>
      <c r="F159" s="671">
        <v>250</v>
      </c>
      <c r="G159" s="98"/>
      <c r="H159" s="98"/>
      <c r="I159" s="98"/>
      <c r="J159" s="98"/>
      <c r="K159" s="98"/>
      <c r="L159" s="98"/>
      <c r="M159" s="98"/>
      <c r="N159" s="98"/>
      <c r="O159" s="98"/>
      <c r="P159" s="98"/>
      <c r="Q159" s="98"/>
      <c r="R159" s="98"/>
      <c r="S159" s="98"/>
      <c r="T159" s="98"/>
      <c r="U159" s="98"/>
      <c r="V159" s="98"/>
      <c r="W159" s="98"/>
    </row>
    <row r="160" spans="1:23" ht="15" customHeight="1">
      <c r="A160" s="40">
        <v>153</v>
      </c>
      <c r="B160" s="40" t="s">
        <v>2636</v>
      </c>
      <c r="C160" s="670" t="s">
        <v>533</v>
      </c>
      <c r="D160" s="671">
        <v>16000</v>
      </c>
      <c r="E160" s="671">
        <v>16000</v>
      </c>
      <c r="F160" s="671">
        <v>16000</v>
      </c>
      <c r="G160" s="98"/>
      <c r="H160" s="98"/>
      <c r="I160" s="98"/>
      <c r="J160" s="98"/>
      <c r="K160" s="98"/>
      <c r="L160" s="98"/>
      <c r="M160" s="98"/>
      <c r="N160" s="98"/>
      <c r="O160" s="98"/>
      <c r="P160" s="98"/>
      <c r="Q160" s="98"/>
      <c r="R160" s="98"/>
      <c r="S160" s="98"/>
      <c r="T160" s="98"/>
      <c r="U160" s="98"/>
      <c r="V160" s="98"/>
      <c r="W160" s="98"/>
    </row>
    <row r="161" spans="1:23" ht="15" customHeight="1">
      <c r="A161" s="40">
        <v>154</v>
      </c>
      <c r="B161" s="40" t="s">
        <v>2637</v>
      </c>
      <c r="C161" s="670" t="s">
        <v>2638</v>
      </c>
      <c r="D161" s="671">
        <v>300</v>
      </c>
      <c r="E161" s="671">
        <v>300</v>
      </c>
      <c r="F161" s="671">
        <v>300</v>
      </c>
      <c r="G161" s="98"/>
      <c r="H161" s="98"/>
      <c r="I161" s="98"/>
      <c r="J161" s="98"/>
      <c r="K161" s="98"/>
      <c r="L161" s="98"/>
      <c r="M161" s="98"/>
      <c r="N161" s="98"/>
      <c r="O161" s="98"/>
      <c r="P161" s="98"/>
      <c r="Q161" s="98"/>
      <c r="R161" s="98"/>
      <c r="S161" s="98"/>
      <c r="T161" s="98"/>
      <c r="U161" s="98"/>
      <c r="V161" s="98"/>
      <c r="W161" s="98"/>
    </row>
    <row r="162" spans="1:23" ht="15" customHeight="1">
      <c r="A162" s="40">
        <v>155</v>
      </c>
      <c r="B162" s="40" t="s">
        <v>2639</v>
      </c>
      <c r="C162" s="670" t="s">
        <v>671</v>
      </c>
      <c r="D162" s="671">
        <v>2700</v>
      </c>
      <c r="E162" s="671">
        <v>2700</v>
      </c>
      <c r="F162" s="671">
        <v>2700</v>
      </c>
      <c r="G162" s="98"/>
      <c r="H162" s="98"/>
      <c r="I162" s="98"/>
      <c r="J162" s="98"/>
      <c r="K162" s="98"/>
      <c r="L162" s="98"/>
      <c r="M162" s="98"/>
      <c r="N162" s="98"/>
      <c r="O162" s="98"/>
      <c r="P162" s="98"/>
      <c r="Q162" s="98"/>
      <c r="R162" s="98"/>
      <c r="S162" s="98"/>
      <c r="T162" s="98"/>
      <c r="U162" s="98"/>
      <c r="V162" s="98"/>
      <c r="W162" s="98"/>
    </row>
    <row r="163" spans="1:23" ht="15" customHeight="1">
      <c r="A163" s="40">
        <v>156</v>
      </c>
      <c r="B163" s="40" t="s">
        <v>686</v>
      </c>
      <c r="C163" s="670" t="s">
        <v>686</v>
      </c>
      <c r="D163" s="671">
        <v>407</v>
      </c>
      <c r="E163" s="671">
        <v>407</v>
      </c>
      <c r="F163" s="671">
        <v>407</v>
      </c>
      <c r="G163" s="98"/>
      <c r="H163" s="98"/>
      <c r="I163" s="98"/>
      <c r="J163" s="98"/>
      <c r="K163" s="98"/>
      <c r="L163" s="98"/>
      <c r="M163" s="98"/>
      <c r="N163" s="98"/>
      <c r="O163" s="98"/>
      <c r="P163" s="98"/>
      <c r="Q163" s="98"/>
      <c r="R163" s="98"/>
      <c r="S163" s="98"/>
      <c r="T163" s="98"/>
      <c r="U163" s="98"/>
      <c r="V163" s="98"/>
      <c r="W163" s="98"/>
    </row>
    <row r="164" spans="1:23" ht="15" customHeight="1">
      <c r="A164" s="40">
        <v>157</v>
      </c>
      <c r="B164" s="40" t="s">
        <v>2640</v>
      </c>
      <c r="C164" s="670" t="s">
        <v>2255</v>
      </c>
      <c r="D164" s="671">
        <v>3500</v>
      </c>
      <c r="E164" s="671">
        <v>3500</v>
      </c>
      <c r="F164" s="671">
        <v>3500</v>
      </c>
      <c r="G164" s="98"/>
      <c r="H164" s="98"/>
      <c r="I164" s="98"/>
      <c r="J164" s="98"/>
      <c r="K164" s="98"/>
      <c r="L164" s="98"/>
      <c r="M164" s="98"/>
      <c r="N164" s="98"/>
      <c r="O164" s="98"/>
      <c r="P164" s="98"/>
      <c r="Q164" s="98"/>
      <c r="R164" s="98"/>
      <c r="S164" s="98"/>
      <c r="T164" s="98"/>
      <c r="U164" s="98"/>
      <c r="V164" s="98"/>
      <c r="W164" s="98"/>
    </row>
    <row r="165" spans="1:23" ht="15" customHeight="1">
      <c r="A165" s="40">
        <v>158</v>
      </c>
      <c r="B165" s="40" t="s">
        <v>2641</v>
      </c>
      <c r="C165" s="670" t="s">
        <v>2642</v>
      </c>
      <c r="D165" s="671">
        <v>850</v>
      </c>
      <c r="E165" s="671">
        <v>850</v>
      </c>
      <c r="F165" s="671">
        <v>850</v>
      </c>
      <c r="G165" s="98"/>
      <c r="H165" s="98"/>
      <c r="I165" s="98"/>
      <c r="J165" s="98"/>
      <c r="K165" s="98"/>
      <c r="L165" s="98"/>
      <c r="M165" s="98"/>
      <c r="N165" s="98"/>
      <c r="O165" s="98"/>
      <c r="P165" s="98"/>
      <c r="Q165" s="98"/>
      <c r="R165" s="98"/>
      <c r="S165" s="98"/>
      <c r="T165" s="98"/>
      <c r="U165" s="98"/>
      <c r="V165" s="98"/>
      <c r="W165" s="98"/>
    </row>
    <row r="166" spans="1:23" ht="15" customHeight="1">
      <c r="A166" s="40">
        <v>159</v>
      </c>
      <c r="B166" s="40" t="s">
        <v>2643</v>
      </c>
      <c r="C166" s="670" t="s">
        <v>2304</v>
      </c>
      <c r="D166" s="671">
        <v>5000</v>
      </c>
      <c r="E166" s="671">
        <v>5000</v>
      </c>
      <c r="F166" s="671">
        <v>5000</v>
      </c>
      <c r="G166" s="98"/>
      <c r="H166" s="98"/>
      <c r="I166" s="98"/>
      <c r="J166" s="98"/>
      <c r="K166" s="98"/>
      <c r="L166" s="98"/>
      <c r="M166" s="98"/>
      <c r="N166" s="98"/>
      <c r="O166" s="98"/>
      <c r="P166" s="98"/>
      <c r="Q166" s="98"/>
      <c r="R166" s="98"/>
      <c r="S166" s="98"/>
      <c r="T166" s="98"/>
      <c r="U166" s="98"/>
      <c r="V166" s="98"/>
      <c r="W166" s="98"/>
    </row>
    <row r="167" spans="1:23" ht="15" customHeight="1">
      <c r="A167" s="40">
        <v>160</v>
      </c>
      <c r="B167" s="40" t="s">
        <v>459</v>
      </c>
      <c r="C167" s="670" t="s">
        <v>1369</v>
      </c>
      <c r="D167" s="671">
        <v>8000</v>
      </c>
      <c r="E167" s="671">
        <v>8000</v>
      </c>
      <c r="F167" s="671">
        <v>8000</v>
      </c>
      <c r="G167" s="98"/>
      <c r="H167" s="98"/>
      <c r="I167" s="98"/>
      <c r="J167" s="98"/>
      <c r="K167" s="98"/>
      <c r="L167" s="98"/>
      <c r="M167" s="98"/>
      <c r="N167" s="98"/>
      <c r="O167" s="98"/>
      <c r="P167" s="98"/>
      <c r="Q167" s="98"/>
      <c r="R167" s="98"/>
      <c r="S167" s="98"/>
      <c r="T167" s="98"/>
      <c r="U167" s="98"/>
      <c r="V167" s="98"/>
      <c r="W167" s="98"/>
    </row>
    <row r="168" spans="1:23" ht="15" customHeight="1">
      <c r="A168" s="40">
        <v>161</v>
      </c>
      <c r="B168" s="40" t="s">
        <v>2644</v>
      </c>
      <c r="C168" s="670" t="s">
        <v>474</v>
      </c>
      <c r="D168" s="671">
        <v>250</v>
      </c>
      <c r="E168" s="671">
        <v>250</v>
      </c>
      <c r="F168" s="671">
        <v>250</v>
      </c>
      <c r="G168" s="98"/>
      <c r="H168" s="98"/>
      <c r="I168" s="98"/>
      <c r="J168" s="98"/>
      <c r="K168" s="98"/>
      <c r="L168" s="98"/>
      <c r="M168" s="98"/>
      <c r="N168" s="98"/>
      <c r="O168" s="98"/>
      <c r="P168" s="98"/>
      <c r="Q168" s="98"/>
      <c r="R168" s="98"/>
      <c r="S168" s="98"/>
      <c r="T168" s="98"/>
      <c r="U168" s="98"/>
      <c r="V168" s="98"/>
      <c r="W168" s="98"/>
    </row>
    <row r="169" spans="1:23" ht="15" customHeight="1">
      <c r="A169" s="40">
        <v>162</v>
      </c>
      <c r="B169" s="40" t="s">
        <v>2645</v>
      </c>
      <c r="C169" s="670" t="s">
        <v>495</v>
      </c>
      <c r="D169" s="671">
        <v>8000</v>
      </c>
      <c r="E169" s="671">
        <v>6000</v>
      </c>
      <c r="F169" s="671">
        <v>6000</v>
      </c>
      <c r="G169" s="98"/>
      <c r="H169" s="98"/>
      <c r="I169" s="98"/>
      <c r="J169" s="98"/>
      <c r="K169" s="98"/>
      <c r="L169" s="98"/>
      <c r="M169" s="98"/>
      <c r="N169" s="98"/>
      <c r="O169" s="98"/>
      <c r="P169" s="98"/>
      <c r="Q169" s="98"/>
      <c r="R169" s="98"/>
      <c r="S169" s="98"/>
      <c r="T169" s="98"/>
      <c r="U169" s="98"/>
      <c r="V169" s="98"/>
      <c r="W169" s="98"/>
    </row>
    <row r="170" spans="1:23" ht="15" customHeight="1">
      <c r="A170" s="40">
        <v>163</v>
      </c>
      <c r="B170" s="40" t="s">
        <v>2646</v>
      </c>
      <c r="C170" s="670" t="s">
        <v>502</v>
      </c>
      <c r="D170" s="671">
        <v>800</v>
      </c>
      <c r="E170" s="671">
        <v>800</v>
      </c>
      <c r="F170" s="671">
        <v>800</v>
      </c>
      <c r="G170" s="98"/>
      <c r="H170" s="98"/>
      <c r="I170" s="98"/>
      <c r="J170" s="98"/>
      <c r="K170" s="98"/>
      <c r="L170" s="98"/>
      <c r="M170" s="98"/>
      <c r="N170" s="98"/>
      <c r="O170" s="98"/>
      <c r="P170" s="98"/>
      <c r="Q170" s="98"/>
      <c r="R170" s="98"/>
      <c r="S170" s="98"/>
      <c r="T170" s="98"/>
      <c r="U170" s="98"/>
      <c r="V170" s="98"/>
      <c r="W170" s="98"/>
    </row>
    <row r="171" spans="1:23" ht="15" customHeight="1">
      <c r="A171" s="40">
        <v>164</v>
      </c>
      <c r="B171" s="40" t="s">
        <v>2647</v>
      </c>
      <c r="C171" s="670" t="s">
        <v>2436</v>
      </c>
      <c r="D171" s="671">
        <v>750</v>
      </c>
      <c r="E171" s="671">
        <v>750</v>
      </c>
      <c r="F171" s="671">
        <v>750</v>
      </c>
      <c r="G171" s="98"/>
      <c r="H171" s="98"/>
      <c r="I171" s="98"/>
      <c r="J171" s="98"/>
      <c r="K171" s="98"/>
      <c r="L171" s="98"/>
      <c r="M171" s="98"/>
      <c r="N171" s="98"/>
      <c r="O171" s="98"/>
      <c r="P171" s="98"/>
      <c r="Q171" s="98"/>
      <c r="R171" s="98"/>
      <c r="S171" s="98"/>
      <c r="T171" s="98"/>
      <c r="U171" s="98"/>
      <c r="V171" s="98"/>
      <c r="W171" s="98"/>
    </row>
    <row r="172" spans="1:23" ht="15" customHeight="1">
      <c r="A172" s="40">
        <v>165</v>
      </c>
      <c r="B172" s="40" t="s">
        <v>2648</v>
      </c>
      <c r="C172" s="670" t="s">
        <v>493</v>
      </c>
      <c r="D172" s="671">
        <v>1500</v>
      </c>
      <c r="E172" s="671">
        <v>1500</v>
      </c>
      <c r="F172" s="671">
        <v>1500</v>
      </c>
      <c r="G172" s="98"/>
      <c r="H172" s="98"/>
      <c r="I172" s="98"/>
      <c r="J172" s="98"/>
      <c r="K172" s="98"/>
      <c r="L172" s="98"/>
      <c r="M172" s="98"/>
      <c r="N172" s="98"/>
      <c r="O172" s="98"/>
      <c r="P172" s="98"/>
      <c r="Q172" s="98"/>
      <c r="R172" s="98"/>
      <c r="S172" s="98"/>
      <c r="T172" s="98"/>
      <c r="U172" s="98"/>
      <c r="V172" s="98"/>
      <c r="W172" s="98"/>
    </row>
    <row r="173" spans="1:23" ht="15" customHeight="1">
      <c r="A173" s="40">
        <v>166</v>
      </c>
      <c r="B173" s="40" t="s">
        <v>2649</v>
      </c>
      <c r="C173" s="670" t="s">
        <v>2650</v>
      </c>
      <c r="D173" s="671">
        <v>25</v>
      </c>
      <c r="E173" s="671">
        <v>25</v>
      </c>
      <c r="F173" s="671">
        <v>25</v>
      </c>
      <c r="G173" s="98"/>
      <c r="H173" s="98"/>
      <c r="I173" s="98"/>
      <c r="J173" s="98"/>
      <c r="K173" s="98"/>
      <c r="L173" s="98"/>
      <c r="M173" s="98"/>
      <c r="N173" s="98"/>
      <c r="O173" s="98"/>
      <c r="P173" s="98"/>
      <c r="Q173" s="98"/>
      <c r="R173" s="98"/>
      <c r="S173" s="98"/>
      <c r="T173" s="98"/>
      <c r="U173" s="98"/>
      <c r="V173" s="98"/>
      <c r="W173" s="98"/>
    </row>
    <row r="174" spans="1:23" ht="15" customHeight="1">
      <c r="A174" s="40">
        <v>167</v>
      </c>
      <c r="B174" s="40" t="s">
        <v>2194</v>
      </c>
      <c r="C174" s="670" t="s">
        <v>2194</v>
      </c>
      <c r="D174" s="671">
        <v>275</v>
      </c>
      <c r="E174" s="671">
        <v>275</v>
      </c>
      <c r="F174" s="671">
        <v>275</v>
      </c>
      <c r="G174" s="98"/>
      <c r="H174" s="98"/>
      <c r="I174" s="98"/>
      <c r="J174" s="98"/>
      <c r="K174" s="98"/>
      <c r="L174" s="98"/>
      <c r="M174" s="98"/>
      <c r="N174" s="98"/>
      <c r="O174" s="98"/>
      <c r="P174" s="98"/>
      <c r="Q174" s="98"/>
      <c r="R174" s="98"/>
      <c r="S174" s="98"/>
      <c r="T174" s="98"/>
      <c r="U174" s="98"/>
      <c r="V174" s="98"/>
      <c r="W174" s="98"/>
    </row>
    <row r="175" spans="1:23" ht="15" customHeight="1">
      <c r="A175" s="40">
        <v>168</v>
      </c>
      <c r="B175" s="40" t="s">
        <v>556</v>
      </c>
      <c r="C175" s="670" t="s">
        <v>556</v>
      </c>
      <c r="D175" s="671">
        <v>375</v>
      </c>
      <c r="E175" s="671">
        <v>375</v>
      </c>
      <c r="F175" s="671">
        <v>375</v>
      </c>
      <c r="G175" s="98"/>
      <c r="H175" s="98"/>
      <c r="I175" s="98"/>
      <c r="J175" s="98"/>
      <c r="K175" s="98"/>
      <c r="L175" s="98"/>
      <c r="M175" s="98"/>
      <c r="N175" s="98"/>
      <c r="O175" s="98"/>
      <c r="P175" s="98"/>
      <c r="Q175" s="98"/>
      <c r="R175" s="98"/>
      <c r="S175" s="98"/>
      <c r="T175" s="98"/>
      <c r="U175" s="98"/>
      <c r="V175" s="98"/>
      <c r="W175" s="98"/>
    </row>
    <row r="176" spans="1:23" ht="15" customHeight="1">
      <c r="A176" s="40">
        <v>169</v>
      </c>
      <c r="B176" s="40" t="s">
        <v>2651</v>
      </c>
      <c r="C176" s="670" t="s">
        <v>1575</v>
      </c>
      <c r="D176" s="671">
        <v>600</v>
      </c>
      <c r="E176" s="671">
        <v>600</v>
      </c>
      <c r="F176" s="671">
        <v>600</v>
      </c>
      <c r="G176" s="98"/>
      <c r="H176" s="98"/>
      <c r="I176" s="98"/>
      <c r="J176" s="98"/>
      <c r="K176" s="98"/>
      <c r="L176" s="98"/>
      <c r="M176" s="98"/>
      <c r="N176" s="98"/>
      <c r="O176" s="98"/>
      <c r="P176" s="98"/>
      <c r="Q176" s="98"/>
      <c r="R176" s="98"/>
      <c r="S176" s="98"/>
      <c r="T176" s="98"/>
      <c r="U176" s="98"/>
      <c r="V176" s="98"/>
      <c r="W176" s="98"/>
    </row>
    <row r="177" spans="1:23" ht="15" customHeight="1">
      <c r="A177" s="40">
        <v>170</v>
      </c>
      <c r="B177" s="40" t="s">
        <v>2652</v>
      </c>
      <c r="C177" s="670" t="s">
        <v>1678</v>
      </c>
      <c r="D177" s="671">
        <v>700</v>
      </c>
      <c r="E177" s="671">
        <v>700</v>
      </c>
      <c r="F177" s="671">
        <v>700</v>
      </c>
      <c r="G177" s="98"/>
      <c r="H177" s="98"/>
      <c r="I177" s="98"/>
      <c r="J177" s="98"/>
      <c r="K177" s="98"/>
      <c r="L177" s="98"/>
      <c r="M177" s="98"/>
      <c r="N177" s="98"/>
      <c r="O177" s="98"/>
      <c r="P177" s="98"/>
      <c r="Q177" s="98"/>
      <c r="R177" s="98"/>
      <c r="S177" s="98"/>
      <c r="T177" s="98"/>
      <c r="U177" s="98"/>
      <c r="V177" s="98"/>
      <c r="W177" s="98"/>
    </row>
    <row r="178" spans="1:23" ht="15" customHeight="1">
      <c r="A178" s="40">
        <v>171</v>
      </c>
      <c r="B178" s="40" t="s">
        <v>2653</v>
      </c>
      <c r="C178" s="670" t="s">
        <v>530</v>
      </c>
      <c r="D178" s="671">
        <v>1500</v>
      </c>
      <c r="E178" s="671">
        <v>1500</v>
      </c>
      <c r="F178" s="671">
        <v>1500</v>
      </c>
      <c r="G178" s="98"/>
      <c r="H178" s="98"/>
      <c r="I178" s="98"/>
      <c r="J178" s="98"/>
      <c r="K178" s="98"/>
      <c r="L178" s="98"/>
      <c r="M178" s="98"/>
      <c r="N178" s="98"/>
      <c r="O178" s="98"/>
      <c r="P178" s="98"/>
      <c r="Q178" s="98"/>
      <c r="R178" s="98"/>
      <c r="S178" s="98"/>
      <c r="T178" s="98"/>
      <c r="U178" s="98"/>
      <c r="V178" s="98"/>
      <c r="W178" s="98"/>
    </row>
    <row r="179" spans="1:23" ht="15" customHeight="1">
      <c r="A179" s="40">
        <v>172</v>
      </c>
      <c r="B179" s="40" t="s">
        <v>2654</v>
      </c>
      <c r="C179" s="670" t="s">
        <v>2655</v>
      </c>
      <c r="D179" s="671">
        <v>1000</v>
      </c>
      <c r="E179" s="671">
        <v>1000</v>
      </c>
      <c r="F179" s="671">
        <v>1000</v>
      </c>
      <c r="G179" s="98"/>
      <c r="H179" s="98"/>
      <c r="I179" s="98"/>
      <c r="J179" s="98"/>
      <c r="K179" s="98"/>
      <c r="L179" s="98"/>
      <c r="M179" s="98"/>
      <c r="N179" s="98"/>
      <c r="O179" s="98"/>
      <c r="P179" s="98"/>
      <c r="Q179" s="98"/>
      <c r="R179" s="98"/>
      <c r="S179" s="98"/>
      <c r="T179" s="98"/>
      <c r="U179" s="98"/>
      <c r="V179" s="98"/>
      <c r="W179" s="98"/>
    </row>
    <row r="180" spans="1:23" ht="15" customHeight="1">
      <c r="A180" s="40">
        <v>173</v>
      </c>
      <c r="B180" s="40" t="s">
        <v>2656</v>
      </c>
      <c r="C180" s="670" t="s">
        <v>691</v>
      </c>
      <c r="D180" s="671">
        <v>500</v>
      </c>
      <c r="E180" s="671">
        <v>500</v>
      </c>
      <c r="F180" s="671">
        <v>500</v>
      </c>
      <c r="G180" s="98"/>
      <c r="H180" s="98"/>
      <c r="I180" s="98"/>
      <c r="J180" s="98"/>
      <c r="K180" s="98"/>
      <c r="L180" s="98"/>
      <c r="M180" s="98"/>
      <c r="N180" s="98"/>
      <c r="O180" s="98"/>
      <c r="P180" s="98"/>
      <c r="Q180" s="98"/>
      <c r="R180" s="98"/>
      <c r="S180" s="98"/>
      <c r="T180" s="98"/>
      <c r="U180" s="98"/>
      <c r="V180" s="98"/>
      <c r="W180" s="98"/>
    </row>
    <row r="181" spans="1:23" ht="15" customHeight="1">
      <c r="A181" s="40">
        <v>174</v>
      </c>
      <c r="B181" s="40" t="s">
        <v>2657</v>
      </c>
      <c r="C181" s="670" t="s">
        <v>648</v>
      </c>
      <c r="D181" s="671">
        <v>500</v>
      </c>
      <c r="E181" s="671">
        <v>500</v>
      </c>
      <c r="F181" s="671">
        <v>500</v>
      </c>
      <c r="G181" s="98"/>
      <c r="H181" s="98"/>
      <c r="I181" s="98"/>
      <c r="J181" s="98"/>
      <c r="K181" s="98"/>
      <c r="L181" s="98"/>
      <c r="M181" s="98"/>
      <c r="N181" s="98"/>
      <c r="O181" s="98"/>
      <c r="P181" s="98"/>
      <c r="Q181" s="98"/>
      <c r="R181" s="98"/>
      <c r="S181" s="98"/>
      <c r="T181" s="98"/>
      <c r="U181" s="98"/>
      <c r="V181" s="98"/>
      <c r="W181" s="98"/>
    </row>
    <row r="182" spans="1:23" ht="15" customHeight="1">
      <c r="A182" s="40">
        <v>175</v>
      </c>
      <c r="B182" s="40" t="s">
        <v>2658</v>
      </c>
      <c r="C182" s="670" t="s">
        <v>644</v>
      </c>
      <c r="D182" s="671">
        <v>900</v>
      </c>
      <c r="E182" s="671">
        <v>900</v>
      </c>
      <c r="F182" s="671">
        <v>900</v>
      </c>
      <c r="G182" s="98"/>
      <c r="H182" s="98"/>
      <c r="I182" s="98"/>
      <c r="J182" s="98"/>
      <c r="K182" s="98"/>
      <c r="L182" s="98"/>
      <c r="M182" s="98"/>
      <c r="N182" s="98"/>
      <c r="O182" s="98"/>
      <c r="P182" s="98"/>
      <c r="Q182" s="98"/>
      <c r="R182" s="98"/>
      <c r="S182" s="98"/>
      <c r="T182" s="98"/>
      <c r="U182" s="98"/>
      <c r="V182" s="98"/>
      <c r="W182" s="98"/>
    </row>
    <row r="183" spans="1:23" ht="15" customHeight="1">
      <c r="A183" s="40">
        <v>176</v>
      </c>
      <c r="B183" s="40" t="s">
        <v>2659</v>
      </c>
      <c r="C183" s="670" t="s">
        <v>518</v>
      </c>
      <c r="D183" s="671">
        <v>1425</v>
      </c>
      <c r="E183" s="671">
        <v>1425</v>
      </c>
      <c r="F183" s="671">
        <v>1425</v>
      </c>
      <c r="G183" s="98"/>
      <c r="H183" s="98"/>
      <c r="I183" s="98"/>
      <c r="J183" s="98"/>
      <c r="K183" s="98"/>
      <c r="L183" s="98"/>
      <c r="M183" s="98"/>
      <c r="N183" s="98"/>
      <c r="O183" s="98"/>
      <c r="P183" s="98"/>
      <c r="Q183" s="98"/>
      <c r="R183" s="98"/>
      <c r="S183" s="98"/>
      <c r="T183" s="98"/>
      <c r="U183" s="98"/>
      <c r="V183" s="98"/>
      <c r="W183" s="98"/>
    </row>
    <row r="184" spans="1:23" ht="15" customHeight="1">
      <c r="A184" s="40">
        <v>177</v>
      </c>
      <c r="B184" s="40" t="s">
        <v>2660</v>
      </c>
      <c r="C184" s="670" t="s">
        <v>479</v>
      </c>
      <c r="D184" s="671">
        <v>3375</v>
      </c>
      <c r="E184" s="671">
        <v>3375</v>
      </c>
      <c r="F184" s="671">
        <v>3375</v>
      </c>
      <c r="G184" s="98"/>
      <c r="H184" s="98"/>
      <c r="I184" s="98"/>
      <c r="J184" s="98"/>
      <c r="K184" s="98"/>
      <c r="L184" s="98"/>
      <c r="M184" s="98"/>
      <c r="N184" s="98"/>
      <c r="O184" s="98"/>
      <c r="P184" s="98"/>
      <c r="Q184" s="98"/>
      <c r="R184" s="98"/>
      <c r="S184" s="98"/>
      <c r="T184" s="98"/>
      <c r="U184" s="98"/>
      <c r="V184" s="98"/>
      <c r="W184" s="98"/>
    </row>
    <row r="185" spans="1:23" ht="15" customHeight="1">
      <c r="A185" s="40">
        <v>178</v>
      </c>
      <c r="B185" s="40" t="s">
        <v>2661</v>
      </c>
      <c r="C185" s="670" t="s">
        <v>604</v>
      </c>
      <c r="D185" s="671">
        <v>5500</v>
      </c>
      <c r="E185" s="671">
        <v>4250</v>
      </c>
      <c r="F185" s="671">
        <v>4250</v>
      </c>
      <c r="G185" s="98"/>
      <c r="H185" s="98"/>
      <c r="I185" s="98"/>
      <c r="J185" s="98"/>
      <c r="K185" s="98"/>
      <c r="L185" s="98"/>
      <c r="M185" s="98"/>
      <c r="N185" s="98"/>
      <c r="O185" s="98"/>
      <c r="P185" s="98"/>
      <c r="Q185" s="98"/>
      <c r="R185" s="98"/>
      <c r="S185" s="98"/>
      <c r="T185" s="98"/>
      <c r="U185" s="98"/>
      <c r="V185" s="98"/>
      <c r="W185" s="98"/>
    </row>
    <row r="186" spans="1:23" ht="15" customHeight="1">
      <c r="A186" s="40">
        <v>179</v>
      </c>
      <c r="B186" s="40" t="s">
        <v>2662</v>
      </c>
      <c r="C186" s="670" t="s">
        <v>588</v>
      </c>
      <c r="D186" s="671">
        <v>175</v>
      </c>
      <c r="E186" s="671">
        <v>150</v>
      </c>
      <c r="F186" s="671">
        <v>150</v>
      </c>
      <c r="G186" s="98"/>
      <c r="H186" s="98"/>
      <c r="I186" s="98"/>
      <c r="J186" s="98"/>
      <c r="K186" s="98"/>
      <c r="L186" s="98"/>
      <c r="M186" s="98"/>
      <c r="N186" s="98"/>
      <c r="O186" s="98"/>
      <c r="P186" s="98"/>
      <c r="Q186" s="98"/>
      <c r="R186" s="98"/>
      <c r="S186" s="98"/>
      <c r="T186" s="98"/>
      <c r="U186" s="98"/>
      <c r="V186" s="98"/>
      <c r="W186" s="98"/>
    </row>
    <row r="187" spans="1:23" ht="15" customHeight="1">
      <c r="A187" s="40">
        <v>180</v>
      </c>
      <c r="B187" s="40" t="s">
        <v>2663</v>
      </c>
      <c r="C187" s="670" t="s">
        <v>2664</v>
      </c>
      <c r="D187" s="671">
        <v>600</v>
      </c>
      <c r="E187" s="671">
        <v>600</v>
      </c>
      <c r="F187" s="671">
        <v>600</v>
      </c>
      <c r="G187" s="98"/>
      <c r="H187" s="98"/>
      <c r="I187" s="98"/>
      <c r="J187" s="98"/>
      <c r="K187" s="98"/>
      <c r="L187" s="98"/>
      <c r="M187" s="98"/>
      <c r="N187" s="98"/>
      <c r="O187" s="98"/>
      <c r="P187" s="98"/>
      <c r="Q187" s="98"/>
      <c r="R187" s="98"/>
      <c r="S187" s="98"/>
      <c r="T187" s="98"/>
      <c r="U187" s="98"/>
      <c r="V187" s="98"/>
      <c r="W187" s="98"/>
    </row>
    <row r="188" spans="1:23" ht="15" customHeight="1">
      <c r="A188" s="40">
        <v>181</v>
      </c>
      <c r="B188" s="40" t="s">
        <v>2665</v>
      </c>
      <c r="C188" s="670" t="s">
        <v>692</v>
      </c>
      <c r="D188" s="671">
        <v>375</v>
      </c>
      <c r="E188" s="671">
        <v>375</v>
      </c>
      <c r="F188" s="671">
        <v>375</v>
      </c>
      <c r="G188" s="98"/>
      <c r="H188" s="98"/>
      <c r="I188" s="98"/>
      <c r="J188" s="98"/>
      <c r="K188" s="98"/>
      <c r="L188" s="98"/>
      <c r="M188" s="98"/>
      <c r="N188" s="98"/>
      <c r="O188" s="98"/>
      <c r="P188" s="98"/>
      <c r="Q188" s="98"/>
      <c r="R188" s="98"/>
      <c r="S188" s="98"/>
      <c r="T188" s="98"/>
      <c r="U188" s="98"/>
      <c r="V188" s="98"/>
      <c r="W188" s="98"/>
    </row>
    <row r="189" spans="1:23" ht="15" customHeight="1">
      <c r="A189" s="40">
        <v>182</v>
      </c>
      <c r="B189" s="40" t="s">
        <v>2666</v>
      </c>
      <c r="C189" s="670" t="s">
        <v>696</v>
      </c>
      <c r="D189" s="671">
        <v>500</v>
      </c>
      <c r="E189" s="671">
        <v>500</v>
      </c>
      <c r="F189" s="671">
        <v>500</v>
      </c>
      <c r="G189" s="98"/>
      <c r="H189" s="98"/>
      <c r="I189" s="98"/>
      <c r="J189" s="98"/>
      <c r="K189" s="98"/>
      <c r="L189" s="98"/>
      <c r="M189" s="98"/>
      <c r="N189" s="98"/>
      <c r="O189" s="98"/>
      <c r="P189" s="98"/>
      <c r="Q189" s="98"/>
      <c r="R189" s="98"/>
      <c r="S189" s="98"/>
      <c r="T189" s="98"/>
      <c r="U189" s="98"/>
      <c r="V189" s="98"/>
      <c r="W189" s="98"/>
    </row>
    <row r="190" spans="1:23" ht="15" customHeight="1">
      <c r="A190" s="40">
        <v>183</v>
      </c>
      <c r="B190" s="40" t="s">
        <v>2667</v>
      </c>
      <c r="C190" s="670" t="s">
        <v>2668</v>
      </c>
      <c r="D190" s="671">
        <v>1500</v>
      </c>
      <c r="E190" s="671">
        <v>1500</v>
      </c>
      <c r="F190" s="671">
        <v>1500</v>
      </c>
      <c r="G190" s="98"/>
      <c r="H190" s="98"/>
      <c r="I190" s="98"/>
      <c r="J190" s="98"/>
      <c r="K190" s="98"/>
      <c r="L190" s="98"/>
      <c r="M190" s="98"/>
      <c r="N190" s="98"/>
      <c r="O190" s="98"/>
      <c r="P190" s="98"/>
      <c r="Q190" s="98"/>
      <c r="R190" s="98"/>
      <c r="S190" s="98"/>
      <c r="T190" s="98"/>
      <c r="U190" s="98"/>
      <c r="V190" s="98"/>
      <c r="W190" s="98"/>
    </row>
    <row r="191" spans="1:23" ht="15" customHeight="1">
      <c r="A191" s="40">
        <v>184</v>
      </c>
      <c r="B191" s="40" t="s">
        <v>531</v>
      </c>
      <c r="C191" s="670" t="s">
        <v>531</v>
      </c>
      <c r="D191" s="671">
        <v>400</v>
      </c>
      <c r="E191" s="671">
        <v>725</v>
      </c>
      <c r="F191" s="671">
        <v>725</v>
      </c>
      <c r="G191" s="98"/>
      <c r="H191" s="98"/>
      <c r="I191" s="98"/>
      <c r="J191" s="98"/>
      <c r="K191" s="98"/>
      <c r="L191" s="98"/>
      <c r="M191" s="98"/>
      <c r="N191" s="98"/>
      <c r="O191" s="98"/>
      <c r="P191" s="98"/>
      <c r="Q191" s="98"/>
      <c r="R191" s="98"/>
      <c r="S191" s="98"/>
      <c r="T191" s="98"/>
      <c r="U191" s="98"/>
      <c r="V191" s="98"/>
      <c r="W191" s="98"/>
    </row>
    <row r="192" spans="1:23" ht="15" customHeight="1">
      <c r="A192" s="40">
        <v>185</v>
      </c>
      <c r="B192" s="40" t="s">
        <v>2669</v>
      </c>
      <c r="C192" s="670" t="s">
        <v>682</v>
      </c>
      <c r="D192" s="671">
        <v>700</v>
      </c>
      <c r="E192" s="671">
        <v>700</v>
      </c>
      <c r="F192" s="671">
        <v>700</v>
      </c>
      <c r="G192" s="98"/>
      <c r="H192" s="98"/>
      <c r="I192" s="98"/>
      <c r="J192" s="98"/>
      <c r="K192" s="98"/>
      <c r="L192" s="98"/>
      <c r="M192" s="98"/>
      <c r="N192" s="98"/>
      <c r="O192" s="98"/>
      <c r="P192" s="98"/>
      <c r="Q192" s="98"/>
      <c r="R192" s="98"/>
      <c r="S192" s="98"/>
      <c r="T192" s="98"/>
      <c r="U192" s="98"/>
      <c r="V192" s="98"/>
      <c r="W192" s="98"/>
    </row>
    <row r="193" spans="1:23" ht="15" customHeight="1">
      <c r="A193" s="40">
        <v>186</v>
      </c>
      <c r="B193" s="40" t="s">
        <v>2670</v>
      </c>
      <c r="C193" s="670" t="s">
        <v>2671</v>
      </c>
      <c r="D193" s="671">
        <v>400</v>
      </c>
      <c r="E193" s="671">
        <v>400</v>
      </c>
      <c r="F193" s="671">
        <v>400</v>
      </c>
      <c r="G193" s="98"/>
      <c r="H193" s="98"/>
      <c r="I193" s="98"/>
      <c r="J193" s="98"/>
      <c r="K193" s="98"/>
      <c r="L193" s="98"/>
      <c r="M193" s="98"/>
      <c r="N193" s="98"/>
      <c r="O193" s="98"/>
      <c r="P193" s="98"/>
      <c r="Q193" s="98"/>
      <c r="R193" s="98"/>
      <c r="S193" s="98"/>
      <c r="T193" s="98"/>
      <c r="U193" s="98"/>
      <c r="V193" s="98"/>
      <c r="W193" s="98"/>
    </row>
    <row r="194" spans="1:23" ht="15" customHeight="1">
      <c r="A194" s="40">
        <v>187</v>
      </c>
      <c r="B194" s="40" t="s">
        <v>2672</v>
      </c>
      <c r="C194" s="670" t="s">
        <v>2673</v>
      </c>
      <c r="D194" s="671">
        <v>100</v>
      </c>
      <c r="E194" s="671">
        <v>100</v>
      </c>
      <c r="F194" s="671">
        <v>100</v>
      </c>
      <c r="G194" s="98"/>
      <c r="H194" s="98"/>
      <c r="I194" s="98"/>
      <c r="J194" s="98"/>
      <c r="K194" s="98"/>
      <c r="L194" s="98"/>
      <c r="M194" s="98"/>
      <c r="N194" s="98"/>
      <c r="O194" s="98"/>
      <c r="P194" s="98"/>
      <c r="Q194" s="98"/>
      <c r="R194" s="98"/>
      <c r="S194" s="98"/>
      <c r="T194" s="98"/>
      <c r="U194" s="98"/>
      <c r="V194" s="98"/>
      <c r="W194" s="98"/>
    </row>
    <row r="195" spans="1:23" ht="15" customHeight="1">
      <c r="A195" s="40">
        <v>188</v>
      </c>
      <c r="B195" s="40" t="s">
        <v>669</v>
      </c>
      <c r="C195" s="670" t="s">
        <v>669</v>
      </c>
      <c r="D195" s="671">
        <v>1300</v>
      </c>
      <c r="E195" s="671">
        <v>1300</v>
      </c>
      <c r="F195" s="671">
        <v>1300</v>
      </c>
      <c r="G195" s="98"/>
      <c r="H195" s="98"/>
      <c r="I195" s="98"/>
      <c r="J195" s="98"/>
      <c r="K195" s="98"/>
      <c r="L195" s="98"/>
      <c r="M195" s="98"/>
      <c r="N195" s="98"/>
      <c r="O195" s="98"/>
      <c r="P195" s="98"/>
      <c r="Q195" s="98"/>
      <c r="R195" s="98"/>
      <c r="S195" s="98"/>
      <c r="T195" s="98"/>
      <c r="U195" s="98"/>
      <c r="V195" s="98"/>
      <c r="W195" s="98"/>
    </row>
    <row r="196" spans="1:23" ht="15" customHeight="1">
      <c r="A196" s="40">
        <v>189</v>
      </c>
      <c r="B196" s="40" t="s">
        <v>2674</v>
      </c>
      <c r="C196" s="670" t="s">
        <v>1715</v>
      </c>
      <c r="D196" s="671">
        <v>2000</v>
      </c>
      <c r="E196" s="671">
        <v>1550</v>
      </c>
      <c r="F196" s="671">
        <v>1550</v>
      </c>
      <c r="G196" s="98"/>
      <c r="H196" s="98"/>
      <c r="I196" s="98"/>
      <c r="J196" s="98"/>
      <c r="K196" s="98"/>
      <c r="L196" s="98"/>
      <c r="M196" s="98"/>
      <c r="N196" s="98"/>
      <c r="O196" s="98"/>
      <c r="P196" s="98"/>
      <c r="Q196" s="98"/>
      <c r="R196" s="98"/>
      <c r="S196" s="98"/>
      <c r="T196" s="98"/>
      <c r="U196" s="98"/>
      <c r="V196" s="98"/>
      <c r="W196" s="98"/>
    </row>
    <row r="197" spans="1:23" ht="15" customHeight="1">
      <c r="A197" s="40">
        <v>190</v>
      </c>
      <c r="B197" s="40" t="s">
        <v>2027</v>
      </c>
      <c r="C197" s="670" t="s">
        <v>2027</v>
      </c>
      <c r="D197" s="671">
        <v>600</v>
      </c>
      <c r="E197" s="671">
        <v>500</v>
      </c>
      <c r="F197" s="671">
        <v>500</v>
      </c>
      <c r="G197" s="98"/>
      <c r="H197" s="98"/>
      <c r="I197" s="98"/>
      <c r="J197" s="98"/>
      <c r="K197" s="98"/>
      <c r="L197" s="98"/>
      <c r="M197" s="98"/>
      <c r="N197" s="98"/>
      <c r="O197" s="98"/>
      <c r="P197" s="98"/>
      <c r="Q197" s="98"/>
      <c r="R197" s="98"/>
      <c r="S197" s="98"/>
      <c r="T197" s="98"/>
      <c r="U197" s="98"/>
      <c r="V197" s="98"/>
      <c r="W197" s="98"/>
    </row>
    <row r="198" spans="1:23" ht="15" customHeight="1">
      <c r="A198" s="40">
        <v>191</v>
      </c>
      <c r="B198" s="40" t="s">
        <v>2675</v>
      </c>
      <c r="C198" s="670" t="s">
        <v>2676</v>
      </c>
      <c r="D198" s="671">
        <v>350</v>
      </c>
      <c r="E198" s="671">
        <v>350</v>
      </c>
      <c r="F198" s="671">
        <v>350</v>
      </c>
      <c r="G198" s="98"/>
      <c r="H198" s="98"/>
      <c r="I198" s="98"/>
      <c r="J198" s="98"/>
      <c r="K198" s="98"/>
      <c r="L198" s="98"/>
      <c r="M198" s="98"/>
      <c r="N198" s="98"/>
      <c r="O198" s="98"/>
      <c r="P198" s="98"/>
      <c r="Q198" s="98"/>
      <c r="R198" s="98"/>
      <c r="S198" s="98"/>
      <c r="T198" s="98"/>
      <c r="U198" s="98"/>
      <c r="V198" s="98"/>
      <c r="W198" s="98"/>
    </row>
    <row r="199" spans="1:23" ht="15" customHeight="1">
      <c r="A199" s="40">
        <v>192</v>
      </c>
      <c r="B199" s="40" t="s">
        <v>1611</v>
      </c>
      <c r="C199" s="670" t="s">
        <v>1611</v>
      </c>
      <c r="D199" s="671">
        <v>1500</v>
      </c>
      <c r="E199" s="671">
        <v>1000</v>
      </c>
      <c r="F199" s="671">
        <v>1000</v>
      </c>
      <c r="G199" s="98"/>
      <c r="H199" s="98"/>
      <c r="I199" s="98"/>
      <c r="J199" s="98"/>
      <c r="K199" s="98"/>
      <c r="L199" s="98"/>
      <c r="M199" s="98"/>
      <c r="N199" s="98"/>
      <c r="O199" s="98"/>
      <c r="P199" s="98"/>
      <c r="Q199" s="98"/>
      <c r="R199" s="98"/>
      <c r="S199" s="98"/>
      <c r="T199" s="98"/>
      <c r="U199" s="98"/>
      <c r="V199" s="98"/>
      <c r="W199" s="98"/>
    </row>
    <row r="200" spans="1:23" ht="15" customHeight="1">
      <c r="A200" s="40">
        <v>193</v>
      </c>
      <c r="B200" s="40" t="s">
        <v>2677</v>
      </c>
      <c r="C200" s="670" t="s">
        <v>528</v>
      </c>
      <c r="D200" s="671">
        <v>3000</v>
      </c>
      <c r="E200" s="671">
        <v>3000</v>
      </c>
      <c r="F200" s="671">
        <v>3000</v>
      </c>
      <c r="G200" s="98"/>
      <c r="H200" s="98"/>
      <c r="I200" s="98"/>
      <c r="J200" s="98"/>
      <c r="K200" s="98"/>
      <c r="L200" s="98"/>
      <c r="M200" s="98"/>
      <c r="N200" s="98"/>
      <c r="O200" s="98"/>
      <c r="P200" s="98"/>
      <c r="Q200" s="98"/>
      <c r="R200" s="98"/>
      <c r="S200" s="98"/>
      <c r="T200" s="98"/>
      <c r="U200" s="98"/>
      <c r="V200" s="98"/>
      <c r="W200" s="98"/>
    </row>
    <row r="201" spans="1:23" ht="15" customHeight="1">
      <c r="A201" s="40">
        <v>194</v>
      </c>
      <c r="B201" s="40" t="s">
        <v>2678</v>
      </c>
      <c r="C201" s="670" t="s">
        <v>2679</v>
      </c>
      <c r="D201" s="671">
        <v>1800</v>
      </c>
      <c r="E201" s="671">
        <v>1800</v>
      </c>
      <c r="F201" s="671">
        <v>1800</v>
      </c>
      <c r="G201" s="98"/>
      <c r="H201" s="98"/>
      <c r="I201" s="98"/>
      <c r="J201" s="98"/>
      <c r="K201" s="98"/>
      <c r="L201" s="98"/>
      <c r="M201" s="98"/>
      <c r="N201" s="98"/>
      <c r="O201" s="98"/>
      <c r="P201" s="98"/>
      <c r="Q201" s="98"/>
      <c r="R201" s="98"/>
      <c r="S201" s="98"/>
      <c r="T201" s="98"/>
      <c r="U201" s="98"/>
      <c r="V201" s="98"/>
      <c r="W201" s="98"/>
    </row>
    <row r="202" spans="1:23" ht="15" customHeight="1">
      <c r="A202" s="98"/>
      <c r="B202" s="98"/>
      <c r="C202" s="98"/>
      <c r="D202" s="98"/>
      <c r="E202" s="98"/>
      <c r="F202" s="98"/>
      <c r="G202" s="98"/>
      <c r="H202" s="98"/>
      <c r="I202" s="98"/>
      <c r="J202" s="98"/>
      <c r="K202" s="98"/>
      <c r="L202" s="98"/>
      <c r="M202" s="98"/>
      <c r="N202" s="98"/>
      <c r="O202" s="98"/>
      <c r="P202" s="98"/>
      <c r="Q202" s="98"/>
      <c r="R202" s="98"/>
      <c r="S202" s="98"/>
      <c r="T202" s="98"/>
      <c r="U202" s="98"/>
      <c r="V202" s="98"/>
      <c r="W202" s="98"/>
    </row>
    <row r="203" spans="1:23" ht="15" customHeight="1">
      <c r="A203" s="98"/>
      <c r="B203" s="98"/>
      <c r="C203" s="98"/>
      <c r="D203" s="98"/>
      <c r="E203" s="98"/>
      <c r="F203" s="98"/>
      <c r="G203" s="98"/>
      <c r="H203" s="98"/>
      <c r="I203" s="98"/>
      <c r="J203" s="98"/>
      <c r="K203" s="98"/>
      <c r="L203" s="98"/>
      <c r="M203" s="98"/>
      <c r="N203" s="98"/>
      <c r="O203" s="98"/>
      <c r="P203" s="98"/>
      <c r="Q203" s="98"/>
      <c r="R203" s="98"/>
      <c r="S203" s="98"/>
      <c r="T203" s="98"/>
      <c r="U203" s="98"/>
      <c r="V203" s="98"/>
      <c r="W203" s="98"/>
    </row>
    <row r="204" spans="1:23" ht="15" customHeight="1">
      <c r="A204" s="98"/>
      <c r="B204" s="98"/>
      <c r="C204" s="98"/>
      <c r="D204" s="98"/>
      <c r="E204" s="98"/>
      <c r="F204" s="98"/>
      <c r="G204" s="98"/>
      <c r="H204" s="98"/>
      <c r="I204" s="98"/>
      <c r="J204" s="98"/>
      <c r="K204" s="98"/>
      <c r="L204" s="98"/>
      <c r="M204" s="98"/>
      <c r="N204" s="98"/>
      <c r="O204" s="98"/>
      <c r="P204" s="98"/>
      <c r="Q204" s="98"/>
      <c r="R204" s="98"/>
      <c r="S204" s="98"/>
      <c r="T204" s="98"/>
      <c r="U204" s="98"/>
      <c r="V204" s="98"/>
      <c r="W204" s="98"/>
    </row>
    <row r="205" spans="1:23" ht="15" customHeight="1">
      <c r="A205" s="98"/>
      <c r="B205" s="98"/>
      <c r="C205" s="98"/>
      <c r="D205" s="98"/>
      <c r="E205" s="98"/>
      <c r="F205" s="98"/>
      <c r="G205" s="98"/>
      <c r="H205" s="98"/>
      <c r="I205" s="98"/>
      <c r="J205" s="98"/>
      <c r="K205" s="98"/>
      <c r="L205" s="98"/>
      <c r="M205" s="98"/>
      <c r="N205" s="98"/>
      <c r="O205" s="98"/>
      <c r="P205" s="98"/>
      <c r="Q205" s="98"/>
      <c r="R205" s="98"/>
      <c r="S205" s="98"/>
      <c r="T205" s="98"/>
      <c r="U205" s="98"/>
      <c r="V205" s="98"/>
      <c r="W205" s="98"/>
    </row>
    <row r="206" spans="1:23" ht="15" customHeight="1">
      <c r="A206" s="98"/>
      <c r="B206" s="98"/>
      <c r="C206" s="98"/>
      <c r="D206" s="98"/>
      <c r="E206" s="98"/>
      <c r="F206" s="98"/>
      <c r="G206" s="98"/>
      <c r="H206" s="98"/>
      <c r="I206" s="98"/>
      <c r="J206" s="98"/>
      <c r="K206" s="98"/>
      <c r="L206" s="98"/>
      <c r="M206" s="98"/>
      <c r="N206" s="98"/>
      <c r="O206" s="98"/>
      <c r="P206" s="98"/>
      <c r="Q206" s="98"/>
      <c r="R206" s="98"/>
      <c r="S206" s="98"/>
      <c r="T206" s="98"/>
      <c r="U206" s="98"/>
      <c r="V206" s="98"/>
      <c r="W206" s="98"/>
    </row>
    <row r="207" spans="1:23" ht="15" customHeight="1">
      <c r="A207" s="98"/>
      <c r="B207" s="98"/>
      <c r="C207" s="98"/>
      <c r="D207" s="98"/>
      <c r="E207" s="98"/>
      <c r="F207" s="98"/>
      <c r="G207" s="98"/>
      <c r="H207" s="98"/>
      <c r="I207" s="98"/>
      <c r="J207" s="98"/>
      <c r="K207" s="98"/>
      <c r="L207" s="98"/>
      <c r="M207" s="98"/>
      <c r="N207" s="98"/>
      <c r="O207" s="98"/>
      <c r="P207" s="98"/>
      <c r="Q207" s="98"/>
      <c r="R207" s="98"/>
      <c r="S207" s="98"/>
      <c r="T207" s="98"/>
      <c r="U207" s="98"/>
      <c r="V207" s="98"/>
      <c r="W207" s="98"/>
    </row>
    <row r="208" spans="1:23" ht="15" customHeight="1">
      <c r="A208" s="98"/>
      <c r="B208" s="98"/>
      <c r="C208" s="98"/>
      <c r="D208" s="98"/>
      <c r="E208" s="98"/>
      <c r="F208" s="98"/>
      <c r="G208" s="98"/>
      <c r="H208" s="98"/>
      <c r="I208" s="98"/>
      <c r="J208" s="98"/>
      <c r="K208" s="98"/>
      <c r="L208" s="98"/>
      <c r="M208" s="98"/>
      <c r="N208" s="98"/>
      <c r="O208" s="98"/>
      <c r="P208" s="98"/>
      <c r="Q208" s="98"/>
      <c r="R208" s="98"/>
      <c r="S208" s="98"/>
      <c r="T208" s="98"/>
      <c r="U208" s="98"/>
      <c r="V208" s="98"/>
      <c r="W208" s="98"/>
    </row>
    <row r="209" spans="1:23" ht="15" customHeight="1">
      <c r="A209" s="98"/>
      <c r="B209" s="98"/>
      <c r="C209" s="98"/>
      <c r="D209" s="98"/>
      <c r="E209" s="98"/>
      <c r="F209" s="98"/>
      <c r="G209" s="98"/>
      <c r="H209" s="98"/>
      <c r="I209" s="98"/>
      <c r="J209" s="98"/>
      <c r="K209" s="98"/>
      <c r="L209" s="98"/>
      <c r="M209" s="98"/>
      <c r="N209" s="98"/>
      <c r="O209" s="98"/>
      <c r="P209" s="98"/>
      <c r="Q209" s="98"/>
      <c r="R209" s="98"/>
      <c r="S209" s="98"/>
      <c r="T209" s="98"/>
      <c r="U209" s="98"/>
      <c r="V209" s="98"/>
      <c r="W209" s="98"/>
    </row>
    <row r="210" spans="1:23" ht="15" customHeight="1">
      <c r="A210" s="98"/>
      <c r="B210" s="98"/>
      <c r="C210" s="98"/>
      <c r="D210" s="98"/>
      <c r="E210" s="98"/>
      <c r="F210" s="98"/>
      <c r="G210" s="98"/>
      <c r="H210" s="98"/>
      <c r="I210" s="98"/>
      <c r="J210" s="98"/>
      <c r="K210" s="98"/>
      <c r="L210" s="98"/>
      <c r="M210" s="98"/>
      <c r="N210" s="98"/>
      <c r="O210" s="98"/>
      <c r="P210" s="98"/>
      <c r="Q210" s="98"/>
      <c r="R210" s="98"/>
      <c r="S210" s="98"/>
      <c r="T210" s="98"/>
      <c r="U210" s="98"/>
      <c r="V210" s="98"/>
      <c r="W210" s="98"/>
    </row>
    <row r="211" spans="1:23" ht="15" customHeight="1">
      <c r="A211" s="98"/>
      <c r="B211" s="98"/>
      <c r="C211" s="98"/>
      <c r="D211" s="98"/>
      <c r="E211" s="98"/>
      <c r="F211" s="98"/>
      <c r="G211" s="98"/>
      <c r="H211" s="98"/>
      <c r="I211" s="98"/>
      <c r="J211" s="98"/>
      <c r="K211" s="98"/>
      <c r="L211" s="98"/>
      <c r="M211" s="98"/>
      <c r="N211" s="98"/>
      <c r="O211" s="98"/>
      <c r="P211" s="98"/>
      <c r="Q211" s="98"/>
      <c r="R211" s="98"/>
      <c r="S211" s="98"/>
      <c r="T211" s="98"/>
      <c r="U211" s="98"/>
      <c r="V211" s="98"/>
      <c r="W211" s="98"/>
    </row>
    <row r="212" spans="1:23" ht="15" customHeight="1">
      <c r="A212" s="98"/>
      <c r="B212" s="98"/>
      <c r="C212" s="98"/>
      <c r="D212" s="98"/>
      <c r="E212" s="98"/>
      <c r="F212" s="98"/>
      <c r="G212" s="98"/>
      <c r="H212" s="98"/>
      <c r="I212" s="98"/>
      <c r="J212" s="98"/>
      <c r="K212" s="98"/>
      <c r="L212" s="98"/>
      <c r="M212" s="98"/>
      <c r="N212" s="98"/>
      <c r="O212" s="98"/>
      <c r="P212" s="98"/>
      <c r="Q212" s="98"/>
      <c r="R212" s="98"/>
      <c r="S212" s="98"/>
      <c r="T212" s="98"/>
      <c r="U212" s="98"/>
      <c r="V212" s="98"/>
      <c r="W212" s="98"/>
    </row>
    <row r="213" spans="1:23" ht="15" customHeight="1">
      <c r="A213" s="98"/>
      <c r="B213" s="98"/>
      <c r="C213" s="98"/>
      <c r="D213" s="98"/>
      <c r="E213" s="98"/>
      <c r="F213" s="98"/>
      <c r="G213" s="98"/>
      <c r="H213" s="98"/>
      <c r="I213" s="98"/>
      <c r="J213" s="98"/>
      <c r="K213" s="98"/>
      <c r="L213" s="98"/>
      <c r="M213" s="98"/>
      <c r="N213" s="98"/>
      <c r="O213" s="98"/>
      <c r="P213" s="98"/>
      <c r="Q213" s="98"/>
      <c r="R213" s="98"/>
      <c r="S213" s="98"/>
      <c r="T213" s="98"/>
      <c r="U213" s="98"/>
      <c r="V213" s="98"/>
      <c r="W213" s="98"/>
    </row>
    <row r="214" spans="1:23" ht="15" customHeight="1">
      <c r="A214" s="98"/>
      <c r="B214" s="98"/>
      <c r="C214" s="98"/>
      <c r="D214" s="98"/>
      <c r="E214" s="98"/>
      <c r="F214" s="98"/>
      <c r="G214" s="98"/>
      <c r="H214" s="98"/>
      <c r="I214" s="98"/>
      <c r="J214" s="98"/>
      <c r="K214" s="98"/>
      <c r="L214" s="98"/>
      <c r="M214" s="98"/>
      <c r="N214" s="98"/>
      <c r="O214" s="98"/>
      <c r="P214" s="98"/>
      <c r="Q214" s="98"/>
      <c r="R214" s="98"/>
      <c r="S214" s="98"/>
      <c r="T214" s="98"/>
      <c r="U214" s="98"/>
      <c r="V214" s="98"/>
      <c r="W214" s="98"/>
    </row>
    <row r="215" spans="1:23" ht="15" customHeight="1">
      <c r="A215" s="98"/>
      <c r="B215" s="98"/>
      <c r="C215" s="98"/>
      <c r="D215" s="98"/>
      <c r="E215" s="98"/>
      <c r="F215" s="98"/>
      <c r="G215" s="98"/>
      <c r="H215" s="98"/>
      <c r="I215" s="98"/>
      <c r="J215" s="98"/>
      <c r="K215" s="98"/>
      <c r="L215" s="98"/>
      <c r="M215" s="98"/>
      <c r="N215" s="98"/>
      <c r="O215" s="98"/>
      <c r="P215" s="98"/>
      <c r="Q215" s="98"/>
      <c r="R215" s="98"/>
      <c r="S215" s="98"/>
      <c r="T215" s="98"/>
      <c r="U215" s="98"/>
      <c r="V215" s="98"/>
      <c r="W215" s="98"/>
    </row>
    <row r="216" spans="1:23" ht="15" customHeight="1">
      <c r="A216" s="98"/>
      <c r="B216" s="98"/>
      <c r="C216" s="98"/>
      <c r="D216" s="98"/>
      <c r="E216" s="98"/>
      <c r="F216" s="98"/>
      <c r="G216" s="98"/>
      <c r="H216" s="98"/>
      <c r="I216" s="98"/>
      <c r="J216" s="98"/>
      <c r="K216" s="98"/>
      <c r="L216" s="98"/>
      <c r="M216" s="98"/>
      <c r="N216" s="98"/>
      <c r="O216" s="98"/>
      <c r="P216" s="98"/>
      <c r="Q216" s="98"/>
      <c r="R216" s="98"/>
      <c r="S216" s="98"/>
      <c r="T216" s="98"/>
      <c r="U216" s="98"/>
      <c r="V216" s="98"/>
      <c r="W216" s="98"/>
    </row>
    <row r="217" spans="1:23" ht="15" customHeight="1">
      <c r="A217" s="98"/>
      <c r="B217" s="98"/>
      <c r="C217" s="98"/>
      <c r="D217" s="98"/>
      <c r="E217" s="98"/>
      <c r="F217" s="98"/>
      <c r="G217" s="98"/>
      <c r="H217" s="98"/>
      <c r="I217" s="98"/>
      <c r="J217" s="98"/>
      <c r="K217" s="98"/>
      <c r="L217" s="98"/>
      <c r="M217" s="98"/>
      <c r="N217" s="98"/>
      <c r="O217" s="98"/>
      <c r="P217" s="98"/>
      <c r="Q217" s="98"/>
      <c r="R217" s="98"/>
      <c r="S217" s="98"/>
      <c r="T217" s="98"/>
      <c r="U217" s="98"/>
      <c r="V217" s="98"/>
      <c r="W217" s="98"/>
    </row>
    <row r="218" spans="1:23" ht="15" customHeight="1">
      <c r="A218" s="98"/>
      <c r="B218" s="98"/>
      <c r="C218" s="98"/>
      <c r="D218" s="98"/>
      <c r="E218" s="98"/>
      <c r="F218" s="98"/>
      <c r="G218" s="98"/>
      <c r="H218" s="98"/>
      <c r="I218" s="98"/>
      <c r="J218" s="98"/>
      <c r="K218" s="98"/>
      <c r="L218" s="98"/>
      <c r="M218" s="98"/>
      <c r="N218" s="98"/>
      <c r="O218" s="98"/>
      <c r="P218" s="98"/>
      <c r="Q218" s="98"/>
      <c r="R218" s="98"/>
      <c r="S218" s="98"/>
      <c r="T218" s="98"/>
      <c r="U218" s="98"/>
      <c r="V218" s="98"/>
      <c r="W218" s="98"/>
    </row>
    <row r="219" spans="1:23" ht="15" customHeight="1">
      <c r="A219" s="98"/>
      <c r="B219" s="98"/>
      <c r="C219" s="98"/>
      <c r="D219" s="98"/>
      <c r="E219" s="98"/>
      <c r="F219" s="98"/>
      <c r="G219" s="98"/>
      <c r="H219" s="98"/>
      <c r="I219" s="98"/>
      <c r="J219" s="98"/>
      <c r="K219" s="98"/>
      <c r="L219" s="98"/>
      <c r="M219" s="98"/>
      <c r="N219" s="98"/>
      <c r="O219" s="98"/>
      <c r="P219" s="98"/>
      <c r="Q219" s="98"/>
      <c r="R219" s="98"/>
      <c r="S219" s="98"/>
      <c r="T219" s="98"/>
      <c r="U219" s="98"/>
      <c r="V219" s="98"/>
      <c r="W219" s="98"/>
    </row>
    <row r="220" spans="1:23" ht="15" customHeight="1">
      <c r="A220" s="98"/>
      <c r="B220" s="98"/>
      <c r="C220" s="98"/>
      <c r="D220" s="98"/>
      <c r="E220" s="98"/>
      <c r="F220" s="98"/>
      <c r="G220" s="98"/>
      <c r="H220" s="98"/>
      <c r="I220" s="98"/>
      <c r="J220" s="98"/>
      <c r="K220" s="98"/>
      <c r="L220" s="98"/>
      <c r="M220" s="98"/>
      <c r="N220" s="98"/>
      <c r="O220" s="98"/>
      <c r="P220" s="98"/>
      <c r="Q220" s="98"/>
      <c r="R220" s="98"/>
      <c r="S220" s="98"/>
      <c r="T220" s="98"/>
      <c r="U220" s="98"/>
      <c r="V220" s="98"/>
      <c r="W220" s="98"/>
    </row>
    <row r="221" spans="1:23" ht="15" customHeight="1">
      <c r="A221" s="98"/>
      <c r="B221" s="98"/>
      <c r="C221" s="98"/>
      <c r="D221" s="98"/>
      <c r="E221" s="98"/>
      <c r="F221" s="98"/>
      <c r="G221" s="98"/>
      <c r="H221" s="98"/>
      <c r="I221" s="98"/>
      <c r="J221" s="98"/>
      <c r="K221" s="98"/>
      <c r="L221" s="98"/>
      <c r="M221" s="98"/>
      <c r="N221" s="98"/>
      <c r="O221" s="98"/>
      <c r="P221" s="98"/>
      <c r="Q221" s="98"/>
      <c r="R221" s="98"/>
      <c r="S221" s="98"/>
      <c r="T221" s="98"/>
      <c r="U221" s="98"/>
      <c r="V221" s="98"/>
      <c r="W221" s="98"/>
    </row>
    <row r="222" spans="1:23" ht="15" customHeight="1">
      <c r="A222" s="98"/>
      <c r="B222" s="98"/>
      <c r="C222" s="98"/>
      <c r="D222" s="98"/>
      <c r="E222" s="98"/>
      <c r="F222" s="98"/>
      <c r="G222" s="98"/>
      <c r="H222" s="98"/>
      <c r="I222" s="98"/>
      <c r="J222" s="98"/>
      <c r="K222" s="98"/>
      <c r="L222" s="98"/>
      <c r="M222" s="98"/>
      <c r="N222" s="98"/>
      <c r="O222" s="98"/>
      <c r="P222" s="98"/>
      <c r="Q222" s="98"/>
      <c r="R222" s="98"/>
      <c r="S222" s="98"/>
      <c r="T222" s="98"/>
      <c r="U222" s="98"/>
      <c r="V222" s="98"/>
      <c r="W222" s="98"/>
    </row>
    <row r="223" spans="1:23" ht="15" customHeight="1">
      <c r="A223" s="98"/>
      <c r="B223" s="98"/>
      <c r="C223" s="98"/>
      <c r="D223" s="98"/>
      <c r="E223" s="98"/>
      <c r="F223" s="98"/>
      <c r="G223" s="98"/>
      <c r="H223" s="98"/>
      <c r="I223" s="98"/>
      <c r="J223" s="98"/>
      <c r="K223" s="98"/>
      <c r="L223" s="98"/>
      <c r="M223" s="98"/>
      <c r="N223" s="98"/>
      <c r="O223" s="98"/>
      <c r="P223" s="98"/>
      <c r="Q223" s="98"/>
      <c r="R223" s="98"/>
      <c r="S223" s="98"/>
      <c r="T223" s="98"/>
      <c r="U223" s="98"/>
      <c r="V223" s="98"/>
      <c r="W223" s="98"/>
    </row>
    <row r="224" spans="1:23" ht="15" customHeight="1">
      <c r="A224" s="98"/>
      <c r="B224" s="98"/>
      <c r="C224" s="98"/>
      <c r="D224" s="98"/>
      <c r="E224" s="98"/>
      <c r="F224" s="98"/>
      <c r="G224" s="98"/>
      <c r="H224" s="98"/>
      <c r="I224" s="98"/>
      <c r="J224" s="98"/>
      <c r="K224" s="98"/>
      <c r="L224" s="98"/>
      <c r="M224" s="98"/>
      <c r="N224" s="98"/>
      <c r="O224" s="98"/>
      <c r="P224" s="98"/>
      <c r="Q224" s="98"/>
      <c r="R224" s="98"/>
      <c r="S224" s="98"/>
      <c r="T224" s="98"/>
      <c r="U224" s="98"/>
      <c r="V224" s="98"/>
      <c r="W224" s="98"/>
    </row>
    <row r="225" spans="1:23" ht="15" customHeight="1">
      <c r="A225" s="98"/>
      <c r="B225" s="98"/>
      <c r="C225" s="98"/>
      <c r="D225" s="98"/>
      <c r="E225" s="98"/>
      <c r="F225" s="98"/>
      <c r="G225" s="98"/>
      <c r="H225" s="98"/>
      <c r="I225" s="98"/>
      <c r="J225" s="98"/>
      <c r="K225" s="98"/>
      <c r="L225" s="98"/>
      <c r="M225" s="98"/>
      <c r="N225" s="98"/>
      <c r="O225" s="98"/>
      <c r="P225" s="98"/>
      <c r="Q225" s="98"/>
      <c r="R225" s="98"/>
      <c r="S225" s="98"/>
      <c r="T225" s="98"/>
      <c r="U225" s="98"/>
      <c r="V225" s="98"/>
      <c r="W225" s="98"/>
    </row>
    <row r="226" spans="1:23" ht="15" customHeight="1">
      <c r="A226" s="98"/>
      <c r="B226" s="98"/>
      <c r="C226" s="98"/>
      <c r="D226" s="98"/>
      <c r="E226" s="98"/>
      <c r="F226" s="98"/>
      <c r="G226" s="98"/>
      <c r="H226" s="98"/>
      <c r="I226" s="98"/>
      <c r="J226" s="98"/>
      <c r="K226" s="98"/>
      <c r="L226" s="98"/>
      <c r="M226" s="98"/>
      <c r="N226" s="98"/>
      <c r="O226" s="98"/>
      <c r="P226" s="98"/>
      <c r="Q226" s="98"/>
      <c r="R226" s="98"/>
      <c r="S226" s="98"/>
      <c r="T226" s="98"/>
      <c r="U226" s="98"/>
      <c r="V226" s="98"/>
      <c r="W226" s="98"/>
    </row>
    <row r="227" spans="1:23" ht="15" customHeight="1">
      <c r="A227" s="98"/>
      <c r="B227" s="98"/>
      <c r="C227" s="98"/>
      <c r="D227" s="98"/>
      <c r="E227" s="98"/>
      <c r="F227" s="98"/>
      <c r="G227" s="98"/>
      <c r="H227" s="98"/>
      <c r="I227" s="98"/>
      <c r="J227" s="98"/>
      <c r="K227" s="98"/>
      <c r="L227" s="98"/>
      <c r="M227" s="98"/>
      <c r="N227" s="98"/>
      <c r="O227" s="98"/>
      <c r="P227" s="98"/>
      <c r="Q227" s="98"/>
      <c r="R227" s="98"/>
      <c r="S227" s="98"/>
      <c r="T227" s="98"/>
      <c r="U227" s="98"/>
      <c r="V227" s="98"/>
      <c r="W227" s="98"/>
    </row>
    <row r="228" spans="1:23" ht="15" customHeight="1">
      <c r="A228" s="98"/>
      <c r="B228" s="98"/>
      <c r="C228" s="98"/>
      <c r="D228" s="98"/>
      <c r="E228" s="98"/>
      <c r="F228" s="98"/>
      <c r="G228" s="98"/>
      <c r="H228" s="98"/>
      <c r="I228" s="98"/>
      <c r="J228" s="98"/>
      <c r="K228" s="98"/>
      <c r="L228" s="98"/>
      <c r="M228" s="98"/>
      <c r="N228" s="98"/>
      <c r="O228" s="98"/>
      <c r="P228" s="98"/>
      <c r="Q228" s="98"/>
      <c r="R228" s="98"/>
      <c r="S228" s="98"/>
      <c r="T228" s="98"/>
      <c r="U228" s="98"/>
      <c r="V228" s="98"/>
      <c r="W228" s="98"/>
    </row>
    <row r="229" spans="1:23" ht="15" customHeight="1">
      <c r="A229" s="98"/>
      <c r="B229" s="98"/>
      <c r="C229" s="98"/>
      <c r="D229" s="98"/>
      <c r="E229" s="98"/>
      <c r="F229" s="98"/>
      <c r="G229" s="98"/>
      <c r="H229" s="98"/>
      <c r="I229" s="98"/>
      <c r="J229" s="98"/>
      <c r="K229" s="98"/>
      <c r="L229" s="98"/>
      <c r="M229" s="98"/>
      <c r="N229" s="98"/>
      <c r="O229" s="98"/>
      <c r="P229" s="98"/>
      <c r="Q229" s="98"/>
      <c r="R229" s="98"/>
      <c r="S229" s="98"/>
      <c r="T229" s="98"/>
      <c r="U229" s="98"/>
      <c r="V229" s="98"/>
      <c r="W229" s="98"/>
    </row>
    <row r="230" spans="1:23" ht="15" customHeight="1">
      <c r="A230" s="98"/>
      <c r="B230" s="98"/>
      <c r="C230" s="98"/>
      <c r="D230" s="98"/>
      <c r="E230" s="98"/>
      <c r="F230" s="98"/>
      <c r="G230" s="98"/>
      <c r="H230" s="98"/>
      <c r="I230" s="98"/>
      <c r="J230" s="98"/>
      <c r="K230" s="98"/>
      <c r="L230" s="98"/>
      <c r="M230" s="98"/>
      <c r="N230" s="98"/>
      <c r="O230" s="98"/>
      <c r="P230" s="98"/>
      <c r="Q230" s="98"/>
      <c r="R230" s="98"/>
      <c r="S230" s="98"/>
      <c r="T230" s="98"/>
      <c r="U230" s="98"/>
      <c r="V230" s="98"/>
      <c r="W230" s="98"/>
    </row>
    <row r="231" spans="1:23" ht="15" customHeight="1">
      <c r="A231" s="98"/>
      <c r="B231" s="98"/>
      <c r="C231" s="98"/>
      <c r="D231" s="98"/>
      <c r="E231" s="98"/>
      <c r="F231" s="98"/>
      <c r="G231" s="98"/>
      <c r="H231" s="98"/>
      <c r="I231" s="98"/>
      <c r="J231" s="98"/>
      <c r="K231" s="98"/>
      <c r="L231" s="98"/>
      <c r="M231" s="98"/>
      <c r="N231" s="98"/>
      <c r="O231" s="98"/>
      <c r="P231" s="98"/>
      <c r="Q231" s="98"/>
      <c r="R231" s="98"/>
      <c r="S231" s="98"/>
      <c r="T231" s="98"/>
      <c r="U231" s="98"/>
      <c r="V231" s="98"/>
      <c r="W231" s="98"/>
    </row>
    <row r="232" spans="1:23" ht="15" customHeight="1">
      <c r="A232" s="98"/>
      <c r="B232" s="98"/>
      <c r="C232" s="98"/>
      <c r="D232" s="98"/>
      <c r="E232" s="98"/>
      <c r="F232" s="98"/>
      <c r="G232" s="98"/>
      <c r="H232" s="98"/>
      <c r="I232" s="98"/>
      <c r="J232" s="98"/>
      <c r="K232" s="98"/>
      <c r="L232" s="98"/>
      <c r="M232" s="98"/>
      <c r="N232" s="98"/>
      <c r="O232" s="98"/>
      <c r="P232" s="98"/>
      <c r="Q232" s="98"/>
      <c r="R232" s="98"/>
      <c r="S232" s="98"/>
      <c r="T232" s="98"/>
      <c r="U232" s="98"/>
      <c r="V232" s="98"/>
      <c r="W232" s="98"/>
    </row>
    <row r="233" spans="1:23" ht="15" customHeight="1">
      <c r="A233" s="98"/>
      <c r="B233" s="98"/>
      <c r="C233" s="98"/>
      <c r="D233" s="98"/>
      <c r="E233" s="98"/>
      <c r="F233" s="98"/>
      <c r="G233" s="98"/>
      <c r="H233" s="98"/>
      <c r="I233" s="98"/>
      <c r="J233" s="98"/>
      <c r="K233" s="98"/>
      <c r="L233" s="98"/>
      <c r="M233" s="98"/>
      <c r="N233" s="98"/>
      <c r="O233" s="98"/>
      <c r="P233" s="98"/>
      <c r="Q233" s="98"/>
      <c r="R233" s="98"/>
      <c r="S233" s="98"/>
      <c r="T233" s="98"/>
      <c r="U233" s="98"/>
      <c r="V233" s="98"/>
      <c r="W233" s="98"/>
    </row>
    <row r="234" spans="1:23" ht="15" customHeight="1">
      <c r="A234" s="98"/>
      <c r="B234" s="98"/>
      <c r="C234" s="98"/>
      <c r="D234" s="98"/>
      <c r="E234" s="98"/>
      <c r="F234" s="98"/>
      <c r="G234" s="98"/>
      <c r="H234" s="98"/>
      <c r="I234" s="98"/>
      <c r="J234" s="98"/>
      <c r="K234" s="98"/>
      <c r="L234" s="98"/>
      <c r="M234" s="98"/>
      <c r="N234" s="98"/>
      <c r="O234" s="98"/>
      <c r="P234" s="98"/>
      <c r="Q234" s="98"/>
      <c r="R234" s="98"/>
      <c r="S234" s="98"/>
      <c r="T234" s="98"/>
      <c r="U234" s="98"/>
      <c r="V234" s="98"/>
      <c r="W234" s="98"/>
    </row>
    <row r="235" spans="1:23" ht="15" customHeight="1">
      <c r="A235" s="98"/>
      <c r="B235" s="98"/>
      <c r="C235" s="98"/>
      <c r="D235" s="98"/>
      <c r="E235" s="98"/>
      <c r="F235" s="98"/>
      <c r="G235" s="98"/>
      <c r="H235" s="98"/>
      <c r="I235" s="98"/>
      <c r="J235" s="98"/>
      <c r="K235" s="98"/>
      <c r="L235" s="98"/>
      <c r="M235" s="98"/>
      <c r="N235" s="98"/>
      <c r="O235" s="98"/>
      <c r="P235" s="98"/>
      <c r="Q235" s="98"/>
      <c r="R235" s="98"/>
      <c r="S235" s="98"/>
      <c r="T235" s="98"/>
      <c r="U235" s="98"/>
      <c r="V235" s="98"/>
      <c r="W235" s="98"/>
    </row>
    <row r="236" spans="1:23" ht="15" customHeight="1">
      <c r="A236" s="98"/>
      <c r="B236" s="98"/>
      <c r="C236" s="98"/>
      <c r="D236" s="98"/>
      <c r="E236" s="98"/>
      <c r="F236" s="98"/>
      <c r="G236" s="98"/>
      <c r="H236" s="98"/>
      <c r="I236" s="98"/>
      <c r="J236" s="98"/>
      <c r="K236" s="98"/>
      <c r="L236" s="98"/>
      <c r="M236" s="98"/>
      <c r="N236" s="98"/>
      <c r="O236" s="98"/>
      <c r="P236" s="98"/>
      <c r="Q236" s="98"/>
      <c r="R236" s="98"/>
      <c r="S236" s="98"/>
      <c r="T236" s="98"/>
      <c r="U236" s="98"/>
      <c r="V236" s="98"/>
      <c r="W236" s="98"/>
    </row>
    <row r="237" spans="1:23" ht="15" customHeight="1">
      <c r="A237" s="98"/>
      <c r="B237" s="98"/>
      <c r="C237" s="98"/>
      <c r="D237" s="98"/>
      <c r="E237" s="98"/>
      <c r="F237" s="98"/>
      <c r="G237" s="98"/>
      <c r="H237" s="98"/>
      <c r="I237" s="98"/>
      <c r="J237" s="98"/>
      <c r="K237" s="98"/>
      <c r="L237" s="98"/>
      <c r="M237" s="98"/>
      <c r="N237" s="98"/>
      <c r="O237" s="98"/>
      <c r="P237" s="98"/>
      <c r="Q237" s="98"/>
      <c r="R237" s="98"/>
      <c r="S237" s="98"/>
      <c r="T237" s="98"/>
      <c r="U237" s="98"/>
      <c r="V237" s="98"/>
      <c r="W237" s="98"/>
    </row>
    <row r="238" spans="1:23" ht="15" customHeight="1">
      <c r="A238" s="98"/>
      <c r="B238" s="98"/>
      <c r="C238" s="98"/>
      <c r="D238" s="98"/>
      <c r="E238" s="98"/>
      <c r="F238" s="98"/>
      <c r="G238" s="98"/>
      <c r="H238" s="98"/>
      <c r="I238" s="98"/>
      <c r="J238" s="98"/>
      <c r="K238" s="98"/>
      <c r="L238" s="98"/>
      <c r="M238" s="98"/>
      <c r="N238" s="98"/>
      <c r="O238" s="98"/>
      <c r="P238" s="98"/>
      <c r="Q238" s="98"/>
      <c r="R238" s="98"/>
      <c r="S238" s="98"/>
      <c r="T238" s="98"/>
      <c r="U238" s="98"/>
      <c r="V238" s="98"/>
      <c r="W238" s="98"/>
    </row>
    <row r="239" spans="1:23" ht="15" customHeight="1">
      <c r="A239" s="98"/>
      <c r="B239" s="98"/>
      <c r="C239" s="98"/>
      <c r="D239" s="98"/>
      <c r="E239" s="98"/>
      <c r="F239" s="98"/>
      <c r="G239" s="98"/>
      <c r="H239" s="98"/>
      <c r="I239" s="98"/>
      <c r="J239" s="98"/>
      <c r="K239" s="98"/>
      <c r="L239" s="98"/>
      <c r="M239" s="98"/>
      <c r="N239" s="98"/>
      <c r="O239" s="98"/>
      <c r="P239" s="98"/>
      <c r="Q239" s="98"/>
      <c r="R239" s="98"/>
      <c r="S239" s="98"/>
      <c r="T239" s="98"/>
      <c r="U239" s="98"/>
      <c r="V239" s="98"/>
      <c r="W239" s="98"/>
    </row>
    <row r="240" spans="1:23" ht="15" customHeight="1">
      <c r="A240" s="98"/>
      <c r="B240" s="98"/>
      <c r="C240" s="98"/>
      <c r="D240" s="98"/>
      <c r="E240" s="98"/>
      <c r="F240" s="98"/>
      <c r="G240" s="98"/>
      <c r="H240" s="98"/>
      <c r="I240" s="98"/>
      <c r="J240" s="98"/>
      <c r="K240" s="98"/>
      <c r="L240" s="98"/>
      <c r="M240" s="98"/>
      <c r="N240" s="98"/>
      <c r="O240" s="98"/>
      <c r="P240" s="98"/>
      <c r="Q240" s="98"/>
      <c r="R240" s="98"/>
      <c r="S240" s="98"/>
      <c r="T240" s="98"/>
      <c r="U240" s="98"/>
      <c r="V240" s="98"/>
      <c r="W240" s="98"/>
    </row>
    <row r="241" spans="1:23" ht="15" customHeight="1">
      <c r="A241" s="98"/>
      <c r="B241" s="98"/>
      <c r="C241" s="98"/>
      <c r="D241" s="98"/>
      <c r="E241" s="98"/>
      <c r="F241" s="98"/>
      <c r="G241" s="98"/>
      <c r="H241" s="98"/>
      <c r="I241" s="98"/>
      <c r="J241" s="98"/>
      <c r="K241" s="98"/>
      <c r="L241" s="98"/>
      <c r="M241" s="98"/>
      <c r="N241" s="98"/>
      <c r="O241" s="98"/>
      <c r="P241" s="98"/>
      <c r="Q241" s="98"/>
      <c r="R241" s="98"/>
      <c r="S241" s="98"/>
      <c r="T241" s="98"/>
      <c r="U241" s="98"/>
      <c r="V241" s="98"/>
      <c r="W241" s="98"/>
    </row>
    <row r="242" spans="1:23" ht="15" customHeight="1">
      <c r="A242" s="98"/>
      <c r="B242" s="98"/>
      <c r="C242" s="98"/>
      <c r="D242" s="98"/>
      <c r="E242" s="98"/>
      <c r="F242" s="98"/>
      <c r="G242" s="98"/>
      <c r="H242" s="98"/>
      <c r="I242" s="98"/>
      <c r="J242" s="98"/>
      <c r="K242" s="98"/>
      <c r="L242" s="98"/>
      <c r="M242" s="98"/>
      <c r="N242" s="98"/>
      <c r="O242" s="98"/>
      <c r="P242" s="98"/>
      <c r="Q242" s="98"/>
      <c r="R242" s="98"/>
      <c r="S242" s="98"/>
      <c r="T242" s="98"/>
      <c r="U242" s="98"/>
      <c r="V242" s="98"/>
      <c r="W242" s="98"/>
    </row>
    <row r="243" spans="1:23" ht="15" customHeight="1">
      <c r="A243" s="98"/>
      <c r="B243" s="98"/>
      <c r="C243" s="98"/>
      <c r="D243" s="98"/>
      <c r="E243" s="98"/>
      <c r="F243" s="98"/>
      <c r="G243" s="98"/>
      <c r="H243" s="98"/>
      <c r="I243" s="98"/>
      <c r="J243" s="98"/>
      <c r="K243" s="98"/>
      <c r="L243" s="98"/>
      <c r="M243" s="98"/>
      <c r="N243" s="98"/>
      <c r="O243" s="98"/>
      <c r="P243" s="98"/>
      <c r="Q243" s="98"/>
      <c r="R243" s="98"/>
      <c r="S243" s="98"/>
      <c r="T243" s="98"/>
      <c r="U243" s="98"/>
      <c r="V243" s="98"/>
      <c r="W243" s="98"/>
    </row>
    <row r="244" spans="1:23" ht="15" customHeight="1">
      <c r="A244" s="98"/>
      <c r="B244" s="98"/>
      <c r="C244" s="98"/>
      <c r="D244" s="98"/>
      <c r="E244" s="98"/>
      <c r="F244" s="98"/>
      <c r="G244" s="98"/>
      <c r="H244" s="98"/>
      <c r="I244" s="98"/>
      <c r="J244" s="98"/>
      <c r="K244" s="98"/>
      <c r="L244" s="98"/>
      <c r="M244" s="98"/>
      <c r="N244" s="98"/>
      <c r="O244" s="98"/>
      <c r="P244" s="98"/>
      <c r="Q244" s="98"/>
      <c r="R244" s="98"/>
      <c r="S244" s="98"/>
      <c r="T244" s="98"/>
      <c r="U244" s="98"/>
      <c r="V244" s="98"/>
      <c r="W244" s="98"/>
    </row>
    <row r="245" spans="1:23" ht="15" customHeight="1">
      <c r="A245" s="98"/>
      <c r="B245" s="98"/>
      <c r="C245" s="98"/>
      <c r="D245" s="98"/>
      <c r="E245" s="98"/>
      <c r="F245" s="98"/>
      <c r="G245" s="98"/>
      <c r="H245" s="98"/>
      <c r="I245" s="98"/>
      <c r="J245" s="98"/>
      <c r="K245" s="98"/>
      <c r="L245" s="98"/>
      <c r="M245" s="98"/>
      <c r="N245" s="98"/>
      <c r="O245" s="98"/>
      <c r="P245" s="98"/>
      <c r="Q245" s="98"/>
      <c r="R245" s="98"/>
      <c r="S245" s="98"/>
      <c r="T245" s="98"/>
      <c r="U245" s="98"/>
      <c r="V245" s="98"/>
      <c r="W245" s="98"/>
    </row>
    <row r="246" spans="1:23" ht="15" customHeight="1">
      <c r="A246" s="98"/>
      <c r="B246" s="98"/>
      <c r="C246" s="98"/>
      <c r="D246" s="98"/>
      <c r="E246" s="98"/>
      <c r="F246" s="98"/>
      <c r="G246" s="98"/>
      <c r="H246" s="98"/>
      <c r="I246" s="98"/>
      <c r="J246" s="98"/>
      <c r="K246" s="98"/>
      <c r="L246" s="98"/>
      <c r="M246" s="98"/>
      <c r="N246" s="98"/>
      <c r="O246" s="98"/>
      <c r="P246" s="98"/>
      <c r="Q246" s="98"/>
      <c r="R246" s="98"/>
      <c r="S246" s="98"/>
      <c r="T246" s="98"/>
      <c r="U246" s="98"/>
      <c r="V246" s="98"/>
      <c r="W246" s="98"/>
    </row>
    <row r="247" spans="1:23" ht="15" customHeight="1">
      <c r="A247" s="98"/>
      <c r="B247" s="98"/>
      <c r="C247" s="98"/>
      <c r="D247" s="98"/>
      <c r="E247" s="98"/>
      <c r="F247" s="98"/>
      <c r="G247" s="98"/>
      <c r="H247" s="98"/>
      <c r="I247" s="98"/>
      <c r="J247" s="98"/>
      <c r="K247" s="98"/>
      <c r="L247" s="98"/>
      <c r="M247" s="98"/>
      <c r="N247" s="98"/>
      <c r="O247" s="98"/>
      <c r="P247" s="98"/>
      <c r="Q247" s="98"/>
      <c r="R247" s="98"/>
      <c r="S247" s="98"/>
      <c r="T247" s="98"/>
      <c r="U247" s="98"/>
      <c r="V247" s="98"/>
      <c r="W247" s="98"/>
    </row>
    <row r="248" spans="1:23" ht="15" customHeight="1">
      <c r="A248" s="98"/>
      <c r="B248" s="98"/>
      <c r="C248" s="98"/>
      <c r="D248" s="98"/>
      <c r="E248" s="98"/>
      <c r="F248" s="98"/>
      <c r="G248" s="98"/>
      <c r="H248" s="98"/>
      <c r="I248" s="98"/>
      <c r="J248" s="98"/>
      <c r="K248" s="98"/>
      <c r="L248" s="98"/>
      <c r="M248" s="98"/>
      <c r="N248" s="98"/>
      <c r="O248" s="98"/>
      <c r="P248" s="98"/>
      <c r="Q248" s="98"/>
      <c r="R248" s="98"/>
      <c r="S248" s="98"/>
      <c r="T248" s="98"/>
      <c r="U248" s="98"/>
      <c r="V248" s="98"/>
      <c r="W248" s="98"/>
    </row>
    <row r="249" spans="1:23" ht="15" customHeight="1">
      <c r="A249" s="98"/>
      <c r="B249" s="98"/>
      <c r="C249" s="98"/>
      <c r="D249" s="98"/>
      <c r="E249" s="98"/>
      <c r="F249" s="98"/>
      <c r="G249" s="98"/>
      <c r="H249" s="98"/>
      <c r="I249" s="98"/>
      <c r="J249" s="98"/>
      <c r="K249" s="98"/>
      <c r="L249" s="98"/>
      <c r="M249" s="98"/>
      <c r="N249" s="98"/>
      <c r="O249" s="98"/>
      <c r="P249" s="98"/>
      <c r="Q249" s="98"/>
      <c r="R249" s="98"/>
      <c r="S249" s="98"/>
      <c r="T249" s="98"/>
      <c r="U249" s="98"/>
      <c r="V249" s="98"/>
      <c r="W249" s="98"/>
    </row>
    <row r="250" spans="1:23" ht="15" customHeight="1">
      <c r="A250" s="98"/>
      <c r="B250" s="98"/>
      <c r="C250" s="98"/>
      <c r="D250" s="98"/>
      <c r="E250" s="98"/>
      <c r="F250" s="98"/>
      <c r="G250" s="98"/>
      <c r="H250" s="98"/>
      <c r="I250" s="98"/>
      <c r="J250" s="98"/>
      <c r="K250" s="98"/>
      <c r="L250" s="98"/>
      <c r="M250" s="98"/>
      <c r="N250" s="98"/>
      <c r="O250" s="98"/>
      <c r="P250" s="98"/>
      <c r="Q250" s="98"/>
      <c r="R250" s="98"/>
      <c r="S250" s="98"/>
      <c r="T250" s="98"/>
      <c r="U250" s="98"/>
      <c r="V250" s="98"/>
      <c r="W250" s="98"/>
    </row>
    <row r="251" spans="1:23" ht="15" customHeight="1">
      <c r="A251" s="98"/>
      <c r="B251" s="98"/>
      <c r="C251" s="98"/>
      <c r="D251" s="98"/>
      <c r="E251" s="98"/>
      <c r="F251" s="98"/>
      <c r="G251" s="98"/>
      <c r="H251" s="98"/>
      <c r="I251" s="98"/>
      <c r="J251" s="98"/>
      <c r="K251" s="98"/>
      <c r="L251" s="98"/>
      <c r="M251" s="98"/>
      <c r="N251" s="98"/>
      <c r="O251" s="98"/>
      <c r="P251" s="98"/>
      <c r="Q251" s="98"/>
      <c r="R251" s="98"/>
      <c r="S251" s="98"/>
      <c r="T251" s="98"/>
      <c r="U251" s="98"/>
      <c r="V251" s="98"/>
      <c r="W251" s="98"/>
    </row>
    <row r="252" spans="1:23" ht="15" customHeight="1">
      <c r="A252" s="98"/>
      <c r="B252" s="98"/>
      <c r="C252" s="98"/>
      <c r="D252" s="98"/>
      <c r="E252" s="98"/>
      <c r="F252" s="98"/>
      <c r="G252" s="98"/>
      <c r="H252" s="98"/>
      <c r="I252" s="98"/>
      <c r="J252" s="98"/>
      <c r="K252" s="98"/>
      <c r="L252" s="98"/>
      <c r="M252" s="98"/>
      <c r="N252" s="98"/>
      <c r="O252" s="98"/>
      <c r="P252" s="98"/>
      <c r="Q252" s="98"/>
      <c r="R252" s="98"/>
      <c r="S252" s="98"/>
      <c r="T252" s="98"/>
      <c r="U252" s="98"/>
      <c r="V252" s="98"/>
      <c r="W252" s="98"/>
    </row>
    <row r="253" spans="1:23" ht="15" customHeight="1">
      <c r="A253" s="98"/>
      <c r="B253" s="98"/>
      <c r="C253" s="98"/>
      <c r="D253" s="98"/>
      <c r="E253" s="98"/>
      <c r="F253" s="98"/>
      <c r="G253" s="98"/>
      <c r="H253" s="98"/>
      <c r="I253" s="98"/>
      <c r="J253" s="98"/>
      <c r="K253" s="98"/>
      <c r="L253" s="98"/>
      <c r="M253" s="98"/>
      <c r="N253" s="98"/>
      <c r="O253" s="98"/>
      <c r="P253" s="98"/>
      <c r="Q253" s="98"/>
      <c r="R253" s="98"/>
      <c r="S253" s="98"/>
      <c r="T253" s="98"/>
      <c r="U253" s="98"/>
      <c r="V253" s="98"/>
      <c r="W253" s="98"/>
    </row>
    <row r="254" spans="1:23" ht="15" customHeight="1">
      <c r="A254" s="98"/>
      <c r="B254" s="98"/>
      <c r="C254" s="98"/>
      <c r="D254" s="98"/>
      <c r="E254" s="98"/>
      <c r="F254" s="98"/>
      <c r="G254" s="98"/>
      <c r="H254" s="98"/>
      <c r="I254" s="98"/>
      <c r="J254" s="98"/>
      <c r="K254" s="98"/>
      <c r="L254" s="98"/>
      <c r="M254" s="98"/>
      <c r="N254" s="98"/>
      <c r="O254" s="98"/>
      <c r="P254" s="98"/>
      <c r="Q254" s="98"/>
      <c r="R254" s="98"/>
      <c r="S254" s="98"/>
      <c r="T254" s="98"/>
      <c r="U254" s="98"/>
      <c r="V254" s="98"/>
      <c r="W254" s="98"/>
    </row>
    <row r="255" spans="1:23" ht="15" customHeight="1">
      <c r="A255" s="98"/>
      <c r="B255" s="98"/>
      <c r="C255" s="98"/>
      <c r="D255" s="98"/>
      <c r="E255" s="98"/>
      <c r="F255" s="98"/>
      <c r="G255" s="98"/>
      <c r="H255" s="98"/>
      <c r="I255" s="98"/>
      <c r="J255" s="98"/>
      <c r="K255" s="98"/>
      <c r="L255" s="98"/>
      <c r="M255" s="98"/>
      <c r="N255" s="98"/>
      <c r="O255" s="98"/>
      <c r="P255" s="98"/>
      <c r="Q255" s="98"/>
      <c r="R255" s="98"/>
      <c r="S255" s="98"/>
      <c r="T255" s="98"/>
      <c r="U255" s="98"/>
      <c r="V255" s="98"/>
      <c r="W255" s="98"/>
    </row>
    <row r="256" spans="1:23" ht="15" customHeight="1">
      <c r="A256" s="98"/>
      <c r="B256" s="98"/>
      <c r="C256" s="98"/>
      <c r="D256" s="98"/>
      <c r="E256" s="98"/>
      <c r="F256" s="98"/>
      <c r="G256" s="98"/>
      <c r="H256" s="98"/>
      <c r="I256" s="98"/>
      <c r="J256" s="98"/>
      <c r="K256" s="98"/>
      <c r="L256" s="98"/>
      <c r="M256" s="98"/>
      <c r="N256" s="98"/>
      <c r="O256" s="98"/>
      <c r="P256" s="98"/>
      <c r="Q256" s="98"/>
      <c r="R256" s="98"/>
      <c r="S256" s="98"/>
      <c r="T256" s="98"/>
      <c r="U256" s="98"/>
      <c r="V256" s="98"/>
      <c r="W256" s="98"/>
    </row>
    <row r="257" spans="1:23" ht="15" customHeight="1">
      <c r="A257" s="98"/>
      <c r="B257" s="98"/>
      <c r="C257" s="98"/>
      <c r="D257" s="98"/>
      <c r="E257" s="98"/>
      <c r="F257" s="98"/>
      <c r="G257" s="98"/>
      <c r="H257" s="98"/>
      <c r="I257" s="98"/>
      <c r="J257" s="98"/>
      <c r="K257" s="98"/>
      <c r="L257" s="98"/>
      <c r="M257" s="98"/>
      <c r="N257" s="98"/>
      <c r="O257" s="98"/>
      <c r="P257" s="98"/>
      <c r="Q257" s="98"/>
      <c r="R257" s="98"/>
      <c r="S257" s="98"/>
      <c r="T257" s="98"/>
      <c r="U257" s="98"/>
      <c r="V257" s="98"/>
      <c r="W257" s="98"/>
    </row>
    <row r="258" spans="1:23" ht="15" customHeight="1">
      <c r="A258" s="98"/>
      <c r="B258" s="98"/>
      <c r="C258" s="98"/>
      <c r="D258" s="98"/>
      <c r="E258" s="98"/>
      <c r="F258" s="98"/>
      <c r="G258" s="98"/>
      <c r="H258" s="98"/>
      <c r="I258" s="98"/>
      <c r="J258" s="98"/>
      <c r="K258" s="98"/>
      <c r="L258" s="98"/>
      <c r="M258" s="98"/>
      <c r="N258" s="98"/>
      <c r="O258" s="98"/>
      <c r="P258" s="98"/>
      <c r="Q258" s="98"/>
      <c r="R258" s="98"/>
      <c r="S258" s="98"/>
      <c r="T258" s="98"/>
      <c r="U258" s="98"/>
      <c r="V258" s="98"/>
      <c r="W258" s="98"/>
    </row>
    <row r="259" spans="1:23" ht="15" customHeight="1">
      <c r="A259" s="98"/>
      <c r="B259" s="98"/>
      <c r="C259" s="98"/>
      <c r="D259" s="98"/>
      <c r="E259" s="98"/>
      <c r="F259" s="98"/>
      <c r="G259" s="98"/>
      <c r="H259" s="98"/>
      <c r="I259" s="98"/>
      <c r="J259" s="98"/>
      <c r="K259" s="98"/>
      <c r="L259" s="98"/>
      <c r="M259" s="98"/>
      <c r="N259" s="98"/>
      <c r="O259" s="98"/>
      <c r="P259" s="98"/>
      <c r="Q259" s="98"/>
      <c r="R259" s="98"/>
      <c r="S259" s="98"/>
      <c r="T259" s="98"/>
      <c r="U259" s="98"/>
      <c r="V259" s="98"/>
      <c r="W259" s="98"/>
    </row>
    <row r="260" spans="1:23" ht="15" customHeight="1">
      <c r="A260" s="98"/>
      <c r="B260" s="98"/>
      <c r="C260" s="98"/>
      <c r="D260" s="98"/>
      <c r="E260" s="98"/>
      <c r="F260" s="98"/>
      <c r="G260" s="98"/>
      <c r="H260" s="98"/>
      <c r="I260" s="98"/>
      <c r="J260" s="98"/>
      <c r="K260" s="98"/>
      <c r="L260" s="98"/>
      <c r="M260" s="98"/>
      <c r="N260" s="98"/>
      <c r="O260" s="98"/>
      <c r="P260" s="98"/>
      <c r="Q260" s="98"/>
      <c r="R260" s="98"/>
      <c r="S260" s="98"/>
      <c r="T260" s="98"/>
      <c r="U260" s="98"/>
      <c r="V260" s="98"/>
      <c r="W260" s="98"/>
    </row>
    <row r="261" spans="1:23" ht="15" customHeight="1">
      <c r="A261" s="98"/>
      <c r="B261" s="98"/>
      <c r="C261" s="98"/>
      <c r="D261" s="98"/>
      <c r="E261" s="98"/>
      <c r="F261" s="98"/>
      <c r="G261" s="98"/>
      <c r="H261" s="98"/>
      <c r="I261" s="98"/>
      <c r="J261" s="98"/>
      <c r="K261" s="98"/>
      <c r="L261" s="98"/>
      <c r="M261" s="98"/>
      <c r="N261" s="98"/>
      <c r="O261" s="98"/>
      <c r="P261" s="98"/>
      <c r="Q261" s="98"/>
      <c r="R261" s="98"/>
      <c r="S261" s="98"/>
      <c r="T261" s="98"/>
      <c r="U261" s="98"/>
      <c r="V261" s="98"/>
      <c r="W261" s="98"/>
    </row>
    <row r="262" spans="1:23" ht="15" customHeight="1">
      <c r="A262" s="98"/>
      <c r="B262" s="98"/>
      <c r="C262" s="98"/>
      <c r="D262" s="98"/>
      <c r="E262" s="98"/>
      <c r="F262" s="98"/>
      <c r="G262" s="98"/>
      <c r="H262" s="98"/>
      <c r="I262" s="98"/>
      <c r="J262" s="98"/>
      <c r="K262" s="98"/>
      <c r="L262" s="98"/>
      <c r="M262" s="98"/>
      <c r="N262" s="98"/>
      <c r="O262" s="98"/>
      <c r="P262" s="98"/>
      <c r="Q262" s="98"/>
      <c r="R262" s="98"/>
      <c r="S262" s="98"/>
      <c r="T262" s="98"/>
      <c r="U262" s="98"/>
      <c r="V262" s="98"/>
      <c r="W262" s="98"/>
    </row>
    <row r="263" spans="1:23" ht="15" customHeight="1">
      <c r="A263" s="98"/>
      <c r="B263" s="98"/>
      <c r="C263" s="98"/>
      <c r="D263" s="98"/>
      <c r="E263" s="98"/>
      <c r="F263" s="98"/>
      <c r="G263" s="98"/>
      <c r="H263" s="98"/>
      <c r="I263" s="98"/>
      <c r="J263" s="98"/>
      <c r="K263" s="98"/>
      <c r="L263" s="98"/>
      <c r="M263" s="98"/>
      <c r="N263" s="98"/>
      <c r="O263" s="98"/>
      <c r="P263" s="98"/>
      <c r="Q263" s="98"/>
      <c r="R263" s="98"/>
      <c r="S263" s="98"/>
      <c r="T263" s="98"/>
      <c r="U263" s="98"/>
      <c r="V263" s="98"/>
      <c r="W263" s="98"/>
    </row>
    <row r="264" spans="1:23" ht="15" customHeight="1">
      <c r="A264" s="98"/>
      <c r="B264" s="98"/>
      <c r="C264" s="98"/>
      <c r="D264" s="98"/>
      <c r="E264" s="98"/>
      <c r="F264" s="98"/>
      <c r="G264" s="98"/>
      <c r="H264" s="98"/>
      <c r="I264" s="98"/>
      <c r="J264" s="98"/>
      <c r="K264" s="98"/>
      <c r="L264" s="98"/>
      <c r="M264" s="98"/>
      <c r="N264" s="98"/>
      <c r="O264" s="98"/>
      <c r="P264" s="98"/>
      <c r="Q264" s="98"/>
      <c r="R264" s="98"/>
      <c r="S264" s="98"/>
      <c r="T264" s="98"/>
      <c r="U264" s="98"/>
      <c r="V264" s="98"/>
      <c r="W264" s="98"/>
    </row>
    <row r="265" spans="1:23" ht="15" customHeight="1">
      <c r="A265" s="98"/>
      <c r="B265" s="98"/>
      <c r="C265" s="98"/>
      <c r="D265" s="98"/>
      <c r="E265" s="98"/>
      <c r="F265" s="98"/>
      <c r="G265" s="98"/>
      <c r="H265" s="98"/>
      <c r="I265" s="98"/>
      <c r="J265" s="98"/>
      <c r="K265" s="98"/>
      <c r="L265" s="98"/>
      <c r="M265" s="98"/>
      <c r="N265" s="98"/>
      <c r="O265" s="98"/>
      <c r="P265" s="98"/>
      <c r="Q265" s="98"/>
      <c r="R265" s="98"/>
      <c r="S265" s="98"/>
      <c r="T265" s="98"/>
      <c r="U265" s="98"/>
      <c r="V265" s="98"/>
      <c r="W265" s="98"/>
    </row>
    <row r="266" spans="1:23" ht="15" customHeight="1">
      <c r="A266" s="98"/>
      <c r="B266" s="98"/>
      <c r="C266" s="98"/>
      <c r="D266" s="98"/>
      <c r="E266" s="98"/>
      <c r="F266" s="98"/>
      <c r="G266" s="98"/>
      <c r="H266" s="98"/>
      <c r="I266" s="98"/>
      <c r="J266" s="98"/>
      <c r="K266" s="98"/>
      <c r="L266" s="98"/>
      <c r="M266" s="98"/>
      <c r="N266" s="98"/>
      <c r="O266" s="98"/>
      <c r="P266" s="98"/>
      <c r="Q266" s="98"/>
      <c r="R266" s="98"/>
      <c r="S266" s="98"/>
      <c r="T266" s="98"/>
      <c r="U266" s="98"/>
      <c r="V266" s="98"/>
      <c r="W266" s="98"/>
    </row>
    <row r="267" spans="1:23" ht="15" customHeight="1">
      <c r="A267" s="98"/>
      <c r="B267" s="98"/>
      <c r="C267" s="98"/>
      <c r="D267" s="98"/>
      <c r="E267" s="98"/>
      <c r="F267" s="98"/>
      <c r="G267" s="98"/>
      <c r="H267" s="98"/>
      <c r="I267" s="98"/>
      <c r="J267" s="98"/>
      <c r="K267" s="98"/>
      <c r="L267" s="98"/>
      <c r="M267" s="98"/>
      <c r="N267" s="98"/>
      <c r="O267" s="98"/>
      <c r="P267" s="98"/>
      <c r="Q267" s="98"/>
      <c r="R267" s="98"/>
      <c r="S267" s="98"/>
      <c r="T267" s="98"/>
      <c r="U267" s="98"/>
      <c r="V267" s="98"/>
      <c r="W267" s="98"/>
    </row>
    <row r="268" spans="1:23" ht="15" customHeight="1">
      <c r="A268" s="98"/>
      <c r="B268" s="98"/>
      <c r="C268" s="98"/>
      <c r="D268" s="98"/>
      <c r="E268" s="98"/>
      <c r="F268" s="98"/>
      <c r="G268" s="98"/>
      <c r="H268" s="98"/>
      <c r="I268" s="98"/>
      <c r="J268" s="98"/>
      <c r="K268" s="98"/>
      <c r="L268" s="98"/>
      <c r="M268" s="98"/>
      <c r="N268" s="98"/>
      <c r="O268" s="98"/>
      <c r="P268" s="98"/>
      <c r="Q268" s="98"/>
      <c r="R268" s="98"/>
      <c r="S268" s="98"/>
      <c r="T268" s="98"/>
      <c r="U268" s="98"/>
      <c r="V268" s="98"/>
      <c r="W268" s="98"/>
    </row>
    <row r="269" spans="1:23" ht="15" customHeight="1">
      <c r="A269" s="98"/>
      <c r="B269" s="98"/>
      <c r="C269" s="98"/>
      <c r="D269" s="98"/>
      <c r="E269" s="98"/>
      <c r="F269" s="98"/>
      <c r="G269" s="98"/>
      <c r="H269" s="98"/>
      <c r="I269" s="98"/>
      <c r="J269" s="98"/>
      <c r="K269" s="98"/>
      <c r="L269" s="98"/>
      <c r="M269" s="98"/>
      <c r="N269" s="98"/>
      <c r="O269" s="98"/>
      <c r="P269" s="98"/>
      <c r="Q269" s="98"/>
      <c r="R269" s="98"/>
      <c r="S269" s="98"/>
      <c r="T269" s="98"/>
      <c r="U269" s="98"/>
      <c r="V269" s="98"/>
      <c r="W269" s="98"/>
    </row>
    <row r="270" spans="1:23" ht="15" customHeight="1">
      <c r="A270" s="98"/>
      <c r="B270" s="98"/>
      <c r="C270" s="98"/>
      <c r="D270" s="98"/>
      <c r="E270" s="98"/>
      <c r="F270" s="98"/>
      <c r="G270" s="98"/>
      <c r="H270" s="98"/>
      <c r="I270" s="98"/>
      <c r="J270" s="98"/>
      <c r="K270" s="98"/>
      <c r="L270" s="98"/>
      <c r="M270" s="98"/>
      <c r="N270" s="98"/>
      <c r="O270" s="98"/>
      <c r="P270" s="98"/>
      <c r="Q270" s="98"/>
      <c r="R270" s="98"/>
      <c r="S270" s="98"/>
      <c r="T270" s="98"/>
      <c r="U270" s="98"/>
      <c r="V270" s="98"/>
      <c r="W270" s="98"/>
    </row>
    <row r="271" spans="1:23" ht="15" customHeight="1">
      <c r="A271" s="98"/>
      <c r="B271" s="98"/>
      <c r="C271" s="98"/>
      <c r="D271" s="98"/>
      <c r="E271" s="98"/>
      <c r="F271" s="98"/>
      <c r="G271" s="98"/>
      <c r="H271" s="98"/>
      <c r="I271" s="98"/>
      <c r="J271" s="98"/>
      <c r="K271" s="98"/>
      <c r="L271" s="98"/>
      <c r="M271" s="98"/>
      <c r="N271" s="98"/>
      <c r="O271" s="98"/>
      <c r="P271" s="98"/>
      <c r="Q271" s="98"/>
      <c r="R271" s="98"/>
      <c r="S271" s="98"/>
      <c r="T271" s="98"/>
      <c r="U271" s="98"/>
      <c r="V271" s="98"/>
      <c r="W271" s="98"/>
    </row>
    <row r="272" spans="1:23" ht="15" customHeight="1">
      <c r="A272" s="98"/>
      <c r="B272" s="98"/>
      <c r="C272" s="98"/>
      <c r="D272" s="98"/>
      <c r="E272" s="98"/>
      <c r="F272" s="98"/>
      <c r="G272" s="98"/>
      <c r="H272" s="98"/>
      <c r="I272" s="98"/>
      <c r="J272" s="98"/>
      <c r="K272" s="98"/>
      <c r="L272" s="98"/>
      <c r="M272" s="98"/>
      <c r="N272" s="98"/>
      <c r="O272" s="98"/>
      <c r="P272" s="98"/>
      <c r="Q272" s="98"/>
      <c r="R272" s="98"/>
      <c r="S272" s="98"/>
      <c r="T272" s="98"/>
      <c r="U272" s="98"/>
      <c r="V272" s="98"/>
      <c r="W272" s="98"/>
    </row>
    <row r="273" spans="1:23" ht="15" customHeight="1">
      <c r="A273" s="98"/>
      <c r="B273" s="98"/>
      <c r="C273" s="98"/>
      <c r="D273" s="98"/>
      <c r="E273" s="98"/>
      <c r="F273" s="98"/>
      <c r="G273" s="98"/>
      <c r="H273" s="98"/>
      <c r="I273" s="98"/>
      <c r="J273" s="98"/>
      <c r="K273" s="98"/>
      <c r="L273" s="98"/>
      <c r="M273" s="98"/>
      <c r="N273" s="98"/>
      <c r="O273" s="98"/>
      <c r="P273" s="98"/>
      <c r="Q273" s="98"/>
      <c r="R273" s="98"/>
      <c r="S273" s="98"/>
      <c r="T273" s="98"/>
      <c r="U273" s="98"/>
      <c r="V273" s="98"/>
      <c r="W273" s="98"/>
    </row>
    <row r="274" spans="1:23" ht="15" customHeight="1">
      <c r="A274" s="98"/>
      <c r="B274" s="98"/>
      <c r="C274" s="98"/>
      <c r="D274" s="98"/>
      <c r="E274" s="98"/>
      <c r="F274" s="98"/>
      <c r="G274" s="98"/>
      <c r="H274" s="98"/>
      <c r="I274" s="98"/>
      <c r="J274" s="98"/>
      <c r="K274" s="98"/>
      <c r="L274" s="98"/>
      <c r="M274" s="98"/>
      <c r="N274" s="98"/>
      <c r="O274" s="98"/>
      <c r="P274" s="98"/>
      <c r="Q274" s="98"/>
      <c r="R274" s="98"/>
      <c r="S274" s="98"/>
      <c r="T274" s="98"/>
      <c r="U274" s="98"/>
      <c r="V274" s="98"/>
      <c r="W274" s="98"/>
    </row>
    <row r="275" spans="1:23" ht="15" customHeight="1">
      <c r="A275" s="98"/>
      <c r="B275" s="98"/>
      <c r="C275" s="98"/>
      <c r="D275" s="98"/>
      <c r="E275" s="98"/>
      <c r="F275" s="98"/>
      <c r="G275" s="98"/>
      <c r="H275" s="98"/>
      <c r="I275" s="98"/>
      <c r="J275" s="98"/>
      <c r="K275" s="98"/>
      <c r="L275" s="98"/>
      <c r="M275" s="98"/>
      <c r="N275" s="98"/>
      <c r="O275" s="98"/>
      <c r="P275" s="98"/>
      <c r="Q275" s="98"/>
      <c r="R275" s="98"/>
      <c r="S275" s="98"/>
      <c r="T275" s="98"/>
      <c r="U275" s="98"/>
      <c r="V275" s="98"/>
      <c r="W275" s="98"/>
    </row>
    <row r="276" spans="1:23" ht="15" customHeight="1">
      <c r="A276" s="98"/>
      <c r="B276" s="98"/>
      <c r="C276" s="98"/>
      <c r="D276" s="98"/>
      <c r="E276" s="98"/>
      <c r="F276" s="98"/>
      <c r="G276" s="98"/>
      <c r="H276" s="98"/>
      <c r="I276" s="98"/>
      <c r="J276" s="98"/>
      <c r="K276" s="98"/>
      <c r="L276" s="98"/>
      <c r="M276" s="98"/>
      <c r="N276" s="98"/>
      <c r="O276" s="98"/>
      <c r="P276" s="98"/>
      <c r="Q276" s="98"/>
      <c r="R276" s="98"/>
      <c r="S276" s="98"/>
      <c r="T276" s="98"/>
      <c r="U276" s="98"/>
      <c r="V276" s="98"/>
      <c r="W276" s="98"/>
    </row>
    <row r="277" spans="1:23" ht="15" customHeight="1">
      <c r="A277" s="98"/>
      <c r="B277" s="98"/>
      <c r="C277" s="98"/>
      <c r="D277" s="98"/>
      <c r="E277" s="98"/>
      <c r="F277" s="98"/>
      <c r="G277" s="98"/>
      <c r="H277" s="98"/>
      <c r="I277" s="98"/>
      <c r="J277" s="98"/>
      <c r="K277" s="98"/>
      <c r="L277" s="98"/>
      <c r="M277" s="98"/>
      <c r="N277" s="98"/>
      <c r="O277" s="98"/>
      <c r="P277" s="98"/>
      <c r="Q277" s="98"/>
      <c r="R277" s="98"/>
      <c r="S277" s="98"/>
      <c r="T277" s="98"/>
      <c r="U277" s="98"/>
      <c r="V277" s="98"/>
      <c r="W277" s="98"/>
    </row>
    <row r="278" spans="1:23" ht="15" customHeight="1">
      <c r="A278" s="98"/>
      <c r="B278" s="98"/>
      <c r="C278" s="98"/>
      <c r="D278" s="98"/>
      <c r="E278" s="98"/>
      <c r="F278" s="98"/>
      <c r="G278" s="98"/>
      <c r="H278" s="98"/>
      <c r="I278" s="98"/>
      <c r="J278" s="98"/>
      <c r="K278" s="98"/>
      <c r="L278" s="98"/>
      <c r="M278" s="98"/>
      <c r="N278" s="98"/>
      <c r="O278" s="98"/>
      <c r="P278" s="98"/>
      <c r="Q278" s="98"/>
      <c r="R278" s="98"/>
      <c r="S278" s="98"/>
      <c r="T278" s="98"/>
      <c r="U278" s="98"/>
      <c r="V278" s="98"/>
      <c r="W278" s="98"/>
    </row>
    <row r="279" spans="1:23" ht="15" customHeight="1">
      <c r="A279" s="98"/>
      <c r="B279" s="98"/>
      <c r="C279" s="98"/>
      <c r="D279" s="98"/>
      <c r="E279" s="98"/>
      <c r="F279" s="98"/>
      <c r="G279" s="98"/>
      <c r="H279" s="98"/>
      <c r="I279" s="98"/>
      <c r="J279" s="98"/>
      <c r="K279" s="98"/>
      <c r="L279" s="98"/>
      <c r="M279" s="98"/>
      <c r="N279" s="98"/>
      <c r="O279" s="98"/>
      <c r="P279" s="98"/>
      <c r="Q279" s="98"/>
      <c r="R279" s="98"/>
      <c r="S279" s="98"/>
      <c r="T279" s="98"/>
      <c r="U279" s="98"/>
      <c r="V279" s="98"/>
      <c r="W279" s="98"/>
    </row>
    <row r="280" spans="1:23" ht="15" customHeight="1">
      <c r="A280" s="98"/>
      <c r="B280" s="98"/>
      <c r="C280" s="98"/>
      <c r="D280" s="98"/>
      <c r="E280" s="98"/>
      <c r="F280" s="98"/>
      <c r="G280" s="98"/>
      <c r="H280" s="98"/>
      <c r="I280" s="98"/>
      <c r="J280" s="98"/>
      <c r="K280" s="98"/>
      <c r="L280" s="98"/>
      <c r="M280" s="98"/>
      <c r="N280" s="98"/>
      <c r="O280" s="98"/>
      <c r="P280" s="98"/>
      <c r="Q280" s="98"/>
      <c r="R280" s="98"/>
      <c r="S280" s="98"/>
      <c r="T280" s="98"/>
      <c r="U280" s="98"/>
      <c r="V280" s="98"/>
      <c r="W280" s="98"/>
    </row>
    <row r="281" spans="1:23" ht="15" customHeight="1">
      <c r="A281" s="98"/>
      <c r="B281" s="98"/>
      <c r="C281" s="98"/>
      <c r="D281" s="98"/>
      <c r="E281" s="98"/>
      <c r="F281" s="98"/>
      <c r="G281" s="98"/>
      <c r="H281" s="98"/>
      <c r="I281" s="98"/>
      <c r="J281" s="98"/>
      <c r="K281" s="98"/>
      <c r="L281" s="98"/>
      <c r="M281" s="98"/>
      <c r="N281" s="98"/>
      <c r="O281" s="98"/>
      <c r="P281" s="98"/>
      <c r="Q281" s="98"/>
      <c r="R281" s="98"/>
      <c r="S281" s="98"/>
      <c r="T281" s="98"/>
      <c r="U281" s="98"/>
      <c r="V281" s="98"/>
      <c r="W281" s="98"/>
    </row>
    <row r="282" spans="1:23" ht="15" customHeight="1">
      <c r="A282" s="98"/>
      <c r="B282" s="98"/>
      <c r="C282" s="98"/>
      <c r="D282" s="98"/>
      <c r="E282" s="98"/>
      <c r="F282" s="98"/>
      <c r="G282" s="98"/>
      <c r="H282" s="98"/>
      <c r="I282" s="98"/>
      <c r="J282" s="98"/>
      <c r="K282" s="98"/>
      <c r="L282" s="98"/>
      <c r="M282" s="98"/>
      <c r="N282" s="98"/>
      <c r="O282" s="98"/>
      <c r="P282" s="98"/>
      <c r="Q282" s="98"/>
      <c r="R282" s="98"/>
      <c r="S282" s="98"/>
      <c r="T282" s="98"/>
      <c r="U282" s="98"/>
      <c r="V282" s="98"/>
      <c r="W282" s="98"/>
    </row>
    <row r="283" spans="1:23" ht="15" customHeight="1">
      <c r="A283" s="98"/>
      <c r="B283" s="98"/>
      <c r="C283" s="98"/>
      <c r="D283" s="98"/>
      <c r="E283" s="98"/>
      <c r="F283" s="98"/>
      <c r="G283" s="98"/>
      <c r="H283" s="98"/>
      <c r="I283" s="98"/>
      <c r="J283" s="98"/>
      <c r="K283" s="98"/>
      <c r="L283" s="98"/>
      <c r="M283" s="98"/>
      <c r="N283" s="98"/>
      <c r="O283" s="98"/>
      <c r="P283" s="98"/>
      <c r="Q283" s="98"/>
      <c r="R283" s="98"/>
      <c r="S283" s="98"/>
      <c r="T283" s="98"/>
      <c r="U283" s="98"/>
      <c r="V283" s="98"/>
      <c r="W283" s="98"/>
    </row>
    <row r="284" spans="1:23" ht="15" customHeight="1">
      <c r="A284" s="98"/>
      <c r="B284" s="98"/>
      <c r="C284" s="98"/>
      <c r="D284" s="98"/>
      <c r="E284" s="98"/>
      <c r="F284" s="98"/>
      <c r="G284" s="98"/>
      <c r="H284" s="98"/>
      <c r="I284" s="98"/>
      <c r="J284" s="98"/>
      <c r="K284" s="98"/>
      <c r="L284" s="98"/>
      <c r="M284" s="98"/>
      <c r="N284" s="98"/>
      <c r="O284" s="98"/>
      <c r="P284" s="98"/>
      <c r="Q284" s="98"/>
      <c r="R284" s="98"/>
      <c r="S284" s="98"/>
      <c r="T284" s="98"/>
      <c r="U284" s="98"/>
      <c r="V284" s="98"/>
      <c r="W284" s="98"/>
    </row>
    <row r="285" spans="1:23" ht="15" customHeight="1">
      <c r="A285" s="98"/>
      <c r="B285" s="98"/>
      <c r="C285" s="98"/>
      <c r="D285" s="98"/>
      <c r="E285" s="98"/>
      <c r="F285" s="98"/>
      <c r="G285" s="98"/>
      <c r="H285" s="98"/>
      <c r="I285" s="98"/>
      <c r="J285" s="98"/>
      <c r="K285" s="98"/>
      <c r="L285" s="98"/>
      <c r="M285" s="98"/>
      <c r="N285" s="98"/>
      <c r="O285" s="98"/>
      <c r="P285" s="98"/>
      <c r="Q285" s="98"/>
      <c r="R285" s="98"/>
      <c r="S285" s="98"/>
      <c r="T285" s="98"/>
      <c r="U285" s="98"/>
      <c r="V285" s="98"/>
      <c r="W285" s="98"/>
    </row>
    <row r="286" spans="1:23" ht="15" customHeight="1">
      <c r="A286" s="98"/>
      <c r="B286" s="98"/>
      <c r="C286" s="98"/>
      <c r="D286" s="98"/>
      <c r="E286" s="98"/>
      <c r="F286" s="98"/>
      <c r="G286" s="98"/>
      <c r="H286" s="98"/>
      <c r="I286" s="98"/>
      <c r="J286" s="98"/>
      <c r="K286" s="98"/>
      <c r="L286" s="98"/>
      <c r="M286" s="98"/>
      <c r="N286" s="98"/>
      <c r="O286" s="98"/>
      <c r="P286" s="98"/>
      <c r="Q286" s="98"/>
      <c r="R286" s="98"/>
      <c r="S286" s="98"/>
      <c r="T286" s="98"/>
      <c r="U286" s="98"/>
      <c r="V286" s="98"/>
      <c r="W286" s="98"/>
    </row>
    <row r="287" spans="1:23" ht="15" customHeight="1">
      <c r="A287" s="98"/>
      <c r="B287" s="98"/>
      <c r="C287" s="98"/>
      <c r="D287" s="98"/>
      <c r="E287" s="98"/>
      <c r="F287" s="98"/>
      <c r="G287" s="98"/>
      <c r="H287" s="98"/>
      <c r="I287" s="98"/>
      <c r="J287" s="98"/>
      <c r="K287" s="98"/>
      <c r="L287" s="98"/>
      <c r="M287" s="98"/>
      <c r="N287" s="98"/>
      <c r="O287" s="98"/>
      <c r="P287" s="98"/>
      <c r="Q287" s="98"/>
      <c r="R287" s="98"/>
      <c r="S287" s="98"/>
      <c r="T287" s="98"/>
      <c r="U287" s="98"/>
      <c r="V287" s="98"/>
      <c r="W287" s="98"/>
    </row>
    <row r="288" spans="1:23" ht="15" customHeight="1">
      <c r="A288" s="98"/>
      <c r="B288" s="98"/>
      <c r="C288" s="98"/>
      <c r="D288" s="98"/>
      <c r="E288" s="98"/>
      <c r="F288" s="98"/>
      <c r="G288" s="98"/>
      <c r="H288" s="98"/>
      <c r="I288" s="98"/>
      <c r="J288" s="98"/>
      <c r="K288" s="98"/>
      <c r="L288" s="98"/>
      <c r="M288" s="98"/>
      <c r="N288" s="98"/>
      <c r="O288" s="98"/>
      <c r="P288" s="98"/>
      <c r="Q288" s="98"/>
      <c r="R288" s="98"/>
      <c r="S288" s="98"/>
      <c r="T288" s="98"/>
      <c r="U288" s="98"/>
      <c r="V288" s="98"/>
      <c r="W288" s="98"/>
    </row>
    <row r="289" spans="1:23" ht="15" customHeight="1">
      <c r="A289" s="98"/>
      <c r="B289" s="98"/>
      <c r="C289" s="98"/>
      <c r="D289" s="98"/>
      <c r="E289" s="98"/>
      <c r="F289" s="98"/>
      <c r="G289" s="98"/>
      <c r="H289" s="98"/>
      <c r="I289" s="98"/>
      <c r="J289" s="98"/>
      <c r="K289" s="98"/>
      <c r="L289" s="98"/>
      <c r="M289" s="98"/>
      <c r="N289" s="98"/>
      <c r="O289" s="98"/>
      <c r="P289" s="98"/>
      <c r="Q289" s="98"/>
      <c r="R289" s="98"/>
      <c r="S289" s="98"/>
      <c r="T289" s="98"/>
      <c r="U289" s="98"/>
      <c r="V289" s="98"/>
      <c r="W289" s="98"/>
    </row>
    <row r="290" spans="1:23" ht="15" customHeight="1">
      <c r="A290" s="98"/>
      <c r="B290" s="98"/>
      <c r="C290" s="98"/>
      <c r="D290" s="98"/>
      <c r="E290" s="98"/>
      <c r="F290" s="98"/>
      <c r="G290" s="98"/>
      <c r="H290" s="98"/>
      <c r="I290" s="98"/>
      <c r="J290" s="98"/>
      <c r="K290" s="98"/>
      <c r="L290" s="98"/>
      <c r="M290" s="98"/>
      <c r="N290" s="98"/>
      <c r="O290" s="98"/>
      <c r="P290" s="98"/>
      <c r="Q290" s="98"/>
      <c r="R290" s="98"/>
      <c r="S290" s="98"/>
      <c r="T290" s="98"/>
      <c r="U290" s="98"/>
      <c r="V290" s="98"/>
      <c r="W290" s="98"/>
    </row>
    <row r="291" spans="1:23" ht="15" customHeight="1">
      <c r="A291" s="98"/>
      <c r="B291" s="98"/>
      <c r="C291" s="98"/>
      <c r="D291" s="98"/>
      <c r="E291" s="98"/>
      <c r="F291" s="98"/>
      <c r="G291" s="98"/>
      <c r="H291" s="98"/>
      <c r="I291" s="98"/>
      <c r="J291" s="98"/>
      <c r="K291" s="98"/>
      <c r="L291" s="98"/>
      <c r="M291" s="98"/>
      <c r="N291" s="98"/>
      <c r="O291" s="98"/>
      <c r="P291" s="98"/>
      <c r="Q291" s="98"/>
      <c r="R291" s="98"/>
      <c r="S291" s="98"/>
      <c r="T291" s="98"/>
      <c r="U291" s="98"/>
      <c r="V291" s="98"/>
      <c r="W291" s="98"/>
    </row>
    <row r="292" spans="1:23" ht="15" customHeight="1">
      <c r="A292" s="98"/>
      <c r="B292" s="98"/>
      <c r="C292" s="98"/>
      <c r="D292" s="98"/>
      <c r="E292" s="98"/>
      <c r="F292" s="98"/>
      <c r="G292" s="98"/>
      <c r="H292" s="98"/>
      <c r="I292" s="98"/>
      <c r="J292" s="98"/>
      <c r="K292" s="98"/>
      <c r="L292" s="98"/>
      <c r="M292" s="98"/>
      <c r="N292" s="98"/>
      <c r="O292" s="98"/>
      <c r="P292" s="98"/>
      <c r="Q292" s="98"/>
      <c r="R292" s="98"/>
      <c r="S292" s="98"/>
      <c r="T292" s="98"/>
      <c r="U292" s="98"/>
      <c r="V292" s="98"/>
      <c r="W292" s="98"/>
    </row>
    <row r="293" spans="1:23" ht="15" customHeight="1">
      <c r="A293" s="98"/>
      <c r="B293" s="98"/>
      <c r="C293" s="98"/>
      <c r="D293" s="98"/>
      <c r="E293" s="98"/>
      <c r="F293" s="98"/>
      <c r="G293" s="98"/>
      <c r="H293" s="98"/>
      <c r="I293" s="98"/>
      <c r="J293" s="98"/>
      <c r="K293" s="98"/>
      <c r="L293" s="98"/>
      <c r="M293" s="98"/>
      <c r="N293" s="98"/>
      <c r="O293" s="98"/>
      <c r="P293" s="98"/>
      <c r="Q293" s="98"/>
      <c r="R293" s="98"/>
      <c r="S293" s="98"/>
      <c r="T293" s="98"/>
      <c r="U293" s="98"/>
      <c r="V293" s="98"/>
      <c r="W293" s="98"/>
    </row>
    <row r="294" spans="1:23" ht="15" customHeight="1">
      <c r="A294" s="98"/>
      <c r="B294" s="98"/>
      <c r="C294" s="98"/>
      <c r="D294" s="98"/>
      <c r="E294" s="98"/>
      <c r="F294" s="98"/>
      <c r="G294" s="98"/>
      <c r="H294" s="98"/>
      <c r="I294" s="98"/>
      <c r="J294" s="98"/>
      <c r="K294" s="98"/>
      <c r="L294" s="98"/>
      <c r="M294" s="98"/>
      <c r="N294" s="98"/>
      <c r="O294" s="98"/>
      <c r="P294" s="98"/>
      <c r="Q294" s="98"/>
      <c r="R294" s="98"/>
      <c r="S294" s="98"/>
      <c r="T294" s="98"/>
      <c r="U294" s="98"/>
      <c r="V294" s="98"/>
      <c r="W294" s="98"/>
    </row>
    <row r="295" spans="1:23" ht="15" customHeight="1">
      <c r="A295" s="98"/>
      <c r="B295" s="98"/>
      <c r="C295" s="98"/>
      <c r="D295" s="98"/>
      <c r="E295" s="98"/>
      <c r="F295" s="98"/>
      <c r="G295" s="98"/>
      <c r="H295" s="98"/>
      <c r="I295" s="98"/>
      <c r="J295" s="98"/>
      <c r="K295" s="98"/>
      <c r="L295" s="98"/>
      <c r="M295" s="98"/>
      <c r="N295" s="98"/>
      <c r="O295" s="98"/>
      <c r="P295" s="98"/>
      <c r="Q295" s="98"/>
      <c r="R295" s="98"/>
      <c r="S295" s="98"/>
      <c r="T295" s="98"/>
      <c r="U295" s="98"/>
      <c r="V295" s="98"/>
      <c r="W295" s="98"/>
    </row>
    <row r="296" spans="1:23" ht="15" customHeight="1">
      <c r="A296" s="98"/>
      <c r="B296" s="98"/>
      <c r="C296" s="98"/>
      <c r="D296" s="98"/>
      <c r="E296" s="98"/>
      <c r="F296" s="98"/>
      <c r="G296" s="98"/>
      <c r="H296" s="98"/>
      <c r="I296" s="98"/>
      <c r="J296" s="98"/>
      <c r="K296" s="98"/>
      <c r="L296" s="98"/>
      <c r="M296" s="98"/>
      <c r="N296" s="98"/>
      <c r="O296" s="98"/>
      <c r="P296" s="98"/>
      <c r="Q296" s="98"/>
      <c r="R296" s="98"/>
      <c r="S296" s="98"/>
      <c r="T296" s="98"/>
      <c r="U296" s="98"/>
      <c r="V296" s="98"/>
      <c r="W296" s="98"/>
    </row>
    <row r="297" spans="1:23" ht="15" customHeight="1">
      <c r="A297" s="98"/>
      <c r="B297" s="98"/>
      <c r="C297" s="98"/>
      <c r="D297" s="98"/>
      <c r="E297" s="98"/>
      <c r="F297" s="98"/>
      <c r="G297" s="98"/>
      <c r="H297" s="98"/>
      <c r="I297" s="98"/>
      <c r="J297" s="98"/>
      <c r="K297" s="98"/>
      <c r="L297" s="98"/>
      <c r="M297" s="98"/>
      <c r="N297" s="98"/>
      <c r="O297" s="98"/>
      <c r="P297" s="98"/>
      <c r="Q297" s="98"/>
      <c r="R297" s="98"/>
      <c r="S297" s="98"/>
      <c r="T297" s="98"/>
      <c r="U297" s="98"/>
      <c r="V297" s="98"/>
      <c r="W297" s="98"/>
    </row>
    <row r="298" spans="1:23" ht="15" customHeight="1">
      <c r="A298" s="98"/>
      <c r="B298" s="98"/>
      <c r="C298" s="98"/>
      <c r="D298" s="98"/>
      <c r="E298" s="98"/>
      <c r="F298" s="98"/>
      <c r="G298" s="98"/>
      <c r="H298" s="98"/>
      <c r="I298" s="98"/>
      <c r="J298" s="98"/>
      <c r="K298" s="98"/>
      <c r="L298" s="98"/>
      <c r="M298" s="98"/>
      <c r="N298" s="98"/>
      <c r="O298" s="98"/>
      <c r="P298" s="98"/>
      <c r="Q298" s="98"/>
      <c r="R298" s="98"/>
      <c r="S298" s="98"/>
      <c r="T298" s="98"/>
      <c r="U298" s="98"/>
      <c r="V298" s="98"/>
      <c r="W298" s="98"/>
    </row>
    <row r="299" spans="1:23" ht="15" customHeight="1">
      <c r="A299" s="98"/>
      <c r="B299" s="98"/>
      <c r="C299" s="98"/>
      <c r="D299" s="98"/>
      <c r="E299" s="98"/>
      <c r="F299" s="98"/>
      <c r="G299" s="98"/>
      <c r="H299" s="98"/>
      <c r="I299" s="98"/>
      <c r="J299" s="98"/>
      <c r="K299" s="98"/>
      <c r="L299" s="98"/>
      <c r="M299" s="98"/>
      <c r="N299" s="98"/>
      <c r="O299" s="98"/>
      <c r="P299" s="98"/>
      <c r="Q299" s="98"/>
      <c r="R299" s="98"/>
      <c r="S299" s="98"/>
      <c r="T299" s="98"/>
      <c r="U299" s="98"/>
      <c r="V299" s="98"/>
      <c r="W299" s="98"/>
    </row>
    <row r="300" spans="1:23" ht="15" customHeight="1">
      <c r="A300" s="98"/>
      <c r="B300" s="98"/>
      <c r="C300" s="98"/>
      <c r="D300" s="98"/>
      <c r="E300" s="98"/>
      <c r="F300" s="98"/>
      <c r="G300" s="98"/>
      <c r="H300" s="98"/>
      <c r="I300" s="98"/>
      <c r="J300" s="98"/>
      <c r="K300" s="98"/>
      <c r="L300" s="98"/>
      <c r="M300" s="98"/>
      <c r="N300" s="98"/>
      <c r="O300" s="98"/>
      <c r="P300" s="98"/>
      <c r="Q300" s="98"/>
      <c r="R300" s="98"/>
      <c r="S300" s="98"/>
      <c r="T300" s="98"/>
      <c r="U300" s="98"/>
      <c r="V300" s="98"/>
      <c r="W300" s="98"/>
    </row>
    <row r="301" spans="1:23" ht="15" customHeight="1">
      <c r="A301" s="98"/>
      <c r="B301" s="98"/>
      <c r="C301" s="98"/>
      <c r="D301" s="98"/>
      <c r="E301" s="98"/>
      <c r="F301" s="98"/>
      <c r="G301" s="98"/>
      <c r="H301" s="98"/>
      <c r="I301" s="98"/>
      <c r="J301" s="98"/>
      <c r="K301" s="98"/>
      <c r="L301" s="98"/>
      <c r="M301" s="98"/>
      <c r="N301" s="98"/>
      <c r="O301" s="98"/>
      <c r="P301" s="98"/>
      <c r="Q301" s="98"/>
      <c r="R301" s="98"/>
      <c r="S301" s="98"/>
      <c r="T301" s="98"/>
      <c r="U301" s="98"/>
      <c r="V301" s="98"/>
      <c r="W301" s="98"/>
    </row>
    <row r="302" spans="1:23" ht="15" customHeight="1">
      <c r="A302" s="98"/>
      <c r="B302" s="98"/>
      <c r="C302" s="98"/>
      <c r="D302" s="98"/>
      <c r="E302" s="98"/>
      <c r="F302" s="98"/>
      <c r="G302" s="98"/>
      <c r="H302" s="98"/>
      <c r="I302" s="98"/>
      <c r="J302" s="98"/>
      <c r="K302" s="98"/>
      <c r="L302" s="98"/>
      <c r="M302" s="98"/>
      <c r="N302" s="98"/>
      <c r="O302" s="98"/>
      <c r="P302" s="98"/>
      <c r="Q302" s="98"/>
      <c r="R302" s="98"/>
      <c r="S302" s="98"/>
      <c r="T302" s="98"/>
      <c r="U302" s="98"/>
      <c r="V302" s="98"/>
      <c r="W302" s="98"/>
    </row>
    <row r="303" spans="1:23" ht="15" customHeight="1">
      <c r="A303" s="98"/>
      <c r="B303" s="98"/>
      <c r="C303" s="98"/>
      <c r="D303" s="98"/>
      <c r="E303" s="98"/>
      <c r="F303" s="98"/>
      <c r="G303" s="98"/>
      <c r="H303" s="98"/>
      <c r="I303" s="98"/>
      <c r="J303" s="98"/>
      <c r="K303" s="98"/>
      <c r="L303" s="98"/>
      <c r="M303" s="98"/>
      <c r="N303" s="98"/>
      <c r="O303" s="98"/>
      <c r="P303" s="98"/>
      <c r="Q303" s="98"/>
      <c r="R303" s="98"/>
      <c r="S303" s="98"/>
      <c r="T303" s="98"/>
      <c r="U303" s="98"/>
      <c r="V303" s="98"/>
      <c r="W303" s="98"/>
    </row>
    <row r="304" spans="1:23" ht="15" customHeight="1">
      <c r="A304" s="98"/>
      <c r="B304" s="98"/>
      <c r="C304" s="98"/>
      <c r="D304" s="98"/>
      <c r="E304" s="98"/>
      <c r="F304" s="98"/>
      <c r="G304" s="98"/>
      <c r="H304" s="98"/>
      <c r="I304" s="98"/>
      <c r="J304" s="98"/>
      <c r="K304" s="98"/>
      <c r="L304" s="98"/>
      <c r="M304" s="98"/>
      <c r="N304" s="98"/>
      <c r="O304" s="98"/>
      <c r="P304" s="98"/>
      <c r="Q304" s="98"/>
      <c r="R304" s="98"/>
      <c r="S304" s="98"/>
      <c r="T304" s="98"/>
      <c r="U304" s="98"/>
      <c r="V304" s="98"/>
      <c r="W304" s="98"/>
    </row>
    <row r="305" spans="1:23" ht="15" customHeight="1">
      <c r="A305" s="98"/>
      <c r="B305" s="98"/>
      <c r="C305" s="98"/>
      <c r="D305" s="98"/>
      <c r="E305" s="98"/>
      <c r="F305" s="98"/>
      <c r="G305" s="98"/>
      <c r="H305" s="98"/>
      <c r="I305" s="98"/>
      <c r="J305" s="98"/>
      <c r="K305" s="98"/>
      <c r="L305" s="98"/>
      <c r="M305" s="98"/>
      <c r="N305" s="98"/>
      <c r="O305" s="98"/>
      <c r="P305" s="98"/>
      <c r="Q305" s="98"/>
      <c r="R305" s="98"/>
      <c r="S305" s="98"/>
      <c r="T305" s="98"/>
      <c r="U305" s="98"/>
      <c r="V305" s="98"/>
      <c r="W305" s="98"/>
    </row>
    <row r="306" spans="1:23" ht="15" customHeight="1">
      <c r="A306" s="98"/>
      <c r="B306" s="98"/>
      <c r="C306" s="98"/>
      <c r="D306" s="98"/>
      <c r="E306" s="98"/>
      <c r="F306" s="98"/>
      <c r="G306" s="98"/>
      <c r="H306" s="98"/>
      <c r="I306" s="98"/>
      <c r="J306" s="98"/>
      <c r="K306" s="98"/>
      <c r="L306" s="98"/>
      <c r="M306" s="98"/>
      <c r="N306" s="98"/>
      <c r="O306" s="98"/>
      <c r="P306" s="98"/>
      <c r="Q306" s="98"/>
      <c r="R306" s="98"/>
      <c r="S306" s="98"/>
      <c r="T306" s="98"/>
      <c r="U306" s="98"/>
      <c r="V306" s="98"/>
      <c r="W306" s="98"/>
    </row>
    <row r="307" spans="1:23" ht="15" customHeight="1">
      <c r="A307" s="98"/>
      <c r="B307" s="98"/>
      <c r="C307" s="98"/>
      <c r="D307" s="98"/>
      <c r="E307" s="98"/>
      <c r="F307" s="98"/>
      <c r="G307" s="98"/>
      <c r="H307" s="98"/>
      <c r="I307" s="98"/>
      <c r="J307" s="98"/>
      <c r="K307" s="98"/>
      <c r="L307" s="98"/>
      <c r="M307" s="98"/>
      <c r="N307" s="98"/>
      <c r="O307" s="98"/>
      <c r="P307" s="98"/>
      <c r="Q307" s="98"/>
      <c r="R307" s="98"/>
      <c r="S307" s="98"/>
      <c r="T307" s="98"/>
      <c r="U307" s="98"/>
      <c r="V307" s="98"/>
      <c r="W307" s="98"/>
    </row>
    <row r="308" spans="1:23" ht="15" customHeight="1">
      <c r="A308" s="98"/>
      <c r="B308" s="98"/>
      <c r="C308" s="98"/>
      <c r="D308" s="98"/>
      <c r="E308" s="98"/>
      <c r="F308" s="98"/>
      <c r="G308" s="98"/>
      <c r="H308" s="98"/>
      <c r="I308" s="98"/>
      <c r="J308" s="98"/>
      <c r="K308" s="98"/>
      <c r="L308" s="98"/>
      <c r="M308" s="98"/>
      <c r="N308" s="98"/>
      <c r="O308" s="98"/>
      <c r="P308" s="98"/>
      <c r="Q308" s="98"/>
      <c r="R308" s="98"/>
      <c r="S308" s="98"/>
      <c r="T308" s="98"/>
      <c r="U308" s="98"/>
      <c r="V308" s="98"/>
      <c r="W308" s="98"/>
    </row>
    <row r="309" spans="1:23" ht="15" customHeight="1">
      <c r="A309" s="98"/>
      <c r="B309" s="98"/>
      <c r="C309" s="98"/>
      <c r="D309" s="98"/>
      <c r="E309" s="98"/>
      <c r="F309" s="98"/>
      <c r="G309" s="98"/>
      <c r="H309" s="98"/>
      <c r="I309" s="98"/>
      <c r="J309" s="98"/>
      <c r="K309" s="98"/>
      <c r="L309" s="98"/>
      <c r="M309" s="98"/>
      <c r="N309" s="98"/>
      <c r="O309" s="98"/>
      <c r="P309" s="98"/>
      <c r="Q309" s="98"/>
      <c r="R309" s="98"/>
      <c r="S309" s="98"/>
      <c r="T309" s="98"/>
      <c r="U309" s="98"/>
      <c r="V309" s="98"/>
      <c r="W309" s="98"/>
    </row>
    <row r="310" spans="1:23" ht="15" customHeight="1">
      <c r="A310" s="98"/>
      <c r="B310" s="98"/>
      <c r="C310" s="98"/>
      <c r="D310" s="98"/>
      <c r="E310" s="98"/>
      <c r="F310" s="98"/>
      <c r="G310" s="98"/>
      <c r="H310" s="98"/>
      <c r="I310" s="98"/>
      <c r="J310" s="98"/>
      <c r="K310" s="98"/>
      <c r="L310" s="98"/>
      <c r="M310" s="98"/>
      <c r="N310" s="98"/>
      <c r="O310" s="98"/>
      <c r="P310" s="98"/>
      <c r="Q310" s="98"/>
      <c r="R310" s="98"/>
      <c r="S310" s="98"/>
      <c r="T310" s="98"/>
      <c r="U310" s="98"/>
      <c r="V310" s="98"/>
      <c r="W310" s="98"/>
    </row>
    <row r="311" spans="1:23" ht="15" customHeight="1">
      <c r="A311" s="98"/>
      <c r="B311" s="98"/>
      <c r="C311" s="98"/>
      <c r="D311" s="98"/>
      <c r="E311" s="98"/>
      <c r="F311" s="98"/>
      <c r="G311" s="98"/>
      <c r="H311" s="98"/>
      <c r="I311" s="98"/>
      <c r="J311" s="98"/>
      <c r="K311" s="98"/>
      <c r="L311" s="98"/>
      <c r="M311" s="98"/>
      <c r="N311" s="98"/>
      <c r="O311" s="98"/>
      <c r="P311" s="98"/>
      <c r="Q311" s="98"/>
      <c r="R311" s="98"/>
      <c r="S311" s="98"/>
      <c r="T311" s="98"/>
      <c r="U311" s="98"/>
      <c r="V311" s="98"/>
      <c r="W311" s="98"/>
    </row>
    <row r="312" spans="1:23" ht="15" customHeight="1">
      <c r="A312" s="98"/>
      <c r="B312" s="98"/>
      <c r="C312" s="98"/>
      <c r="D312" s="98"/>
      <c r="E312" s="98"/>
      <c r="F312" s="98"/>
      <c r="G312" s="98"/>
      <c r="H312" s="98"/>
      <c r="I312" s="98"/>
      <c r="J312" s="98"/>
      <c r="K312" s="98"/>
      <c r="L312" s="98"/>
      <c r="M312" s="98"/>
      <c r="N312" s="98"/>
      <c r="O312" s="98"/>
      <c r="P312" s="98"/>
      <c r="Q312" s="98"/>
      <c r="R312" s="98"/>
      <c r="S312" s="98"/>
      <c r="T312" s="98"/>
      <c r="U312" s="98"/>
      <c r="V312" s="98"/>
      <c r="W312" s="98"/>
    </row>
    <row r="313" spans="1:23" ht="15" customHeight="1">
      <c r="A313" s="98"/>
      <c r="B313" s="98"/>
      <c r="C313" s="98"/>
      <c r="D313" s="98"/>
      <c r="E313" s="98"/>
      <c r="F313" s="98"/>
      <c r="G313" s="98"/>
      <c r="H313" s="98"/>
      <c r="I313" s="98"/>
      <c r="J313" s="98"/>
      <c r="K313" s="98"/>
      <c r="L313" s="98"/>
      <c r="M313" s="98"/>
      <c r="N313" s="98"/>
      <c r="O313" s="98"/>
      <c r="P313" s="98"/>
      <c r="Q313" s="98"/>
      <c r="R313" s="98"/>
      <c r="S313" s="98"/>
      <c r="T313" s="98"/>
      <c r="U313" s="98"/>
      <c r="V313" s="98"/>
      <c r="W313" s="98"/>
    </row>
    <row r="314" spans="1:23" ht="15" customHeight="1">
      <c r="A314" s="98"/>
      <c r="B314" s="98"/>
      <c r="C314" s="98"/>
      <c r="D314" s="98"/>
      <c r="E314" s="98"/>
      <c r="F314" s="98"/>
      <c r="G314" s="98"/>
      <c r="H314" s="98"/>
      <c r="I314" s="98"/>
      <c r="J314" s="98"/>
      <c r="K314" s="98"/>
      <c r="L314" s="98"/>
      <c r="M314" s="98"/>
      <c r="N314" s="98"/>
      <c r="O314" s="98"/>
      <c r="P314" s="98"/>
      <c r="Q314" s="98"/>
      <c r="R314" s="98"/>
      <c r="S314" s="98"/>
      <c r="T314" s="98"/>
      <c r="U314" s="98"/>
      <c r="V314" s="98"/>
      <c r="W314" s="98"/>
    </row>
    <row r="315" spans="1:23" ht="15" customHeight="1">
      <c r="A315" s="98"/>
      <c r="B315" s="98"/>
      <c r="C315" s="98"/>
      <c r="D315" s="98"/>
      <c r="E315" s="98"/>
      <c r="F315" s="98"/>
      <c r="G315" s="98"/>
      <c r="H315" s="98"/>
      <c r="I315" s="98"/>
      <c r="J315" s="98"/>
      <c r="K315" s="98"/>
      <c r="L315" s="98"/>
      <c r="M315" s="98"/>
      <c r="N315" s="98"/>
      <c r="O315" s="98"/>
      <c r="P315" s="98"/>
      <c r="Q315" s="98"/>
      <c r="R315" s="98"/>
      <c r="S315" s="98"/>
      <c r="T315" s="98"/>
      <c r="U315" s="98"/>
      <c r="V315" s="98"/>
      <c r="W315" s="98"/>
    </row>
    <row r="316" spans="1:23" ht="15" customHeight="1">
      <c r="A316" s="98"/>
      <c r="B316" s="98"/>
      <c r="C316" s="98"/>
      <c r="D316" s="98"/>
      <c r="E316" s="98"/>
      <c r="F316" s="98"/>
      <c r="G316" s="98"/>
      <c r="H316" s="98"/>
      <c r="I316" s="98"/>
      <c r="J316" s="98"/>
      <c r="K316" s="98"/>
      <c r="L316" s="98"/>
      <c r="M316" s="98"/>
      <c r="N316" s="98"/>
      <c r="O316" s="98"/>
      <c r="P316" s="98"/>
      <c r="Q316" s="98"/>
      <c r="R316" s="98"/>
      <c r="S316" s="98"/>
      <c r="T316" s="98"/>
      <c r="U316" s="98"/>
      <c r="V316" s="98"/>
      <c r="W316" s="98"/>
    </row>
    <row r="317" spans="1:23" ht="15" customHeight="1">
      <c r="A317" s="98"/>
      <c r="B317" s="98"/>
      <c r="C317" s="98"/>
      <c r="D317" s="98"/>
      <c r="E317" s="98"/>
      <c r="F317" s="98"/>
      <c r="G317" s="98"/>
      <c r="H317" s="98"/>
      <c r="I317" s="98"/>
      <c r="J317" s="98"/>
      <c r="K317" s="98"/>
      <c r="L317" s="98"/>
      <c r="M317" s="98"/>
      <c r="N317" s="98"/>
      <c r="O317" s="98"/>
      <c r="P317" s="98"/>
      <c r="Q317" s="98"/>
      <c r="R317" s="98"/>
      <c r="S317" s="98"/>
      <c r="T317" s="98"/>
      <c r="U317" s="98"/>
      <c r="V317" s="98"/>
      <c r="W317" s="98"/>
    </row>
    <row r="318" spans="1:23" ht="15" customHeight="1">
      <c r="A318" s="98"/>
      <c r="B318" s="98"/>
      <c r="C318" s="98"/>
      <c r="D318" s="98"/>
      <c r="E318" s="98"/>
      <c r="F318" s="98"/>
      <c r="G318" s="98"/>
      <c r="H318" s="98"/>
      <c r="I318" s="98"/>
      <c r="J318" s="98"/>
      <c r="K318" s="98"/>
      <c r="L318" s="98"/>
      <c r="M318" s="98"/>
      <c r="N318" s="98"/>
      <c r="O318" s="98"/>
      <c r="P318" s="98"/>
      <c r="Q318" s="98"/>
      <c r="R318" s="98"/>
      <c r="S318" s="98"/>
      <c r="T318" s="98"/>
      <c r="U318" s="98"/>
      <c r="V318" s="98"/>
      <c r="W318" s="98"/>
    </row>
    <row r="319" spans="1:23" ht="15" customHeight="1">
      <c r="A319" s="98"/>
      <c r="B319" s="98"/>
      <c r="C319" s="98"/>
      <c r="D319" s="98"/>
      <c r="E319" s="98"/>
      <c r="F319" s="98"/>
      <c r="G319" s="98"/>
      <c r="H319" s="98"/>
      <c r="I319" s="98"/>
      <c r="J319" s="98"/>
      <c r="K319" s="98"/>
      <c r="L319" s="98"/>
      <c r="M319" s="98"/>
      <c r="N319" s="98"/>
      <c r="O319" s="98"/>
      <c r="P319" s="98"/>
      <c r="Q319" s="98"/>
      <c r="R319" s="98"/>
      <c r="S319" s="98"/>
      <c r="T319" s="98"/>
      <c r="U319" s="98"/>
      <c r="V319" s="98"/>
      <c r="W319" s="98"/>
    </row>
    <row r="320" spans="1:23" ht="15" customHeight="1">
      <c r="A320" s="98"/>
      <c r="B320" s="98"/>
      <c r="C320" s="98"/>
      <c r="D320" s="98"/>
      <c r="E320" s="98"/>
      <c r="F320" s="98"/>
      <c r="G320" s="98"/>
      <c r="H320" s="98"/>
      <c r="I320" s="98"/>
      <c r="J320" s="98"/>
      <c r="K320" s="98"/>
      <c r="L320" s="98"/>
      <c r="M320" s="98"/>
      <c r="N320" s="98"/>
      <c r="O320" s="98"/>
      <c r="P320" s="98"/>
      <c r="Q320" s="98"/>
      <c r="R320" s="98"/>
      <c r="S320" s="98"/>
      <c r="T320" s="98"/>
      <c r="U320" s="98"/>
      <c r="V320" s="98"/>
      <c r="W320" s="98"/>
    </row>
    <row r="321" spans="1:23" ht="15" customHeight="1">
      <c r="A321" s="98"/>
      <c r="B321" s="98"/>
      <c r="C321" s="98"/>
      <c r="D321" s="98"/>
      <c r="E321" s="98"/>
      <c r="F321" s="98"/>
      <c r="G321" s="98"/>
      <c r="H321" s="98"/>
      <c r="I321" s="98"/>
      <c r="J321" s="98"/>
      <c r="K321" s="98"/>
      <c r="L321" s="98"/>
      <c r="M321" s="98"/>
      <c r="N321" s="98"/>
      <c r="O321" s="98"/>
      <c r="P321" s="98"/>
      <c r="Q321" s="98"/>
      <c r="R321" s="98"/>
      <c r="S321" s="98"/>
      <c r="T321" s="98"/>
      <c r="U321" s="98"/>
      <c r="V321" s="98"/>
      <c r="W321" s="98"/>
    </row>
    <row r="322" spans="1:23" ht="15" customHeight="1">
      <c r="A322" s="98"/>
      <c r="B322" s="98"/>
      <c r="C322" s="98"/>
      <c r="D322" s="98"/>
      <c r="E322" s="98"/>
      <c r="F322" s="98"/>
      <c r="G322" s="98"/>
      <c r="H322" s="98"/>
      <c r="I322" s="98"/>
      <c r="J322" s="98"/>
      <c r="K322" s="98"/>
      <c r="L322" s="98"/>
      <c r="M322" s="98"/>
      <c r="N322" s="98"/>
      <c r="O322" s="98"/>
      <c r="P322" s="98"/>
      <c r="Q322" s="98"/>
      <c r="R322" s="98"/>
      <c r="S322" s="98"/>
      <c r="T322" s="98"/>
      <c r="U322" s="98"/>
      <c r="V322" s="98"/>
      <c r="W322" s="98"/>
    </row>
    <row r="323" spans="1:23" ht="15" customHeight="1">
      <c r="A323" s="98"/>
      <c r="B323" s="98"/>
      <c r="C323" s="98"/>
      <c r="D323" s="98"/>
      <c r="E323" s="98"/>
      <c r="F323" s="98"/>
      <c r="G323" s="98"/>
      <c r="H323" s="98"/>
      <c r="I323" s="98"/>
      <c r="J323" s="98"/>
      <c r="K323" s="98"/>
      <c r="L323" s="98"/>
      <c r="M323" s="98"/>
      <c r="N323" s="98"/>
      <c r="O323" s="98"/>
      <c r="P323" s="98"/>
      <c r="Q323" s="98"/>
      <c r="R323" s="98"/>
      <c r="S323" s="98"/>
      <c r="T323" s="98"/>
      <c r="U323" s="98"/>
      <c r="V323" s="98"/>
      <c r="W323" s="98"/>
    </row>
    <row r="324" spans="1:23" ht="15" customHeight="1">
      <c r="A324" s="98"/>
      <c r="B324" s="98"/>
      <c r="C324" s="98"/>
      <c r="D324" s="98"/>
      <c r="E324" s="98"/>
      <c r="F324" s="98"/>
      <c r="G324" s="98"/>
      <c r="H324" s="98"/>
      <c r="I324" s="98"/>
      <c r="J324" s="98"/>
      <c r="K324" s="98"/>
      <c r="L324" s="98"/>
      <c r="M324" s="98"/>
      <c r="N324" s="98"/>
      <c r="O324" s="98"/>
      <c r="P324" s="98"/>
      <c r="Q324" s="98"/>
      <c r="R324" s="98"/>
      <c r="S324" s="98"/>
      <c r="T324" s="98"/>
      <c r="U324" s="98"/>
      <c r="V324" s="98"/>
      <c r="W324" s="98"/>
    </row>
    <row r="325" spans="1:23" ht="15" customHeight="1">
      <c r="A325" s="98"/>
      <c r="B325" s="98"/>
      <c r="C325" s="98"/>
      <c r="D325" s="98"/>
      <c r="E325" s="98"/>
      <c r="F325" s="98"/>
      <c r="G325" s="98"/>
      <c r="H325" s="98"/>
      <c r="I325" s="98"/>
      <c r="J325" s="98"/>
      <c r="K325" s="98"/>
      <c r="L325" s="98"/>
      <c r="M325" s="98"/>
      <c r="N325" s="98"/>
      <c r="O325" s="98"/>
      <c r="P325" s="98"/>
      <c r="Q325" s="98"/>
      <c r="R325" s="98"/>
      <c r="S325" s="98"/>
      <c r="T325" s="98"/>
      <c r="U325" s="98"/>
      <c r="V325" s="98"/>
      <c r="W325" s="98"/>
    </row>
    <row r="326" spans="1:23" ht="15" customHeight="1">
      <c r="A326" s="98"/>
      <c r="B326" s="98"/>
      <c r="C326" s="98"/>
      <c r="D326" s="98"/>
      <c r="E326" s="98"/>
      <c r="F326" s="98"/>
      <c r="G326" s="98"/>
      <c r="H326" s="98"/>
      <c r="I326" s="98"/>
      <c r="J326" s="98"/>
      <c r="K326" s="98"/>
      <c r="L326" s="98"/>
      <c r="M326" s="98"/>
      <c r="N326" s="98"/>
      <c r="O326" s="98"/>
      <c r="P326" s="98"/>
      <c r="Q326" s="98"/>
      <c r="R326" s="98"/>
      <c r="S326" s="98"/>
      <c r="T326" s="98"/>
      <c r="U326" s="98"/>
      <c r="V326" s="98"/>
      <c r="W326" s="98"/>
    </row>
    <row r="327" spans="1:23" ht="15" customHeight="1">
      <c r="A327" s="98"/>
      <c r="B327" s="98"/>
      <c r="C327" s="98"/>
      <c r="D327" s="98"/>
      <c r="E327" s="98"/>
      <c r="F327" s="98"/>
      <c r="G327" s="98"/>
      <c r="H327" s="98"/>
      <c r="I327" s="98"/>
      <c r="J327" s="98"/>
      <c r="K327" s="98"/>
      <c r="L327" s="98"/>
      <c r="M327" s="98"/>
      <c r="N327" s="98"/>
      <c r="O327" s="98"/>
      <c r="P327" s="98"/>
      <c r="Q327" s="98"/>
      <c r="R327" s="98"/>
      <c r="S327" s="98"/>
      <c r="T327" s="98"/>
      <c r="U327" s="98"/>
      <c r="V327" s="98"/>
      <c r="W327" s="98"/>
    </row>
    <row r="328" spans="1:23" ht="15" customHeight="1">
      <c r="A328" s="98"/>
      <c r="B328" s="98"/>
      <c r="C328" s="98"/>
      <c r="D328" s="98"/>
      <c r="E328" s="98"/>
      <c r="F328" s="98"/>
      <c r="G328" s="98"/>
      <c r="H328" s="98"/>
      <c r="I328" s="98"/>
      <c r="J328" s="98"/>
      <c r="K328" s="98"/>
      <c r="L328" s="98"/>
      <c r="M328" s="98"/>
      <c r="N328" s="98"/>
      <c r="O328" s="98"/>
      <c r="P328" s="98"/>
      <c r="Q328" s="98"/>
      <c r="R328" s="98"/>
      <c r="S328" s="98"/>
      <c r="T328" s="98"/>
      <c r="U328" s="98"/>
      <c r="V328" s="98"/>
      <c r="W328" s="98"/>
    </row>
    <row r="329" spans="1:23" ht="15" customHeight="1">
      <c r="A329" s="98"/>
      <c r="B329" s="98"/>
      <c r="C329" s="98"/>
      <c r="D329" s="98"/>
      <c r="E329" s="98"/>
      <c r="F329" s="98"/>
      <c r="G329" s="98"/>
      <c r="H329" s="98"/>
      <c r="I329" s="98"/>
      <c r="J329" s="98"/>
      <c r="K329" s="98"/>
      <c r="L329" s="98"/>
      <c r="M329" s="98"/>
      <c r="N329" s="98"/>
      <c r="O329" s="98"/>
      <c r="P329" s="98"/>
      <c r="Q329" s="98"/>
      <c r="R329" s="98"/>
      <c r="S329" s="98"/>
      <c r="T329" s="98"/>
      <c r="U329" s="98"/>
      <c r="V329" s="98"/>
      <c r="W329" s="98"/>
    </row>
    <row r="330" spans="1:23" ht="15" customHeight="1">
      <c r="A330" s="98"/>
      <c r="B330" s="98"/>
      <c r="C330" s="98"/>
      <c r="D330" s="98"/>
      <c r="E330" s="98"/>
      <c r="F330" s="98"/>
      <c r="G330" s="98"/>
      <c r="H330" s="98"/>
      <c r="I330" s="98"/>
      <c r="J330" s="98"/>
      <c r="K330" s="98"/>
      <c r="L330" s="98"/>
      <c r="M330" s="98"/>
      <c r="N330" s="98"/>
      <c r="O330" s="98"/>
      <c r="P330" s="98"/>
      <c r="Q330" s="98"/>
      <c r="R330" s="98"/>
      <c r="S330" s="98"/>
      <c r="T330" s="98"/>
      <c r="U330" s="98"/>
      <c r="V330" s="98"/>
      <c r="W330" s="98"/>
    </row>
    <row r="331" spans="1:23" ht="15" customHeight="1">
      <c r="A331" s="98"/>
      <c r="B331" s="98"/>
      <c r="C331" s="98"/>
      <c r="D331" s="98"/>
      <c r="E331" s="98"/>
      <c r="F331" s="98"/>
      <c r="G331" s="98"/>
      <c r="H331" s="98"/>
      <c r="I331" s="98"/>
      <c r="J331" s="98"/>
      <c r="K331" s="98"/>
      <c r="L331" s="98"/>
      <c r="M331" s="98"/>
      <c r="N331" s="98"/>
      <c r="O331" s="98"/>
      <c r="P331" s="98"/>
      <c r="Q331" s="98"/>
      <c r="R331" s="98"/>
      <c r="S331" s="98"/>
      <c r="T331" s="98"/>
      <c r="U331" s="98"/>
      <c r="V331" s="98"/>
      <c r="W331" s="98"/>
    </row>
    <row r="332" spans="1:23" ht="15" customHeight="1">
      <c r="A332" s="98"/>
      <c r="B332" s="98"/>
      <c r="C332" s="98"/>
      <c r="D332" s="98"/>
      <c r="E332" s="98"/>
      <c r="F332" s="98"/>
      <c r="G332" s="98"/>
      <c r="H332" s="98"/>
      <c r="I332" s="98"/>
      <c r="J332" s="98"/>
      <c r="K332" s="98"/>
      <c r="L332" s="98"/>
      <c r="M332" s="98"/>
      <c r="N332" s="98"/>
      <c r="O332" s="98"/>
      <c r="P332" s="98"/>
      <c r="Q332" s="98"/>
      <c r="R332" s="98"/>
      <c r="S332" s="98"/>
      <c r="T332" s="98"/>
      <c r="U332" s="98"/>
      <c r="V332" s="98"/>
      <c r="W332" s="98"/>
    </row>
    <row r="333" spans="1:23" ht="15" customHeight="1">
      <c r="A333" s="98"/>
      <c r="B333" s="98"/>
      <c r="C333" s="98"/>
      <c r="D333" s="98"/>
      <c r="E333" s="98"/>
      <c r="F333" s="98"/>
      <c r="G333" s="98"/>
      <c r="H333" s="98"/>
      <c r="I333" s="98"/>
      <c r="J333" s="98"/>
      <c r="K333" s="98"/>
      <c r="L333" s="98"/>
      <c r="M333" s="98"/>
      <c r="N333" s="98"/>
      <c r="O333" s="98"/>
      <c r="P333" s="98"/>
      <c r="Q333" s="98"/>
      <c r="R333" s="98"/>
      <c r="S333" s="98"/>
      <c r="T333" s="98"/>
      <c r="U333" s="98"/>
      <c r="V333" s="98"/>
      <c r="W333" s="98"/>
    </row>
    <row r="334" spans="1:23" ht="15" customHeight="1">
      <c r="A334" s="98"/>
      <c r="B334" s="98"/>
      <c r="C334" s="98"/>
      <c r="D334" s="98"/>
      <c r="E334" s="98"/>
      <c r="F334" s="98"/>
      <c r="G334" s="98"/>
      <c r="H334" s="98"/>
      <c r="I334" s="98"/>
      <c r="J334" s="98"/>
      <c r="K334" s="98"/>
      <c r="L334" s="98"/>
      <c r="M334" s="98"/>
      <c r="N334" s="98"/>
      <c r="O334" s="98"/>
      <c r="P334" s="98"/>
      <c r="Q334" s="98"/>
      <c r="R334" s="98"/>
      <c r="S334" s="98"/>
      <c r="T334" s="98"/>
      <c r="U334" s="98"/>
      <c r="V334" s="98"/>
      <c r="W334" s="98"/>
    </row>
    <row r="335" spans="1:23" ht="15" customHeight="1">
      <c r="A335" s="98"/>
      <c r="B335" s="98"/>
      <c r="C335" s="98"/>
      <c r="D335" s="98"/>
      <c r="E335" s="98"/>
      <c r="F335" s="98"/>
      <c r="G335" s="98"/>
      <c r="H335" s="98"/>
      <c r="I335" s="98"/>
      <c r="J335" s="98"/>
      <c r="K335" s="98"/>
      <c r="L335" s="98"/>
      <c r="M335" s="98"/>
      <c r="N335" s="98"/>
      <c r="O335" s="98"/>
      <c r="P335" s="98"/>
      <c r="Q335" s="98"/>
      <c r="R335" s="98"/>
      <c r="S335" s="98"/>
      <c r="T335" s="98"/>
      <c r="U335" s="98"/>
      <c r="V335" s="98"/>
      <c r="W335" s="98"/>
    </row>
    <row r="336" spans="1:23" ht="15" customHeight="1">
      <c r="A336" s="98"/>
      <c r="B336" s="98"/>
      <c r="C336" s="98"/>
      <c r="D336" s="98"/>
      <c r="E336" s="98"/>
      <c r="F336" s="98"/>
      <c r="G336" s="98"/>
      <c r="H336" s="98"/>
      <c r="I336" s="98"/>
      <c r="J336" s="98"/>
      <c r="K336" s="98"/>
      <c r="L336" s="98"/>
      <c r="M336" s="98"/>
      <c r="N336" s="98"/>
      <c r="O336" s="98"/>
      <c r="P336" s="98"/>
      <c r="Q336" s="98"/>
      <c r="R336" s="98"/>
      <c r="S336" s="98"/>
      <c r="T336" s="98"/>
      <c r="U336" s="98"/>
      <c r="V336" s="98"/>
      <c r="W336" s="98"/>
    </row>
    <row r="337" spans="1:23" ht="15" customHeight="1">
      <c r="A337" s="98"/>
      <c r="B337" s="98"/>
      <c r="C337" s="98"/>
      <c r="D337" s="98"/>
      <c r="E337" s="98"/>
      <c r="F337" s="98"/>
      <c r="G337" s="98"/>
      <c r="H337" s="98"/>
      <c r="I337" s="98"/>
      <c r="J337" s="98"/>
      <c r="K337" s="98"/>
      <c r="L337" s="98"/>
      <c r="M337" s="98"/>
      <c r="N337" s="98"/>
      <c r="O337" s="98"/>
      <c r="P337" s="98"/>
      <c r="Q337" s="98"/>
      <c r="R337" s="98"/>
      <c r="S337" s="98"/>
      <c r="T337" s="98"/>
      <c r="U337" s="98"/>
      <c r="V337" s="98"/>
      <c r="W337" s="98"/>
    </row>
    <row r="338" spans="1:23" ht="15" customHeight="1">
      <c r="A338" s="98"/>
      <c r="B338" s="98"/>
      <c r="C338" s="98"/>
      <c r="D338" s="98"/>
      <c r="E338" s="98"/>
      <c r="F338" s="98"/>
      <c r="G338" s="98"/>
      <c r="H338" s="98"/>
      <c r="I338" s="98"/>
      <c r="J338" s="98"/>
      <c r="K338" s="98"/>
      <c r="L338" s="98"/>
      <c r="M338" s="98"/>
      <c r="N338" s="98"/>
      <c r="O338" s="98"/>
      <c r="P338" s="98"/>
      <c r="Q338" s="98"/>
      <c r="R338" s="98"/>
      <c r="S338" s="98"/>
      <c r="T338" s="98"/>
      <c r="U338" s="98"/>
      <c r="V338" s="98"/>
      <c r="W338" s="98"/>
    </row>
    <row r="339" spans="1:23" ht="15" customHeight="1">
      <c r="A339" s="98"/>
      <c r="B339" s="98"/>
      <c r="C339" s="98"/>
      <c r="D339" s="98"/>
      <c r="E339" s="98"/>
      <c r="F339" s="98"/>
      <c r="G339" s="98"/>
      <c r="H339" s="98"/>
      <c r="I339" s="98"/>
      <c r="J339" s="98"/>
      <c r="K339" s="98"/>
      <c r="L339" s="98"/>
      <c r="M339" s="98"/>
      <c r="N339" s="98"/>
      <c r="O339" s="98"/>
      <c r="P339" s="98"/>
      <c r="Q339" s="98"/>
      <c r="R339" s="98"/>
      <c r="S339" s="98"/>
      <c r="T339" s="98"/>
      <c r="U339" s="98"/>
      <c r="V339" s="98"/>
      <c r="W339" s="98"/>
    </row>
    <row r="340" spans="1:23" ht="15" customHeight="1">
      <c r="A340" s="98"/>
      <c r="B340" s="98"/>
      <c r="C340" s="98"/>
      <c r="D340" s="98"/>
      <c r="E340" s="98"/>
      <c r="F340" s="98"/>
      <c r="G340" s="98"/>
      <c r="H340" s="98"/>
      <c r="I340" s="98"/>
      <c r="J340" s="98"/>
      <c r="K340" s="98"/>
      <c r="L340" s="98"/>
      <c r="M340" s="98"/>
      <c r="N340" s="98"/>
      <c r="O340" s="98"/>
      <c r="P340" s="98"/>
      <c r="Q340" s="98"/>
      <c r="R340" s="98"/>
      <c r="S340" s="98"/>
      <c r="T340" s="98"/>
      <c r="U340" s="98"/>
      <c r="V340" s="98"/>
      <c r="W340" s="98"/>
    </row>
    <row r="341" spans="1:23" ht="15" customHeight="1">
      <c r="A341" s="98"/>
      <c r="B341" s="98"/>
      <c r="C341" s="98"/>
      <c r="D341" s="98"/>
      <c r="E341" s="98"/>
      <c r="F341" s="98"/>
      <c r="G341" s="98"/>
      <c r="H341" s="98"/>
      <c r="I341" s="98"/>
      <c r="J341" s="98"/>
      <c r="K341" s="98"/>
      <c r="L341" s="98"/>
      <c r="M341" s="98"/>
      <c r="N341" s="98"/>
      <c r="O341" s="98"/>
      <c r="P341" s="98"/>
      <c r="Q341" s="98"/>
      <c r="R341" s="98"/>
      <c r="S341" s="98"/>
      <c r="T341" s="98"/>
      <c r="U341" s="98"/>
      <c r="V341" s="98"/>
      <c r="W341" s="98"/>
    </row>
    <row r="342" spans="1:23" ht="15" customHeight="1">
      <c r="A342" s="98"/>
      <c r="B342" s="98"/>
      <c r="C342" s="98"/>
      <c r="D342" s="98"/>
      <c r="E342" s="98"/>
      <c r="F342" s="98"/>
      <c r="G342" s="98"/>
      <c r="H342" s="98"/>
      <c r="I342" s="98"/>
      <c r="J342" s="98"/>
      <c r="K342" s="98"/>
      <c r="L342" s="98"/>
      <c r="M342" s="98"/>
      <c r="N342" s="98"/>
      <c r="O342" s="98"/>
      <c r="P342" s="98"/>
      <c r="Q342" s="98"/>
      <c r="R342" s="98"/>
      <c r="S342" s="98"/>
      <c r="T342" s="98"/>
      <c r="U342" s="98"/>
      <c r="V342" s="98"/>
      <c r="W342" s="98"/>
    </row>
    <row r="343" spans="1:23" ht="15" customHeight="1">
      <c r="A343" s="98"/>
      <c r="B343" s="98"/>
      <c r="C343" s="98"/>
      <c r="D343" s="98"/>
      <c r="E343" s="98"/>
      <c r="F343" s="98"/>
      <c r="G343" s="98"/>
      <c r="H343" s="98"/>
      <c r="I343" s="98"/>
      <c r="J343" s="98"/>
      <c r="K343" s="98"/>
      <c r="L343" s="98"/>
      <c r="M343" s="98"/>
      <c r="N343" s="98"/>
      <c r="O343" s="98"/>
      <c r="P343" s="98"/>
      <c r="Q343" s="98"/>
      <c r="R343" s="98"/>
      <c r="S343" s="98"/>
      <c r="T343" s="98"/>
      <c r="U343" s="98"/>
      <c r="V343" s="98"/>
      <c r="W343" s="98"/>
    </row>
    <row r="344" spans="1:23" ht="15" customHeight="1">
      <c r="A344" s="98"/>
      <c r="B344" s="98"/>
      <c r="C344" s="98"/>
      <c r="D344" s="98"/>
      <c r="E344" s="98"/>
      <c r="F344" s="98"/>
      <c r="G344" s="98"/>
      <c r="H344" s="98"/>
      <c r="I344" s="98"/>
      <c r="J344" s="98"/>
      <c r="K344" s="98"/>
      <c r="L344" s="98"/>
      <c r="M344" s="98"/>
      <c r="N344" s="98"/>
      <c r="O344" s="98"/>
      <c r="P344" s="98"/>
      <c r="Q344" s="98"/>
      <c r="R344" s="98"/>
      <c r="S344" s="98"/>
      <c r="T344" s="98"/>
      <c r="U344" s="98"/>
      <c r="V344" s="98"/>
      <c r="W344" s="98"/>
    </row>
    <row r="345" spans="1:23" ht="15" customHeight="1">
      <c r="A345" s="98"/>
      <c r="B345" s="98"/>
      <c r="C345" s="98"/>
      <c r="D345" s="98"/>
      <c r="E345" s="98"/>
      <c r="F345" s="98"/>
      <c r="G345" s="98"/>
      <c r="H345" s="98"/>
      <c r="I345" s="98"/>
      <c r="J345" s="98"/>
      <c r="K345" s="98"/>
      <c r="L345" s="98"/>
      <c r="M345" s="98"/>
      <c r="N345" s="98"/>
      <c r="O345" s="98"/>
      <c r="P345" s="98"/>
      <c r="Q345" s="98"/>
      <c r="R345" s="98"/>
      <c r="S345" s="98"/>
      <c r="T345" s="98"/>
      <c r="U345" s="98"/>
      <c r="V345" s="98"/>
      <c r="W345" s="98"/>
    </row>
    <row r="346" spans="1:23" ht="15" customHeight="1">
      <c r="A346" s="98"/>
      <c r="B346" s="98"/>
      <c r="C346" s="98"/>
      <c r="D346" s="98"/>
      <c r="E346" s="98"/>
      <c r="F346" s="98"/>
      <c r="G346" s="98"/>
      <c r="H346" s="98"/>
      <c r="I346" s="98"/>
      <c r="J346" s="98"/>
      <c r="K346" s="98"/>
      <c r="L346" s="98"/>
      <c r="M346" s="98"/>
      <c r="N346" s="98"/>
      <c r="O346" s="98"/>
      <c r="P346" s="98"/>
      <c r="Q346" s="98"/>
      <c r="R346" s="98"/>
      <c r="S346" s="98"/>
      <c r="T346" s="98"/>
      <c r="U346" s="98"/>
      <c r="V346" s="98"/>
      <c r="W346" s="98"/>
    </row>
    <row r="347" spans="1:23" ht="15" customHeight="1">
      <c r="A347" s="98"/>
      <c r="B347" s="98"/>
      <c r="C347" s="98"/>
      <c r="D347" s="98"/>
      <c r="E347" s="98"/>
      <c r="F347" s="98"/>
      <c r="G347" s="98"/>
      <c r="H347" s="98"/>
      <c r="I347" s="98"/>
      <c r="J347" s="98"/>
      <c r="K347" s="98"/>
      <c r="L347" s="98"/>
      <c r="M347" s="98"/>
      <c r="N347" s="98"/>
      <c r="O347" s="98"/>
      <c r="P347" s="98"/>
      <c r="Q347" s="98"/>
      <c r="R347" s="98"/>
      <c r="S347" s="98"/>
      <c r="T347" s="98"/>
      <c r="U347" s="98"/>
      <c r="V347" s="98"/>
      <c r="W347" s="98"/>
    </row>
    <row r="348" spans="1:23" ht="15" customHeight="1">
      <c r="A348" s="98"/>
      <c r="B348" s="98"/>
      <c r="C348" s="98"/>
      <c r="D348" s="98"/>
      <c r="E348" s="98"/>
      <c r="F348" s="98"/>
      <c r="G348" s="98"/>
      <c r="H348" s="98"/>
      <c r="I348" s="98"/>
      <c r="J348" s="98"/>
      <c r="K348" s="98"/>
      <c r="L348" s="98"/>
      <c r="M348" s="98"/>
      <c r="N348" s="98"/>
      <c r="O348" s="98"/>
      <c r="P348" s="98"/>
      <c r="Q348" s="98"/>
      <c r="R348" s="98"/>
      <c r="S348" s="98"/>
      <c r="T348" s="98"/>
      <c r="U348" s="98"/>
      <c r="V348" s="98"/>
      <c r="W348" s="98"/>
    </row>
    <row r="349" spans="1:23" ht="15" customHeight="1">
      <c r="A349" s="98"/>
      <c r="B349" s="98"/>
      <c r="C349" s="98"/>
      <c r="D349" s="98"/>
      <c r="E349" s="98"/>
      <c r="F349" s="98"/>
      <c r="G349" s="98"/>
      <c r="H349" s="98"/>
      <c r="I349" s="98"/>
      <c r="J349" s="98"/>
      <c r="K349" s="98"/>
      <c r="L349" s="98"/>
      <c r="M349" s="98"/>
      <c r="N349" s="98"/>
      <c r="O349" s="98"/>
      <c r="P349" s="98"/>
      <c r="Q349" s="98"/>
      <c r="R349" s="98"/>
      <c r="S349" s="98"/>
      <c r="T349" s="98"/>
      <c r="U349" s="98"/>
      <c r="V349" s="98"/>
      <c r="W349" s="98"/>
    </row>
    <row r="350" spans="1:23" ht="15" customHeight="1">
      <c r="A350" s="98"/>
      <c r="B350" s="98"/>
      <c r="C350" s="98"/>
      <c r="D350" s="98"/>
      <c r="E350" s="98"/>
      <c r="F350" s="98"/>
      <c r="G350" s="98"/>
      <c r="H350" s="98"/>
      <c r="I350" s="98"/>
      <c r="J350" s="98"/>
      <c r="K350" s="98"/>
      <c r="L350" s="98"/>
      <c r="M350" s="98"/>
      <c r="N350" s="98"/>
      <c r="O350" s="98"/>
      <c r="P350" s="98"/>
      <c r="Q350" s="98"/>
      <c r="R350" s="98"/>
      <c r="S350" s="98"/>
      <c r="T350" s="98"/>
      <c r="U350" s="98"/>
      <c r="V350" s="98"/>
      <c r="W350" s="98"/>
    </row>
    <row r="351" spans="1:23" ht="15" customHeight="1">
      <c r="A351" s="98"/>
      <c r="B351" s="98"/>
      <c r="C351" s="98"/>
      <c r="D351" s="98"/>
      <c r="E351" s="98"/>
      <c r="F351" s="98"/>
      <c r="G351" s="98"/>
      <c r="H351" s="98"/>
      <c r="I351" s="98"/>
      <c r="J351" s="98"/>
      <c r="K351" s="98"/>
      <c r="L351" s="98"/>
      <c r="M351" s="98"/>
      <c r="N351" s="98"/>
      <c r="O351" s="98"/>
      <c r="P351" s="98"/>
      <c r="Q351" s="98"/>
      <c r="R351" s="98"/>
      <c r="S351" s="98"/>
      <c r="T351" s="98"/>
      <c r="U351" s="98"/>
      <c r="V351" s="98"/>
      <c r="W351" s="98"/>
    </row>
    <row r="352" spans="1:23" ht="15" customHeight="1">
      <c r="A352" s="98"/>
      <c r="B352" s="98"/>
      <c r="C352" s="98"/>
      <c r="D352" s="98"/>
      <c r="E352" s="98"/>
      <c r="F352" s="98"/>
      <c r="G352" s="98"/>
      <c r="H352" s="98"/>
      <c r="I352" s="98"/>
      <c r="J352" s="98"/>
      <c r="K352" s="98"/>
      <c r="L352" s="98"/>
      <c r="M352" s="98"/>
      <c r="N352" s="98"/>
      <c r="O352" s="98"/>
      <c r="P352" s="98"/>
      <c r="Q352" s="98"/>
      <c r="R352" s="98"/>
      <c r="S352" s="98"/>
      <c r="T352" s="98"/>
      <c r="U352" s="98"/>
      <c r="V352" s="98"/>
      <c r="W352" s="98"/>
    </row>
    <row r="353" spans="1:23" ht="15" customHeight="1">
      <c r="A353" s="98"/>
      <c r="B353" s="98"/>
      <c r="C353" s="98"/>
      <c r="D353" s="98"/>
      <c r="E353" s="98"/>
      <c r="F353" s="98"/>
      <c r="G353" s="98"/>
      <c r="H353" s="98"/>
      <c r="I353" s="98"/>
      <c r="J353" s="98"/>
      <c r="K353" s="98"/>
      <c r="L353" s="98"/>
      <c r="M353" s="98"/>
      <c r="N353" s="98"/>
      <c r="O353" s="98"/>
      <c r="P353" s="98"/>
      <c r="Q353" s="98"/>
      <c r="R353" s="98"/>
      <c r="S353" s="98"/>
      <c r="T353" s="98"/>
      <c r="U353" s="98"/>
      <c r="V353" s="98"/>
      <c r="W353" s="98"/>
    </row>
    <row r="354" spans="1:23" ht="15" customHeight="1">
      <c r="A354" s="98"/>
      <c r="B354" s="98"/>
      <c r="C354" s="98"/>
      <c r="D354" s="98"/>
      <c r="E354" s="98"/>
      <c r="F354" s="98"/>
      <c r="G354" s="98"/>
      <c r="H354" s="98"/>
      <c r="I354" s="98"/>
      <c r="J354" s="98"/>
      <c r="K354" s="98"/>
      <c r="L354" s="98"/>
      <c r="M354" s="98"/>
      <c r="N354" s="98"/>
      <c r="O354" s="98"/>
      <c r="P354" s="98"/>
      <c r="Q354" s="98"/>
      <c r="R354" s="98"/>
      <c r="S354" s="98"/>
      <c r="T354" s="98"/>
      <c r="U354" s="98"/>
      <c r="V354" s="98"/>
      <c r="W354" s="98"/>
    </row>
    <row r="355" spans="1:23" ht="15" customHeight="1">
      <c r="A355" s="98"/>
      <c r="B355" s="98"/>
      <c r="C355" s="98"/>
      <c r="D355" s="98"/>
      <c r="E355" s="98"/>
      <c r="F355" s="98"/>
      <c r="G355" s="98"/>
      <c r="H355" s="98"/>
      <c r="I355" s="98"/>
      <c r="J355" s="98"/>
      <c r="K355" s="98"/>
      <c r="L355" s="98"/>
      <c r="M355" s="98"/>
      <c r="N355" s="98"/>
      <c r="O355" s="98"/>
      <c r="P355" s="98"/>
      <c r="Q355" s="98"/>
      <c r="R355" s="98"/>
      <c r="S355" s="98"/>
      <c r="T355" s="98"/>
      <c r="U355" s="98"/>
      <c r="V355" s="98"/>
      <c r="W355" s="98"/>
    </row>
    <row r="356" spans="1:23" ht="15" customHeight="1">
      <c r="A356" s="98"/>
      <c r="B356" s="98"/>
      <c r="C356" s="98"/>
      <c r="D356" s="98"/>
      <c r="E356" s="98"/>
      <c r="F356" s="98"/>
      <c r="G356" s="98"/>
      <c r="H356" s="98"/>
      <c r="I356" s="98"/>
      <c r="J356" s="98"/>
      <c r="K356" s="98"/>
      <c r="L356" s="98"/>
      <c r="M356" s="98"/>
      <c r="N356" s="98"/>
      <c r="O356" s="98"/>
      <c r="P356" s="98"/>
      <c r="Q356" s="98"/>
      <c r="R356" s="98"/>
      <c r="S356" s="98"/>
      <c r="T356" s="98"/>
      <c r="U356" s="98"/>
      <c r="V356" s="98"/>
      <c r="W356" s="98"/>
    </row>
    <row r="357" spans="1:23" ht="15" customHeight="1">
      <c r="A357" s="98"/>
      <c r="B357" s="98"/>
      <c r="C357" s="98"/>
      <c r="D357" s="98"/>
      <c r="E357" s="98"/>
      <c r="F357" s="98"/>
      <c r="G357" s="98"/>
      <c r="H357" s="98"/>
      <c r="I357" s="98"/>
      <c r="J357" s="98"/>
      <c r="K357" s="98"/>
      <c r="L357" s="98"/>
      <c r="M357" s="98"/>
      <c r="N357" s="98"/>
      <c r="O357" s="98"/>
      <c r="P357" s="98"/>
      <c r="Q357" s="98"/>
      <c r="R357" s="98"/>
      <c r="S357" s="98"/>
      <c r="T357" s="98"/>
      <c r="U357" s="98"/>
      <c r="V357" s="98"/>
      <c r="W357" s="98"/>
    </row>
    <row r="358" spans="1:23" ht="15" customHeight="1">
      <c r="A358" s="98"/>
      <c r="B358" s="98"/>
      <c r="C358" s="98"/>
      <c r="D358" s="98"/>
      <c r="E358" s="98"/>
      <c r="F358" s="98"/>
      <c r="G358" s="98"/>
      <c r="H358" s="98"/>
      <c r="I358" s="98"/>
      <c r="J358" s="98"/>
      <c r="K358" s="98"/>
      <c r="L358" s="98"/>
      <c r="M358" s="98"/>
      <c r="N358" s="98"/>
      <c r="O358" s="98"/>
      <c r="P358" s="98"/>
      <c r="Q358" s="98"/>
      <c r="R358" s="98"/>
      <c r="S358" s="98"/>
      <c r="T358" s="98"/>
      <c r="U358" s="98"/>
      <c r="V358" s="98"/>
      <c r="W358" s="98"/>
    </row>
    <row r="359" spans="1:23" ht="15" customHeight="1">
      <c r="A359" s="98"/>
      <c r="B359" s="98"/>
      <c r="C359" s="98"/>
      <c r="D359" s="98"/>
      <c r="E359" s="98"/>
      <c r="F359" s="98"/>
      <c r="G359" s="98"/>
      <c r="H359" s="98"/>
      <c r="I359" s="98"/>
      <c r="J359" s="98"/>
      <c r="K359" s="98"/>
      <c r="L359" s="98"/>
      <c r="M359" s="98"/>
      <c r="N359" s="98"/>
      <c r="O359" s="98"/>
      <c r="P359" s="98"/>
      <c r="Q359" s="98"/>
      <c r="R359" s="98"/>
      <c r="S359" s="98"/>
      <c r="T359" s="98"/>
      <c r="U359" s="98"/>
      <c r="V359" s="98"/>
      <c r="W359" s="98"/>
    </row>
    <row r="360" spans="1:23" ht="15" customHeight="1">
      <c r="A360" s="98"/>
      <c r="B360" s="98"/>
      <c r="C360" s="98"/>
      <c r="D360" s="98"/>
      <c r="E360" s="98"/>
      <c r="F360" s="98"/>
      <c r="G360" s="98"/>
      <c r="H360" s="98"/>
      <c r="I360" s="98"/>
      <c r="J360" s="98"/>
      <c r="K360" s="98"/>
      <c r="L360" s="98"/>
      <c r="M360" s="98"/>
      <c r="N360" s="98"/>
      <c r="O360" s="98"/>
      <c r="P360" s="98"/>
      <c r="Q360" s="98"/>
      <c r="R360" s="98"/>
      <c r="S360" s="98"/>
      <c r="T360" s="98"/>
      <c r="U360" s="98"/>
      <c r="V360" s="98"/>
      <c r="W360" s="98"/>
    </row>
    <row r="361" spans="1:23" ht="15" customHeight="1">
      <c r="A361" s="98"/>
      <c r="B361" s="98"/>
      <c r="C361" s="98"/>
      <c r="D361" s="98"/>
      <c r="E361" s="98"/>
      <c r="F361" s="98"/>
      <c r="G361" s="98"/>
      <c r="H361" s="98"/>
      <c r="I361" s="98"/>
      <c r="J361" s="98"/>
      <c r="K361" s="98"/>
      <c r="L361" s="98"/>
      <c r="M361" s="98"/>
      <c r="N361" s="98"/>
      <c r="O361" s="98"/>
      <c r="P361" s="98"/>
      <c r="Q361" s="98"/>
      <c r="R361" s="98"/>
      <c r="S361" s="98"/>
      <c r="T361" s="98"/>
      <c r="U361" s="98"/>
      <c r="V361" s="98"/>
      <c r="W361" s="98"/>
    </row>
    <row r="362" spans="1:23" ht="15" customHeight="1">
      <c r="A362" s="98"/>
      <c r="B362" s="98"/>
      <c r="C362" s="98"/>
      <c r="D362" s="98"/>
      <c r="E362" s="98"/>
      <c r="F362" s="98"/>
      <c r="G362" s="98"/>
      <c r="H362" s="98"/>
      <c r="I362" s="98"/>
      <c r="J362" s="98"/>
      <c r="K362" s="98"/>
      <c r="L362" s="98"/>
      <c r="M362" s="98"/>
      <c r="N362" s="98"/>
      <c r="O362" s="98"/>
      <c r="P362" s="98"/>
      <c r="Q362" s="98"/>
      <c r="R362" s="98"/>
      <c r="S362" s="98"/>
      <c r="T362" s="98"/>
      <c r="U362" s="98"/>
      <c r="V362" s="98"/>
      <c r="W362" s="98"/>
    </row>
    <row r="363" spans="1:23" ht="15" customHeight="1">
      <c r="A363" s="98"/>
      <c r="B363" s="98"/>
      <c r="C363" s="98"/>
      <c r="D363" s="98"/>
      <c r="E363" s="98"/>
      <c r="F363" s="98"/>
      <c r="G363" s="98"/>
      <c r="H363" s="98"/>
      <c r="I363" s="98"/>
      <c r="J363" s="98"/>
      <c r="K363" s="98"/>
      <c r="L363" s="98"/>
      <c r="M363" s="98"/>
      <c r="N363" s="98"/>
      <c r="O363" s="98"/>
      <c r="P363" s="98"/>
      <c r="Q363" s="98"/>
      <c r="R363" s="98"/>
      <c r="S363" s="98"/>
      <c r="T363" s="98"/>
      <c r="U363" s="98"/>
      <c r="V363" s="98"/>
      <c r="W363" s="98"/>
    </row>
    <row r="364" spans="1:23" ht="15" customHeight="1">
      <c r="A364" s="98"/>
      <c r="B364" s="98"/>
      <c r="C364" s="98"/>
      <c r="D364" s="98"/>
      <c r="E364" s="98"/>
      <c r="F364" s="98"/>
      <c r="G364" s="98"/>
      <c r="H364" s="98"/>
      <c r="I364" s="98"/>
      <c r="J364" s="98"/>
      <c r="K364" s="98"/>
      <c r="L364" s="98"/>
      <c r="M364" s="98"/>
      <c r="N364" s="98"/>
      <c r="O364" s="98"/>
      <c r="P364" s="98"/>
      <c r="Q364" s="98"/>
      <c r="R364" s="98"/>
      <c r="S364" s="98"/>
      <c r="T364" s="98"/>
      <c r="U364" s="98"/>
      <c r="V364" s="98"/>
      <c r="W364" s="98"/>
    </row>
    <row r="365" spans="1:23" ht="15" customHeight="1">
      <c r="A365" s="98"/>
      <c r="B365" s="98"/>
      <c r="C365" s="98"/>
      <c r="D365" s="98"/>
      <c r="E365" s="98"/>
      <c r="F365" s="98"/>
      <c r="G365" s="98"/>
      <c r="H365" s="98"/>
      <c r="I365" s="98"/>
      <c r="J365" s="98"/>
      <c r="K365" s="98"/>
      <c r="L365" s="98"/>
      <c r="M365" s="98"/>
      <c r="N365" s="98"/>
      <c r="O365" s="98"/>
      <c r="P365" s="98"/>
      <c r="Q365" s="98"/>
      <c r="R365" s="98"/>
      <c r="S365" s="98"/>
      <c r="T365" s="98"/>
      <c r="U365" s="98"/>
      <c r="V365" s="98"/>
      <c r="W365" s="98"/>
    </row>
    <row r="366" spans="1:23" ht="15" customHeight="1">
      <c r="A366" s="98"/>
      <c r="B366" s="98"/>
      <c r="C366" s="98"/>
      <c r="D366" s="98"/>
      <c r="E366" s="98"/>
      <c r="F366" s="98"/>
      <c r="G366" s="98"/>
      <c r="H366" s="98"/>
      <c r="I366" s="98"/>
      <c r="J366" s="98"/>
      <c r="K366" s="98"/>
      <c r="L366" s="98"/>
      <c r="M366" s="98"/>
      <c r="N366" s="98"/>
      <c r="O366" s="98"/>
      <c r="P366" s="98"/>
      <c r="Q366" s="98"/>
      <c r="R366" s="98"/>
      <c r="S366" s="98"/>
      <c r="T366" s="98"/>
      <c r="U366" s="98"/>
      <c r="V366" s="98"/>
      <c r="W366" s="98"/>
    </row>
    <row r="367" spans="1:23" ht="15" customHeight="1">
      <c r="A367" s="98"/>
      <c r="B367" s="98"/>
      <c r="C367" s="98"/>
      <c r="D367" s="98"/>
      <c r="E367" s="98"/>
      <c r="F367" s="98"/>
      <c r="G367" s="98"/>
      <c r="H367" s="98"/>
      <c r="I367" s="98"/>
      <c r="J367" s="98"/>
      <c r="K367" s="98"/>
      <c r="L367" s="98"/>
      <c r="M367" s="98"/>
      <c r="N367" s="98"/>
      <c r="O367" s="98"/>
      <c r="P367" s="98"/>
      <c r="Q367" s="98"/>
      <c r="R367" s="98"/>
      <c r="S367" s="98"/>
      <c r="T367" s="98"/>
      <c r="U367" s="98"/>
      <c r="V367" s="98"/>
      <c r="W367" s="98"/>
    </row>
    <row r="368" spans="1:23" ht="15" customHeight="1">
      <c r="A368" s="98"/>
      <c r="B368" s="98"/>
      <c r="C368" s="98"/>
      <c r="D368" s="98"/>
      <c r="E368" s="98"/>
      <c r="F368" s="98"/>
      <c r="G368" s="98"/>
      <c r="H368" s="98"/>
      <c r="I368" s="98"/>
      <c r="J368" s="98"/>
      <c r="K368" s="98"/>
      <c r="L368" s="98"/>
      <c r="M368" s="98"/>
      <c r="N368" s="98"/>
      <c r="O368" s="98"/>
      <c r="P368" s="98"/>
      <c r="Q368" s="98"/>
      <c r="R368" s="98"/>
      <c r="S368" s="98"/>
      <c r="T368" s="98"/>
      <c r="U368" s="98"/>
      <c r="V368" s="98"/>
      <c r="W368" s="98"/>
    </row>
  </sheetData>
  <hyperlinks>
    <hyperlink ref="C3" r:id="rId1"/>
    <hyperlink ref="C4" r:id="rId2"/>
    <hyperlink ref="C5" r:id="rId3"/>
    <hyperlink ref="C6" r:id="rId4"/>
    <hyperlink ref="C8" r:id="rId5"/>
    <hyperlink ref="C9" r:id="rId6"/>
    <hyperlink ref="C10" r:id="rId7"/>
    <hyperlink ref="C11" r:id="rId8"/>
    <hyperlink ref="C12" r:id="rId9"/>
    <hyperlink ref="C13" r:id="rId10"/>
    <hyperlink ref="C14" r:id="rId11"/>
    <hyperlink ref="C15" r:id="rId12"/>
    <hyperlink ref="C16" r:id="rId13"/>
    <hyperlink ref="C17" r:id="rId14"/>
    <hyperlink ref="C18" r:id="rId15"/>
    <hyperlink ref="C19" r:id="rId16"/>
    <hyperlink ref="C20" r:id="rId17"/>
    <hyperlink ref="C21" r:id="rId18"/>
    <hyperlink ref="C22" r:id="rId19"/>
    <hyperlink ref="C23" r:id="rId20"/>
    <hyperlink ref="C24" r:id="rId21"/>
    <hyperlink ref="C25" r:id="rId22"/>
    <hyperlink ref="C26" r:id="rId23"/>
    <hyperlink ref="C27" r:id="rId24"/>
    <hyperlink ref="C28" r:id="rId25"/>
    <hyperlink ref="C29" r:id="rId26"/>
    <hyperlink ref="C30" r:id="rId27"/>
    <hyperlink ref="C31" r:id="rId28"/>
    <hyperlink ref="C32" r:id="rId29"/>
    <hyperlink ref="C33" r:id="rId30"/>
    <hyperlink ref="C34" r:id="rId31"/>
    <hyperlink ref="C35" r:id="rId32"/>
    <hyperlink ref="C36" r:id="rId33"/>
    <hyperlink ref="C37" r:id="rId34"/>
    <hyperlink ref="C38" r:id="rId35"/>
    <hyperlink ref="C39" r:id="rId36"/>
    <hyperlink ref="C40" r:id="rId37"/>
    <hyperlink ref="C41" r:id="rId38"/>
    <hyperlink ref="C42" r:id="rId39"/>
    <hyperlink ref="C43" r:id="rId40"/>
    <hyperlink ref="C44" r:id="rId41"/>
    <hyperlink ref="C45" r:id="rId42"/>
    <hyperlink ref="C46" r:id="rId43"/>
    <hyperlink ref="C47" r:id="rId44"/>
    <hyperlink ref="C48" r:id="rId45"/>
    <hyperlink ref="C49" r:id="rId46"/>
    <hyperlink ref="C50" r:id="rId47"/>
    <hyperlink ref="C51" r:id="rId48"/>
    <hyperlink ref="C52" r:id="rId49"/>
    <hyperlink ref="C53" r:id="rId50"/>
    <hyperlink ref="C54" r:id="rId51"/>
    <hyperlink ref="C55" r:id="rId52"/>
    <hyperlink ref="C56" r:id="rId53"/>
    <hyperlink ref="C57" r:id="rId54"/>
    <hyperlink ref="C58" r:id="rId55"/>
    <hyperlink ref="C59" r:id="rId56"/>
    <hyperlink ref="C60" r:id="rId57"/>
    <hyperlink ref="C61" r:id="rId58"/>
    <hyperlink ref="C62" r:id="rId59"/>
    <hyperlink ref="C63" r:id="rId60"/>
    <hyperlink ref="C64" r:id="rId61"/>
    <hyperlink ref="C65" r:id="rId62"/>
    <hyperlink ref="C66" r:id="rId63"/>
    <hyperlink ref="C67" r:id="rId64"/>
    <hyperlink ref="C68" r:id="rId65"/>
    <hyperlink ref="C69" r:id="rId66"/>
    <hyperlink ref="C70" r:id="rId67"/>
    <hyperlink ref="C71" r:id="rId68"/>
    <hyperlink ref="C72" r:id="rId69"/>
    <hyperlink ref="C73" r:id="rId70"/>
    <hyperlink ref="C74" r:id="rId71"/>
    <hyperlink ref="C75" r:id="rId72"/>
    <hyperlink ref="C76" r:id="rId73"/>
    <hyperlink ref="C77" r:id="rId74"/>
    <hyperlink ref="C78" r:id="rId75"/>
    <hyperlink ref="C79" r:id="rId76"/>
    <hyperlink ref="C80" r:id="rId77"/>
    <hyperlink ref="C81" r:id="rId78"/>
    <hyperlink ref="C82" r:id="rId79"/>
    <hyperlink ref="C83" r:id="rId80"/>
    <hyperlink ref="C84" r:id="rId81"/>
    <hyperlink ref="C85" r:id="rId82"/>
    <hyperlink ref="C86" r:id="rId83"/>
    <hyperlink ref="C87" r:id="rId84"/>
    <hyperlink ref="C88" r:id="rId85"/>
    <hyperlink ref="C89" r:id="rId86"/>
    <hyperlink ref="C90" r:id="rId87"/>
    <hyperlink ref="C91" r:id="rId88"/>
    <hyperlink ref="C92" r:id="rId89"/>
    <hyperlink ref="C93" r:id="rId90"/>
    <hyperlink ref="C94" r:id="rId91"/>
    <hyperlink ref="C95" r:id="rId92"/>
    <hyperlink ref="C96" r:id="rId93"/>
    <hyperlink ref="C97" r:id="rId94"/>
    <hyperlink ref="C98" r:id="rId95"/>
    <hyperlink ref="C99" r:id="rId96"/>
    <hyperlink ref="C100" r:id="rId97"/>
    <hyperlink ref="C101" r:id="rId98"/>
    <hyperlink ref="C102" r:id="rId99"/>
    <hyperlink ref="C103" r:id="rId100"/>
    <hyperlink ref="C104" r:id="rId101"/>
    <hyperlink ref="C105" r:id="rId102"/>
    <hyperlink ref="C106" r:id="rId103"/>
    <hyperlink ref="C107" r:id="rId104"/>
    <hyperlink ref="C108" r:id="rId105"/>
    <hyperlink ref="C109" r:id="rId106"/>
    <hyperlink ref="C110" r:id="rId107"/>
    <hyperlink ref="C111" r:id="rId108"/>
    <hyperlink ref="C112" r:id="rId109"/>
    <hyperlink ref="C113" r:id="rId110"/>
    <hyperlink ref="C114" r:id="rId111"/>
    <hyperlink ref="C115" r:id="rId112"/>
    <hyperlink ref="C116" r:id="rId113"/>
    <hyperlink ref="C117" r:id="rId114"/>
    <hyperlink ref="C118" r:id="rId115"/>
    <hyperlink ref="C119" r:id="rId116"/>
    <hyperlink ref="C120" r:id="rId117"/>
    <hyperlink ref="C121" r:id="rId118"/>
    <hyperlink ref="C122" r:id="rId119"/>
    <hyperlink ref="C123" r:id="rId120"/>
    <hyperlink ref="C124" r:id="rId121"/>
    <hyperlink ref="C125" r:id="rId122"/>
    <hyperlink ref="C126" r:id="rId123"/>
    <hyperlink ref="C127" r:id="rId124"/>
    <hyperlink ref="C128" r:id="rId125"/>
    <hyperlink ref="C129" r:id="rId126"/>
    <hyperlink ref="C130" r:id="rId127"/>
    <hyperlink ref="C131" r:id="rId128"/>
    <hyperlink ref="C132" r:id="rId129"/>
    <hyperlink ref="C133" r:id="rId130"/>
    <hyperlink ref="C134" r:id="rId131"/>
    <hyperlink ref="C135" r:id="rId132"/>
    <hyperlink ref="C136" r:id="rId133"/>
    <hyperlink ref="C137" r:id="rId134"/>
    <hyperlink ref="C138" r:id="rId135"/>
    <hyperlink ref="C139" r:id="rId136"/>
    <hyperlink ref="C140" r:id="rId137"/>
    <hyperlink ref="C141" r:id="rId138"/>
    <hyperlink ref="C142" r:id="rId139"/>
    <hyperlink ref="C143" r:id="rId140"/>
    <hyperlink ref="C144" r:id="rId141"/>
    <hyperlink ref="C145" r:id="rId142"/>
    <hyperlink ref="C146" r:id="rId143"/>
    <hyperlink ref="C147" r:id="rId144"/>
    <hyperlink ref="C148" r:id="rId145"/>
    <hyperlink ref="C149" r:id="rId146"/>
    <hyperlink ref="C150" r:id="rId147"/>
    <hyperlink ref="C151" r:id="rId148"/>
    <hyperlink ref="C152" r:id="rId149"/>
    <hyperlink ref="C153" r:id="rId150"/>
    <hyperlink ref="C154" r:id="rId151"/>
    <hyperlink ref="C155" r:id="rId152"/>
    <hyperlink ref="C156" r:id="rId153"/>
    <hyperlink ref="C157" r:id="rId154"/>
    <hyperlink ref="C158" r:id="rId155"/>
    <hyperlink ref="C159" r:id="rId156"/>
    <hyperlink ref="C160" r:id="rId157"/>
    <hyperlink ref="C161" r:id="rId158"/>
    <hyperlink ref="C162" r:id="rId159"/>
    <hyperlink ref="C163" r:id="rId160"/>
    <hyperlink ref="C164" r:id="rId161"/>
    <hyperlink ref="C165" r:id="rId162"/>
    <hyperlink ref="C166" r:id="rId163"/>
    <hyperlink ref="C167" r:id="rId164"/>
    <hyperlink ref="C168" r:id="rId165"/>
    <hyperlink ref="C169" r:id="rId166"/>
    <hyperlink ref="C170" r:id="rId167"/>
    <hyperlink ref="C171" r:id="rId168"/>
    <hyperlink ref="C172" r:id="rId169"/>
    <hyperlink ref="C173" r:id="rId170"/>
    <hyperlink ref="C174" r:id="rId171"/>
    <hyperlink ref="C175" r:id="rId172"/>
    <hyperlink ref="C176" r:id="rId173"/>
    <hyperlink ref="C177" r:id="rId174"/>
    <hyperlink ref="C178" r:id="rId175"/>
    <hyperlink ref="C179" r:id="rId176"/>
    <hyperlink ref="C180" r:id="rId177"/>
    <hyperlink ref="C181" r:id="rId178"/>
    <hyperlink ref="C182" r:id="rId179"/>
    <hyperlink ref="C183" r:id="rId180"/>
    <hyperlink ref="C184" r:id="rId181"/>
    <hyperlink ref="C185" r:id="rId182"/>
    <hyperlink ref="C186" r:id="rId183"/>
    <hyperlink ref="C187" r:id="rId184"/>
    <hyperlink ref="C188" r:id="rId185"/>
    <hyperlink ref="C189" r:id="rId186"/>
    <hyperlink ref="C190" r:id="rId187"/>
    <hyperlink ref="C191" r:id="rId188"/>
    <hyperlink ref="C192" r:id="rId189"/>
    <hyperlink ref="C193" r:id="rId190"/>
    <hyperlink ref="C194" r:id="rId191"/>
    <hyperlink ref="C195" r:id="rId192"/>
    <hyperlink ref="C196" r:id="rId193"/>
    <hyperlink ref="C197" r:id="rId194"/>
    <hyperlink ref="C198" r:id="rId195"/>
    <hyperlink ref="C199" r:id="rId196"/>
    <hyperlink ref="C200" r:id="rId197"/>
    <hyperlink ref="C201" r:id="rId198"/>
  </hyperlink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tabColor rgb="FF8EAADB"/>
  </sheetPr>
  <dimension ref="A1:P1058"/>
  <sheetViews>
    <sheetView workbookViewId="0"/>
  </sheetViews>
  <sheetFormatPr baseColWidth="10" defaultColWidth="14.42578125" defaultRowHeight="15" customHeight="1"/>
  <cols>
    <col min="1" max="1" width="9.42578125" customWidth="1"/>
    <col min="2" max="2" width="10.7109375" customWidth="1"/>
    <col min="3" max="3" width="11.42578125" customWidth="1"/>
    <col min="4" max="4" width="11.7109375" customWidth="1"/>
    <col min="5" max="5" width="10.7109375" customWidth="1"/>
    <col min="6" max="6" width="9.5703125" customWidth="1"/>
    <col min="7" max="7" width="11.140625" customWidth="1"/>
    <col min="8" max="8" width="9.85546875" customWidth="1"/>
    <col min="9" max="9" width="1.85546875" customWidth="1"/>
    <col min="10" max="10" width="9.42578125" customWidth="1"/>
    <col min="11" max="11" width="11" customWidth="1"/>
    <col min="12" max="12" width="9.7109375" customWidth="1"/>
    <col min="13" max="13" width="10.7109375" customWidth="1"/>
    <col min="14" max="14" width="10" customWidth="1"/>
    <col min="15" max="15" width="10.28515625" customWidth="1"/>
    <col min="16" max="16" width="8.7109375" customWidth="1"/>
  </cols>
  <sheetData>
    <row r="1" spans="1:8" ht="15" customHeight="1">
      <c r="A1" s="1" t="s">
        <v>0</v>
      </c>
      <c r="B1" s="2" t="s">
        <v>1</v>
      </c>
      <c r="C1" s="3" t="s">
        <v>2</v>
      </c>
      <c r="H1" s="4"/>
    </row>
    <row r="2" spans="1:8" ht="14.25" customHeight="1">
      <c r="A2" s="5">
        <v>44148</v>
      </c>
      <c r="B2" s="6">
        <v>14760</v>
      </c>
      <c r="C2" s="7" t="s">
        <v>33</v>
      </c>
      <c r="D2" s="7"/>
      <c r="E2" s="7"/>
      <c r="H2" s="4"/>
    </row>
    <row r="3" spans="1:8" ht="14.25" customHeight="1">
      <c r="A3" s="5">
        <v>44153</v>
      </c>
      <c r="B3" s="6">
        <v>15000</v>
      </c>
      <c r="C3" s="7" t="s">
        <v>34</v>
      </c>
      <c r="D3" s="7"/>
      <c r="E3" s="7"/>
      <c r="H3" s="4"/>
    </row>
    <row r="4" spans="1:8" ht="14.25" customHeight="1">
      <c r="A4" s="5">
        <v>44156</v>
      </c>
      <c r="B4" s="6">
        <v>-15707.56</v>
      </c>
      <c r="C4" s="7" t="s">
        <v>7</v>
      </c>
      <c r="D4" s="7"/>
      <c r="E4" s="7"/>
      <c r="H4" s="4"/>
    </row>
    <row r="5" spans="1:8" ht="14.25" customHeight="1">
      <c r="A5" s="5">
        <v>44159</v>
      </c>
      <c r="B5" s="6">
        <v>-17481.41</v>
      </c>
      <c r="C5" s="7" t="s">
        <v>7</v>
      </c>
      <c r="D5" s="7"/>
      <c r="E5" s="7"/>
      <c r="H5" s="4"/>
    </row>
    <row r="6" spans="1:8" ht="14.25" customHeight="1">
      <c r="A6" s="5">
        <v>44188</v>
      </c>
      <c r="B6" s="6">
        <v>14400</v>
      </c>
      <c r="C6" s="7" t="s">
        <v>35</v>
      </c>
      <c r="D6" s="7"/>
      <c r="E6" s="7"/>
      <c r="H6" s="4"/>
    </row>
    <row r="7" spans="1:8" ht="14.25" customHeight="1">
      <c r="A7" s="5">
        <v>44217</v>
      </c>
      <c r="B7" s="6">
        <f>27950-12515</f>
        <v>15435</v>
      </c>
      <c r="C7" s="7" t="s">
        <v>36</v>
      </c>
      <c r="D7" s="7"/>
      <c r="E7" s="7"/>
      <c r="H7" s="4"/>
    </row>
    <row r="8" spans="1:8" ht="14.25" customHeight="1">
      <c r="A8" s="5">
        <v>44225</v>
      </c>
      <c r="B8" s="6">
        <v>10000</v>
      </c>
      <c r="C8" s="7" t="s">
        <v>3</v>
      </c>
      <c r="D8" s="7"/>
      <c r="E8" s="7"/>
      <c r="H8" s="4"/>
    </row>
    <row r="9" spans="1:8" ht="14.25" customHeight="1">
      <c r="A9" s="5">
        <v>44225</v>
      </c>
      <c r="B9" s="6">
        <v>14900</v>
      </c>
      <c r="C9" s="7" t="s">
        <v>37</v>
      </c>
      <c r="D9" s="7"/>
      <c r="E9" s="7"/>
      <c r="H9" s="4"/>
    </row>
    <row r="10" spans="1:8" ht="14.25" customHeight="1">
      <c r="A10" s="5">
        <v>44231</v>
      </c>
      <c r="B10" s="6">
        <v>20000</v>
      </c>
      <c r="C10" s="7" t="s">
        <v>3</v>
      </c>
      <c r="D10" s="7"/>
      <c r="E10" s="7"/>
      <c r="H10" s="4"/>
    </row>
    <row r="11" spans="1:8" ht="14.25" customHeight="1">
      <c r="A11" s="5">
        <v>44243</v>
      </c>
      <c r="B11" s="6">
        <v>10000</v>
      </c>
      <c r="C11" s="7" t="s">
        <v>3</v>
      </c>
      <c r="D11" s="7"/>
      <c r="E11" s="7"/>
      <c r="H11" s="4"/>
    </row>
    <row r="12" spans="1:8" ht="14.25" customHeight="1">
      <c r="A12" s="5">
        <v>44251</v>
      </c>
      <c r="B12" s="6">
        <v>10000</v>
      </c>
      <c r="C12" s="7" t="s">
        <v>3</v>
      </c>
      <c r="D12" s="7"/>
      <c r="E12" s="7"/>
      <c r="H12" s="4"/>
    </row>
    <row r="13" spans="1:8" ht="14.25" customHeight="1">
      <c r="A13" s="5">
        <v>44256</v>
      </c>
      <c r="B13" s="6">
        <v>9000</v>
      </c>
      <c r="C13" s="7" t="s">
        <v>3</v>
      </c>
      <c r="D13" s="7"/>
      <c r="E13" s="7"/>
      <c r="H13" s="4"/>
    </row>
    <row r="14" spans="1:8" ht="14.25" customHeight="1">
      <c r="A14" s="5">
        <v>44258</v>
      </c>
      <c r="B14" s="6">
        <v>50000</v>
      </c>
      <c r="C14" s="7" t="s">
        <v>3</v>
      </c>
      <c r="D14" s="7"/>
      <c r="E14" s="7"/>
      <c r="H14" s="4"/>
    </row>
    <row r="15" spans="1:8" ht="14.25" customHeight="1">
      <c r="A15" s="5">
        <v>44265</v>
      </c>
      <c r="B15" s="6">
        <v>10000</v>
      </c>
      <c r="C15" s="7" t="s">
        <v>3</v>
      </c>
      <c r="D15" s="7"/>
      <c r="E15" s="7"/>
      <c r="H15" s="4"/>
    </row>
    <row r="16" spans="1:8" ht="14.25" customHeight="1">
      <c r="A16" s="5">
        <v>44266</v>
      </c>
      <c r="B16" s="6">
        <v>50000</v>
      </c>
      <c r="C16" s="7" t="s">
        <v>3</v>
      </c>
      <c r="D16" s="7"/>
      <c r="E16" s="7"/>
      <c r="H16" s="4"/>
    </row>
    <row r="17" spans="1:8" ht="14.25" customHeight="1">
      <c r="A17" s="5">
        <v>44273</v>
      </c>
      <c r="B17" s="6">
        <v>15000</v>
      </c>
      <c r="C17" s="7" t="s">
        <v>3</v>
      </c>
      <c r="D17" s="7"/>
      <c r="E17" s="7"/>
      <c r="H17" s="4"/>
    </row>
    <row r="18" spans="1:8" ht="14.25" customHeight="1">
      <c r="A18" s="5">
        <v>44277</v>
      </c>
      <c r="B18" s="6">
        <v>35000</v>
      </c>
      <c r="C18" s="7" t="s">
        <v>3</v>
      </c>
      <c r="D18" s="7"/>
      <c r="E18" s="7"/>
      <c r="H18" s="4"/>
    </row>
    <row r="19" spans="1:8" ht="14.25" customHeight="1">
      <c r="A19" s="5">
        <v>44277</v>
      </c>
      <c r="B19" s="6">
        <v>-50000</v>
      </c>
      <c r="C19" s="7" t="s">
        <v>7</v>
      </c>
      <c r="D19" s="7"/>
      <c r="E19" s="7"/>
      <c r="H19" s="4"/>
    </row>
    <row r="20" spans="1:8" ht="14.25" customHeight="1">
      <c r="A20" s="5">
        <v>44278</v>
      </c>
      <c r="B20" s="6">
        <v>15000</v>
      </c>
      <c r="C20" s="7" t="s">
        <v>3</v>
      </c>
      <c r="D20" s="7"/>
      <c r="E20" s="7"/>
      <c r="H20" s="4"/>
    </row>
    <row r="21" spans="1:8" ht="14.25" customHeight="1">
      <c r="A21" s="5">
        <v>44285</v>
      </c>
      <c r="B21" s="6">
        <v>-25000</v>
      </c>
      <c r="C21" s="7" t="s">
        <v>7</v>
      </c>
      <c r="D21" s="7"/>
      <c r="E21" s="7"/>
      <c r="H21" s="4"/>
    </row>
    <row r="22" spans="1:8" ht="14.25" customHeight="1">
      <c r="A22" s="5">
        <v>44327</v>
      </c>
      <c r="B22" s="6">
        <v>5053</v>
      </c>
      <c r="C22" s="7" t="s">
        <v>38</v>
      </c>
      <c r="D22" s="7"/>
      <c r="E22" s="7"/>
      <c r="H22" s="4"/>
    </row>
    <row r="23" spans="1:8" ht="14.25" customHeight="1">
      <c r="A23" s="5">
        <v>44328</v>
      </c>
      <c r="B23" s="6">
        <v>948</v>
      </c>
      <c r="C23" s="7" t="s">
        <v>39</v>
      </c>
      <c r="D23" s="7"/>
      <c r="E23" s="7"/>
      <c r="H23" s="4"/>
    </row>
    <row r="24" spans="1:8" ht="14.25" customHeight="1">
      <c r="A24" s="5">
        <v>44328</v>
      </c>
      <c r="B24" s="6">
        <v>503</v>
      </c>
      <c r="C24" s="7" t="s">
        <v>40</v>
      </c>
      <c r="D24" s="7"/>
      <c r="E24" s="7"/>
      <c r="H24" s="4"/>
    </row>
    <row r="25" spans="1:8" ht="14.25" customHeight="1">
      <c r="A25" s="5">
        <v>44330</v>
      </c>
      <c r="B25" s="6">
        <v>20000</v>
      </c>
      <c r="C25" s="7" t="s">
        <v>3</v>
      </c>
      <c r="D25" s="7"/>
      <c r="E25" s="7"/>
      <c r="H25" s="4"/>
    </row>
    <row r="26" spans="1:8" ht="14.25" customHeight="1">
      <c r="A26" s="5">
        <v>44365</v>
      </c>
      <c r="B26" s="6">
        <v>20000</v>
      </c>
      <c r="C26" s="7" t="s">
        <v>3</v>
      </c>
      <c r="D26" s="7"/>
      <c r="E26" s="7"/>
      <c r="H26" s="4"/>
    </row>
    <row r="27" spans="1:8" ht="14.25" customHeight="1">
      <c r="A27" s="5">
        <v>44370</v>
      </c>
      <c r="B27" s="6">
        <v>25000</v>
      </c>
      <c r="C27" s="7" t="s">
        <v>3</v>
      </c>
      <c r="D27" s="7"/>
      <c r="E27" s="7"/>
      <c r="H27" s="4"/>
    </row>
    <row r="28" spans="1:8" ht="14.25" customHeight="1">
      <c r="A28" s="5">
        <v>44371</v>
      </c>
      <c r="B28" s="6">
        <v>14841</v>
      </c>
      <c r="C28" s="7" t="s">
        <v>41</v>
      </c>
      <c r="D28" s="7"/>
      <c r="E28" s="7"/>
      <c r="H28" s="4"/>
    </row>
    <row r="29" spans="1:8" ht="14.25" customHeight="1">
      <c r="A29" s="5">
        <v>44375</v>
      </c>
      <c r="B29" s="6">
        <v>14980</v>
      </c>
      <c r="C29" s="7" t="s">
        <v>42</v>
      </c>
      <c r="D29" s="7"/>
      <c r="E29" s="7"/>
      <c r="H29" s="4"/>
    </row>
    <row r="30" spans="1:8" ht="14.25" customHeight="1">
      <c r="A30" s="5">
        <v>44375</v>
      </c>
      <c r="B30" s="6">
        <v>13770</v>
      </c>
      <c r="C30" s="7" t="s">
        <v>43</v>
      </c>
      <c r="D30" s="7"/>
      <c r="E30" s="7"/>
      <c r="H30" s="4"/>
    </row>
    <row r="31" spans="1:8" ht="14.25" customHeight="1">
      <c r="A31" s="5">
        <v>44379</v>
      </c>
      <c r="B31" s="6">
        <v>5000</v>
      </c>
      <c r="C31" s="7" t="s">
        <v>3</v>
      </c>
      <c r="D31" s="7"/>
      <c r="E31" s="7"/>
      <c r="H31" s="4"/>
    </row>
    <row r="32" spans="1:8" ht="14.25" customHeight="1">
      <c r="A32" s="5">
        <v>44382</v>
      </c>
      <c r="B32" s="6">
        <v>-25000</v>
      </c>
      <c r="C32" s="7" t="s">
        <v>7</v>
      </c>
      <c r="D32" s="7"/>
      <c r="E32" s="7"/>
      <c r="H32" s="4"/>
    </row>
    <row r="33" spans="1:8" ht="14.25" customHeight="1">
      <c r="A33" s="5">
        <v>44386</v>
      </c>
      <c r="B33" s="6">
        <v>10000</v>
      </c>
      <c r="C33" s="7" t="s">
        <v>3</v>
      </c>
      <c r="D33" s="7"/>
      <c r="E33" s="7"/>
      <c r="H33" s="4"/>
    </row>
    <row r="34" spans="1:8" ht="14.25" customHeight="1">
      <c r="A34" s="5">
        <v>44387</v>
      </c>
      <c r="B34" s="6">
        <v>-10000</v>
      </c>
      <c r="C34" s="7" t="s">
        <v>7</v>
      </c>
      <c r="D34" s="7"/>
      <c r="E34" s="7"/>
      <c r="H34" s="4"/>
    </row>
    <row r="35" spans="1:8" ht="14.25" customHeight="1">
      <c r="A35" s="5">
        <v>44407</v>
      </c>
      <c r="B35" s="6">
        <v>5000</v>
      </c>
      <c r="C35" s="7" t="s">
        <v>3</v>
      </c>
      <c r="D35" s="7"/>
      <c r="E35" s="7"/>
      <c r="H35" s="4"/>
    </row>
    <row r="36" spans="1:8" ht="14.25" customHeight="1">
      <c r="A36" s="5">
        <v>44410</v>
      </c>
      <c r="B36" s="6">
        <v>5000</v>
      </c>
      <c r="C36" s="7" t="s">
        <v>3</v>
      </c>
      <c r="D36" s="7"/>
      <c r="E36" s="7"/>
      <c r="H36" s="4"/>
    </row>
    <row r="37" spans="1:8" ht="14.25" customHeight="1">
      <c r="A37" s="5">
        <v>44411</v>
      </c>
      <c r="B37" s="6">
        <v>-5000</v>
      </c>
      <c r="C37" s="7" t="s">
        <v>7</v>
      </c>
      <c r="D37" s="7"/>
      <c r="E37" s="7"/>
      <c r="H37" s="4"/>
    </row>
    <row r="38" spans="1:8" ht="14.25" customHeight="1">
      <c r="A38" s="5">
        <v>44425</v>
      </c>
      <c r="B38" s="6">
        <v>14820</v>
      </c>
      <c r="C38" s="7" t="s">
        <v>44</v>
      </c>
      <c r="D38" s="7"/>
      <c r="E38" s="7"/>
      <c r="H38" s="4"/>
    </row>
    <row r="39" spans="1:8" ht="14.25" customHeight="1">
      <c r="A39" s="5">
        <v>44441</v>
      </c>
      <c r="B39" s="6">
        <v>15000</v>
      </c>
      <c r="C39" s="7" t="s">
        <v>3</v>
      </c>
      <c r="D39" s="7"/>
      <c r="E39" s="7"/>
      <c r="H39" s="4"/>
    </row>
    <row r="40" spans="1:8" ht="14.25" customHeight="1">
      <c r="A40" s="5">
        <v>44455</v>
      </c>
      <c r="B40" s="6">
        <v>-24000</v>
      </c>
      <c r="C40" s="7" t="s">
        <v>7</v>
      </c>
      <c r="D40" s="7"/>
      <c r="E40" s="7"/>
      <c r="H40" s="4"/>
    </row>
    <row r="41" spans="1:8" ht="14.25" customHeight="1">
      <c r="A41" s="5">
        <v>44461</v>
      </c>
      <c r="B41" s="6">
        <v>14880</v>
      </c>
      <c r="C41" s="7" t="s">
        <v>45</v>
      </c>
      <c r="D41" s="7"/>
      <c r="E41" s="7"/>
      <c r="H41" s="4"/>
    </row>
    <row r="42" spans="1:8" ht="14.25" customHeight="1">
      <c r="A42" s="5">
        <v>44476</v>
      </c>
      <c r="B42" s="6">
        <v>14240</v>
      </c>
      <c r="C42" s="7" t="s">
        <v>46</v>
      </c>
      <c r="D42" s="7"/>
      <c r="E42" s="7"/>
      <c r="H42" s="4"/>
    </row>
    <row r="43" spans="1:8" ht="14.25" customHeight="1">
      <c r="A43" s="5">
        <v>44478</v>
      </c>
      <c r="B43" s="6">
        <v>-30000</v>
      </c>
      <c r="C43" s="7" t="s">
        <v>7</v>
      </c>
      <c r="D43" s="7"/>
      <c r="E43" s="7"/>
      <c r="H43" s="4"/>
    </row>
    <row r="44" spans="1:8" ht="14.25" customHeight="1">
      <c r="A44" s="5">
        <v>44489</v>
      </c>
      <c r="B44" s="6">
        <v>30000</v>
      </c>
      <c r="C44" s="7" t="s">
        <v>3</v>
      </c>
      <c r="D44" s="7"/>
      <c r="E44" s="7"/>
      <c r="H44" s="4"/>
    </row>
    <row r="45" spans="1:8" ht="14.25" customHeight="1">
      <c r="A45" s="5">
        <v>44491</v>
      </c>
      <c r="B45" s="6">
        <v>5000</v>
      </c>
      <c r="C45" s="7" t="s">
        <v>3</v>
      </c>
      <c r="D45" s="7"/>
      <c r="E45" s="7"/>
      <c r="H45" s="4"/>
    </row>
    <row r="46" spans="1:8" ht="14.25" customHeight="1">
      <c r="A46" s="5">
        <v>44495</v>
      </c>
      <c r="B46" s="6">
        <v>2000</v>
      </c>
      <c r="C46" s="7" t="s">
        <v>3</v>
      </c>
      <c r="D46" s="7"/>
      <c r="E46" s="7"/>
      <c r="H46" s="4"/>
    </row>
    <row r="47" spans="1:8" ht="14.25" customHeight="1">
      <c r="A47" s="5">
        <v>44497</v>
      </c>
      <c r="B47" s="6">
        <v>40000</v>
      </c>
      <c r="C47" s="7" t="s">
        <v>3</v>
      </c>
      <c r="D47" s="7"/>
      <c r="E47" s="7"/>
      <c r="H47" s="4"/>
    </row>
    <row r="48" spans="1:8" ht="14.25" customHeight="1">
      <c r="A48" s="5">
        <v>44508</v>
      </c>
      <c r="B48" s="6">
        <v>-15000</v>
      </c>
      <c r="C48" s="7" t="s">
        <v>7</v>
      </c>
      <c r="D48" s="7"/>
      <c r="E48" s="7"/>
      <c r="H48" s="4"/>
    </row>
    <row r="49" spans="1:8" ht="14.25" customHeight="1">
      <c r="A49" s="5">
        <v>44509</v>
      </c>
      <c r="B49" s="6">
        <v>-10000</v>
      </c>
      <c r="C49" s="7" t="s">
        <v>7</v>
      </c>
      <c r="D49" s="7"/>
      <c r="E49" s="7"/>
      <c r="H49" s="4"/>
    </row>
    <row r="50" spans="1:8" ht="14.25" customHeight="1">
      <c r="A50" s="5">
        <v>44512</v>
      </c>
      <c r="B50" s="6">
        <v>10000</v>
      </c>
      <c r="C50" s="7" t="s">
        <v>3</v>
      </c>
      <c r="D50" s="7"/>
      <c r="E50" s="7"/>
      <c r="H50" s="4"/>
    </row>
    <row r="51" spans="1:8" ht="14.25" customHeight="1">
      <c r="A51" s="5">
        <v>44516</v>
      </c>
      <c r="B51" s="6">
        <v>12900</v>
      </c>
      <c r="C51" s="7" t="s">
        <v>47</v>
      </c>
      <c r="D51" s="7"/>
      <c r="E51" s="7"/>
      <c r="H51" s="4"/>
    </row>
    <row r="52" spans="1:8" ht="14.25" customHeight="1">
      <c r="A52" s="5">
        <v>44517</v>
      </c>
      <c r="B52" s="6">
        <v>4000</v>
      </c>
      <c r="C52" s="7" t="s">
        <v>3</v>
      </c>
      <c r="D52" s="7"/>
      <c r="E52" s="7"/>
      <c r="H52" s="4"/>
    </row>
    <row r="53" spans="1:8" ht="14.25" customHeight="1">
      <c r="A53" s="5">
        <v>44522</v>
      </c>
      <c r="B53" s="6">
        <v>-5000</v>
      </c>
      <c r="C53" s="7" t="s">
        <v>7</v>
      </c>
      <c r="D53" s="7"/>
      <c r="E53" s="7"/>
      <c r="H53" s="4"/>
    </row>
    <row r="54" spans="1:8" ht="14.25" customHeight="1">
      <c r="A54" s="5">
        <v>44526</v>
      </c>
      <c r="B54" s="6">
        <v>2000</v>
      </c>
      <c r="C54" s="7" t="s">
        <v>3</v>
      </c>
      <c r="D54" s="7"/>
      <c r="E54" s="7"/>
      <c r="H54" s="4"/>
    </row>
    <row r="55" spans="1:8" ht="14.25" customHeight="1">
      <c r="A55" s="5">
        <v>44534</v>
      </c>
      <c r="B55" s="6">
        <v>-18000</v>
      </c>
      <c r="C55" s="7" t="s">
        <v>7</v>
      </c>
      <c r="D55" s="7"/>
      <c r="E55" s="7"/>
      <c r="H55" s="4"/>
    </row>
    <row r="56" spans="1:8" ht="14.25" customHeight="1">
      <c r="A56" s="5">
        <v>44539</v>
      </c>
      <c r="B56" s="6">
        <v>-10000</v>
      </c>
      <c r="C56" s="7" t="s">
        <v>7</v>
      </c>
      <c r="D56" s="7"/>
      <c r="E56" s="7"/>
      <c r="H56" s="4"/>
    </row>
    <row r="57" spans="1:8" ht="14.25" customHeight="1">
      <c r="A57" s="5">
        <v>44541</v>
      </c>
      <c r="B57" s="6">
        <v>-6000</v>
      </c>
      <c r="C57" s="7" t="s">
        <v>7</v>
      </c>
      <c r="D57" s="7"/>
      <c r="E57" s="7"/>
      <c r="H57" s="4"/>
    </row>
    <row r="58" spans="1:8" ht="14.25" customHeight="1">
      <c r="A58" s="5">
        <v>44541</v>
      </c>
      <c r="B58" s="6">
        <v>-3800</v>
      </c>
      <c r="C58" s="7" t="s">
        <v>7</v>
      </c>
      <c r="D58" s="7"/>
      <c r="E58" s="7"/>
      <c r="H58" s="4"/>
    </row>
    <row r="59" spans="1:8" ht="14.25" customHeight="1">
      <c r="A59" s="5">
        <v>44543</v>
      </c>
      <c r="B59" s="6">
        <v>-9200</v>
      </c>
      <c r="C59" s="7" t="s">
        <v>7</v>
      </c>
      <c r="D59" s="7"/>
      <c r="E59" s="7"/>
      <c r="H59" s="4"/>
    </row>
    <row r="60" spans="1:8" ht="14.25" customHeight="1">
      <c r="A60" s="5">
        <v>44543</v>
      </c>
      <c r="B60" s="6">
        <v>-737</v>
      </c>
      <c r="C60" s="7" t="s">
        <v>48</v>
      </c>
      <c r="D60" s="7"/>
      <c r="E60" s="7"/>
      <c r="H60" s="4"/>
    </row>
    <row r="61" spans="1:8" ht="14.25" customHeight="1">
      <c r="A61" s="5">
        <v>44547</v>
      </c>
      <c r="B61" s="6">
        <v>8000</v>
      </c>
      <c r="C61" s="7" t="s">
        <v>3</v>
      </c>
      <c r="D61" s="7"/>
      <c r="E61" s="7"/>
      <c r="H61" s="4"/>
    </row>
    <row r="62" spans="1:8" ht="14.25" customHeight="1">
      <c r="A62" s="5">
        <v>44550</v>
      </c>
      <c r="B62" s="6">
        <v>7000</v>
      </c>
      <c r="C62" s="7" t="s">
        <v>3</v>
      </c>
      <c r="D62" s="7"/>
      <c r="E62" s="7"/>
      <c r="H62" s="4"/>
    </row>
    <row r="63" spans="1:8" ht="14.25" customHeight="1">
      <c r="A63" s="5">
        <v>44552</v>
      </c>
      <c r="B63" s="6">
        <v>2000</v>
      </c>
      <c r="C63" s="7" t="s">
        <v>3</v>
      </c>
      <c r="D63" s="7"/>
      <c r="E63" s="7"/>
      <c r="H63" s="4"/>
    </row>
    <row r="64" spans="1:8" ht="14.25" customHeight="1">
      <c r="A64" s="5">
        <v>44553</v>
      </c>
      <c r="B64" s="6">
        <v>3000</v>
      </c>
      <c r="C64" s="7" t="s">
        <v>3</v>
      </c>
      <c r="D64" s="7"/>
      <c r="E64" s="7"/>
      <c r="H64" s="4"/>
    </row>
    <row r="65" spans="1:8" ht="14.25" customHeight="1">
      <c r="A65" s="5">
        <v>44557</v>
      </c>
      <c r="B65" s="6">
        <v>8000</v>
      </c>
      <c r="C65" s="7" t="s">
        <v>3</v>
      </c>
      <c r="D65" s="7"/>
      <c r="E65" s="7"/>
      <c r="H65" s="4"/>
    </row>
    <row r="66" spans="1:8" ht="14.25" customHeight="1">
      <c r="A66" s="5">
        <v>44567</v>
      </c>
      <c r="B66" s="6">
        <v>-20000</v>
      </c>
      <c r="C66" s="7" t="s">
        <v>7</v>
      </c>
      <c r="D66" s="7"/>
      <c r="E66" s="7"/>
      <c r="H66" s="4"/>
    </row>
    <row r="67" spans="1:8" ht="14.25" customHeight="1">
      <c r="A67" s="5">
        <v>44570</v>
      </c>
      <c r="B67" s="6">
        <v>125000</v>
      </c>
      <c r="C67" s="7" t="s">
        <v>3</v>
      </c>
      <c r="D67" s="7"/>
      <c r="E67" s="7"/>
      <c r="H67" s="4"/>
    </row>
    <row r="68" spans="1:8" ht="14.25" customHeight="1">
      <c r="A68" s="5">
        <v>44575</v>
      </c>
      <c r="B68" s="6">
        <v>10000</v>
      </c>
      <c r="C68" s="7" t="s">
        <v>3</v>
      </c>
      <c r="D68" s="7"/>
      <c r="E68" s="7"/>
      <c r="H68" s="4"/>
    </row>
    <row r="69" spans="1:8" ht="14.25" customHeight="1">
      <c r="A69" s="5">
        <v>44578</v>
      </c>
      <c r="B69" s="6">
        <v>5000</v>
      </c>
      <c r="C69" s="7" t="s">
        <v>3</v>
      </c>
      <c r="D69" s="7"/>
      <c r="E69" s="7"/>
      <c r="H69" s="4"/>
    </row>
    <row r="70" spans="1:8" ht="14.25" customHeight="1">
      <c r="A70" s="5">
        <v>44585</v>
      </c>
      <c r="B70" s="6">
        <v>25000</v>
      </c>
      <c r="C70" s="7" t="s">
        <v>3</v>
      </c>
      <c r="D70" s="7"/>
      <c r="E70" s="7"/>
      <c r="H70" s="4"/>
    </row>
    <row r="71" spans="1:8" ht="14.25" customHeight="1">
      <c r="A71" s="5">
        <v>44586</v>
      </c>
      <c r="B71" s="6">
        <v>10000</v>
      </c>
      <c r="C71" s="7" t="s">
        <v>3</v>
      </c>
      <c r="D71" s="7"/>
      <c r="E71" s="7"/>
      <c r="H71" s="4"/>
    </row>
    <row r="72" spans="1:8" ht="14.25" customHeight="1">
      <c r="A72" s="5">
        <v>44588</v>
      </c>
      <c r="B72" s="6">
        <v>10000</v>
      </c>
      <c r="C72" s="7" t="s">
        <v>3</v>
      </c>
      <c r="D72" s="7"/>
      <c r="E72" s="7"/>
      <c r="H72" s="4"/>
    </row>
    <row r="73" spans="1:8" ht="14.25" customHeight="1">
      <c r="A73" s="5">
        <v>44589</v>
      </c>
      <c r="B73" s="6">
        <v>20000</v>
      </c>
      <c r="C73" s="7" t="s">
        <v>3</v>
      </c>
      <c r="D73" s="7"/>
      <c r="E73" s="7"/>
      <c r="H73" s="4"/>
    </row>
    <row r="74" spans="1:8" ht="14.25" customHeight="1">
      <c r="A74" s="5">
        <v>44589</v>
      </c>
      <c r="B74" s="6"/>
      <c r="C74" s="7" t="s">
        <v>4</v>
      </c>
      <c r="D74" s="7" t="s">
        <v>49</v>
      </c>
      <c r="E74" s="7"/>
      <c r="H74" s="4"/>
    </row>
    <row r="75" spans="1:8" ht="14.25" customHeight="1">
      <c r="A75" s="5">
        <v>44592</v>
      </c>
      <c r="B75" s="6">
        <v>8000</v>
      </c>
      <c r="C75" s="7" t="s">
        <v>3</v>
      </c>
      <c r="D75" s="7"/>
      <c r="E75" s="7"/>
      <c r="H75" s="4"/>
    </row>
    <row r="76" spans="1:8" ht="14.25" customHeight="1">
      <c r="A76" s="5">
        <v>44592</v>
      </c>
      <c r="B76" s="6">
        <v>-8767.4599999999991</v>
      </c>
      <c r="C76" s="7" t="s">
        <v>7</v>
      </c>
      <c r="D76" s="7"/>
      <c r="E76" s="7"/>
      <c r="H76" s="4"/>
    </row>
    <row r="77" spans="1:8" ht="14.25" customHeight="1">
      <c r="A77" s="5">
        <v>44593</v>
      </c>
      <c r="B77" s="6">
        <v>5000</v>
      </c>
      <c r="C77" s="7" t="s">
        <v>3</v>
      </c>
      <c r="D77" s="7"/>
      <c r="E77" s="7"/>
      <c r="H77" s="4"/>
    </row>
    <row r="78" spans="1:8" ht="14.25" customHeight="1">
      <c r="A78" s="5">
        <v>44599</v>
      </c>
      <c r="B78" s="6">
        <v>30000</v>
      </c>
      <c r="C78" s="7" t="s">
        <v>3</v>
      </c>
      <c r="D78" s="7"/>
      <c r="E78" s="7"/>
      <c r="H78" s="4"/>
    </row>
    <row r="79" spans="1:8" ht="14.25" customHeight="1">
      <c r="A79" s="5">
        <v>44599</v>
      </c>
      <c r="B79" s="6"/>
      <c r="C79" s="7" t="s">
        <v>4</v>
      </c>
      <c r="D79" s="7" t="s">
        <v>50</v>
      </c>
      <c r="E79" s="7"/>
      <c r="H79" s="4"/>
    </row>
    <row r="80" spans="1:8" ht="14.25" customHeight="1">
      <c r="A80" s="5">
        <v>44602</v>
      </c>
      <c r="B80" s="6"/>
      <c r="C80" s="7" t="s">
        <v>4</v>
      </c>
      <c r="D80" s="7" t="s">
        <v>51</v>
      </c>
      <c r="E80" s="7"/>
      <c r="H80" s="4"/>
    </row>
    <row r="81" spans="1:8" ht="14.25" customHeight="1">
      <c r="A81" s="5">
        <v>44603</v>
      </c>
      <c r="B81" s="6">
        <v>10000</v>
      </c>
      <c r="C81" s="7" t="s">
        <v>3</v>
      </c>
      <c r="D81" s="7"/>
      <c r="E81" s="7"/>
      <c r="H81" s="4"/>
    </row>
    <row r="82" spans="1:8" ht="14.25" customHeight="1">
      <c r="A82" s="5">
        <v>44606</v>
      </c>
      <c r="B82" s="6">
        <v>10000</v>
      </c>
      <c r="C82" s="7" t="s">
        <v>3</v>
      </c>
      <c r="D82" s="7"/>
      <c r="E82" s="7"/>
      <c r="H82" s="4"/>
    </row>
    <row r="83" spans="1:8" ht="14.25" customHeight="1">
      <c r="A83" s="5">
        <v>44606</v>
      </c>
      <c r="B83" s="6"/>
      <c r="C83" s="7" t="s">
        <v>4</v>
      </c>
      <c r="D83" s="7" t="s">
        <v>50</v>
      </c>
      <c r="E83" s="7"/>
      <c r="H83" s="4"/>
    </row>
    <row r="84" spans="1:8" ht="14.25" customHeight="1">
      <c r="A84" s="5">
        <v>44608</v>
      </c>
      <c r="B84" s="6"/>
      <c r="C84" s="7" t="s">
        <v>4</v>
      </c>
      <c r="D84" s="7" t="s">
        <v>50</v>
      </c>
      <c r="E84" s="7"/>
      <c r="H84" s="4"/>
    </row>
    <row r="85" spans="1:8" ht="14.25" customHeight="1">
      <c r="A85" s="5">
        <v>44614</v>
      </c>
      <c r="B85" s="6">
        <v>1000</v>
      </c>
      <c r="C85" s="7" t="s">
        <v>3</v>
      </c>
      <c r="D85" s="7"/>
      <c r="E85" s="7"/>
      <c r="H85" s="4"/>
    </row>
    <row r="86" spans="1:8" ht="14.25" customHeight="1">
      <c r="A86" s="5">
        <v>44614</v>
      </c>
      <c r="B86" s="6"/>
      <c r="C86" s="7" t="s">
        <v>4</v>
      </c>
      <c r="D86" s="7" t="s">
        <v>52</v>
      </c>
      <c r="E86" s="7"/>
      <c r="H86" s="4"/>
    </row>
    <row r="87" spans="1:8" ht="14.25" customHeight="1">
      <c r="A87" s="5">
        <v>44616</v>
      </c>
      <c r="B87" s="6">
        <v>20000</v>
      </c>
      <c r="C87" s="7" t="s">
        <v>3</v>
      </c>
      <c r="D87" s="7"/>
      <c r="E87" s="7"/>
      <c r="H87" s="4"/>
    </row>
    <row r="88" spans="1:8" ht="14.25" customHeight="1">
      <c r="A88" s="5">
        <v>44622</v>
      </c>
      <c r="B88" s="6"/>
      <c r="C88" s="7" t="s">
        <v>4</v>
      </c>
      <c r="D88" s="7" t="s">
        <v>53</v>
      </c>
      <c r="E88" s="7"/>
      <c r="H88" s="4"/>
    </row>
    <row r="89" spans="1:8" ht="14.25" customHeight="1">
      <c r="A89" s="5">
        <v>44624</v>
      </c>
      <c r="B89" s="6"/>
      <c r="C89" s="7" t="s">
        <v>4</v>
      </c>
      <c r="D89" s="7" t="s">
        <v>54</v>
      </c>
      <c r="E89" s="7"/>
      <c r="H89" s="4"/>
    </row>
    <row r="90" spans="1:8" ht="14.25" customHeight="1">
      <c r="A90" s="5">
        <v>44624</v>
      </c>
      <c r="B90" s="6">
        <v>-20000</v>
      </c>
      <c r="C90" s="7" t="s">
        <v>7</v>
      </c>
      <c r="D90" s="7"/>
      <c r="E90" s="7"/>
      <c r="H90" s="4"/>
    </row>
    <row r="91" spans="1:8" ht="14.25" customHeight="1">
      <c r="A91" s="5">
        <v>44625</v>
      </c>
      <c r="B91" s="6">
        <v>-10000</v>
      </c>
      <c r="C91" s="7" t="s">
        <v>7</v>
      </c>
      <c r="D91" s="7"/>
      <c r="E91" s="7"/>
      <c r="H91" s="4"/>
    </row>
    <row r="92" spans="1:8" ht="14.25" customHeight="1">
      <c r="A92" s="5">
        <v>44628</v>
      </c>
      <c r="B92" s="6">
        <v>55000</v>
      </c>
      <c r="C92" s="7" t="s">
        <v>3</v>
      </c>
      <c r="D92" s="7"/>
      <c r="E92" s="7"/>
      <c r="H92" s="4"/>
    </row>
    <row r="93" spans="1:8" ht="14.25" customHeight="1">
      <c r="A93" s="5">
        <v>44635</v>
      </c>
      <c r="B93" s="6"/>
      <c r="C93" s="7" t="s">
        <v>4</v>
      </c>
      <c r="D93" s="7" t="s">
        <v>55</v>
      </c>
      <c r="E93" s="7"/>
      <c r="H93" s="4"/>
    </row>
    <row r="94" spans="1:8" ht="14.25" customHeight="1">
      <c r="A94" s="5">
        <v>44641</v>
      </c>
      <c r="B94" s="6"/>
      <c r="C94" s="7" t="s">
        <v>4</v>
      </c>
      <c r="D94" s="7" t="s">
        <v>56</v>
      </c>
      <c r="E94" s="7"/>
      <c r="H94" s="4"/>
    </row>
    <row r="95" spans="1:8" ht="14.25" customHeight="1">
      <c r="A95" s="5">
        <v>44642</v>
      </c>
      <c r="B95" s="6">
        <v>2000</v>
      </c>
      <c r="C95" s="7" t="s">
        <v>3</v>
      </c>
      <c r="D95" s="7"/>
      <c r="E95" s="7"/>
      <c r="H95" s="4"/>
    </row>
    <row r="96" spans="1:8" ht="14.25" customHeight="1">
      <c r="A96" s="5">
        <v>44642</v>
      </c>
      <c r="B96" s="6">
        <v>-11000</v>
      </c>
      <c r="C96" s="7" t="s">
        <v>7</v>
      </c>
      <c r="D96" s="7"/>
      <c r="E96" s="7"/>
      <c r="H96" s="4"/>
    </row>
    <row r="97" spans="1:8" ht="14.25" customHeight="1">
      <c r="A97" s="5">
        <v>44643</v>
      </c>
      <c r="B97" s="6"/>
      <c r="C97" s="7" t="s">
        <v>4</v>
      </c>
      <c r="D97" s="7" t="s">
        <v>57</v>
      </c>
      <c r="E97" s="7"/>
      <c r="H97" s="4"/>
    </row>
    <row r="98" spans="1:8" ht="14.25" customHeight="1">
      <c r="A98" s="5">
        <v>44650</v>
      </c>
      <c r="B98" s="6">
        <v>20000</v>
      </c>
      <c r="C98" s="7" t="s">
        <v>3</v>
      </c>
      <c r="D98" s="7"/>
      <c r="E98" s="7"/>
      <c r="H98" s="4"/>
    </row>
    <row r="99" spans="1:8" ht="14.25" customHeight="1">
      <c r="A99" s="5">
        <v>44651</v>
      </c>
      <c r="B99" s="6">
        <v>45000</v>
      </c>
      <c r="C99" s="7" t="s">
        <v>3</v>
      </c>
      <c r="D99" s="7"/>
      <c r="E99" s="7"/>
      <c r="H99" s="4"/>
    </row>
    <row r="100" spans="1:8" ht="14.25" customHeight="1">
      <c r="A100" s="5">
        <v>44651</v>
      </c>
      <c r="B100" s="6"/>
      <c r="C100" s="7" t="s">
        <v>58</v>
      </c>
      <c r="D100" s="7"/>
      <c r="E100" s="7"/>
      <c r="H100" s="4"/>
    </row>
    <row r="101" spans="1:8" ht="14.25" customHeight="1">
      <c r="A101" s="5">
        <v>44656</v>
      </c>
      <c r="B101" s="6">
        <v>27300</v>
      </c>
      <c r="C101" s="7" t="s">
        <v>59</v>
      </c>
      <c r="D101" s="7"/>
      <c r="E101" s="7"/>
      <c r="H101" s="4"/>
    </row>
    <row r="102" spans="1:8" ht="14.25" customHeight="1">
      <c r="A102" s="5">
        <v>44658</v>
      </c>
      <c r="B102" s="6"/>
      <c r="C102" s="7" t="s">
        <v>4</v>
      </c>
      <c r="D102" s="7" t="s">
        <v>60</v>
      </c>
      <c r="E102" s="7"/>
      <c r="H102" s="4"/>
    </row>
    <row r="103" spans="1:8" ht="14.25" customHeight="1">
      <c r="A103" s="5">
        <v>44658</v>
      </c>
      <c r="B103" s="6"/>
      <c r="C103" s="7" t="s">
        <v>4</v>
      </c>
      <c r="D103" s="7" t="s">
        <v>60</v>
      </c>
      <c r="E103" s="7"/>
      <c r="H103" s="4"/>
    </row>
    <row r="104" spans="1:8" ht="14.25" customHeight="1">
      <c r="A104" s="5">
        <v>44658</v>
      </c>
      <c r="B104" s="6"/>
      <c r="C104" s="7" t="s">
        <v>4</v>
      </c>
      <c r="D104" s="7" t="s">
        <v>61</v>
      </c>
      <c r="E104" s="7"/>
      <c r="H104" s="4"/>
    </row>
    <row r="105" spans="1:8" ht="14.25" customHeight="1">
      <c r="A105" s="5">
        <v>44658</v>
      </c>
      <c r="B105" s="6"/>
      <c r="C105" s="7" t="s">
        <v>4</v>
      </c>
      <c r="D105" s="7" t="s">
        <v>61</v>
      </c>
      <c r="E105" s="7"/>
      <c r="H105" s="4"/>
    </row>
    <row r="106" spans="1:8" ht="14.25" customHeight="1">
      <c r="A106" s="5">
        <v>44662</v>
      </c>
      <c r="B106" s="6"/>
      <c r="C106" s="7" t="s">
        <v>4</v>
      </c>
      <c r="D106" s="7" t="s">
        <v>61</v>
      </c>
      <c r="E106" s="7"/>
      <c r="H106" s="4"/>
    </row>
    <row r="107" spans="1:8" ht="14.25" customHeight="1">
      <c r="A107" s="5">
        <v>44663</v>
      </c>
      <c r="B107" s="6">
        <v>50000</v>
      </c>
      <c r="C107" s="7" t="s">
        <v>3</v>
      </c>
      <c r="D107" s="7"/>
      <c r="E107" s="7"/>
      <c r="H107" s="4"/>
    </row>
    <row r="108" spans="1:8" ht="14.25" customHeight="1">
      <c r="A108" s="5">
        <v>44664</v>
      </c>
      <c r="B108" s="6"/>
      <c r="C108" s="7" t="s">
        <v>4</v>
      </c>
      <c r="D108" s="7" t="s">
        <v>62</v>
      </c>
      <c r="E108" s="7"/>
      <c r="H108" s="4"/>
    </row>
    <row r="109" spans="1:8" ht="14.25" customHeight="1">
      <c r="A109" s="5">
        <v>44670</v>
      </c>
      <c r="B109" s="6"/>
      <c r="C109" s="7" t="s">
        <v>63</v>
      </c>
      <c r="D109" s="7"/>
      <c r="E109" s="7"/>
      <c r="H109" s="4"/>
    </row>
    <row r="110" spans="1:8" ht="14.25" customHeight="1">
      <c r="A110" s="5">
        <v>44670</v>
      </c>
      <c r="B110" s="6">
        <v>350000</v>
      </c>
      <c r="C110" s="7" t="s">
        <v>3</v>
      </c>
      <c r="D110" s="7"/>
      <c r="E110" s="7"/>
      <c r="H110" s="4"/>
    </row>
    <row r="111" spans="1:8" ht="14.25" customHeight="1">
      <c r="A111" s="5">
        <v>44671</v>
      </c>
      <c r="B111" s="6"/>
      <c r="C111" s="7" t="s">
        <v>4</v>
      </c>
      <c r="D111" s="7" t="s">
        <v>64</v>
      </c>
      <c r="E111" s="7"/>
      <c r="H111" s="4"/>
    </row>
    <row r="112" spans="1:8" ht="14.25" customHeight="1">
      <c r="A112" s="5">
        <v>44676</v>
      </c>
      <c r="B112" s="6">
        <v>30000</v>
      </c>
      <c r="C112" s="7" t="s">
        <v>3</v>
      </c>
      <c r="D112" s="7"/>
      <c r="E112" s="7"/>
      <c r="H112" s="4"/>
    </row>
    <row r="113" spans="1:8" ht="14.25" customHeight="1">
      <c r="A113" s="5">
        <v>44677</v>
      </c>
      <c r="B113" s="6">
        <v>-15000</v>
      </c>
      <c r="C113" s="7" t="s">
        <v>7</v>
      </c>
      <c r="D113" s="7"/>
      <c r="E113" s="7"/>
      <c r="H113" s="4"/>
    </row>
    <row r="114" spans="1:8" ht="14.25" customHeight="1">
      <c r="A114" s="5">
        <v>44679</v>
      </c>
      <c r="B114" s="6">
        <v>-19938.189999999999</v>
      </c>
      <c r="C114" s="7" t="s">
        <v>7</v>
      </c>
      <c r="D114" s="7"/>
      <c r="E114" s="7"/>
      <c r="H114" s="4"/>
    </row>
    <row r="115" spans="1:8" ht="14.25" customHeight="1">
      <c r="A115" s="5">
        <v>44679</v>
      </c>
      <c r="B115" s="6"/>
      <c r="C115" s="7" t="s">
        <v>4</v>
      </c>
      <c r="D115" s="7" t="s">
        <v>65</v>
      </c>
      <c r="E115" s="7"/>
      <c r="H115" s="4"/>
    </row>
    <row r="116" spans="1:8" ht="14.25" customHeight="1">
      <c r="A116" s="5">
        <v>44680</v>
      </c>
      <c r="B116" s="6"/>
      <c r="C116" s="7" t="s">
        <v>4</v>
      </c>
      <c r="D116" s="7" t="s">
        <v>66</v>
      </c>
      <c r="E116" s="7"/>
      <c r="H116" s="4"/>
    </row>
    <row r="117" spans="1:8" ht="14.25" customHeight="1">
      <c r="A117" s="5">
        <v>44680</v>
      </c>
      <c r="B117" s="6"/>
      <c r="C117" s="7" t="s">
        <v>4</v>
      </c>
      <c r="D117" s="7" t="s">
        <v>67</v>
      </c>
      <c r="E117" s="7"/>
      <c r="H117" s="4"/>
    </row>
    <row r="118" spans="1:8" ht="14.25" customHeight="1">
      <c r="A118" s="5">
        <v>44680</v>
      </c>
      <c r="B118" s="6">
        <v>-3083.04</v>
      </c>
      <c r="C118" s="7" t="s">
        <v>7</v>
      </c>
      <c r="D118" s="7"/>
      <c r="E118" s="7"/>
      <c r="H118" s="4"/>
    </row>
    <row r="119" spans="1:8" ht="14.25" customHeight="1">
      <c r="A119" s="5">
        <v>44685</v>
      </c>
      <c r="B119" s="6"/>
      <c r="C119" s="7" t="s">
        <v>4</v>
      </c>
      <c r="D119" s="7" t="s">
        <v>68</v>
      </c>
      <c r="E119" s="7"/>
      <c r="H119" s="4"/>
    </row>
    <row r="120" spans="1:8" ht="14.25" customHeight="1">
      <c r="A120" s="5">
        <v>44686</v>
      </c>
      <c r="B120" s="6">
        <v>-9584.83</v>
      </c>
      <c r="C120" s="7" t="s">
        <v>7</v>
      </c>
      <c r="D120" s="7"/>
      <c r="E120" s="7"/>
      <c r="H120" s="4"/>
    </row>
    <row r="121" spans="1:8" ht="14.25" customHeight="1">
      <c r="A121" s="5">
        <v>44686</v>
      </c>
      <c r="B121" s="6">
        <v>-30000</v>
      </c>
      <c r="C121" s="7" t="s">
        <v>7</v>
      </c>
      <c r="D121" s="7"/>
      <c r="E121" s="7"/>
      <c r="H121" s="4"/>
    </row>
    <row r="122" spans="1:8" ht="14.25" customHeight="1">
      <c r="A122" s="5">
        <v>44686</v>
      </c>
      <c r="B122" s="6">
        <v>14892</v>
      </c>
      <c r="C122" s="7" t="s">
        <v>69</v>
      </c>
      <c r="D122" s="7"/>
      <c r="E122" s="7"/>
      <c r="H122" s="4"/>
    </row>
    <row r="123" spans="1:8" ht="14.25" customHeight="1">
      <c r="A123" s="5">
        <v>44687</v>
      </c>
      <c r="B123" s="6"/>
      <c r="C123" s="7" t="s">
        <v>4</v>
      </c>
      <c r="D123" s="7" t="s">
        <v>70</v>
      </c>
      <c r="E123" s="7"/>
      <c r="H123" s="4"/>
    </row>
    <row r="124" spans="1:8" ht="14.25" customHeight="1">
      <c r="A124" s="5">
        <v>44690</v>
      </c>
      <c r="B124" s="6">
        <v>-15000</v>
      </c>
      <c r="C124" s="7" t="s">
        <v>7</v>
      </c>
      <c r="D124" s="7"/>
      <c r="E124" s="7"/>
      <c r="H124" s="4"/>
    </row>
    <row r="125" spans="1:8" ht="14.25" customHeight="1">
      <c r="A125" s="5">
        <v>44691</v>
      </c>
      <c r="B125" s="6"/>
      <c r="C125" s="7" t="s">
        <v>4</v>
      </c>
      <c r="D125" s="7" t="s">
        <v>71</v>
      </c>
      <c r="E125" s="7"/>
      <c r="H125" s="4"/>
    </row>
    <row r="126" spans="1:8" ht="14.25" customHeight="1">
      <c r="A126" s="5">
        <v>44694</v>
      </c>
      <c r="B126" s="6">
        <v>13560</v>
      </c>
      <c r="C126" s="7" t="s">
        <v>72</v>
      </c>
      <c r="D126" s="7"/>
      <c r="E126" s="7"/>
      <c r="H126" s="4"/>
    </row>
    <row r="127" spans="1:8" ht="14.25" customHeight="1">
      <c r="A127" s="5">
        <v>44694</v>
      </c>
      <c r="B127" s="6">
        <v>25000</v>
      </c>
      <c r="C127" s="7" t="s">
        <v>3</v>
      </c>
      <c r="D127" s="7"/>
      <c r="E127" s="7"/>
      <c r="H127" s="4"/>
    </row>
    <row r="128" spans="1:8" ht="14.25" customHeight="1">
      <c r="A128" s="5">
        <v>44694</v>
      </c>
      <c r="B128" s="6"/>
      <c r="C128" s="7" t="s">
        <v>4</v>
      </c>
      <c r="D128" s="7" t="s">
        <v>73</v>
      </c>
      <c r="E128" s="7"/>
      <c r="H128" s="4"/>
    </row>
    <row r="129" spans="1:8" ht="14.25" customHeight="1">
      <c r="A129" s="5">
        <v>44699</v>
      </c>
      <c r="B129" s="6"/>
      <c r="C129" s="7" t="s">
        <v>4</v>
      </c>
      <c r="D129" s="7" t="s">
        <v>74</v>
      </c>
      <c r="E129" s="7"/>
      <c r="H129" s="4"/>
    </row>
    <row r="130" spans="1:8" ht="14.25" customHeight="1">
      <c r="A130" s="5">
        <v>44699</v>
      </c>
      <c r="B130" s="6">
        <v>-9104.51</v>
      </c>
      <c r="C130" s="7" t="s">
        <v>7</v>
      </c>
      <c r="D130" s="7"/>
      <c r="E130" s="7"/>
      <c r="H130" s="4"/>
    </row>
    <row r="131" spans="1:8" ht="14.25" customHeight="1">
      <c r="A131" s="5">
        <v>44700</v>
      </c>
      <c r="B131" s="6"/>
      <c r="C131" s="7" t="s">
        <v>4</v>
      </c>
      <c r="D131" s="7" t="s">
        <v>75</v>
      </c>
      <c r="E131" s="7"/>
      <c r="H131" s="4"/>
    </row>
    <row r="132" spans="1:8" ht="14.25" customHeight="1">
      <c r="A132" s="5">
        <v>44701</v>
      </c>
      <c r="B132" s="6">
        <v>9000</v>
      </c>
      <c r="C132" s="7" t="s">
        <v>3</v>
      </c>
      <c r="D132" s="7"/>
      <c r="E132" s="7"/>
      <c r="H132" s="4"/>
    </row>
    <row r="133" spans="1:8" ht="14.25" customHeight="1">
      <c r="A133" s="5">
        <v>44701</v>
      </c>
      <c r="B133" s="6">
        <v>-15000</v>
      </c>
      <c r="C133" s="7" t="s">
        <v>7</v>
      </c>
      <c r="D133" s="7"/>
      <c r="E133" s="7"/>
      <c r="H133" s="4"/>
    </row>
    <row r="134" spans="1:8" ht="14.25" customHeight="1">
      <c r="A134" s="5">
        <v>44702</v>
      </c>
      <c r="B134" s="6">
        <v>-10000</v>
      </c>
      <c r="C134" s="7" t="s">
        <v>7</v>
      </c>
      <c r="D134" s="7"/>
      <c r="E134" s="7"/>
      <c r="H134" s="4"/>
    </row>
    <row r="135" spans="1:8" ht="14.25" customHeight="1">
      <c r="A135" s="5">
        <v>44704</v>
      </c>
      <c r="B135" s="6">
        <v>23000</v>
      </c>
      <c r="C135" s="7" t="s">
        <v>3</v>
      </c>
      <c r="D135" s="7"/>
      <c r="E135" s="7"/>
      <c r="H135" s="4"/>
    </row>
    <row r="136" spans="1:8" ht="14.25" customHeight="1">
      <c r="A136" s="5">
        <v>44704</v>
      </c>
      <c r="B136" s="6">
        <v>-15000</v>
      </c>
      <c r="C136" s="7" t="s">
        <v>7</v>
      </c>
      <c r="D136" s="7"/>
      <c r="E136" s="7"/>
      <c r="H136" s="4"/>
    </row>
    <row r="137" spans="1:8" ht="14.25" customHeight="1">
      <c r="A137" s="5">
        <v>44706</v>
      </c>
      <c r="B137" s="6"/>
      <c r="C137" s="7" t="s">
        <v>4</v>
      </c>
      <c r="D137" s="7" t="s">
        <v>76</v>
      </c>
      <c r="E137" s="7"/>
      <c r="H137" s="4"/>
    </row>
    <row r="138" spans="1:8" ht="14.25" customHeight="1">
      <c r="A138" s="5">
        <v>44706</v>
      </c>
      <c r="B138" s="6">
        <v>-3035.32</v>
      </c>
      <c r="C138" s="7" t="s">
        <v>7</v>
      </c>
      <c r="D138" s="7"/>
      <c r="E138" s="7"/>
      <c r="H138" s="4"/>
    </row>
    <row r="139" spans="1:8" ht="14.25" customHeight="1">
      <c r="A139" s="5">
        <v>44708</v>
      </c>
      <c r="B139" s="6"/>
      <c r="C139" s="7" t="s">
        <v>4</v>
      </c>
      <c r="D139" s="7" t="s">
        <v>77</v>
      </c>
      <c r="E139" s="7"/>
      <c r="H139" s="4"/>
    </row>
    <row r="140" spans="1:8" ht="14.25" customHeight="1">
      <c r="A140" s="5">
        <v>44711</v>
      </c>
      <c r="B140" s="6">
        <v>-8000</v>
      </c>
      <c r="C140" s="7" t="s">
        <v>7</v>
      </c>
      <c r="D140" s="7"/>
      <c r="E140" s="7"/>
      <c r="H140" s="4"/>
    </row>
    <row r="141" spans="1:8" ht="14.25" customHeight="1">
      <c r="A141" s="5">
        <v>44712</v>
      </c>
      <c r="B141" s="6">
        <v>-12000</v>
      </c>
      <c r="C141" s="7" t="s">
        <v>7</v>
      </c>
      <c r="D141" s="7"/>
      <c r="E141" s="7"/>
      <c r="H141" s="4"/>
    </row>
    <row r="142" spans="1:8" ht="14.25" customHeight="1">
      <c r="A142" s="5">
        <v>44715</v>
      </c>
      <c r="B142" s="6"/>
      <c r="C142" s="7" t="s">
        <v>4</v>
      </c>
      <c r="D142" s="7" t="s">
        <v>78</v>
      </c>
      <c r="E142" s="7"/>
      <c r="H142" s="4"/>
    </row>
    <row r="143" spans="1:8" ht="14.25" customHeight="1">
      <c r="A143" s="5">
        <v>44715</v>
      </c>
      <c r="B143" s="6"/>
      <c r="C143" s="7" t="s">
        <v>4</v>
      </c>
      <c r="D143" s="7" t="s">
        <v>79</v>
      </c>
      <c r="E143" s="7"/>
      <c r="H143" s="4"/>
    </row>
    <row r="144" spans="1:8" ht="14.25" customHeight="1">
      <c r="A144" s="5">
        <v>44718</v>
      </c>
      <c r="B144" s="6"/>
      <c r="C144" s="7" t="s">
        <v>4</v>
      </c>
      <c r="D144" s="7" t="s">
        <v>80</v>
      </c>
      <c r="E144" s="7"/>
      <c r="H144" s="4"/>
    </row>
    <row r="145" spans="1:8" ht="14.25" customHeight="1">
      <c r="A145" s="5">
        <v>44718</v>
      </c>
      <c r="B145" s="6">
        <v>-10000</v>
      </c>
      <c r="C145" s="7" t="s">
        <v>7</v>
      </c>
      <c r="D145" s="7"/>
      <c r="E145" s="7"/>
      <c r="H145" s="4"/>
    </row>
    <row r="146" spans="1:8" ht="14.25" customHeight="1">
      <c r="A146" s="5">
        <v>44722</v>
      </c>
      <c r="B146" s="6">
        <v>-20000</v>
      </c>
      <c r="C146" s="7" t="s">
        <v>7</v>
      </c>
      <c r="D146" s="7"/>
      <c r="E146" s="7"/>
      <c r="H146" s="4"/>
    </row>
    <row r="147" spans="1:8" ht="14.25" customHeight="1">
      <c r="A147" s="5">
        <v>44726</v>
      </c>
      <c r="B147" s="6"/>
      <c r="C147" s="7" t="s">
        <v>4</v>
      </c>
      <c r="D147" s="7" t="s">
        <v>81</v>
      </c>
      <c r="E147" s="7"/>
      <c r="H147" s="4"/>
    </row>
    <row r="148" spans="1:8" ht="14.25" customHeight="1">
      <c r="A148" s="5">
        <v>44728</v>
      </c>
      <c r="B148" s="6">
        <v>-7220</v>
      </c>
      <c r="C148" s="7" t="s">
        <v>82</v>
      </c>
      <c r="D148" s="7"/>
      <c r="E148" s="7"/>
      <c r="H148" s="4"/>
    </row>
    <row r="149" spans="1:8" ht="14.25" customHeight="1">
      <c r="A149" s="5">
        <v>44736</v>
      </c>
      <c r="B149" s="6"/>
      <c r="C149" s="7" t="s">
        <v>4</v>
      </c>
      <c r="D149" s="7" t="s">
        <v>83</v>
      </c>
      <c r="E149" s="7"/>
      <c r="H149" s="4"/>
    </row>
    <row r="150" spans="1:8" ht="14.25" customHeight="1">
      <c r="A150" s="5">
        <v>44736</v>
      </c>
      <c r="B150" s="6">
        <v>-9000</v>
      </c>
      <c r="C150" s="7" t="s">
        <v>84</v>
      </c>
      <c r="D150" s="7"/>
      <c r="E150" s="7"/>
      <c r="H150" s="4"/>
    </row>
    <row r="151" spans="1:8" ht="14.25" customHeight="1">
      <c r="A151" s="5">
        <v>44739</v>
      </c>
      <c r="B151" s="6"/>
      <c r="C151" s="7" t="s">
        <v>4</v>
      </c>
      <c r="D151" s="7" t="s">
        <v>85</v>
      </c>
      <c r="E151" s="7"/>
      <c r="H151" s="4"/>
    </row>
    <row r="152" spans="1:8" ht="14.25" customHeight="1">
      <c r="A152" s="5">
        <v>44739</v>
      </c>
      <c r="B152" s="6"/>
      <c r="C152" s="7" t="s">
        <v>4</v>
      </c>
      <c r="D152" s="7" t="s">
        <v>86</v>
      </c>
      <c r="E152" s="7"/>
      <c r="H152" s="4"/>
    </row>
    <row r="153" spans="1:8" ht="14.25" customHeight="1">
      <c r="A153" s="5">
        <v>44739</v>
      </c>
      <c r="B153" s="6"/>
      <c r="C153" s="7" t="s">
        <v>87</v>
      </c>
      <c r="D153" s="7"/>
      <c r="E153" s="7"/>
      <c r="H153" s="4"/>
    </row>
    <row r="154" spans="1:8" ht="14.25" customHeight="1">
      <c r="A154" s="5">
        <v>44739</v>
      </c>
      <c r="B154" s="6">
        <v>1000</v>
      </c>
      <c r="C154" s="7" t="s">
        <v>3</v>
      </c>
      <c r="D154" s="7"/>
      <c r="E154" s="7"/>
      <c r="H154" s="4"/>
    </row>
    <row r="155" spans="1:8" ht="14.25" customHeight="1">
      <c r="A155" s="5">
        <v>44740</v>
      </c>
      <c r="B155" s="6">
        <v>20000</v>
      </c>
      <c r="C155" s="7" t="s">
        <v>3</v>
      </c>
      <c r="D155" s="7"/>
      <c r="E155" s="7"/>
      <c r="H155" s="4"/>
    </row>
    <row r="156" spans="1:8" ht="14.25" customHeight="1">
      <c r="A156" s="5">
        <v>44741</v>
      </c>
      <c r="B156" s="6"/>
      <c r="C156" s="7" t="s">
        <v>4</v>
      </c>
      <c r="D156" s="7" t="s">
        <v>88</v>
      </c>
      <c r="E156" s="7"/>
      <c r="H156" s="4"/>
    </row>
    <row r="157" spans="1:8" ht="14.25" customHeight="1">
      <c r="A157" s="5">
        <v>44742</v>
      </c>
      <c r="B157" s="6"/>
      <c r="C157" s="7" t="s">
        <v>4</v>
      </c>
      <c r="D157" s="7" t="s">
        <v>89</v>
      </c>
      <c r="E157" s="7"/>
      <c r="H157" s="4"/>
    </row>
    <row r="158" spans="1:8" ht="14.25" customHeight="1">
      <c r="A158" s="5">
        <v>44742</v>
      </c>
      <c r="B158" s="6">
        <v>10000</v>
      </c>
      <c r="C158" s="7" t="s">
        <v>3</v>
      </c>
      <c r="D158" s="7"/>
      <c r="E158" s="7"/>
      <c r="H158" s="4"/>
    </row>
    <row r="159" spans="1:8" ht="14.25" customHeight="1">
      <c r="A159" s="5">
        <v>44753</v>
      </c>
      <c r="B159" s="6"/>
      <c r="C159" s="7" t="s">
        <v>4</v>
      </c>
      <c r="D159" s="7" t="s">
        <v>90</v>
      </c>
      <c r="E159" s="7"/>
      <c r="H159" s="4"/>
    </row>
    <row r="160" spans="1:8" ht="14.25" customHeight="1">
      <c r="A160" s="5">
        <v>44753</v>
      </c>
      <c r="B160" s="6"/>
      <c r="C160" s="7" t="s">
        <v>4</v>
      </c>
      <c r="D160" s="7" t="s">
        <v>91</v>
      </c>
      <c r="E160" s="7"/>
      <c r="H160" s="4"/>
    </row>
    <row r="161" spans="1:8" ht="14.25" customHeight="1">
      <c r="A161" s="5">
        <v>44755</v>
      </c>
      <c r="B161" s="6"/>
      <c r="C161" s="7" t="s">
        <v>4</v>
      </c>
      <c r="D161" s="7" t="s">
        <v>92</v>
      </c>
      <c r="E161" s="7"/>
      <c r="H161" s="4"/>
    </row>
    <row r="162" spans="1:8" ht="14.25" customHeight="1">
      <c r="A162" s="5">
        <v>44755</v>
      </c>
      <c r="B162" s="6"/>
      <c r="C162" s="7" t="s">
        <v>4</v>
      </c>
      <c r="D162" s="7" t="s">
        <v>93</v>
      </c>
      <c r="E162" s="7"/>
      <c r="H162" s="4"/>
    </row>
    <row r="163" spans="1:8" ht="14.25" customHeight="1">
      <c r="A163" s="5">
        <v>44755</v>
      </c>
      <c r="B163" s="6"/>
      <c r="C163" s="7" t="s">
        <v>4</v>
      </c>
      <c r="D163" s="7" t="s">
        <v>94</v>
      </c>
      <c r="E163" s="7"/>
      <c r="H163" s="4"/>
    </row>
    <row r="164" spans="1:8" ht="14.25" customHeight="1">
      <c r="A164" s="5">
        <v>44757</v>
      </c>
      <c r="B164" s="6"/>
      <c r="C164" s="7" t="s">
        <v>4</v>
      </c>
      <c r="D164" s="7" t="s">
        <v>95</v>
      </c>
      <c r="E164" s="7"/>
      <c r="H164" s="4"/>
    </row>
    <row r="165" spans="1:8" ht="14.25" customHeight="1">
      <c r="A165" s="5">
        <v>44760</v>
      </c>
      <c r="B165" s="6"/>
      <c r="C165" s="7" t="s">
        <v>4</v>
      </c>
      <c r="D165" s="7" t="s">
        <v>96</v>
      </c>
      <c r="E165" s="7"/>
      <c r="H165" s="4"/>
    </row>
    <row r="166" spans="1:8" ht="14.25" customHeight="1">
      <c r="A166" s="5">
        <v>44761</v>
      </c>
      <c r="B166" s="6">
        <v>5000</v>
      </c>
      <c r="C166" s="7" t="s">
        <v>3</v>
      </c>
      <c r="D166" s="7"/>
      <c r="E166" s="7"/>
      <c r="H166" s="4"/>
    </row>
    <row r="167" spans="1:8" ht="14.25" customHeight="1">
      <c r="A167" s="5">
        <v>44761</v>
      </c>
      <c r="B167" s="6"/>
      <c r="C167" s="7" t="s">
        <v>4</v>
      </c>
      <c r="D167" s="7" t="s">
        <v>97</v>
      </c>
      <c r="E167" s="7"/>
      <c r="H167" s="4"/>
    </row>
    <row r="168" spans="1:8" ht="14.25" customHeight="1">
      <c r="A168" s="5">
        <v>44762</v>
      </c>
      <c r="B168" s="6"/>
      <c r="C168" s="7" t="s">
        <v>4</v>
      </c>
      <c r="D168" s="7" t="s">
        <v>98</v>
      </c>
      <c r="E168" s="7"/>
      <c r="H168" s="4"/>
    </row>
    <row r="169" spans="1:8" ht="14.25" customHeight="1">
      <c r="A169" s="5">
        <v>44762</v>
      </c>
      <c r="B169" s="6"/>
      <c r="C169" s="7" t="s">
        <v>4</v>
      </c>
      <c r="D169" s="7" t="s">
        <v>99</v>
      </c>
      <c r="E169" s="7"/>
      <c r="H169" s="4"/>
    </row>
    <row r="170" spans="1:8" ht="14.25" customHeight="1">
      <c r="A170" s="5">
        <v>44762</v>
      </c>
      <c r="B170" s="6"/>
      <c r="C170" s="7" t="s">
        <v>4</v>
      </c>
      <c r="D170" s="7" t="s">
        <v>100</v>
      </c>
      <c r="E170" s="7"/>
      <c r="H170" s="4"/>
    </row>
    <row r="171" spans="1:8" ht="14.25" customHeight="1">
      <c r="A171" s="5">
        <v>44767</v>
      </c>
      <c r="B171" s="6">
        <v>-20000</v>
      </c>
      <c r="C171" s="7" t="s">
        <v>7</v>
      </c>
      <c r="D171" s="7"/>
      <c r="E171" s="7"/>
      <c r="H171" s="4"/>
    </row>
    <row r="172" spans="1:8" ht="14.25" customHeight="1">
      <c r="A172" s="5">
        <v>44768</v>
      </c>
      <c r="B172" s="8"/>
      <c r="C172" s="7" t="s">
        <v>4</v>
      </c>
      <c r="D172" s="7" t="s">
        <v>101</v>
      </c>
      <c r="E172" s="7"/>
      <c r="H172" s="4"/>
    </row>
    <row r="173" spans="1:8" ht="14.25" customHeight="1">
      <c r="A173" s="5">
        <v>44771</v>
      </c>
      <c r="B173" s="8"/>
      <c r="C173" s="7" t="s">
        <v>4</v>
      </c>
      <c r="D173" s="7" t="s">
        <v>102</v>
      </c>
      <c r="E173" s="7"/>
      <c r="H173" s="4"/>
    </row>
    <row r="174" spans="1:8" ht="14.25" customHeight="1">
      <c r="A174" s="5">
        <v>44775</v>
      </c>
      <c r="B174" s="6">
        <v>-10000</v>
      </c>
      <c r="C174" s="7" t="s">
        <v>7</v>
      </c>
      <c r="D174" s="7"/>
      <c r="E174" s="7"/>
      <c r="H174" s="4"/>
    </row>
    <row r="175" spans="1:8" ht="14.25" customHeight="1">
      <c r="A175" s="5">
        <v>44777</v>
      </c>
      <c r="B175" s="8"/>
      <c r="C175" s="7" t="s">
        <v>4</v>
      </c>
      <c r="D175" s="7" t="s">
        <v>103</v>
      </c>
      <c r="E175" s="7"/>
      <c r="H175" s="4"/>
    </row>
    <row r="176" spans="1:8" ht="14.25" customHeight="1">
      <c r="A176" s="5">
        <v>44777</v>
      </c>
      <c r="B176" s="8"/>
      <c r="C176" s="7" t="s">
        <v>4</v>
      </c>
      <c r="D176" s="7" t="s">
        <v>104</v>
      </c>
      <c r="E176" s="7"/>
      <c r="H176" s="4"/>
    </row>
    <row r="177" spans="1:8" ht="14.25" customHeight="1">
      <c r="A177" s="5">
        <v>44778</v>
      </c>
      <c r="B177" s="8"/>
      <c r="C177" s="7" t="s">
        <v>4</v>
      </c>
      <c r="D177" s="7" t="s">
        <v>105</v>
      </c>
      <c r="E177" s="7"/>
      <c r="H177" s="4"/>
    </row>
    <row r="178" spans="1:8" ht="14.25" customHeight="1">
      <c r="A178" s="5">
        <v>44783</v>
      </c>
      <c r="B178" s="8"/>
      <c r="C178" s="7" t="s">
        <v>4</v>
      </c>
      <c r="D178" s="7" t="s">
        <v>106</v>
      </c>
      <c r="E178" s="7"/>
      <c r="H178" s="4"/>
    </row>
    <row r="179" spans="1:8" ht="14.25" customHeight="1">
      <c r="A179" s="5">
        <v>44784</v>
      </c>
      <c r="B179" s="6">
        <v>-9000</v>
      </c>
      <c r="C179" s="7" t="s">
        <v>7</v>
      </c>
      <c r="D179" s="7"/>
      <c r="E179" s="7"/>
      <c r="H179" s="4"/>
    </row>
    <row r="180" spans="1:8" ht="14.25" customHeight="1">
      <c r="A180" s="5">
        <v>44791</v>
      </c>
      <c r="B180" s="6">
        <v>-10000</v>
      </c>
      <c r="C180" s="7" t="s">
        <v>7</v>
      </c>
      <c r="D180" s="7"/>
      <c r="E180" s="7"/>
      <c r="H180" s="4"/>
    </row>
    <row r="181" spans="1:8" ht="14.25" customHeight="1">
      <c r="A181" s="5">
        <v>44792</v>
      </c>
      <c r="B181" s="8">
        <v>-15000</v>
      </c>
      <c r="C181" s="7" t="s">
        <v>7</v>
      </c>
      <c r="D181" s="7"/>
      <c r="E181" s="7"/>
      <c r="H181" s="4"/>
    </row>
    <row r="182" spans="1:8" ht="14.25" customHeight="1">
      <c r="A182" s="5">
        <v>44793</v>
      </c>
      <c r="B182" s="8">
        <v>-4600</v>
      </c>
      <c r="C182" s="7" t="s">
        <v>107</v>
      </c>
      <c r="D182" s="7"/>
      <c r="E182" s="7"/>
      <c r="H182" s="4"/>
    </row>
    <row r="183" spans="1:8" ht="14.25" customHeight="1">
      <c r="A183" s="5">
        <v>44796</v>
      </c>
      <c r="B183" s="6">
        <v>10000</v>
      </c>
      <c r="C183" s="7" t="s">
        <v>3</v>
      </c>
      <c r="D183" s="7"/>
      <c r="E183" s="7"/>
      <c r="H183" s="4"/>
    </row>
    <row r="184" spans="1:8" ht="14.25" customHeight="1">
      <c r="A184" s="5">
        <v>44797</v>
      </c>
      <c r="B184" s="8">
        <v>-2924.23</v>
      </c>
      <c r="C184" s="7" t="s">
        <v>7</v>
      </c>
      <c r="D184" s="7"/>
      <c r="E184" s="7"/>
      <c r="H184" s="4"/>
    </row>
    <row r="185" spans="1:8" ht="14.25" customHeight="1">
      <c r="A185" s="5">
        <v>44798</v>
      </c>
      <c r="B185" s="6">
        <v>-10000</v>
      </c>
      <c r="C185" s="7" t="s">
        <v>7</v>
      </c>
      <c r="D185" s="7"/>
      <c r="E185" s="7"/>
      <c r="H185" s="4"/>
    </row>
    <row r="186" spans="1:8" ht="14.25" customHeight="1">
      <c r="A186" s="5">
        <v>44805</v>
      </c>
      <c r="B186" s="8">
        <v>60000</v>
      </c>
      <c r="C186" s="7" t="s">
        <v>3</v>
      </c>
      <c r="D186" s="7"/>
      <c r="E186" s="7"/>
      <c r="H186" s="4"/>
    </row>
    <row r="187" spans="1:8" ht="14.25" customHeight="1">
      <c r="A187" s="5">
        <v>44805</v>
      </c>
      <c r="B187" s="8">
        <v>14996</v>
      </c>
      <c r="C187" s="7" t="s">
        <v>108</v>
      </c>
      <c r="D187" s="7"/>
      <c r="E187" s="7"/>
      <c r="H187" s="4"/>
    </row>
    <row r="188" spans="1:8" ht="14.25" customHeight="1">
      <c r="A188" s="5">
        <v>44813</v>
      </c>
      <c r="B188" s="8">
        <v>4000</v>
      </c>
      <c r="C188" s="7" t="s">
        <v>3</v>
      </c>
      <c r="D188" s="7"/>
      <c r="E188" s="7"/>
      <c r="H188" s="4"/>
    </row>
    <row r="189" spans="1:8" ht="14.25" customHeight="1">
      <c r="A189" s="5">
        <v>44814</v>
      </c>
      <c r="B189" s="8">
        <v>-4000</v>
      </c>
      <c r="C189" s="7" t="s">
        <v>7</v>
      </c>
      <c r="D189" s="7"/>
      <c r="E189" s="7"/>
      <c r="H189" s="4"/>
    </row>
    <row r="190" spans="1:8" ht="14.25" customHeight="1">
      <c r="A190" s="5">
        <v>44816</v>
      </c>
      <c r="B190" s="8">
        <v>-5000</v>
      </c>
      <c r="C190" s="7" t="s">
        <v>7</v>
      </c>
      <c r="D190" s="7"/>
      <c r="E190" s="7"/>
      <c r="H190" s="4"/>
    </row>
    <row r="191" spans="1:8" ht="14.25" customHeight="1">
      <c r="A191" s="5">
        <v>44817</v>
      </c>
      <c r="B191" s="8">
        <v>-5000</v>
      </c>
      <c r="C191" s="7" t="s">
        <v>7</v>
      </c>
      <c r="D191" s="7"/>
      <c r="E191" s="7"/>
      <c r="H191" s="4"/>
    </row>
    <row r="192" spans="1:8" ht="14.25" customHeight="1">
      <c r="A192" s="5">
        <v>44819</v>
      </c>
      <c r="B192" s="8"/>
      <c r="C192" s="7" t="s">
        <v>4</v>
      </c>
      <c r="D192" s="7" t="s">
        <v>109</v>
      </c>
      <c r="E192" s="7"/>
      <c r="H192" s="4"/>
    </row>
    <row r="193" spans="1:16" ht="14.25" customHeight="1">
      <c r="A193" s="5">
        <v>44819</v>
      </c>
      <c r="B193" s="8">
        <v>-6212.9</v>
      </c>
      <c r="C193" s="7" t="s">
        <v>7</v>
      </c>
      <c r="D193" s="7"/>
      <c r="E193" s="7"/>
      <c r="H193" s="4"/>
    </row>
    <row r="194" spans="1:16" ht="14.25" customHeight="1">
      <c r="A194" s="5">
        <v>44827</v>
      </c>
      <c r="B194" s="8"/>
      <c r="C194" s="7" t="s">
        <v>4</v>
      </c>
      <c r="D194" s="7" t="s">
        <v>110</v>
      </c>
      <c r="E194" s="7"/>
      <c r="F194" s="40"/>
      <c r="G194" s="40"/>
      <c r="H194" s="4"/>
      <c r="I194" s="40"/>
      <c r="J194" s="40"/>
      <c r="K194" s="40"/>
      <c r="L194" s="40"/>
      <c r="M194" s="40"/>
      <c r="N194" s="40"/>
      <c r="O194" s="40"/>
      <c r="P194" s="40"/>
    </row>
    <row r="195" spans="1:16" ht="14.25" customHeight="1">
      <c r="A195" s="5">
        <v>44827</v>
      </c>
      <c r="B195" s="8"/>
      <c r="C195" s="7" t="s">
        <v>4</v>
      </c>
      <c r="D195" s="7" t="s">
        <v>111</v>
      </c>
      <c r="E195" s="7"/>
      <c r="F195" s="40"/>
      <c r="G195" s="40"/>
      <c r="H195" s="4"/>
      <c r="I195" s="40"/>
      <c r="J195" s="40"/>
      <c r="K195" s="40"/>
      <c r="L195" s="40"/>
      <c r="M195" s="40"/>
      <c r="N195" s="40"/>
      <c r="O195" s="40"/>
      <c r="P195" s="40"/>
    </row>
    <row r="196" spans="1:16" ht="14.25" customHeight="1">
      <c r="A196" s="5">
        <v>44827</v>
      </c>
      <c r="B196" s="8"/>
      <c r="C196" s="7" t="s">
        <v>4</v>
      </c>
      <c r="D196" s="7" t="s">
        <v>112</v>
      </c>
      <c r="E196" s="7"/>
      <c r="F196" s="40"/>
      <c r="G196" s="40"/>
      <c r="H196" s="4"/>
      <c r="I196" s="40"/>
      <c r="J196" s="40"/>
      <c r="K196" s="40"/>
      <c r="L196" s="40"/>
      <c r="M196" s="40"/>
      <c r="N196" s="40"/>
      <c r="O196" s="40"/>
      <c r="P196" s="40"/>
    </row>
    <row r="197" spans="1:16" ht="14.25" customHeight="1">
      <c r="A197" s="5">
        <v>44827</v>
      </c>
      <c r="B197" s="8">
        <v>10000</v>
      </c>
      <c r="C197" s="7" t="s">
        <v>3</v>
      </c>
      <c r="D197" s="7"/>
      <c r="E197" s="7"/>
      <c r="F197" s="40"/>
      <c r="G197" s="40"/>
      <c r="H197" s="4"/>
      <c r="I197" s="40"/>
      <c r="J197" s="40"/>
      <c r="K197" s="40"/>
      <c r="L197" s="40"/>
      <c r="M197" s="40"/>
      <c r="N197" s="40"/>
      <c r="O197" s="40"/>
      <c r="P197" s="40"/>
    </row>
    <row r="198" spans="1:16" ht="14.25" customHeight="1">
      <c r="A198" s="5">
        <v>44830</v>
      </c>
      <c r="B198" s="8">
        <v>10000</v>
      </c>
      <c r="C198" s="7" t="s">
        <v>3</v>
      </c>
      <c r="D198" s="7"/>
      <c r="E198" s="7"/>
      <c r="F198" s="40"/>
      <c r="G198" s="40"/>
      <c r="H198" s="4"/>
      <c r="I198" s="40"/>
      <c r="J198" s="40"/>
      <c r="K198" s="40"/>
      <c r="L198" s="40"/>
      <c r="M198" s="40"/>
      <c r="N198" s="40"/>
      <c r="O198" s="40"/>
      <c r="P198" s="40"/>
    </row>
    <row r="199" spans="1:16" ht="14.25" customHeight="1">
      <c r="A199" s="5">
        <v>44830</v>
      </c>
      <c r="B199" s="8"/>
      <c r="C199" s="7" t="s">
        <v>4</v>
      </c>
      <c r="D199" s="7" t="s">
        <v>113</v>
      </c>
      <c r="E199" s="7"/>
      <c r="F199" s="40"/>
      <c r="G199" s="40"/>
      <c r="H199" s="4"/>
      <c r="I199" s="40"/>
      <c r="J199" s="40"/>
      <c r="K199" s="40"/>
      <c r="L199" s="40"/>
      <c r="M199" s="40"/>
      <c r="N199" s="40"/>
      <c r="O199" s="40"/>
      <c r="P199" s="40"/>
    </row>
    <row r="200" spans="1:16" ht="14.25" customHeight="1">
      <c r="A200" s="5">
        <v>44831</v>
      </c>
      <c r="B200" s="8"/>
      <c r="C200" s="7" t="s">
        <v>4</v>
      </c>
      <c r="D200" s="7" t="s">
        <v>114</v>
      </c>
      <c r="E200" s="7"/>
      <c r="F200" s="40"/>
      <c r="G200" s="40"/>
      <c r="H200" s="4"/>
      <c r="I200" s="40"/>
      <c r="J200" s="40"/>
      <c r="K200" s="40"/>
      <c r="L200" s="40"/>
      <c r="M200" s="40"/>
      <c r="N200" s="40"/>
      <c r="O200" s="40"/>
      <c r="P200" s="40"/>
    </row>
    <row r="201" spans="1:16" ht="14.25" customHeight="1">
      <c r="A201" s="5">
        <v>44832</v>
      </c>
      <c r="B201" s="8">
        <v>-7193.93</v>
      </c>
      <c r="C201" s="7" t="s">
        <v>7</v>
      </c>
      <c r="D201" s="7"/>
      <c r="E201" s="7"/>
      <c r="F201" s="40"/>
      <c r="G201" s="40"/>
      <c r="H201" s="4"/>
      <c r="I201" s="40"/>
      <c r="J201" s="40"/>
      <c r="K201" s="40"/>
      <c r="L201" s="40"/>
      <c r="M201" s="40"/>
      <c r="N201" s="40"/>
      <c r="O201" s="40"/>
      <c r="P201" s="40"/>
    </row>
    <row r="202" spans="1:16" ht="14.25" customHeight="1">
      <c r="A202" s="5">
        <v>44875</v>
      </c>
      <c r="B202" s="8">
        <v>14904</v>
      </c>
      <c r="C202" s="7" t="s">
        <v>115</v>
      </c>
      <c r="D202" s="7"/>
      <c r="E202" s="7"/>
      <c r="F202" s="40"/>
      <c r="G202" s="40"/>
      <c r="H202" s="4"/>
      <c r="I202" s="40"/>
      <c r="J202" s="40"/>
      <c r="K202" s="40"/>
      <c r="L202" s="40"/>
      <c r="M202" s="40"/>
      <c r="N202" s="40"/>
      <c r="O202" s="40"/>
      <c r="P202" s="40"/>
    </row>
    <row r="203" spans="1:16" ht="14.25" customHeight="1">
      <c r="A203" s="5">
        <v>44876</v>
      </c>
      <c r="B203" s="8">
        <v>-15000</v>
      </c>
      <c r="C203" s="7" t="s">
        <v>7</v>
      </c>
      <c r="D203" s="7"/>
      <c r="E203" s="7"/>
      <c r="F203" s="40"/>
      <c r="G203" s="40"/>
      <c r="H203" s="4"/>
      <c r="I203" s="40"/>
      <c r="J203" s="40"/>
      <c r="K203" s="40"/>
      <c r="L203" s="40"/>
      <c r="M203" s="40"/>
      <c r="N203" s="40"/>
      <c r="O203" s="40"/>
      <c r="P203" s="40"/>
    </row>
    <row r="204" spans="1:16" ht="14.25" customHeight="1">
      <c r="A204" s="5">
        <v>44880</v>
      </c>
      <c r="B204" s="8">
        <v>-10000</v>
      </c>
      <c r="C204" s="7" t="s">
        <v>7</v>
      </c>
      <c r="D204" s="7"/>
      <c r="E204" s="7"/>
      <c r="F204" s="40"/>
      <c r="G204" s="40"/>
      <c r="H204" s="4"/>
      <c r="I204" s="40"/>
      <c r="J204" s="40"/>
      <c r="K204" s="40"/>
      <c r="L204" s="40"/>
      <c r="M204" s="40"/>
      <c r="N204" s="40"/>
      <c r="O204" s="40"/>
      <c r="P204" s="40"/>
    </row>
    <row r="205" spans="1:16" ht="14.25" customHeight="1">
      <c r="A205" s="5">
        <v>44880</v>
      </c>
      <c r="B205" s="8"/>
      <c r="C205" s="7" t="s">
        <v>4</v>
      </c>
      <c r="D205" s="7" t="s">
        <v>116</v>
      </c>
      <c r="E205" s="7"/>
      <c r="F205" s="40"/>
      <c r="G205" s="40"/>
      <c r="H205" s="4"/>
      <c r="I205" s="40"/>
      <c r="J205" s="40"/>
      <c r="K205" s="40"/>
      <c r="L205" s="40"/>
      <c r="M205" s="40"/>
      <c r="N205" s="40"/>
      <c r="O205" s="40"/>
      <c r="P205" s="40"/>
    </row>
    <row r="206" spans="1:16" ht="14.25" customHeight="1">
      <c r="A206" s="5">
        <v>44880</v>
      </c>
      <c r="B206" s="8"/>
      <c r="C206" s="7" t="s">
        <v>4</v>
      </c>
      <c r="D206" s="7" t="s">
        <v>117</v>
      </c>
      <c r="E206" s="7"/>
      <c r="F206" s="40"/>
      <c r="G206" s="40"/>
      <c r="H206" s="4"/>
      <c r="I206" s="40"/>
      <c r="J206" s="40"/>
      <c r="K206" s="40"/>
      <c r="L206" s="40"/>
      <c r="M206" s="40"/>
      <c r="N206" s="40"/>
      <c r="O206" s="40"/>
      <c r="P206" s="40"/>
    </row>
    <row r="207" spans="1:16" ht="14.25" customHeight="1">
      <c r="A207" s="5">
        <v>44884</v>
      </c>
      <c r="B207" s="8">
        <v>14652</v>
      </c>
      <c r="C207" s="7" t="s">
        <v>118</v>
      </c>
      <c r="D207" s="7"/>
      <c r="E207" s="7"/>
      <c r="F207" s="40"/>
      <c r="G207" s="40"/>
      <c r="H207" s="4"/>
      <c r="I207" s="40"/>
      <c r="J207" s="40"/>
      <c r="K207" s="40"/>
      <c r="L207" s="40"/>
      <c r="M207" s="40"/>
      <c r="N207" s="40"/>
      <c r="O207" s="40"/>
      <c r="P207" s="40"/>
    </row>
    <row r="208" spans="1:16" ht="14.25" customHeight="1">
      <c r="A208" s="5">
        <v>44894</v>
      </c>
      <c r="B208" s="8">
        <v>-55000</v>
      </c>
      <c r="C208" s="7" t="s">
        <v>7</v>
      </c>
      <c r="D208" s="7"/>
      <c r="E208" s="7"/>
      <c r="F208" s="40"/>
      <c r="G208" s="40"/>
      <c r="H208" s="4"/>
      <c r="I208" s="40"/>
      <c r="J208" s="40"/>
      <c r="K208" s="40"/>
      <c r="L208" s="40"/>
      <c r="M208" s="40"/>
      <c r="N208" s="40"/>
      <c r="O208" s="40"/>
      <c r="P208" s="40"/>
    </row>
    <row r="209" spans="1:16" ht="14.25" customHeight="1">
      <c r="A209" s="5">
        <v>44896</v>
      </c>
      <c r="B209" s="8">
        <v>-20000</v>
      </c>
      <c r="C209" s="7" t="s">
        <v>7</v>
      </c>
      <c r="D209" s="7"/>
      <c r="E209" s="7"/>
      <c r="F209" s="40"/>
      <c r="G209" s="40"/>
      <c r="H209" s="4"/>
      <c r="I209" s="40"/>
      <c r="J209" s="40"/>
      <c r="K209" s="40"/>
      <c r="L209" s="40"/>
      <c r="M209" s="40"/>
      <c r="N209" s="40"/>
      <c r="O209" s="40"/>
      <c r="P209" s="40"/>
    </row>
    <row r="210" spans="1:16" ht="14.25" customHeight="1">
      <c r="A210" s="5">
        <v>44900</v>
      </c>
      <c r="B210" s="8">
        <v>-7000</v>
      </c>
      <c r="C210" s="7" t="s">
        <v>7</v>
      </c>
      <c r="D210" s="7"/>
      <c r="E210" s="7"/>
      <c r="F210" s="40"/>
      <c r="G210" s="40"/>
      <c r="H210" s="4"/>
      <c r="I210" s="40"/>
      <c r="J210" s="40"/>
      <c r="K210" s="40"/>
      <c r="L210" s="40"/>
      <c r="M210" s="40"/>
      <c r="N210" s="40"/>
      <c r="O210" s="40"/>
      <c r="P210" s="40"/>
    </row>
    <row r="211" spans="1:16" ht="14.25" customHeight="1">
      <c r="A211" s="5">
        <v>44902</v>
      </c>
      <c r="B211" s="8">
        <v>-10000</v>
      </c>
      <c r="C211" s="7" t="s">
        <v>7</v>
      </c>
      <c r="D211" s="7"/>
      <c r="E211" s="7"/>
      <c r="F211" s="40"/>
      <c r="G211" s="40"/>
      <c r="H211" s="4"/>
      <c r="I211" s="40"/>
      <c r="J211" s="40"/>
      <c r="K211" s="40"/>
      <c r="L211" s="40"/>
      <c r="M211" s="40"/>
      <c r="N211" s="40"/>
      <c r="O211" s="40"/>
      <c r="P211" s="40"/>
    </row>
    <row r="212" spans="1:16" ht="14.25" customHeight="1">
      <c r="A212" s="5">
        <v>44903</v>
      </c>
      <c r="B212" s="8"/>
      <c r="C212" s="7" t="s">
        <v>119</v>
      </c>
      <c r="D212" s="7"/>
      <c r="E212" s="7"/>
      <c r="F212" s="40"/>
      <c r="G212" s="40"/>
      <c r="H212" s="4"/>
      <c r="I212" s="40"/>
      <c r="J212" s="40"/>
      <c r="K212" s="40"/>
      <c r="L212" s="40"/>
      <c r="M212" s="40"/>
      <c r="N212" s="40"/>
      <c r="O212" s="40"/>
      <c r="P212" s="40"/>
    </row>
    <row r="213" spans="1:16" ht="14.25" customHeight="1">
      <c r="A213" s="5">
        <v>44910</v>
      </c>
      <c r="B213" s="8">
        <v>-14000</v>
      </c>
      <c r="C213" s="7" t="s">
        <v>7</v>
      </c>
      <c r="D213" s="7"/>
      <c r="E213" s="7"/>
      <c r="F213" s="40"/>
      <c r="G213" s="40"/>
      <c r="H213" s="4"/>
      <c r="I213" s="40"/>
      <c r="J213" s="40"/>
      <c r="K213" s="40"/>
      <c r="L213" s="40"/>
      <c r="M213" s="40"/>
      <c r="N213" s="40"/>
      <c r="O213" s="40"/>
      <c r="P213" s="40"/>
    </row>
    <row r="214" spans="1:16" ht="14.25" customHeight="1">
      <c r="A214" s="5">
        <v>44915</v>
      </c>
      <c r="B214" s="8">
        <v>-15000</v>
      </c>
      <c r="C214" s="7" t="s">
        <v>7</v>
      </c>
      <c r="D214" s="7"/>
      <c r="E214" s="7"/>
      <c r="F214" s="40"/>
      <c r="G214" s="40"/>
      <c r="H214" s="4"/>
      <c r="I214" s="40"/>
      <c r="J214" s="40"/>
      <c r="K214" s="40"/>
      <c r="L214" s="40"/>
      <c r="M214" s="40"/>
      <c r="N214" s="40"/>
      <c r="O214" s="40"/>
      <c r="P214" s="40"/>
    </row>
    <row r="215" spans="1:16" ht="14.25" customHeight="1">
      <c r="A215" s="5">
        <v>44915</v>
      </c>
      <c r="B215" s="8">
        <v>14994</v>
      </c>
      <c r="C215" s="7" t="s">
        <v>120</v>
      </c>
      <c r="D215" s="7"/>
      <c r="E215" s="7"/>
      <c r="F215" s="40"/>
      <c r="G215" s="40"/>
      <c r="H215" s="4"/>
      <c r="I215" s="40"/>
      <c r="J215" s="40"/>
      <c r="K215" s="40"/>
      <c r="L215" s="40"/>
      <c r="M215" s="40"/>
      <c r="N215" s="40"/>
      <c r="O215" s="40"/>
      <c r="P215" s="40"/>
    </row>
    <row r="216" spans="1:16" ht="14.25" customHeight="1">
      <c r="A216" s="5">
        <v>44922</v>
      </c>
      <c r="B216" s="8">
        <v>14820</v>
      </c>
      <c r="C216" s="7" t="s">
        <v>121</v>
      </c>
      <c r="D216" s="7"/>
      <c r="E216" s="7"/>
      <c r="F216" s="40"/>
      <c r="G216" s="40"/>
      <c r="H216" s="4"/>
      <c r="I216" s="40"/>
      <c r="J216" s="40"/>
      <c r="K216" s="40"/>
      <c r="L216" s="40"/>
      <c r="M216" s="40"/>
      <c r="N216" s="40"/>
      <c r="O216" s="40"/>
      <c r="P216" s="40"/>
    </row>
    <row r="217" spans="1:16" ht="14.25" customHeight="1">
      <c r="A217" s="5">
        <v>44925</v>
      </c>
      <c r="B217" s="8"/>
      <c r="C217" s="71" t="s">
        <v>122</v>
      </c>
      <c r="D217" s="7"/>
      <c r="E217" s="7"/>
      <c r="F217" s="40"/>
      <c r="G217" s="40"/>
      <c r="H217" s="4"/>
      <c r="I217" s="40"/>
      <c r="J217" s="40"/>
      <c r="K217" s="40"/>
      <c r="L217" s="40"/>
      <c r="M217" s="40"/>
      <c r="N217" s="40"/>
      <c r="O217" s="40"/>
      <c r="P217" s="40"/>
    </row>
    <row r="218" spans="1:16" ht="14.25" customHeight="1">
      <c r="A218" s="5">
        <v>44928</v>
      </c>
      <c r="B218" s="8"/>
      <c r="C218" s="71" t="s">
        <v>123</v>
      </c>
      <c r="D218" s="7"/>
      <c r="E218" s="7"/>
      <c r="F218" s="40"/>
      <c r="G218" s="40"/>
      <c r="H218" s="4"/>
      <c r="I218" s="40"/>
      <c r="J218" s="40"/>
      <c r="K218" s="40"/>
      <c r="L218" s="40"/>
      <c r="M218" s="40"/>
      <c r="N218" s="40"/>
      <c r="O218" s="40"/>
      <c r="P218" s="40"/>
    </row>
    <row r="219" spans="1:16" ht="14.25" customHeight="1">
      <c r="A219" s="5">
        <v>44928</v>
      </c>
      <c r="B219" s="8"/>
      <c r="C219" s="71" t="s">
        <v>124</v>
      </c>
      <c r="D219" s="7"/>
      <c r="E219" s="7"/>
      <c r="F219" s="40"/>
      <c r="G219" s="40"/>
      <c r="H219" s="4"/>
      <c r="I219" s="40"/>
      <c r="J219" s="40"/>
      <c r="K219" s="40"/>
      <c r="L219" s="40"/>
      <c r="M219" s="40"/>
      <c r="N219" s="40"/>
      <c r="O219" s="40"/>
      <c r="P219" s="40"/>
    </row>
    <row r="220" spans="1:16" ht="14.25" customHeight="1">
      <c r="A220" s="5">
        <v>44933</v>
      </c>
      <c r="B220" s="8">
        <v>-2033.23</v>
      </c>
      <c r="C220" s="7" t="s">
        <v>7</v>
      </c>
      <c r="D220" s="7"/>
      <c r="E220" s="7"/>
      <c r="F220" s="40"/>
      <c r="G220" s="40"/>
      <c r="H220" s="4"/>
      <c r="I220" s="40"/>
      <c r="J220" s="40"/>
      <c r="K220" s="40"/>
      <c r="L220" s="40"/>
      <c r="M220" s="40"/>
      <c r="N220" s="40"/>
      <c r="O220" s="40"/>
      <c r="P220" s="40"/>
    </row>
    <row r="221" spans="1:16" ht="14.25" customHeight="1">
      <c r="A221" s="5">
        <v>44934</v>
      </c>
      <c r="B221" s="8">
        <v>2033</v>
      </c>
      <c r="C221" s="7" t="s">
        <v>3</v>
      </c>
      <c r="D221" s="7"/>
      <c r="E221" s="7"/>
      <c r="F221" s="40"/>
      <c r="G221" s="40"/>
      <c r="H221" s="4"/>
      <c r="I221" s="40"/>
      <c r="J221" s="40"/>
      <c r="K221" s="40"/>
      <c r="L221" s="40"/>
      <c r="M221" s="40"/>
      <c r="N221" s="40"/>
      <c r="O221" s="40"/>
      <c r="P221" s="40"/>
    </row>
    <row r="222" spans="1:16" ht="14.25" customHeight="1">
      <c r="A222" s="5">
        <v>44939</v>
      </c>
      <c r="B222" s="8"/>
      <c r="C222" s="71" t="s">
        <v>125</v>
      </c>
      <c r="D222" s="7"/>
      <c r="E222" s="7"/>
      <c r="F222" s="40"/>
      <c r="G222" s="40"/>
      <c r="H222" s="4"/>
      <c r="I222" s="40"/>
      <c r="J222" s="40"/>
      <c r="K222" s="40"/>
      <c r="L222" s="40"/>
      <c r="M222" s="40"/>
      <c r="N222" s="40"/>
      <c r="O222" s="40"/>
      <c r="P222" s="40"/>
    </row>
    <row r="223" spans="1:16" ht="14.25" customHeight="1">
      <c r="A223" s="5">
        <v>44944</v>
      </c>
      <c r="B223" s="8"/>
      <c r="C223" s="71" t="s">
        <v>126</v>
      </c>
      <c r="D223" s="7"/>
      <c r="E223" s="7"/>
      <c r="F223" s="40"/>
      <c r="G223" s="40"/>
      <c r="H223" s="4"/>
      <c r="I223" s="40"/>
      <c r="J223" s="40"/>
      <c r="K223" s="40"/>
      <c r="L223" s="40"/>
      <c r="M223" s="40"/>
      <c r="N223" s="40"/>
      <c r="O223" s="40"/>
      <c r="P223" s="40"/>
    </row>
    <row r="224" spans="1:16" ht="14.25" customHeight="1">
      <c r="A224" s="5">
        <v>44963</v>
      </c>
      <c r="B224" s="8">
        <v>2000</v>
      </c>
      <c r="C224" s="7" t="s">
        <v>3</v>
      </c>
      <c r="D224" s="7"/>
      <c r="E224" s="7"/>
      <c r="F224" s="40"/>
      <c r="G224" s="40"/>
      <c r="H224" s="4"/>
      <c r="I224" s="40"/>
      <c r="J224" s="40"/>
      <c r="K224" s="40"/>
      <c r="L224" s="40"/>
      <c r="M224" s="40"/>
      <c r="N224" s="40"/>
      <c r="O224" s="40"/>
      <c r="P224" s="40"/>
    </row>
    <row r="225" spans="1:16" ht="14.25" customHeight="1">
      <c r="A225" s="5">
        <v>44991</v>
      </c>
      <c r="B225" s="8"/>
      <c r="C225" s="7" t="s">
        <v>127</v>
      </c>
      <c r="D225" s="7"/>
      <c r="E225" s="7"/>
      <c r="F225" s="40"/>
      <c r="G225" s="40"/>
      <c r="H225" s="4"/>
      <c r="I225" s="40"/>
      <c r="J225" s="40"/>
      <c r="K225" s="40"/>
      <c r="L225" s="40"/>
      <c r="M225" s="40"/>
      <c r="N225" s="40"/>
      <c r="O225" s="40"/>
      <c r="P225" s="40"/>
    </row>
    <row r="226" spans="1:16" ht="14.25" customHeight="1">
      <c r="A226" s="5">
        <v>44993</v>
      </c>
      <c r="B226" s="8"/>
      <c r="C226" s="7" t="s">
        <v>128</v>
      </c>
      <c r="D226" s="7"/>
      <c r="E226" s="7"/>
      <c r="F226" s="40"/>
      <c r="G226" s="40"/>
      <c r="H226" s="4"/>
      <c r="I226" s="40"/>
      <c r="J226" s="40"/>
      <c r="K226" s="40"/>
      <c r="L226" s="40"/>
      <c r="M226" s="40"/>
      <c r="N226" s="40"/>
      <c r="O226" s="40"/>
      <c r="P226" s="40"/>
    </row>
    <row r="227" spans="1:16" ht="14.25" customHeight="1">
      <c r="A227" s="5">
        <v>45020</v>
      </c>
      <c r="B227" s="8">
        <v>500</v>
      </c>
      <c r="C227" s="7" t="s">
        <v>3</v>
      </c>
      <c r="D227" s="7"/>
      <c r="E227" s="7"/>
      <c r="F227" s="40"/>
      <c r="G227" s="40"/>
      <c r="H227" s="4"/>
      <c r="I227" s="40"/>
      <c r="J227" s="40"/>
      <c r="K227" s="40"/>
      <c r="L227" s="40"/>
      <c r="M227" s="40"/>
      <c r="N227" s="40"/>
      <c r="O227" s="40"/>
      <c r="P227" s="40"/>
    </row>
    <row r="228" spans="1:16" ht="14.25" customHeight="1">
      <c r="A228" s="5">
        <v>45022</v>
      </c>
      <c r="B228" s="8">
        <v>-242.08</v>
      </c>
      <c r="C228" s="7" t="s">
        <v>7</v>
      </c>
      <c r="D228" s="7"/>
      <c r="E228" s="7"/>
      <c r="F228" s="40"/>
      <c r="G228" s="40"/>
      <c r="H228" s="4"/>
      <c r="I228" s="40"/>
      <c r="J228" s="40"/>
      <c r="K228" s="40"/>
      <c r="L228" s="40"/>
      <c r="M228" s="40"/>
      <c r="N228" s="40"/>
      <c r="O228" s="40"/>
      <c r="P228" s="40"/>
    </row>
    <row r="229" spans="1:16" ht="14.25" customHeight="1">
      <c r="A229" s="5">
        <v>45023</v>
      </c>
      <c r="B229" s="8">
        <v>500</v>
      </c>
      <c r="C229" s="7" t="s">
        <v>3</v>
      </c>
      <c r="D229" s="7"/>
      <c r="E229" s="7"/>
      <c r="F229" s="40"/>
      <c r="G229" s="40"/>
      <c r="H229" s="4"/>
      <c r="I229" s="40"/>
      <c r="J229" s="40"/>
      <c r="K229" s="40"/>
      <c r="L229" s="40"/>
      <c r="M229" s="40"/>
      <c r="N229" s="40"/>
      <c r="O229" s="40"/>
      <c r="P229" s="40"/>
    </row>
    <row r="230" spans="1:16" ht="14.25" customHeight="1">
      <c r="A230" s="5">
        <v>45041</v>
      </c>
      <c r="B230" s="8">
        <v>-159.41</v>
      </c>
      <c r="C230" s="7" t="s">
        <v>129</v>
      </c>
      <c r="D230" s="7"/>
      <c r="E230" s="7"/>
      <c r="F230" s="40"/>
      <c r="G230" s="40"/>
      <c r="H230" s="4"/>
      <c r="I230" s="40"/>
      <c r="J230" s="40"/>
      <c r="K230" s="40"/>
      <c r="L230" s="40"/>
      <c r="M230" s="40"/>
      <c r="N230" s="40"/>
      <c r="O230" s="40"/>
      <c r="P230" s="40"/>
    </row>
    <row r="231" spans="1:16" ht="14.25" customHeight="1">
      <c r="A231" s="5"/>
      <c r="B231" s="8"/>
      <c r="C231" s="7"/>
      <c r="D231" s="7"/>
      <c r="E231" s="7"/>
      <c r="H231" s="4"/>
    </row>
    <row r="232" spans="1:16" ht="14.25" customHeight="1">
      <c r="A232" s="10" t="s">
        <v>8</v>
      </c>
      <c r="B232" s="11">
        <f>ROUND(SUM(B2:B231),2)</f>
        <v>986555.9</v>
      </c>
      <c r="C232" s="12">
        <f>SUMIF(C2:C231,"F&amp;O",B2:B231)</f>
        <v>0</v>
      </c>
      <c r="H232" s="4"/>
    </row>
    <row r="233" spans="1:16" ht="5.25" customHeight="1"/>
    <row r="234" spans="1:16" ht="14.25" customHeight="1">
      <c r="F234" s="13">
        <f>5.4%+0.5%</f>
        <v>5.9000000000000004E-2</v>
      </c>
    </row>
    <row r="235" spans="1:16" ht="14.25" customHeight="1">
      <c r="A235" s="14" t="s">
        <v>0</v>
      </c>
      <c r="B235" s="15" t="s">
        <v>9</v>
      </c>
      <c r="C235" s="14" t="s">
        <v>2</v>
      </c>
      <c r="D235" s="16" t="s">
        <v>130</v>
      </c>
      <c r="E235" s="16" t="s">
        <v>11</v>
      </c>
      <c r="F235" s="16" t="s">
        <v>12</v>
      </c>
      <c r="G235" s="16" t="s">
        <v>13</v>
      </c>
      <c r="H235" s="17"/>
      <c r="J235" s="72" t="s">
        <v>0</v>
      </c>
      <c r="K235" s="19" t="s">
        <v>14</v>
      </c>
      <c r="L235" s="20" t="s">
        <v>15</v>
      </c>
      <c r="M235" s="1" t="s">
        <v>2</v>
      </c>
    </row>
    <row r="236" spans="1:16" ht="14.25" customHeight="1">
      <c r="A236" s="21">
        <v>44148</v>
      </c>
      <c r="B236" s="22">
        <v>979.42000000000007</v>
      </c>
      <c r="C236" s="23" t="s">
        <v>33</v>
      </c>
      <c r="D236" s="24">
        <v>15723.49</v>
      </c>
      <c r="E236" s="25">
        <f>14760</f>
        <v>14760</v>
      </c>
      <c r="F236" s="24">
        <f t="shared" ref="F236:F1005" si="0">IF(G236="","", ROUND(G236*F$234/365,2))</f>
        <v>34.49</v>
      </c>
      <c r="G236" s="26">
        <f t="shared" ref="G236:G1005" si="1">IF(AND(D236="",E236=""),"",(A237-A236)*(D236+E236))</f>
        <v>213384.43</v>
      </c>
      <c r="H236" s="27" t="str">
        <f t="shared" ref="H236:H1005" si="2">IF(OR(C236="",C236="R/O Adjustment",C236="IntraDay",C236="F&amp;O"),"","Positional")</f>
        <v>Positional</v>
      </c>
      <c r="J236" s="73"/>
      <c r="K236" s="31" t="s">
        <v>131</v>
      </c>
      <c r="L236" s="74">
        <v>15.93</v>
      </c>
      <c r="M236" s="31" t="s">
        <v>33</v>
      </c>
    </row>
    <row r="237" spans="1:16" ht="14.25" customHeight="1">
      <c r="A237" s="21">
        <v>44155</v>
      </c>
      <c r="B237" s="22">
        <v>2481.41</v>
      </c>
      <c r="C237" s="23" t="s">
        <v>34</v>
      </c>
      <c r="D237" s="24">
        <v>33188.97</v>
      </c>
      <c r="E237" s="25"/>
      <c r="F237" s="24">
        <f t="shared" si="0"/>
        <v>5.36</v>
      </c>
      <c r="G237" s="26">
        <f t="shared" si="1"/>
        <v>33188.97</v>
      </c>
      <c r="H237" s="27" t="str">
        <f t="shared" si="2"/>
        <v>Positional</v>
      </c>
      <c r="J237" s="73"/>
      <c r="K237" s="31" t="s">
        <v>131</v>
      </c>
      <c r="L237" s="74">
        <v>15.93</v>
      </c>
      <c r="M237" s="31" t="s">
        <v>34</v>
      </c>
    </row>
    <row r="238" spans="1:16" ht="14.25" customHeight="1">
      <c r="A238" s="21">
        <v>44156</v>
      </c>
      <c r="B238" s="22"/>
      <c r="C238" s="23" t="s">
        <v>132</v>
      </c>
      <c r="D238" s="24">
        <v>17481.41</v>
      </c>
      <c r="E238" s="25"/>
      <c r="F238" s="24">
        <f t="shared" si="0"/>
        <v>8.48</v>
      </c>
      <c r="G238" s="26">
        <f t="shared" si="1"/>
        <v>52444.229999999996</v>
      </c>
      <c r="H238" s="27" t="str">
        <f t="shared" si="2"/>
        <v/>
      </c>
      <c r="J238" s="73"/>
      <c r="K238" s="75" t="s">
        <v>131</v>
      </c>
      <c r="L238" s="74">
        <v>15.93</v>
      </c>
      <c r="M238" s="31" t="s">
        <v>133</v>
      </c>
    </row>
    <row r="239" spans="1:16" ht="14.25" customHeight="1">
      <c r="A239" s="21">
        <v>44159</v>
      </c>
      <c r="B239" s="22"/>
      <c r="C239" s="23" t="s">
        <v>132</v>
      </c>
      <c r="D239" s="24"/>
      <c r="E239" s="25"/>
      <c r="F239" s="24" t="str">
        <f t="shared" si="0"/>
        <v/>
      </c>
      <c r="G239" s="26" t="str">
        <f t="shared" si="1"/>
        <v/>
      </c>
      <c r="H239" s="27" t="str">
        <f t="shared" si="2"/>
        <v/>
      </c>
      <c r="J239" s="73"/>
      <c r="K239" s="31" t="s">
        <v>131</v>
      </c>
      <c r="L239" s="74">
        <v>15.93</v>
      </c>
      <c r="M239" s="31" t="s">
        <v>35</v>
      </c>
    </row>
    <row r="240" spans="1:16" ht="14.25" customHeight="1">
      <c r="A240" s="21">
        <v>44225</v>
      </c>
      <c r="B240" s="22"/>
      <c r="C240" s="23" t="s">
        <v>132</v>
      </c>
      <c r="D240" s="24">
        <v>986.42</v>
      </c>
      <c r="E240" s="25">
        <v>51353.2</v>
      </c>
      <c r="F240" s="24">
        <f t="shared" si="0"/>
        <v>33.840000000000003</v>
      </c>
      <c r="G240" s="26">
        <f t="shared" si="1"/>
        <v>209358.47999999998</v>
      </c>
      <c r="H240" s="27" t="str">
        <f t="shared" si="2"/>
        <v/>
      </c>
      <c r="J240" s="73"/>
      <c r="K240" s="31" t="s">
        <v>131</v>
      </c>
      <c r="L240" s="74">
        <v>15.93</v>
      </c>
      <c r="M240" s="31" t="s">
        <v>37</v>
      </c>
    </row>
    <row r="241" spans="1:13" ht="14.25" customHeight="1">
      <c r="A241" s="21">
        <v>44229</v>
      </c>
      <c r="B241" s="22">
        <v>364.87</v>
      </c>
      <c r="C241" s="23" t="s">
        <v>133</v>
      </c>
      <c r="D241" s="24"/>
      <c r="E241" s="25"/>
      <c r="F241" s="24" t="str">
        <f t="shared" si="0"/>
        <v/>
      </c>
      <c r="G241" s="26" t="str">
        <f t="shared" si="1"/>
        <v/>
      </c>
      <c r="H241" s="27" t="str">
        <f t="shared" si="2"/>
        <v>Positional</v>
      </c>
      <c r="J241" s="73"/>
      <c r="K241" s="31" t="s">
        <v>134</v>
      </c>
      <c r="L241" s="74">
        <v>59</v>
      </c>
      <c r="M241" s="31" t="s">
        <v>134</v>
      </c>
    </row>
    <row r="242" spans="1:13" ht="14.25" customHeight="1">
      <c r="A242" s="21">
        <v>44229</v>
      </c>
      <c r="B242" s="22">
        <v>5080.68</v>
      </c>
      <c r="C242" s="23" t="s">
        <v>35</v>
      </c>
      <c r="D242" s="24"/>
      <c r="E242" s="25"/>
      <c r="F242" s="24" t="str">
        <f t="shared" si="0"/>
        <v/>
      </c>
      <c r="G242" s="26" t="str">
        <f t="shared" si="1"/>
        <v/>
      </c>
      <c r="H242" s="27" t="str">
        <f t="shared" si="2"/>
        <v>Positional</v>
      </c>
      <c r="J242" s="73"/>
      <c r="K242" s="31" t="s">
        <v>131</v>
      </c>
      <c r="L242" s="74">
        <v>15.93</v>
      </c>
      <c r="M242" s="31" t="s">
        <v>135</v>
      </c>
    </row>
    <row r="243" spans="1:13" ht="14.25" customHeight="1">
      <c r="A243" s="21">
        <v>44229</v>
      </c>
      <c r="B243" s="22">
        <v>10602.23</v>
      </c>
      <c r="C243" s="23" t="s">
        <v>37</v>
      </c>
      <c r="D243" s="24"/>
      <c r="E243" s="25"/>
      <c r="F243" s="24" t="str">
        <f t="shared" si="0"/>
        <v/>
      </c>
      <c r="G243" s="26" t="str">
        <f t="shared" si="1"/>
        <v/>
      </c>
      <c r="H243" s="27" t="str">
        <f t="shared" si="2"/>
        <v>Positional</v>
      </c>
      <c r="J243" s="73"/>
      <c r="K243" s="31" t="s">
        <v>131</v>
      </c>
      <c r="L243" s="74">
        <v>15.93</v>
      </c>
      <c r="M243" s="31" t="s">
        <v>136</v>
      </c>
    </row>
    <row r="244" spans="1:13" ht="14.25" customHeight="1">
      <c r="A244" s="21">
        <v>44229</v>
      </c>
      <c r="B244" s="22">
        <v>100.15</v>
      </c>
      <c r="C244" s="23" t="s">
        <v>20</v>
      </c>
      <c r="D244" s="24">
        <v>55400.14</v>
      </c>
      <c r="E244" s="25">
        <v>27950</v>
      </c>
      <c r="F244" s="24">
        <f t="shared" si="0"/>
        <v>13.47</v>
      </c>
      <c r="G244" s="26">
        <f t="shared" si="1"/>
        <v>83350.14</v>
      </c>
      <c r="H244" s="27" t="str">
        <f t="shared" si="2"/>
        <v/>
      </c>
      <c r="J244" s="73"/>
      <c r="K244" s="31" t="s">
        <v>131</v>
      </c>
      <c r="L244" s="74">
        <v>15.93</v>
      </c>
      <c r="M244" s="31" t="s">
        <v>137</v>
      </c>
    </row>
    <row r="245" spans="1:13" ht="14.25" customHeight="1">
      <c r="A245" s="21">
        <v>44230</v>
      </c>
      <c r="B245" s="22">
        <v>1341.42</v>
      </c>
      <c r="C245" s="23" t="s">
        <v>20</v>
      </c>
      <c r="D245" s="24">
        <v>56741.56</v>
      </c>
      <c r="E245" s="25">
        <v>27950</v>
      </c>
      <c r="F245" s="24">
        <f t="shared" si="0"/>
        <v>13.69</v>
      </c>
      <c r="G245" s="26">
        <f t="shared" si="1"/>
        <v>84691.56</v>
      </c>
      <c r="H245" s="27" t="str">
        <f t="shared" si="2"/>
        <v/>
      </c>
      <c r="J245" s="73"/>
      <c r="K245" s="31" t="s">
        <v>131</v>
      </c>
      <c r="L245" s="74">
        <v>15.93</v>
      </c>
      <c r="M245" s="31" t="s">
        <v>138</v>
      </c>
    </row>
    <row r="246" spans="1:13" ht="14.25" customHeight="1">
      <c r="A246" s="21">
        <v>44231</v>
      </c>
      <c r="B246" s="22">
        <v>764.21</v>
      </c>
      <c r="C246" s="23" t="s">
        <v>20</v>
      </c>
      <c r="D246" s="24">
        <v>77505.77</v>
      </c>
      <c r="E246" s="25">
        <v>27950</v>
      </c>
      <c r="F246" s="24">
        <f t="shared" si="0"/>
        <v>17.05</v>
      </c>
      <c r="G246" s="26">
        <f t="shared" si="1"/>
        <v>105455.77</v>
      </c>
      <c r="H246" s="27" t="str">
        <f t="shared" si="2"/>
        <v/>
      </c>
      <c r="J246" s="73"/>
      <c r="K246" s="31" t="s">
        <v>134</v>
      </c>
      <c r="L246" s="74">
        <v>59</v>
      </c>
      <c r="M246" s="31" t="s">
        <v>134</v>
      </c>
    </row>
    <row r="247" spans="1:13" ht="14.25" customHeight="1">
      <c r="A247" s="21">
        <v>44232</v>
      </c>
      <c r="B247" s="22">
        <v>-2814.11</v>
      </c>
      <c r="C247" s="23" t="s">
        <v>20</v>
      </c>
      <c r="D247" s="24">
        <v>74691.66</v>
      </c>
      <c r="E247" s="25">
        <v>27950</v>
      </c>
      <c r="F247" s="24">
        <f t="shared" si="0"/>
        <v>49.77</v>
      </c>
      <c r="G247" s="26">
        <f t="shared" si="1"/>
        <v>307924.98</v>
      </c>
      <c r="H247" s="27" t="str">
        <f t="shared" si="2"/>
        <v/>
      </c>
      <c r="J247" s="73"/>
      <c r="K247" s="31" t="s">
        <v>131</v>
      </c>
      <c r="L247" s="74">
        <v>15.93</v>
      </c>
      <c r="M247" s="31" t="s">
        <v>139</v>
      </c>
    </row>
    <row r="248" spans="1:13" ht="14.25" customHeight="1">
      <c r="A248" s="21">
        <v>44235</v>
      </c>
      <c r="B248" s="22">
        <v>1521.43</v>
      </c>
      <c r="C248" s="23" t="s">
        <v>20</v>
      </c>
      <c r="D248" s="24">
        <v>76213.09</v>
      </c>
      <c r="E248" s="25">
        <v>27950</v>
      </c>
      <c r="F248" s="24">
        <f t="shared" si="0"/>
        <v>16.84</v>
      </c>
      <c r="G248" s="26">
        <f t="shared" si="1"/>
        <v>104163.09</v>
      </c>
      <c r="H248" s="27" t="str">
        <f t="shared" si="2"/>
        <v/>
      </c>
      <c r="J248" s="73"/>
      <c r="K248" s="31" t="s">
        <v>131</v>
      </c>
      <c r="L248" s="74">
        <v>15.93</v>
      </c>
      <c r="M248" s="31" t="s">
        <v>140</v>
      </c>
    </row>
    <row r="249" spans="1:13" ht="14.25" customHeight="1">
      <c r="A249" s="21">
        <v>44236</v>
      </c>
      <c r="B249" s="22">
        <v>1610.35</v>
      </c>
      <c r="C249" s="23" t="s">
        <v>20</v>
      </c>
      <c r="D249" s="24">
        <v>77823.44</v>
      </c>
      <c r="E249" s="25">
        <v>27950</v>
      </c>
      <c r="F249" s="24">
        <f t="shared" si="0"/>
        <v>17.100000000000001</v>
      </c>
      <c r="G249" s="26">
        <f t="shared" si="1"/>
        <v>105773.44</v>
      </c>
      <c r="H249" s="27" t="str">
        <f t="shared" si="2"/>
        <v/>
      </c>
      <c r="J249" s="73"/>
      <c r="K249" s="31" t="s">
        <v>131</v>
      </c>
      <c r="L249" s="74">
        <v>15.93</v>
      </c>
      <c r="M249" s="31" t="s">
        <v>141</v>
      </c>
    </row>
    <row r="250" spans="1:13" ht="14.25" customHeight="1">
      <c r="A250" s="21">
        <v>44237</v>
      </c>
      <c r="B250" s="22">
        <v>62.8</v>
      </c>
      <c r="C250" s="23" t="s">
        <v>20</v>
      </c>
      <c r="D250" s="24">
        <v>77886.25</v>
      </c>
      <c r="E250" s="25">
        <v>27950</v>
      </c>
      <c r="F250" s="24">
        <f t="shared" si="0"/>
        <v>17.11</v>
      </c>
      <c r="G250" s="26">
        <f t="shared" si="1"/>
        <v>105836.25</v>
      </c>
      <c r="H250" s="27" t="str">
        <f t="shared" si="2"/>
        <v/>
      </c>
      <c r="J250" s="73"/>
      <c r="K250" s="31" t="s">
        <v>131</v>
      </c>
      <c r="L250" s="74">
        <v>15.93</v>
      </c>
      <c r="M250" s="31" t="s">
        <v>142</v>
      </c>
    </row>
    <row r="251" spans="1:13" ht="14.25" customHeight="1">
      <c r="A251" s="21">
        <v>44238</v>
      </c>
      <c r="B251" s="22">
        <v>1870.74</v>
      </c>
      <c r="C251" s="23" t="s">
        <v>20</v>
      </c>
      <c r="D251" s="24">
        <v>79756.98</v>
      </c>
      <c r="E251" s="25">
        <v>27950</v>
      </c>
      <c r="F251" s="24">
        <f t="shared" si="0"/>
        <v>17.41</v>
      </c>
      <c r="G251" s="26">
        <f t="shared" si="1"/>
        <v>107706.98</v>
      </c>
      <c r="H251" s="27" t="str">
        <f t="shared" si="2"/>
        <v/>
      </c>
      <c r="J251" s="73"/>
      <c r="K251" s="31" t="s">
        <v>131</v>
      </c>
      <c r="L251" s="74">
        <v>15.93</v>
      </c>
      <c r="M251" s="31" t="s">
        <v>143</v>
      </c>
    </row>
    <row r="252" spans="1:13" ht="14.25" customHeight="1">
      <c r="A252" s="21">
        <v>44239</v>
      </c>
      <c r="B252" s="22">
        <v>1077.82</v>
      </c>
      <c r="C252" s="23" t="s">
        <v>20</v>
      </c>
      <c r="D252" s="24">
        <v>80834.81</v>
      </c>
      <c r="E252" s="25">
        <v>27950</v>
      </c>
      <c r="F252" s="24">
        <f t="shared" si="0"/>
        <v>52.75</v>
      </c>
      <c r="G252" s="26">
        <f t="shared" si="1"/>
        <v>326354.43</v>
      </c>
      <c r="H252" s="27" t="str">
        <f t="shared" si="2"/>
        <v/>
      </c>
      <c r="J252" s="73"/>
      <c r="K252" s="31" t="s">
        <v>131</v>
      </c>
      <c r="L252" s="74">
        <v>15.93</v>
      </c>
      <c r="M252" s="31" t="s">
        <v>144</v>
      </c>
    </row>
    <row r="253" spans="1:13" ht="14.25" customHeight="1">
      <c r="A253" s="21">
        <v>44242</v>
      </c>
      <c r="B253" s="22">
        <v>2612.0300000000002</v>
      </c>
      <c r="C253" s="23" t="s">
        <v>20</v>
      </c>
      <c r="D253" s="24">
        <v>83446.83</v>
      </c>
      <c r="E253" s="25">
        <v>27950</v>
      </c>
      <c r="F253" s="24">
        <f t="shared" si="0"/>
        <v>18.010000000000002</v>
      </c>
      <c r="G253" s="26">
        <f t="shared" si="1"/>
        <v>111396.83</v>
      </c>
      <c r="H253" s="27" t="str">
        <f t="shared" si="2"/>
        <v/>
      </c>
      <c r="J253" s="73"/>
      <c r="K253" s="31" t="s">
        <v>131</v>
      </c>
      <c r="L253" s="74">
        <v>15.93</v>
      </c>
      <c r="M253" s="31" t="s">
        <v>145</v>
      </c>
    </row>
    <row r="254" spans="1:13" ht="14.25" customHeight="1">
      <c r="A254" s="21">
        <v>44243</v>
      </c>
      <c r="B254" s="22">
        <v>-33069.800000000003</v>
      </c>
      <c r="C254" s="23" t="s">
        <v>146</v>
      </c>
      <c r="D254" s="24"/>
      <c r="E254" s="25"/>
      <c r="F254" s="24" t="str">
        <f t="shared" si="0"/>
        <v/>
      </c>
      <c r="G254" s="26" t="str">
        <f t="shared" si="1"/>
        <v/>
      </c>
      <c r="H254" s="27" t="str">
        <f t="shared" si="2"/>
        <v>Positional</v>
      </c>
      <c r="J254" s="73"/>
      <c r="K254" s="31" t="s">
        <v>131</v>
      </c>
      <c r="L254" s="74">
        <v>15.93</v>
      </c>
      <c r="M254" s="31" t="s">
        <v>147</v>
      </c>
    </row>
    <row r="255" spans="1:13" ht="14.25" customHeight="1">
      <c r="A255" s="21">
        <v>44243</v>
      </c>
      <c r="B255" s="22">
        <v>-1000.67</v>
      </c>
      <c r="C255" s="23" t="s">
        <v>20</v>
      </c>
      <c r="D255" s="24">
        <v>57036.36</v>
      </c>
      <c r="E255" s="25">
        <v>27950</v>
      </c>
      <c r="F255" s="24">
        <f t="shared" si="0"/>
        <v>13.74</v>
      </c>
      <c r="G255" s="26">
        <f t="shared" si="1"/>
        <v>84986.36</v>
      </c>
      <c r="H255" s="27" t="str">
        <f t="shared" si="2"/>
        <v/>
      </c>
      <c r="J255" s="73"/>
      <c r="K255" s="31" t="s">
        <v>131</v>
      </c>
      <c r="L255" s="74">
        <v>15.93</v>
      </c>
      <c r="M255" s="31" t="s">
        <v>38</v>
      </c>
    </row>
    <row r="256" spans="1:13" ht="14.25" customHeight="1">
      <c r="A256" s="21">
        <v>44244</v>
      </c>
      <c r="B256" s="22">
        <v>-2.92</v>
      </c>
      <c r="C256" s="23" t="s">
        <v>20</v>
      </c>
      <c r="D256" s="24">
        <v>57033.45</v>
      </c>
      <c r="E256" s="25">
        <v>27950</v>
      </c>
      <c r="F256" s="24">
        <f t="shared" si="0"/>
        <v>13.74</v>
      </c>
      <c r="G256" s="26">
        <f t="shared" si="1"/>
        <v>84983.45</v>
      </c>
      <c r="H256" s="27" t="str">
        <f t="shared" si="2"/>
        <v/>
      </c>
      <c r="J256" s="73"/>
      <c r="K256" s="31" t="s">
        <v>131</v>
      </c>
      <c r="L256" s="74">
        <v>15.93</v>
      </c>
      <c r="M256" s="73" t="s">
        <v>39</v>
      </c>
    </row>
    <row r="257" spans="1:13" ht="14.25" customHeight="1">
      <c r="A257" s="21">
        <v>44245</v>
      </c>
      <c r="B257" s="22">
        <v>-1563.6</v>
      </c>
      <c r="C257" s="23" t="s">
        <v>20</v>
      </c>
      <c r="D257" s="24">
        <v>13348.02</v>
      </c>
      <c r="E257" s="25">
        <v>69963.100000000006</v>
      </c>
      <c r="F257" s="24">
        <f t="shared" si="0"/>
        <v>13.47</v>
      </c>
      <c r="G257" s="26">
        <f t="shared" si="1"/>
        <v>83311.12000000001</v>
      </c>
      <c r="H257" s="27" t="str">
        <f t="shared" si="2"/>
        <v/>
      </c>
      <c r="J257" s="73"/>
      <c r="K257" s="31" t="s">
        <v>131</v>
      </c>
      <c r="L257" s="74">
        <v>15.93</v>
      </c>
      <c r="M257" s="73" t="s">
        <v>40</v>
      </c>
    </row>
    <row r="258" spans="1:13" ht="14.25" customHeight="1">
      <c r="A258" s="21">
        <v>44246</v>
      </c>
      <c r="B258" s="22">
        <v>-1009.91</v>
      </c>
      <c r="C258" s="23" t="s">
        <v>20</v>
      </c>
      <c r="D258" s="24">
        <v>12338.11</v>
      </c>
      <c r="E258" s="25">
        <v>69963.100000000006</v>
      </c>
      <c r="F258" s="24">
        <f t="shared" si="0"/>
        <v>39.909999999999997</v>
      </c>
      <c r="G258" s="26">
        <f t="shared" si="1"/>
        <v>246903.63</v>
      </c>
      <c r="H258" s="27" t="str">
        <f t="shared" si="2"/>
        <v/>
      </c>
      <c r="J258" s="73"/>
      <c r="K258" s="31" t="s">
        <v>131</v>
      </c>
      <c r="L258" s="74">
        <v>15.93</v>
      </c>
      <c r="M258" s="31" t="s">
        <v>148</v>
      </c>
    </row>
    <row r="259" spans="1:13" ht="14.25" customHeight="1">
      <c r="A259" s="21">
        <v>44249</v>
      </c>
      <c r="B259" s="22"/>
      <c r="C259" s="23" t="s">
        <v>132</v>
      </c>
      <c r="D259" s="24">
        <v>14678.11</v>
      </c>
      <c r="E259" s="25">
        <v>69963.100000000006</v>
      </c>
      <c r="F259" s="24">
        <f t="shared" si="0"/>
        <v>13.68</v>
      </c>
      <c r="G259" s="26">
        <f t="shared" si="1"/>
        <v>84641.21</v>
      </c>
      <c r="H259" s="27" t="str">
        <f t="shared" si="2"/>
        <v/>
      </c>
      <c r="J259" s="73"/>
      <c r="K259" s="31" t="s">
        <v>131</v>
      </c>
      <c r="L259" s="74">
        <v>15.93</v>
      </c>
      <c r="M259" s="31" t="s">
        <v>149</v>
      </c>
    </row>
    <row r="260" spans="1:13" ht="14.25" customHeight="1">
      <c r="A260" s="21">
        <v>44250</v>
      </c>
      <c r="B260" s="22">
        <v>573.91999999999996</v>
      </c>
      <c r="C260" s="23" t="s">
        <v>20</v>
      </c>
      <c r="D260" s="24">
        <v>15252.03</v>
      </c>
      <c r="E260" s="25">
        <v>69963.100000000006</v>
      </c>
      <c r="F260" s="24">
        <f t="shared" si="0"/>
        <v>13.77</v>
      </c>
      <c r="G260" s="26">
        <f t="shared" si="1"/>
        <v>85215.13</v>
      </c>
      <c r="H260" s="27" t="str">
        <f t="shared" si="2"/>
        <v/>
      </c>
      <c r="J260" s="73"/>
      <c r="K260" s="31" t="s">
        <v>131</v>
      </c>
      <c r="L260" s="74">
        <v>15.93</v>
      </c>
      <c r="M260" s="31" t="s">
        <v>150</v>
      </c>
    </row>
    <row r="261" spans="1:13" ht="14.25" customHeight="1">
      <c r="A261" s="21">
        <v>44251</v>
      </c>
      <c r="B261" s="22">
        <v>-99.39</v>
      </c>
      <c r="C261" s="23" t="s">
        <v>20</v>
      </c>
      <c r="D261" s="24">
        <v>25152.639999999999</v>
      </c>
      <c r="E261" s="25">
        <v>69963.100000000006</v>
      </c>
      <c r="F261" s="24">
        <f t="shared" si="0"/>
        <v>15.37</v>
      </c>
      <c r="G261" s="26">
        <f t="shared" si="1"/>
        <v>95115.74</v>
      </c>
      <c r="H261" s="27" t="str">
        <f t="shared" si="2"/>
        <v/>
      </c>
      <c r="J261" s="73"/>
      <c r="K261" s="31" t="s">
        <v>131</v>
      </c>
      <c r="L261" s="74">
        <v>15.93</v>
      </c>
      <c r="M261" s="31" t="s">
        <v>151</v>
      </c>
    </row>
    <row r="262" spans="1:13" ht="14.25" customHeight="1">
      <c r="A262" s="21">
        <v>44252</v>
      </c>
      <c r="B262" s="22">
        <v>-1526.29</v>
      </c>
      <c r="C262" s="23" t="s">
        <v>20</v>
      </c>
      <c r="D262" s="24">
        <v>23626.34</v>
      </c>
      <c r="E262" s="25">
        <v>69963.100000000006</v>
      </c>
      <c r="F262" s="24">
        <f t="shared" si="0"/>
        <v>15.13</v>
      </c>
      <c r="G262" s="26">
        <f t="shared" si="1"/>
        <v>93589.440000000002</v>
      </c>
      <c r="H262" s="27" t="str">
        <f t="shared" si="2"/>
        <v/>
      </c>
      <c r="J262" s="73"/>
      <c r="K262" s="31" t="s">
        <v>131</v>
      </c>
      <c r="L262" s="74">
        <v>15.93</v>
      </c>
      <c r="M262" s="31" t="s">
        <v>152</v>
      </c>
    </row>
    <row r="263" spans="1:13" ht="14.25" customHeight="1">
      <c r="A263" s="21">
        <v>44253</v>
      </c>
      <c r="B263" s="22">
        <v>-1694.46</v>
      </c>
      <c r="C263" s="23" t="s">
        <v>20</v>
      </c>
      <c r="D263" s="24">
        <v>21931.88</v>
      </c>
      <c r="E263" s="25">
        <v>69963.100000000006</v>
      </c>
      <c r="F263" s="24">
        <f t="shared" si="0"/>
        <v>44.56</v>
      </c>
      <c r="G263" s="26">
        <f t="shared" si="1"/>
        <v>275684.94000000006</v>
      </c>
      <c r="H263" s="27" t="str">
        <f t="shared" si="2"/>
        <v/>
      </c>
      <c r="J263" s="73"/>
      <c r="K263" s="31" t="s">
        <v>131</v>
      </c>
      <c r="L263" s="74">
        <v>15.93</v>
      </c>
      <c r="M263" s="31" t="s">
        <v>139</v>
      </c>
    </row>
    <row r="264" spans="1:13" ht="14.25" customHeight="1">
      <c r="A264" s="21">
        <v>44256</v>
      </c>
      <c r="B264" s="22">
        <v>896.33</v>
      </c>
      <c r="C264" s="23" t="s">
        <v>20</v>
      </c>
      <c r="D264" s="24">
        <v>31828.21</v>
      </c>
      <c r="E264" s="25">
        <v>69963.100000000006</v>
      </c>
      <c r="F264" s="24">
        <f t="shared" si="0"/>
        <v>16.45</v>
      </c>
      <c r="G264" s="26">
        <f t="shared" si="1"/>
        <v>101791.31</v>
      </c>
      <c r="H264" s="27" t="str">
        <f t="shared" si="2"/>
        <v/>
      </c>
      <c r="J264" s="73"/>
      <c r="K264" s="31" t="s">
        <v>131</v>
      </c>
      <c r="L264" s="74">
        <v>15.93</v>
      </c>
      <c r="M264" s="31" t="s">
        <v>153</v>
      </c>
    </row>
    <row r="265" spans="1:13" ht="14.25" customHeight="1">
      <c r="A265" s="21">
        <v>44257</v>
      </c>
      <c r="B265" s="22">
        <v>1561.12</v>
      </c>
      <c r="C265" s="23" t="s">
        <v>20</v>
      </c>
      <c r="D265" s="24">
        <v>10382.58</v>
      </c>
      <c r="E265" s="25">
        <v>92943.1</v>
      </c>
      <c r="F265" s="24">
        <f t="shared" si="0"/>
        <v>16.7</v>
      </c>
      <c r="G265" s="26">
        <f t="shared" si="1"/>
        <v>103325.68000000001</v>
      </c>
      <c r="H265" s="27" t="str">
        <f t="shared" si="2"/>
        <v/>
      </c>
      <c r="J265" s="73"/>
      <c r="K265" s="31" t="s">
        <v>131</v>
      </c>
      <c r="L265" s="74">
        <v>15.93</v>
      </c>
      <c r="M265" s="31" t="s">
        <v>154</v>
      </c>
    </row>
    <row r="266" spans="1:13" ht="14.25" customHeight="1">
      <c r="A266" s="21">
        <v>44258</v>
      </c>
      <c r="B266" s="22">
        <v>844.03</v>
      </c>
      <c r="C266" s="23" t="s">
        <v>20</v>
      </c>
      <c r="D266" s="24">
        <v>54863.4</v>
      </c>
      <c r="E266" s="25">
        <v>99298.1</v>
      </c>
      <c r="F266" s="24">
        <f t="shared" si="0"/>
        <v>24.92</v>
      </c>
      <c r="G266" s="26">
        <f t="shared" si="1"/>
        <v>154161.5</v>
      </c>
      <c r="H266" s="27" t="str">
        <f t="shared" si="2"/>
        <v/>
      </c>
      <c r="J266" s="73"/>
      <c r="K266" s="31" t="s">
        <v>131</v>
      </c>
      <c r="L266" s="74">
        <v>15.93</v>
      </c>
      <c r="M266" s="31" t="s">
        <v>155</v>
      </c>
    </row>
    <row r="267" spans="1:13" ht="14.25" customHeight="1">
      <c r="A267" s="21">
        <v>44259</v>
      </c>
      <c r="B267" s="22">
        <v>3353.54</v>
      </c>
      <c r="C267" s="23" t="s">
        <v>20</v>
      </c>
      <c r="D267" s="24">
        <v>58216.93</v>
      </c>
      <c r="E267" s="25">
        <v>99298.1</v>
      </c>
      <c r="F267" s="24">
        <f t="shared" si="0"/>
        <v>25.46</v>
      </c>
      <c r="G267" s="26">
        <f t="shared" si="1"/>
        <v>157515.03</v>
      </c>
      <c r="H267" s="27" t="str">
        <f t="shared" si="2"/>
        <v/>
      </c>
      <c r="J267" s="73"/>
      <c r="K267" s="31" t="s">
        <v>131</v>
      </c>
      <c r="L267" s="74">
        <v>15.93</v>
      </c>
      <c r="M267" s="73" t="s">
        <v>156</v>
      </c>
    </row>
    <row r="268" spans="1:13" ht="14.25" customHeight="1">
      <c r="A268" s="21">
        <v>44260</v>
      </c>
      <c r="B268" s="22">
        <v>-1950.63</v>
      </c>
      <c r="C268" s="23" t="s">
        <v>20</v>
      </c>
      <c r="D268" s="24">
        <v>56266.3</v>
      </c>
      <c r="E268" s="25">
        <v>99298.1</v>
      </c>
      <c r="F268" s="24">
        <f t="shared" si="0"/>
        <v>125.73</v>
      </c>
      <c r="G268" s="26">
        <f t="shared" si="1"/>
        <v>777822.00000000012</v>
      </c>
      <c r="H268" s="27" t="str">
        <f t="shared" si="2"/>
        <v/>
      </c>
      <c r="J268" s="73"/>
      <c r="K268" s="31" t="s">
        <v>131</v>
      </c>
      <c r="L268" s="74">
        <v>15.93</v>
      </c>
      <c r="M268" s="73" t="s">
        <v>157</v>
      </c>
    </row>
    <row r="269" spans="1:13" ht="14.25" customHeight="1">
      <c r="A269" s="21">
        <v>44265</v>
      </c>
      <c r="B269" s="22">
        <v>1199.44</v>
      </c>
      <c r="C269" s="23" t="s">
        <v>20</v>
      </c>
      <c r="D269" s="24">
        <v>67465.740000000005</v>
      </c>
      <c r="E269" s="25">
        <v>99298.1</v>
      </c>
      <c r="F269" s="24">
        <f t="shared" si="0"/>
        <v>26.96</v>
      </c>
      <c r="G269" s="26">
        <f t="shared" si="1"/>
        <v>166763.84000000003</v>
      </c>
      <c r="H269" s="27" t="str">
        <f t="shared" si="2"/>
        <v/>
      </c>
      <c r="J269" s="73"/>
      <c r="K269" s="31" t="s">
        <v>131</v>
      </c>
      <c r="L269" s="74">
        <v>15.93</v>
      </c>
      <c r="M269" s="73" t="s">
        <v>158</v>
      </c>
    </row>
    <row r="270" spans="1:13" ht="14.25" customHeight="1">
      <c r="A270" s="21">
        <v>44266</v>
      </c>
      <c r="B270" s="22"/>
      <c r="C270" s="23" t="s">
        <v>132</v>
      </c>
      <c r="D270" s="24">
        <v>117465.74</v>
      </c>
      <c r="E270" s="25">
        <v>99298.1</v>
      </c>
      <c r="F270" s="24">
        <f t="shared" si="0"/>
        <v>35.04</v>
      </c>
      <c r="G270" s="26">
        <f t="shared" si="1"/>
        <v>216763.84000000003</v>
      </c>
      <c r="H270" s="27" t="str">
        <f t="shared" si="2"/>
        <v/>
      </c>
      <c r="J270" s="73"/>
      <c r="K270" s="31" t="s">
        <v>131</v>
      </c>
      <c r="L270" s="74">
        <v>15.93</v>
      </c>
      <c r="M270" s="73" t="s">
        <v>159</v>
      </c>
    </row>
    <row r="271" spans="1:13" ht="14.25" customHeight="1">
      <c r="A271" s="21">
        <v>44267</v>
      </c>
      <c r="B271" s="22">
        <v>2609.9</v>
      </c>
      <c r="C271" s="23" t="s">
        <v>20</v>
      </c>
      <c r="D271" s="24">
        <v>95613.53</v>
      </c>
      <c r="E271" s="25">
        <v>123731.4</v>
      </c>
      <c r="F271" s="24">
        <f t="shared" si="0"/>
        <v>106.37</v>
      </c>
      <c r="G271" s="26">
        <f t="shared" si="1"/>
        <v>658034.79</v>
      </c>
      <c r="H271" s="27" t="str">
        <f t="shared" si="2"/>
        <v/>
      </c>
      <c r="J271" s="73"/>
      <c r="K271" s="31" t="s">
        <v>131</v>
      </c>
      <c r="L271" s="74">
        <v>15.93</v>
      </c>
      <c r="M271" s="73" t="s">
        <v>160</v>
      </c>
    </row>
    <row r="272" spans="1:13" ht="14.25" customHeight="1">
      <c r="A272" s="21">
        <v>44270</v>
      </c>
      <c r="B272" s="22">
        <v>521.05999999999995</v>
      </c>
      <c r="C272" s="23" t="s">
        <v>20</v>
      </c>
      <c r="D272" s="24">
        <v>96134.6</v>
      </c>
      <c r="E272" s="25">
        <v>123731.4</v>
      </c>
      <c r="F272" s="24">
        <f t="shared" si="0"/>
        <v>35.54</v>
      </c>
      <c r="G272" s="26">
        <f t="shared" si="1"/>
        <v>219866</v>
      </c>
      <c r="H272" s="27" t="str">
        <f t="shared" si="2"/>
        <v/>
      </c>
      <c r="J272" s="73"/>
      <c r="K272" s="31" t="s">
        <v>131</v>
      </c>
      <c r="L272" s="74">
        <v>15.93</v>
      </c>
      <c r="M272" s="73" t="s">
        <v>161</v>
      </c>
    </row>
    <row r="273" spans="1:13" ht="14.25" customHeight="1">
      <c r="A273" s="21">
        <v>44271</v>
      </c>
      <c r="B273" s="22">
        <v>3389.01</v>
      </c>
      <c r="C273" s="23" t="s">
        <v>20</v>
      </c>
      <c r="D273" s="24">
        <v>99523.61</v>
      </c>
      <c r="E273" s="25">
        <v>123731.4</v>
      </c>
      <c r="F273" s="24">
        <f t="shared" si="0"/>
        <v>36.090000000000003</v>
      </c>
      <c r="G273" s="26">
        <f t="shared" si="1"/>
        <v>223255.01</v>
      </c>
      <c r="H273" s="27" t="str">
        <f t="shared" si="2"/>
        <v/>
      </c>
      <c r="J273" s="73"/>
      <c r="K273" s="31" t="s">
        <v>131</v>
      </c>
      <c r="L273" s="74">
        <v>15.93</v>
      </c>
      <c r="M273" s="73" t="s">
        <v>162</v>
      </c>
    </row>
    <row r="274" spans="1:13" ht="14.25" customHeight="1">
      <c r="A274" s="21">
        <v>44272</v>
      </c>
      <c r="B274" s="22">
        <v>2826.09</v>
      </c>
      <c r="C274" s="23" t="s">
        <v>20</v>
      </c>
      <c r="D274" s="24">
        <v>102349.7</v>
      </c>
      <c r="E274" s="25">
        <v>123731.4</v>
      </c>
      <c r="F274" s="24">
        <f t="shared" si="0"/>
        <v>36.54</v>
      </c>
      <c r="G274" s="26">
        <f t="shared" si="1"/>
        <v>226081.09999999998</v>
      </c>
      <c r="H274" s="27" t="str">
        <f t="shared" si="2"/>
        <v/>
      </c>
      <c r="J274" s="73"/>
      <c r="K274" s="31" t="s">
        <v>131</v>
      </c>
      <c r="L274" s="74"/>
      <c r="M274" s="73" t="s">
        <v>163</v>
      </c>
    </row>
    <row r="275" spans="1:13" ht="14.25" customHeight="1">
      <c r="A275" s="21">
        <v>44273</v>
      </c>
      <c r="B275" s="22">
        <v>6640.88</v>
      </c>
      <c r="C275" s="23" t="s">
        <v>20</v>
      </c>
      <c r="D275" s="24">
        <v>123990.58</v>
      </c>
      <c r="E275" s="25">
        <v>123731.4</v>
      </c>
      <c r="F275" s="24">
        <f t="shared" si="0"/>
        <v>40.04</v>
      </c>
      <c r="G275" s="26">
        <f t="shared" si="1"/>
        <v>247721.97999999998</v>
      </c>
      <c r="H275" s="27" t="str">
        <f t="shared" si="2"/>
        <v/>
      </c>
      <c r="J275" s="73"/>
      <c r="K275" s="31" t="s">
        <v>131</v>
      </c>
      <c r="L275" s="74">
        <v>15.93</v>
      </c>
      <c r="M275" s="73" t="s">
        <v>164</v>
      </c>
    </row>
    <row r="276" spans="1:13" ht="14.25" customHeight="1">
      <c r="A276" s="21">
        <v>44274</v>
      </c>
      <c r="B276" s="22">
        <v>-21302.2</v>
      </c>
      <c r="C276" s="23" t="s">
        <v>20</v>
      </c>
      <c r="D276" s="24">
        <v>102688.38</v>
      </c>
      <c r="E276" s="25">
        <v>123731.4</v>
      </c>
      <c r="F276" s="24">
        <f t="shared" si="0"/>
        <v>109.8</v>
      </c>
      <c r="G276" s="26">
        <f t="shared" si="1"/>
        <v>679259.34</v>
      </c>
      <c r="H276" s="27" t="str">
        <f t="shared" si="2"/>
        <v/>
      </c>
      <c r="J276" s="73"/>
      <c r="K276" s="31" t="s">
        <v>131</v>
      </c>
      <c r="L276" s="74"/>
      <c r="M276" s="73" t="s">
        <v>165</v>
      </c>
    </row>
    <row r="277" spans="1:13" ht="14.25" customHeight="1">
      <c r="A277" s="21">
        <v>44277</v>
      </c>
      <c r="B277" s="22">
        <v>-9801.8799999999992</v>
      </c>
      <c r="C277" s="23" t="s">
        <v>20</v>
      </c>
      <c r="D277" s="24">
        <v>77886.490000000005</v>
      </c>
      <c r="E277" s="25">
        <v>123731.4</v>
      </c>
      <c r="F277" s="24">
        <f t="shared" si="0"/>
        <v>32.590000000000003</v>
      </c>
      <c r="G277" s="26">
        <f t="shared" si="1"/>
        <v>201617.89</v>
      </c>
      <c r="H277" s="27" t="str">
        <f t="shared" si="2"/>
        <v/>
      </c>
      <c r="J277" s="73"/>
      <c r="K277" s="31" t="s">
        <v>131</v>
      </c>
      <c r="L277" s="74">
        <v>15.93</v>
      </c>
      <c r="M277" s="31" t="s">
        <v>166</v>
      </c>
    </row>
    <row r="278" spans="1:13" ht="14.25" customHeight="1">
      <c r="A278" s="21">
        <v>44278</v>
      </c>
      <c r="B278" s="22">
        <v>85.89</v>
      </c>
      <c r="C278" s="23" t="s">
        <v>20</v>
      </c>
      <c r="D278" s="24">
        <v>92972.38</v>
      </c>
      <c r="E278" s="25">
        <v>123731.4</v>
      </c>
      <c r="F278" s="24">
        <f t="shared" si="0"/>
        <v>35.03</v>
      </c>
      <c r="G278" s="26">
        <f t="shared" si="1"/>
        <v>216703.78</v>
      </c>
      <c r="H278" s="27" t="str">
        <f t="shared" si="2"/>
        <v/>
      </c>
      <c r="J278" s="73"/>
      <c r="K278" s="31" t="s">
        <v>131</v>
      </c>
      <c r="L278" s="74"/>
      <c r="M278" s="31" t="s">
        <v>167</v>
      </c>
    </row>
    <row r="279" spans="1:13" ht="14.25" customHeight="1">
      <c r="A279" s="21">
        <v>44279</v>
      </c>
      <c r="B279" s="22">
        <v>1640.95</v>
      </c>
      <c r="C279" s="23" t="s">
        <v>20</v>
      </c>
      <c r="D279" s="24">
        <v>94613.33</v>
      </c>
      <c r="E279" s="25">
        <v>123731.4</v>
      </c>
      <c r="F279" s="24">
        <f t="shared" si="0"/>
        <v>35.29</v>
      </c>
      <c r="G279" s="26">
        <f t="shared" si="1"/>
        <v>218344.72999999998</v>
      </c>
      <c r="H279" s="27" t="str">
        <f t="shared" si="2"/>
        <v/>
      </c>
      <c r="J279" s="73"/>
      <c r="K279" s="31" t="s">
        <v>131</v>
      </c>
      <c r="L279" s="74">
        <v>15.93</v>
      </c>
      <c r="M279" s="31" t="s">
        <v>168</v>
      </c>
    </row>
    <row r="280" spans="1:13" ht="14.25" customHeight="1">
      <c r="A280" s="21">
        <v>44280</v>
      </c>
      <c r="B280" s="22">
        <v>2084.06</v>
      </c>
      <c r="C280" s="23" t="s">
        <v>20</v>
      </c>
      <c r="D280" s="24">
        <v>96697.4</v>
      </c>
      <c r="E280" s="25">
        <v>123731.4</v>
      </c>
      <c r="F280" s="24">
        <f t="shared" si="0"/>
        <v>35.630000000000003</v>
      </c>
      <c r="G280" s="26">
        <f t="shared" si="1"/>
        <v>220428.79999999999</v>
      </c>
      <c r="H280" s="27" t="str">
        <f t="shared" si="2"/>
        <v/>
      </c>
      <c r="J280" s="73"/>
      <c r="K280" s="31" t="s">
        <v>131</v>
      </c>
      <c r="L280" s="74">
        <v>15.93</v>
      </c>
      <c r="M280" s="31" t="s">
        <v>138</v>
      </c>
    </row>
    <row r="281" spans="1:13" ht="14.25" customHeight="1">
      <c r="A281" s="21">
        <v>44281</v>
      </c>
      <c r="B281" s="22">
        <v>2766.42</v>
      </c>
      <c r="C281" s="23" t="s">
        <v>20</v>
      </c>
      <c r="D281" s="24">
        <v>99463.83</v>
      </c>
      <c r="E281" s="25">
        <v>123731.4</v>
      </c>
      <c r="F281" s="24">
        <f t="shared" si="0"/>
        <v>144.31</v>
      </c>
      <c r="G281" s="26">
        <f t="shared" si="1"/>
        <v>892780.91999999993</v>
      </c>
      <c r="H281" s="27" t="str">
        <f t="shared" si="2"/>
        <v/>
      </c>
      <c r="J281" s="73"/>
      <c r="K281" s="28" t="s">
        <v>169</v>
      </c>
      <c r="L281" s="74">
        <v>4.82</v>
      </c>
      <c r="M281" s="31" t="s">
        <v>170</v>
      </c>
    </row>
    <row r="282" spans="1:13" ht="14.25" customHeight="1">
      <c r="A282" s="21">
        <v>44285</v>
      </c>
      <c r="B282" s="22">
        <v>9.08</v>
      </c>
      <c r="C282" s="23" t="s">
        <v>20</v>
      </c>
      <c r="D282" s="24">
        <v>74472.899999999994</v>
      </c>
      <c r="E282" s="25">
        <v>123731.4</v>
      </c>
      <c r="F282" s="24">
        <f t="shared" si="0"/>
        <v>32.04</v>
      </c>
      <c r="G282" s="26">
        <f t="shared" si="1"/>
        <v>198204.3</v>
      </c>
      <c r="H282" s="27" t="str">
        <f t="shared" si="2"/>
        <v/>
      </c>
      <c r="J282" s="73"/>
      <c r="K282" s="31" t="s">
        <v>131</v>
      </c>
      <c r="L282" s="74"/>
      <c r="M282" s="31" t="s">
        <v>159</v>
      </c>
    </row>
    <row r="283" spans="1:13" ht="14.25" customHeight="1">
      <c r="A283" s="21">
        <v>44286</v>
      </c>
      <c r="B283" s="22">
        <v>-46.65</v>
      </c>
      <c r="C283" s="23" t="s">
        <v>20</v>
      </c>
      <c r="D283" s="24">
        <v>74426.25</v>
      </c>
      <c r="E283" s="25">
        <v>123731.4</v>
      </c>
      <c r="F283" s="24">
        <f t="shared" si="0"/>
        <v>32.03</v>
      </c>
      <c r="G283" s="26">
        <f t="shared" si="1"/>
        <v>198157.65</v>
      </c>
      <c r="H283" s="27" t="str">
        <f t="shared" si="2"/>
        <v/>
      </c>
      <c r="J283" s="73"/>
      <c r="K283" s="31" t="s">
        <v>131</v>
      </c>
      <c r="L283" s="74">
        <v>15.93</v>
      </c>
      <c r="M283" s="31" t="s">
        <v>171</v>
      </c>
    </row>
    <row r="284" spans="1:13" ht="14.25" customHeight="1">
      <c r="A284" s="21">
        <v>44287</v>
      </c>
      <c r="B284" s="22">
        <v>-1086.24</v>
      </c>
      <c r="C284" s="23" t="s">
        <v>20</v>
      </c>
      <c r="D284" s="24"/>
      <c r="E284" s="25"/>
      <c r="F284" s="24" t="str">
        <f t="shared" si="0"/>
        <v/>
      </c>
      <c r="G284" s="26" t="str">
        <f t="shared" si="1"/>
        <v/>
      </c>
      <c r="H284" s="27" t="str">
        <f t="shared" si="2"/>
        <v/>
      </c>
      <c r="J284" s="73"/>
      <c r="K284" s="31" t="s">
        <v>131</v>
      </c>
      <c r="L284" s="74">
        <v>15.93</v>
      </c>
      <c r="M284" s="31" t="s">
        <v>172</v>
      </c>
    </row>
    <row r="285" spans="1:13" ht="14.25" customHeight="1">
      <c r="A285" s="21">
        <v>44287</v>
      </c>
      <c r="B285" s="22">
        <v>187.67</v>
      </c>
      <c r="C285" s="23" t="s">
        <v>135</v>
      </c>
      <c r="D285" s="24">
        <v>81516.08</v>
      </c>
      <c r="E285" s="25">
        <v>115736.4</v>
      </c>
      <c r="F285" s="24">
        <f t="shared" si="0"/>
        <v>127.54</v>
      </c>
      <c r="G285" s="26">
        <f t="shared" si="1"/>
        <v>789009.91999999993</v>
      </c>
      <c r="H285" s="27" t="str">
        <f t="shared" si="2"/>
        <v>Positional</v>
      </c>
      <c r="J285" s="73"/>
      <c r="K285" s="31" t="s">
        <v>131</v>
      </c>
      <c r="L285" s="74">
        <v>15.93</v>
      </c>
      <c r="M285" s="31" t="s">
        <v>173</v>
      </c>
    </row>
    <row r="286" spans="1:13" ht="14.25" customHeight="1">
      <c r="A286" s="21">
        <v>44291</v>
      </c>
      <c r="B286" s="22">
        <v>64.510000000000005</v>
      </c>
      <c r="C286" s="23" t="s">
        <v>20</v>
      </c>
      <c r="D286" s="24">
        <v>81580.58</v>
      </c>
      <c r="E286" s="25">
        <v>115736.4</v>
      </c>
      <c r="F286" s="24">
        <f t="shared" si="0"/>
        <v>31.9</v>
      </c>
      <c r="G286" s="26">
        <f t="shared" si="1"/>
        <v>197316.97999999998</v>
      </c>
      <c r="H286" s="27" t="str">
        <f t="shared" si="2"/>
        <v/>
      </c>
      <c r="J286" s="73"/>
      <c r="K286" s="31" t="s">
        <v>131</v>
      </c>
      <c r="L286" s="74">
        <v>15.93</v>
      </c>
      <c r="M286" s="31" t="s">
        <v>174</v>
      </c>
    </row>
    <row r="287" spans="1:13" ht="14.25" customHeight="1">
      <c r="A287" s="21">
        <v>44292</v>
      </c>
      <c r="B287" s="22">
        <v>637.24</v>
      </c>
      <c r="C287" s="23" t="s">
        <v>20</v>
      </c>
      <c r="D287" s="24">
        <v>82217.81</v>
      </c>
      <c r="E287" s="25">
        <v>115736.4</v>
      </c>
      <c r="F287" s="24">
        <f t="shared" si="0"/>
        <v>32</v>
      </c>
      <c r="G287" s="26">
        <f t="shared" si="1"/>
        <v>197954.21</v>
      </c>
      <c r="H287" s="27" t="str">
        <f t="shared" si="2"/>
        <v/>
      </c>
      <c r="J287" s="73"/>
      <c r="K287" s="31" t="s">
        <v>131</v>
      </c>
      <c r="L287" s="74">
        <v>15.93</v>
      </c>
      <c r="M287" s="31" t="s">
        <v>135</v>
      </c>
    </row>
    <row r="288" spans="1:13" ht="14.25" customHeight="1">
      <c r="A288" s="21">
        <v>44293</v>
      </c>
      <c r="B288" s="22">
        <v>-551.41</v>
      </c>
      <c r="C288" s="23" t="s">
        <v>20</v>
      </c>
      <c r="D288" s="24">
        <v>81666.39</v>
      </c>
      <c r="E288" s="25">
        <v>115736.4</v>
      </c>
      <c r="F288" s="24">
        <f t="shared" si="0"/>
        <v>31.91</v>
      </c>
      <c r="G288" s="26">
        <f t="shared" si="1"/>
        <v>197402.78999999998</v>
      </c>
      <c r="H288" s="27" t="str">
        <f t="shared" si="2"/>
        <v/>
      </c>
      <c r="J288" s="73"/>
      <c r="K288" s="31" t="s">
        <v>131</v>
      </c>
      <c r="L288" s="74">
        <v>15.93</v>
      </c>
      <c r="M288" s="31" t="s">
        <v>175</v>
      </c>
    </row>
    <row r="289" spans="1:13" ht="14.25" customHeight="1">
      <c r="A289" s="21">
        <v>44294</v>
      </c>
      <c r="B289" s="22">
        <v>-1652.9</v>
      </c>
      <c r="C289" s="23" t="s">
        <v>20</v>
      </c>
      <c r="D289" s="24">
        <v>80013.490000000005</v>
      </c>
      <c r="E289" s="25">
        <v>115736.4</v>
      </c>
      <c r="F289" s="24">
        <f t="shared" si="0"/>
        <v>31.64</v>
      </c>
      <c r="G289" s="26">
        <f t="shared" si="1"/>
        <v>195749.89</v>
      </c>
      <c r="H289" s="27" t="str">
        <f t="shared" si="2"/>
        <v/>
      </c>
      <c r="J289" s="73"/>
      <c r="K289" s="31" t="s">
        <v>131</v>
      </c>
      <c r="L289" s="74">
        <v>15.93</v>
      </c>
      <c r="M289" s="31" t="s">
        <v>176</v>
      </c>
    </row>
    <row r="290" spans="1:13" ht="14.25" customHeight="1">
      <c r="A290" s="21">
        <v>44295</v>
      </c>
      <c r="B290" s="22">
        <v>542.16</v>
      </c>
      <c r="C290" s="23" t="s">
        <v>20</v>
      </c>
      <c r="D290" s="24">
        <v>80555.649999999994</v>
      </c>
      <c r="E290" s="25">
        <v>115736.4</v>
      </c>
      <c r="F290" s="24">
        <f t="shared" si="0"/>
        <v>95.19</v>
      </c>
      <c r="G290" s="26">
        <f t="shared" si="1"/>
        <v>588876.14999999991</v>
      </c>
      <c r="H290" s="27" t="str">
        <f t="shared" si="2"/>
        <v/>
      </c>
      <c r="J290" s="73"/>
      <c r="K290" s="31" t="s">
        <v>131</v>
      </c>
      <c r="L290" s="74">
        <v>15.93</v>
      </c>
      <c r="M290" s="31" t="s">
        <v>177</v>
      </c>
    </row>
    <row r="291" spans="1:13" ht="14.25" customHeight="1">
      <c r="A291" s="21">
        <v>44298</v>
      </c>
      <c r="B291" s="22">
        <v>-5239.68</v>
      </c>
      <c r="C291" s="23" t="s">
        <v>20</v>
      </c>
      <c r="D291" s="24">
        <v>68667.98</v>
      </c>
      <c r="E291" s="25">
        <v>122376.4</v>
      </c>
      <c r="F291" s="24">
        <f t="shared" si="0"/>
        <v>30.88</v>
      </c>
      <c r="G291" s="26">
        <f t="shared" si="1"/>
        <v>191044.38</v>
      </c>
      <c r="H291" s="27" t="str">
        <f t="shared" si="2"/>
        <v/>
      </c>
      <c r="J291" s="73"/>
      <c r="K291" s="31" t="s">
        <v>131</v>
      </c>
      <c r="L291" s="74">
        <v>15.93</v>
      </c>
      <c r="M291" s="31" t="s">
        <v>178</v>
      </c>
    </row>
    <row r="292" spans="1:13" ht="14.25" customHeight="1">
      <c r="A292" s="21">
        <v>44299</v>
      </c>
      <c r="B292" s="22">
        <v>76.319999999999993</v>
      </c>
      <c r="C292" s="23" t="s">
        <v>20</v>
      </c>
      <c r="D292" s="24">
        <v>26714.29</v>
      </c>
      <c r="E292" s="25">
        <v>164256.70000000001</v>
      </c>
      <c r="F292" s="24">
        <f t="shared" si="0"/>
        <v>61.74</v>
      </c>
      <c r="G292" s="26">
        <f t="shared" si="1"/>
        <v>381941.98000000004</v>
      </c>
      <c r="H292" s="27" t="str">
        <f t="shared" si="2"/>
        <v/>
      </c>
      <c r="J292" s="73"/>
      <c r="K292" s="31" t="s">
        <v>131</v>
      </c>
      <c r="L292" s="74">
        <v>15.93</v>
      </c>
      <c r="M292" s="31" t="s">
        <v>179</v>
      </c>
    </row>
    <row r="293" spans="1:13" ht="14.25" customHeight="1">
      <c r="A293" s="21">
        <v>44301</v>
      </c>
      <c r="B293" s="22">
        <v>37.18</v>
      </c>
      <c r="C293" s="23" t="s">
        <v>20</v>
      </c>
      <c r="D293" s="24"/>
      <c r="E293" s="25"/>
      <c r="F293" s="24" t="str">
        <f t="shared" si="0"/>
        <v/>
      </c>
      <c r="G293" s="26" t="str">
        <f t="shared" si="1"/>
        <v/>
      </c>
      <c r="H293" s="27" t="str">
        <f t="shared" si="2"/>
        <v/>
      </c>
      <c r="J293" s="73"/>
      <c r="K293" s="31" t="s">
        <v>131</v>
      </c>
      <c r="L293" s="74">
        <v>15.93</v>
      </c>
      <c r="M293" s="31" t="s">
        <v>180</v>
      </c>
    </row>
    <row r="294" spans="1:13" ht="14.25" customHeight="1">
      <c r="A294" s="21">
        <v>44301</v>
      </c>
      <c r="B294" s="22">
        <v>185</v>
      </c>
      <c r="C294" s="23" t="s">
        <v>136</v>
      </c>
      <c r="D294" s="24">
        <v>33568.53</v>
      </c>
      <c r="E294" s="25">
        <v>155852.70000000001</v>
      </c>
      <c r="F294" s="24">
        <f t="shared" si="0"/>
        <v>30.62</v>
      </c>
      <c r="G294" s="26">
        <f t="shared" si="1"/>
        <v>189421.23</v>
      </c>
      <c r="H294" s="27" t="str">
        <f t="shared" si="2"/>
        <v>Positional</v>
      </c>
      <c r="J294" s="73"/>
      <c r="K294" s="31" t="s">
        <v>131</v>
      </c>
      <c r="L294" s="74">
        <v>15.93</v>
      </c>
      <c r="M294" s="31" t="s">
        <v>181</v>
      </c>
    </row>
    <row r="295" spans="1:13" ht="14.25" customHeight="1">
      <c r="A295" s="21">
        <v>44302</v>
      </c>
      <c r="B295" s="22">
        <v>-21.35</v>
      </c>
      <c r="C295" s="23" t="s">
        <v>20</v>
      </c>
      <c r="D295" s="24">
        <v>25891.17</v>
      </c>
      <c r="E295" s="25">
        <v>163500.20000000001</v>
      </c>
      <c r="F295" s="24">
        <f t="shared" si="0"/>
        <v>122.46</v>
      </c>
      <c r="G295" s="26">
        <f t="shared" si="1"/>
        <v>757565.48</v>
      </c>
      <c r="H295" s="27" t="str">
        <f t="shared" si="2"/>
        <v/>
      </c>
      <c r="J295" s="73"/>
      <c r="K295" s="31" t="s">
        <v>131</v>
      </c>
      <c r="L295" s="74">
        <v>15.93</v>
      </c>
      <c r="M295" s="31" t="s">
        <v>182</v>
      </c>
    </row>
    <row r="296" spans="1:13" ht="14.25" customHeight="1">
      <c r="A296" s="21">
        <v>44306</v>
      </c>
      <c r="B296" s="22">
        <v>250.54</v>
      </c>
      <c r="C296" s="23" t="s">
        <v>20</v>
      </c>
      <c r="D296" s="24">
        <v>26141.72</v>
      </c>
      <c r="E296" s="25">
        <v>163500.20000000001</v>
      </c>
      <c r="F296" s="24">
        <f t="shared" si="0"/>
        <v>61.31</v>
      </c>
      <c r="G296" s="26">
        <f t="shared" si="1"/>
        <v>379283.84</v>
      </c>
      <c r="H296" s="27" t="str">
        <f t="shared" si="2"/>
        <v/>
      </c>
      <c r="J296" s="73"/>
      <c r="K296" s="31" t="s">
        <v>131</v>
      </c>
      <c r="L296" s="74">
        <v>15.93</v>
      </c>
      <c r="M296" s="31" t="s">
        <v>183</v>
      </c>
    </row>
    <row r="297" spans="1:13" ht="14.25" customHeight="1">
      <c r="A297" s="21">
        <v>44308</v>
      </c>
      <c r="B297" s="22">
        <v>973</v>
      </c>
      <c r="C297" s="23" t="s">
        <v>137</v>
      </c>
      <c r="D297" s="24"/>
      <c r="E297" s="25"/>
      <c r="F297" s="24" t="str">
        <f t="shared" si="0"/>
        <v/>
      </c>
      <c r="G297" s="26" t="str">
        <f t="shared" si="1"/>
        <v/>
      </c>
      <c r="H297" s="27" t="str">
        <f t="shared" si="2"/>
        <v>Positional</v>
      </c>
      <c r="J297" s="73"/>
      <c r="K297" s="31" t="s">
        <v>131</v>
      </c>
      <c r="L297" s="74">
        <v>15.93</v>
      </c>
      <c r="M297" s="31" t="s">
        <v>184</v>
      </c>
    </row>
    <row r="298" spans="1:13" ht="14.25" customHeight="1">
      <c r="A298" s="21">
        <v>44308</v>
      </c>
      <c r="B298" s="22">
        <v>461</v>
      </c>
      <c r="C298" s="23" t="s">
        <v>138</v>
      </c>
      <c r="D298" s="24"/>
      <c r="E298" s="25"/>
      <c r="F298" s="24" t="str">
        <f t="shared" si="0"/>
        <v/>
      </c>
      <c r="G298" s="26" t="str">
        <f t="shared" si="1"/>
        <v/>
      </c>
      <c r="H298" s="27" t="str">
        <f t="shared" si="2"/>
        <v>Positional</v>
      </c>
      <c r="J298" s="73"/>
      <c r="K298" s="31" t="s">
        <v>131</v>
      </c>
      <c r="L298" s="74">
        <v>15.93</v>
      </c>
      <c r="M298" s="31" t="s">
        <v>185</v>
      </c>
    </row>
    <row r="299" spans="1:13" ht="14.25" customHeight="1">
      <c r="A299" s="21">
        <v>44308</v>
      </c>
      <c r="B299" s="22">
        <v>242.51</v>
      </c>
      <c r="C299" s="23" t="s">
        <v>20</v>
      </c>
      <c r="D299" s="24">
        <v>54204.37</v>
      </c>
      <c r="E299" s="25">
        <v>137114.9</v>
      </c>
      <c r="F299" s="24">
        <f t="shared" si="0"/>
        <v>30.93</v>
      </c>
      <c r="G299" s="26">
        <f t="shared" si="1"/>
        <v>191319.27</v>
      </c>
      <c r="H299" s="27" t="str">
        <f t="shared" si="2"/>
        <v/>
      </c>
      <c r="J299" s="73"/>
      <c r="K299" s="31" t="s">
        <v>131</v>
      </c>
      <c r="L299" s="74">
        <v>15.93</v>
      </c>
      <c r="M299" s="31" t="s">
        <v>186</v>
      </c>
    </row>
    <row r="300" spans="1:13" ht="14.25" customHeight="1">
      <c r="A300" s="21">
        <v>44309</v>
      </c>
      <c r="B300" s="22">
        <v>44.16</v>
      </c>
      <c r="C300" s="23" t="s">
        <v>20</v>
      </c>
      <c r="D300" s="24">
        <v>54189.53</v>
      </c>
      <c r="E300" s="25">
        <v>137114.9</v>
      </c>
      <c r="F300" s="24">
        <f t="shared" si="0"/>
        <v>92.77</v>
      </c>
      <c r="G300" s="26">
        <f t="shared" si="1"/>
        <v>573913.29</v>
      </c>
      <c r="H300" s="27" t="str">
        <f t="shared" si="2"/>
        <v/>
      </c>
      <c r="J300" s="73"/>
      <c r="K300" s="31" t="s">
        <v>131</v>
      </c>
      <c r="L300" s="74">
        <v>15.93</v>
      </c>
      <c r="M300" s="31" t="s">
        <v>187</v>
      </c>
    </row>
    <row r="301" spans="1:13" ht="14.25" customHeight="1">
      <c r="A301" s="21">
        <v>44312</v>
      </c>
      <c r="B301" s="22">
        <v>137.41999999999999</v>
      </c>
      <c r="C301" s="23" t="s">
        <v>20</v>
      </c>
      <c r="D301" s="24">
        <v>54326.96</v>
      </c>
      <c r="E301" s="25">
        <v>137114.9</v>
      </c>
      <c r="F301" s="24">
        <f t="shared" si="0"/>
        <v>30.95</v>
      </c>
      <c r="G301" s="26">
        <f t="shared" si="1"/>
        <v>191441.86</v>
      </c>
      <c r="H301" s="27" t="str">
        <f t="shared" si="2"/>
        <v/>
      </c>
      <c r="J301" s="73"/>
      <c r="K301" s="31" t="s">
        <v>131</v>
      </c>
      <c r="L301" s="74">
        <v>15.93</v>
      </c>
      <c r="M301" s="31" t="s">
        <v>188</v>
      </c>
    </row>
    <row r="302" spans="1:13" ht="14.25" customHeight="1">
      <c r="A302" s="21">
        <v>44313</v>
      </c>
      <c r="B302" s="22">
        <v>486</v>
      </c>
      <c r="C302" s="23" t="s">
        <v>139</v>
      </c>
      <c r="D302" s="24"/>
      <c r="E302" s="25"/>
      <c r="F302" s="24" t="str">
        <f t="shared" si="0"/>
        <v/>
      </c>
      <c r="G302" s="26" t="str">
        <f t="shared" si="1"/>
        <v/>
      </c>
      <c r="H302" s="27" t="str">
        <f t="shared" si="2"/>
        <v>Positional</v>
      </c>
      <c r="J302" s="73"/>
      <c r="K302" s="31" t="s">
        <v>131</v>
      </c>
      <c r="L302" s="74">
        <v>15.93</v>
      </c>
      <c r="M302" s="31" t="s">
        <v>41</v>
      </c>
    </row>
    <row r="303" spans="1:13" ht="14.25" customHeight="1">
      <c r="A303" s="21">
        <v>44313</v>
      </c>
      <c r="B303" s="22">
        <v>98.61</v>
      </c>
      <c r="C303" s="23" t="s">
        <v>20</v>
      </c>
      <c r="D303" s="24">
        <v>64025.64</v>
      </c>
      <c r="E303" s="25">
        <v>127994.9</v>
      </c>
      <c r="F303" s="24">
        <f t="shared" si="0"/>
        <v>31.04</v>
      </c>
      <c r="G303" s="26">
        <f t="shared" si="1"/>
        <v>192020.53999999998</v>
      </c>
      <c r="H303" s="27" t="str">
        <f t="shared" si="2"/>
        <v/>
      </c>
      <c r="J303" s="73"/>
      <c r="K303" s="31" t="s">
        <v>131</v>
      </c>
      <c r="L303" s="74">
        <v>15.93</v>
      </c>
      <c r="M303" s="31" t="s">
        <v>159</v>
      </c>
    </row>
    <row r="304" spans="1:13" ht="14.25" customHeight="1">
      <c r="A304" s="21">
        <v>44314</v>
      </c>
      <c r="B304" s="22">
        <v>192</v>
      </c>
      <c r="C304" s="23" t="s">
        <v>140</v>
      </c>
      <c r="D304" s="24"/>
      <c r="E304" s="25"/>
      <c r="F304" s="24" t="str">
        <f t="shared" si="0"/>
        <v/>
      </c>
      <c r="G304" s="26" t="str">
        <f t="shared" si="1"/>
        <v/>
      </c>
      <c r="H304" s="27" t="str">
        <f t="shared" si="2"/>
        <v>Positional</v>
      </c>
      <c r="J304" s="73"/>
      <c r="K304" s="31" t="s">
        <v>131</v>
      </c>
      <c r="L304" s="74">
        <v>15.93</v>
      </c>
      <c r="M304" s="73" t="s">
        <v>189</v>
      </c>
    </row>
    <row r="305" spans="1:13" ht="14.25" customHeight="1">
      <c r="A305" s="21">
        <v>44314</v>
      </c>
      <c r="B305" s="22">
        <v>145.84</v>
      </c>
      <c r="C305" s="23" t="s">
        <v>20</v>
      </c>
      <c r="D305" s="24">
        <v>57036.56</v>
      </c>
      <c r="E305" s="25">
        <v>135297.4</v>
      </c>
      <c r="F305" s="24">
        <f t="shared" si="0"/>
        <v>31.09</v>
      </c>
      <c r="G305" s="26">
        <f t="shared" si="1"/>
        <v>192333.96</v>
      </c>
      <c r="H305" s="27" t="str">
        <f t="shared" si="2"/>
        <v/>
      </c>
      <c r="J305" s="73"/>
      <c r="K305" s="31" t="s">
        <v>131</v>
      </c>
      <c r="L305" s="74">
        <v>15.93</v>
      </c>
      <c r="M305" s="73" t="s">
        <v>42</v>
      </c>
    </row>
    <row r="306" spans="1:13" ht="14.25" customHeight="1">
      <c r="A306" s="21">
        <v>44315</v>
      </c>
      <c r="B306" s="22">
        <v>198.79</v>
      </c>
      <c r="C306" s="23" t="s">
        <v>141</v>
      </c>
      <c r="D306" s="24"/>
      <c r="E306" s="25"/>
      <c r="F306" s="24" t="str">
        <f t="shared" si="0"/>
        <v/>
      </c>
      <c r="G306" s="26" t="str">
        <f t="shared" si="1"/>
        <v/>
      </c>
      <c r="H306" s="27" t="str">
        <f t="shared" si="2"/>
        <v>Positional</v>
      </c>
      <c r="J306" s="73"/>
      <c r="K306" s="31" t="s">
        <v>131</v>
      </c>
      <c r="L306" s="74">
        <v>15.93</v>
      </c>
      <c r="M306" s="31" t="s">
        <v>190</v>
      </c>
    </row>
    <row r="307" spans="1:13" ht="14.25" customHeight="1">
      <c r="A307" s="21">
        <v>44315</v>
      </c>
      <c r="B307" s="22">
        <v>122.46</v>
      </c>
      <c r="C307" s="23" t="s">
        <v>20</v>
      </c>
      <c r="D307" s="24">
        <v>66658.100000000006</v>
      </c>
      <c r="E307" s="25">
        <v>125992.4</v>
      </c>
      <c r="F307" s="24">
        <f t="shared" si="0"/>
        <v>31.14</v>
      </c>
      <c r="G307" s="26">
        <f t="shared" si="1"/>
        <v>192650.5</v>
      </c>
      <c r="H307" s="27" t="str">
        <f t="shared" si="2"/>
        <v/>
      </c>
      <c r="J307" s="73"/>
      <c r="K307" s="31" t="s">
        <v>131</v>
      </c>
      <c r="L307" s="74">
        <v>15.93</v>
      </c>
      <c r="M307" s="73" t="s">
        <v>43</v>
      </c>
    </row>
    <row r="308" spans="1:13" ht="14.25" customHeight="1">
      <c r="A308" s="21">
        <v>44316</v>
      </c>
      <c r="B308" s="22">
        <v>47.18</v>
      </c>
      <c r="C308" s="23" t="s">
        <v>20</v>
      </c>
      <c r="D308" s="24">
        <v>55512.28</v>
      </c>
      <c r="E308" s="25">
        <v>137172.4</v>
      </c>
      <c r="F308" s="24">
        <f t="shared" si="0"/>
        <v>93.44</v>
      </c>
      <c r="G308" s="26">
        <f t="shared" si="1"/>
        <v>578054.04</v>
      </c>
      <c r="H308" s="27" t="str">
        <f t="shared" si="2"/>
        <v/>
      </c>
      <c r="J308" s="73"/>
      <c r="K308" s="31" t="s">
        <v>131</v>
      </c>
      <c r="L308" s="74">
        <v>15.93</v>
      </c>
      <c r="M308" s="31" t="s">
        <v>191</v>
      </c>
    </row>
    <row r="309" spans="1:13" ht="14.25" customHeight="1">
      <c r="A309" s="21">
        <v>44319</v>
      </c>
      <c r="B309" s="22">
        <v>1314.06</v>
      </c>
      <c r="C309" s="23" t="s">
        <v>20</v>
      </c>
      <c r="D309" s="24">
        <v>56826.35</v>
      </c>
      <c r="E309" s="25">
        <v>137172.4</v>
      </c>
      <c r="F309" s="24">
        <f t="shared" si="0"/>
        <v>31.36</v>
      </c>
      <c r="G309" s="26">
        <f t="shared" si="1"/>
        <v>193998.75</v>
      </c>
      <c r="H309" s="27" t="str">
        <f t="shared" si="2"/>
        <v/>
      </c>
      <c r="J309" s="73"/>
      <c r="K309" s="31" t="s">
        <v>131</v>
      </c>
      <c r="L309" s="74">
        <v>15.93</v>
      </c>
      <c r="M309" s="31" t="s">
        <v>192</v>
      </c>
    </row>
    <row r="310" spans="1:13" ht="14.25" customHeight="1">
      <c r="A310" s="21">
        <v>44320</v>
      </c>
      <c r="B310" s="22">
        <v>475</v>
      </c>
      <c r="C310" s="23" t="s">
        <v>142</v>
      </c>
      <c r="D310" s="24"/>
      <c r="E310" s="25"/>
      <c r="F310" s="24" t="str">
        <f t="shared" si="0"/>
        <v/>
      </c>
      <c r="G310" s="26" t="str">
        <f t="shared" si="1"/>
        <v/>
      </c>
      <c r="H310" s="27" t="str">
        <f t="shared" si="2"/>
        <v>Positional</v>
      </c>
      <c r="J310" s="73"/>
      <c r="K310" s="31" t="s">
        <v>131</v>
      </c>
      <c r="L310" s="74">
        <v>15.93</v>
      </c>
      <c r="M310" s="31" t="s">
        <v>193</v>
      </c>
    </row>
    <row r="311" spans="1:13" ht="14.25" customHeight="1">
      <c r="A311" s="21">
        <v>44320</v>
      </c>
      <c r="B311" s="22">
        <v>535.08000000000004</v>
      </c>
      <c r="C311" s="23" t="s">
        <v>20</v>
      </c>
      <c r="D311" s="24">
        <v>51632.49</v>
      </c>
      <c r="E311" s="25">
        <v>143352.4</v>
      </c>
      <c r="F311" s="24">
        <f t="shared" si="0"/>
        <v>31.52</v>
      </c>
      <c r="G311" s="26">
        <f t="shared" si="1"/>
        <v>194984.88999999998</v>
      </c>
      <c r="H311" s="27" t="str">
        <f t="shared" si="2"/>
        <v/>
      </c>
      <c r="J311" s="73"/>
      <c r="K311" s="31" t="s">
        <v>131</v>
      </c>
      <c r="L311" s="74">
        <v>15.93</v>
      </c>
      <c r="M311" s="31" t="s">
        <v>151</v>
      </c>
    </row>
    <row r="312" spans="1:13" ht="14.25" customHeight="1">
      <c r="A312" s="21">
        <v>44321</v>
      </c>
      <c r="B312" s="22">
        <v>-814.81</v>
      </c>
      <c r="C312" s="23" t="s">
        <v>20</v>
      </c>
      <c r="D312" s="24">
        <v>36350.68</v>
      </c>
      <c r="E312" s="25">
        <v>157802.4</v>
      </c>
      <c r="F312" s="24">
        <f t="shared" si="0"/>
        <v>31.38</v>
      </c>
      <c r="G312" s="26">
        <f t="shared" si="1"/>
        <v>194153.08</v>
      </c>
      <c r="H312" s="27" t="str">
        <f t="shared" si="2"/>
        <v/>
      </c>
      <c r="J312" s="73"/>
      <c r="K312" s="31" t="s">
        <v>131</v>
      </c>
      <c r="L312" s="74">
        <v>15.93</v>
      </c>
      <c r="M312" s="31" t="s">
        <v>194</v>
      </c>
    </row>
    <row r="313" spans="1:13" ht="14.25" customHeight="1">
      <c r="A313" s="21">
        <v>44322</v>
      </c>
      <c r="B313" s="22">
        <v>23</v>
      </c>
      <c r="C313" s="23" t="s">
        <v>143</v>
      </c>
      <c r="D313" s="24"/>
      <c r="E313" s="25"/>
      <c r="F313" s="24" t="str">
        <f t="shared" si="0"/>
        <v/>
      </c>
      <c r="G313" s="26" t="str">
        <f t="shared" si="1"/>
        <v/>
      </c>
      <c r="H313" s="27" t="str">
        <f t="shared" si="2"/>
        <v>Positional</v>
      </c>
      <c r="J313" s="73"/>
      <c r="K313" s="31" t="s">
        <v>131</v>
      </c>
      <c r="L313" s="74">
        <v>15.93</v>
      </c>
      <c r="M313" s="31" t="s">
        <v>189</v>
      </c>
    </row>
    <row r="314" spans="1:13" ht="14.25" customHeight="1">
      <c r="A314" s="21">
        <v>44322</v>
      </c>
      <c r="B314" s="22">
        <v>-214.35</v>
      </c>
      <c r="C314" s="23" t="s">
        <v>20</v>
      </c>
      <c r="D314" s="24">
        <v>35843.4</v>
      </c>
      <c r="E314" s="25">
        <v>157802.4</v>
      </c>
      <c r="F314" s="24">
        <f t="shared" si="0"/>
        <v>31.3</v>
      </c>
      <c r="G314" s="26">
        <f t="shared" si="1"/>
        <v>193645.8</v>
      </c>
      <c r="H314" s="27" t="str">
        <f t="shared" si="2"/>
        <v/>
      </c>
      <c r="J314" s="73"/>
      <c r="K314" s="31" t="s">
        <v>131</v>
      </c>
      <c r="L314" s="74">
        <v>15.93</v>
      </c>
      <c r="M314" s="31" t="s">
        <v>195</v>
      </c>
    </row>
    <row r="315" spans="1:13" ht="14.25" customHeight="1">
      <c r="A315" s="21">
        <v>44323</v>
      </c>
      <c r="B315" s="22">
        <v>647</v>
      </c>
      <c r="C315" s="23" t="s">
        <v>144</v>
      </c>
      <c r="D315" s="24"/>
      <c r="E315" s="25"/>
      <c r="F315" s="24" t="str">
        <f t="shared" si="0"/>
        <v/>
      </c>
      <c r="G315" s="26" t="str">
        <f t="shared" si="1"/>
        <v/>
      </c>
      <c r="H315" s="27" t="str">
        <f t="shared" si="2"/>
        <v>Positional</v>
      </c>
      <c r="J315" s="73"/>
      <c r="K315" s="31" t="s">
        <v>131</v>
      </c>
      <c r="L315" s="74">
        <v>15.93</v>
      </c>
      <c r="M315" s="31" t="s">
        <v>196</v>
      </c>
    </row>
    <row r="316" spans="1:13" ht="14.25" customHeight="1">
      <c r="A316" s="21">
        <v>44323</v>
      </c>
      <c r="B316" s="22">
        <v>-615.05999999999995</v>
      </c>
      <c r="C316" s="23" t="s">
        <v>20</v>
      </c>
      <c r="D316" s="24">
        <v>29933.35</v>
      </c>
      <c r="E316" s="25">
        <v>164036.4</v>
      </c>
      <c r="F316" s="24">
        <f t="shared" si="0"/>
        <v>94.06</v>
      </c>
      <c r="G316" s="26">
        <f t="shared" si="1"/>
        <v>581909.25</v>
      </c>
      <c r="H316" s="27" t="str">
        <f t="shared" si="2"/>
        <v/>
      </c>
      <c r="J316" s="73"/>
      <c r="K316" s="31" t="s">
        <v>131</v>
      </c>
      <c r="L316" s="74">
        <v>15.93</v>
      </c>
      <c r="M316" s="31" t="s">
        <v>151</v>
      </c>
    </row>
    <row r="317" spans="1:13" ht="14.25" customHeight="1">
      <c r="A317" s="21">
        <v>44326</v>
      </c>
      <c r="B317" s="22">
        <v>423</v>
      </c>
      <c r="C317" s="23" t="s">
        <v>145</v>
      </c>
      <c r="D317" s="24"/>
      <c r="E317" s="25"/>
      <c r="F317" s="24" t="str">
        <f t="shared" si="0"/>
        <v/>
      </c>
      <c r="G317" s="26" t="str">
        <f t="shared" si="1"/>
        <v/>
      </c>
      <c r="H317" s="27" t="str">
        <f t="shared" si="2"/>
        <v>Positional</v>
      </c>
      <c r="J317" s="73"/>
      <c r="K317" s="31" t="s">
        <v>131</v>
      </c>
      <c r="L317" s="74">
        <v>15.93</v>
      </c>
      <c r="M317" s="31" t="s">
        <v>139</v>
      </c>
    </row>
    <row r="318" spans="1:13" ht="14.25" customHeight="1">
      <c r="A318" s="21">
        <v>44326</v>
      </c>
      <c r="B318" s="22">
        <v>611.90000000000146</v>
      </c>
      <c r="C318" s="23" t="s">
        <v>147</v>
      </c>
      <c r="D318" s="24"/>
      <c r="E318" s="25"/>
      <c r="F318" s="24" t="str">
        <f t="shared" si="0"/>
        <v/>
      </c>
      <c r="G318" s="26" t="str">
        <f t="shared" si="1"/>
        <v/>
      </c>
      <c r="H318" s="27" t="str">
        <f t="shared" si="2"/>
        <v>Positional</v>
      </c>
      <c r="J318" s="73"/>
      <c r="K318" s="31" t="s">
        <v>131</v>
      </c>
      <c r="L318" s="74">
        <v>15.93</v>
      </c>
      <c r="M318" s="31" t="s">
        <v>189</v>
      </c>
    </row>
    <row r="319" spans="1:13" ht="14.25" customHeight="1">
      <c r="A319" s="21">
        <v>44326</v>
      </c>
      <c r="B319" s="22">
        <v>-5184</v>
      </c>
      <c r="C319" s="23" t="s">
        <v>197</v>
      </c>
      <c r="D319" s="24"/>
      <c r="E319" s="25"/>
      <c r="F319" s="24" t="str">
        <f t="shared" si="0"/>
        <v/>
      </c>
      <c r="G319" s="26" t="str">
        <f t="shared" si="1"/>
        <v/>
      </c>
      <c r="H319" s="27" t="str">
        <f t="shared" si="2"/>
        <v>Positional</v>
      </c>
      <c r="J319" s="73"/>
      <c r="K319" s="31" t="s">
        <v>131</v>
      </c>
      <c r="L319" s="74">
        <v>15.93</v>
      </c>
      <c r="M319" s="31" t="s">
        <v>198</v>
      </c>
    </row>
    <row r="320" spans="1:13" ht="14.25" customHeight="1">
      <c r="A320" s="21">
        <v>44326</v>
      </c>
      <c r="B320" s="22">
        <v>-47.57</v>
      </c>
      <c r="C320" s="23" t="s">
        <v>20</v>
      </c>
      <c r="D320" s="24">
        <v>83056.98</v>
      </c>
      <c r="E320" s="25">
        <v>139715.04</v>
      </c>
      <c r="F320" s="24">
        <f t="shared" si="0"/>
        <v>36.01</v>
      </c>
      <c r="G320" s="26">
        <f t="shared" si="1"/>
        <v>222772.02000000002</v>
      </c>
      <c r="H320" s="27" t="str">
        <f t="shared" si="2"/>
        <v/>
      </c>
      <c r="J320" s="73"/>
      <c r="K320" s="31" t="s">
        <v>131</v>
      </c>
      <c r="L320" s="74">
        <v>15.93</v>
      </c>
      <c r="M320" s="31" t="s">
        <v>199</v>
      </c>
    </row>
    <row r="321" spans="1:13" ht="14.25" customHeight="1">
      <c r="A321" s="21">
        <v>44327</v>
      </c>
      <c r="B321" s="22">
        <v>0.36</v>
      </c>
      <c r="C321" s="23" t="s">
        <v>16</v>
      </c>
      <c r="D321" s="24">
        <v>25324.41</v>
      </c>
      <c r="E321" s="25">
        <v>190064.92</v>
      </c>
      <c r="F321" s="24">
        <f t="shared" si="0"/>
        <v>34.82</v>
      </c>
      <c r="G321" s="26">
        <f t="shared" si="1"/>
        <v>215389.33000000002</v>
      </c>
      <c r="H321" s="27" t="str">
        <f t="shared" si="2"/>
        <v/>
      </c>
      <c r="J321" s="73"/>
      <c r="K321" s="31" t="s">
        <v>131</v>
      </c>
      <c r="L321" s="74">
        <v>15.93</v>
      </c>
      <c r="M321" s="31" t="s">
        <v>200</v>
      </c>
    </row>
    <row r="322" spans="1:13" ht="14.25" customHeight="1">
      <c r="A322" s="21">
        <v>44328</v>
      </c>
      <c r="B322" s="22">
        <v>1128</v>
      </c>
      <c r="C322" s="23" t="s">
        <v>148</v>
      </c>
      <c r="D322" s="24"/>
      <c r="E322" s="25"/>
      <c r="F322" s="24" t="str">
        <f t="shared" si="0"/>
        <v/>
      </c>
      <c r="G322" s="26" t="str">
        <f t="shared" si="1"/>
        <v/>
      </c>
      <c r="H322" s="27" t="str">
        <f t="shared" si="2"/>
        <v>Positional</v>
      </c>
      <c r="J322" s="73"/>
      <c r="K322" s="31" t="s">
        <v>201</v>
      </c>
      <c r="L322" s="74">
        <v>29.5</v>
      </c>
      <c r="M322" s="31" t="s">
        <v>202</v>
      </c>
    </row>
    <row r="323" spans="1:13" ht="14.25" customHeight="1">
      <c r="A323" s="21">
        <v>44328</v>
      </c>
      <c r="B323" s="22">
        <v>-0.19</v>
      </c>
      <c r="C323" s="23" t="s">
        <v>16</v>
      </c>
      <c r="D323" s="24">
        <v>19381.43</v>
      </c>
      <c r="E323" s="25">
        <v>177863.1</v>
      </c>
      <c r="F323" s="24">
        <f t="shared" si="0"/>
        <v>63.77</v>
      </c>
      <c r="G323" s="26">
        <f t="shared" si="1"/>
        <v>394489.06</v>
      </c>
      <c r="H323" s="27" t="str">
        <f t="shared" si="2"/>
        <v/>
      </c>
      <c r="J323" s="73"/>
      <c r="K323" s="31" t="s">
        <v>131</v>
      </c>
      <c r="L323" s="74">
        <v>15.93</v>
      </c>
      <c r="M323" s="31" t="s">
        <v>203</v>
      </c>
    </row>
    <row r="324" spans="1:13" ht="14.25" customHeight="1">
      <c r="A324" s="21">
        <v>44330</v>
      </c>
      <c r="B324" s="22">
        <v>254</v>
      </c>
      <c r="C324" s="23" t="s">
        <v>149</v>
      </c>
      <c r="D324" s="24"/>
      <c r="E324" s="25"/>
      <c r="F324" s="24" t="str">
        <f t="shared" si="0"/>
        <v/>
      </c>
      <c r="G324" s="26" t="str">
        <f t="shared" si="1"/>
        <v/>
      </c>
      <c r="H324" s="27" t="str">
        <f t="shared" si="2"/>
        <v>Positional</v>
      </c>
      <c r="J324" s="73"/>
      <c r="K324" s="31" t="s">
        <v>131</v>
      </c>
      <c r="L324" s="74">
        <v>15.93</v>
      </c>
      <c r="M324" s="31" t="s">
        <v>204</v>
      </c>
    </row>
    <row r="325" spans="1:13" ht="14.25" customHeight="1">
      <c r="A325" s="21">
        <v>44330</v>
      </c>
      <c r="B325" s="22">
        <v>267.01</v>
      </c>
      <c r="C325" s="23" t="s">
        <v>20</v>
      </c>
      <c r="D325" s="24">
        <v>33053.51</v>
      </c>
      <c r="E325" s="25">
        <v>184688.1</v>
      </c>
      <c r="F325" s="24">
        <f t="shared" si="0"/>
        <v>105.59</v>
      </c>
      <c r="G325" s="26">
        <f t="shared" si="1"/>
        <v>653224.83000000007</v>
      </c>
      <c r="H325" s="27" t="str">
        <f t="shared" si="2"/>
        <v/>
      </c>
      <c r="J325" s="73"/>
      <c r="K325" s="31" t="s">
        <v>205</v>
      </c>
      <c r="L325" s="74"/>
      <c r="M325" s="31"/>
    </row>
    <row r="326" spans="1:13" ht="14.25" customHeight="1">
      <c r="A326" s="21">
        <v>44333</v>
      </c>
      <c r="B326" s="22">
        <v>-4201.8300000000017</v>
      </c>
      <c r="C326" s="23" t="s">
        <v>150</v>
      </c>
      <c r="D326" s="24"/>
      <c r="E326" s="25"/>
      <c r="F326" s="24" t="str">
        <f t="shared" si="0"/>
        <v/>
      </c>
      <c r="G326" s="26" t="str">
        <f t="shared" si="1"/>
        <v/>
      </c>
      <c r="H326" s="27" t="str">
        <f t="shared" si="2"/>
        <v>Positional</v>
      </c>
      <c r="J326" s="73"/>
      <c r="K326" s="31" t="s">
        <v>131</v>
      </c>
      <c r="L326" s="74">
        <v>15.93</v>
      </c>
      <c r="M326" s="31" t="s">
        <v>206</v>
      </c>
    </row>
    <row r="327" spans="1:13" ht="14.25" customHeight="1">
      <c r="A327" s="21">
        <v>44333</v>
      </c>
      <c r="B327" s="22">
        <v>257.89999999999998</v>
      </c>
      <c r="C327" s="23" t="s">
        <v>20</v>
      </c>
      <c r="D327" s="24">
        <v>64373.48</v>
      </c>
      <c r="E327" s="25">
        <v>151214</v>
      </c>
      <c r="F327" s="24">
        <f t="shared" si="0"/>
        <v>34.85</v>
      </c>
      <c r="G327" s="26">
        <f t="shared" si="1"/>
        <v>215587.48</v>
      </c>
      <c r="H327" s="27" t="str">
        <f t="shared" si="2"/>
        <v/>
      </c>
      <c r="J327" s="73"/>
      <c r="K327" s="31" t="s">
        <v>131</v>
      </c>
      <c r="L327" s="74">
        <v>15.93</v>
      </c>
      <c r="M327" s="31" t="s">
        <v>207</v>
      </c>
    </row>
    <row r="328" spans="1:13" ht="14.25" customHeight="1">
      <c r="A328" s="21">
        <v>44334</v>
      </c>
      <c r="B328" s="22">
        <v>175</v>
      </c>
      <c r="C328" s="23" t="s">
        <v>151</v>
      </c>
      <c r="D328" s="24"/>
      <c r="E328" s="25"/>
      <c r="F328" s="24" t="str">
        <f t="shared" si="0"/>
        <v/>
      </c>
      <c r="G328" s="26" t="str">
        <f t="shared" si="1"/>
        <v/>
      </c>
      <c r="H328" s="27" t="str">
        <f t="shared" si="2"/>
        <v>Positional</v>
      </c>
      <c r="J328" s="73"/>
      <c r="K328" s="31" t="s">
        <v>131</v>
      </c>
      <c r="L328" s="74">
        <v>15.93</v>
      </c>
      <c r="M328" s="31" t="s">
        <v>208</v>
      </c>
    </row>
    <row r="329" spans="1:13" ht="14.25" customHeight="1">
      <c r="A329" s="21">
        <v>44334</v>
      </c>
      <c r="B329" s="22">
        <v>876</v>
      </c>
      <c r="C329" s="23" t="s">
        <v>152</v>
      </c>
      <c r="D329" s="24"/>
      <c r="E329" s="25"/>
      <c r="F329" s="24" t="str">
        <f t="shared" si="0"/>
        <v/>
      </c>
      <c r="G329" s="26" t="str">
        <f t="shared" si="1"/>
        <v/>
      </c>
      <c r="H329" s="27" t="str">
        <f t="shared" si="2"/>
        <v>Positional</v>
      </c>
      <c r="J329" s="73"/>
      <c r="K329" s="31" t="s">
        <v>131</v>
      </c>
      <c r="L329" s="74">
        <v>15.93</v>
      </c>
      <c r="M329" s="31" t="s">
        <v>209</v>
      </c>
    </row>
    <row r="330" spans="1:13" ht="14.25" customHeight="1">
      <c r="A330" s="21">
        <v>44334</v>
      </c>
      <c r="B330" s="22">
        <v>475</v>
      </c>
      <c r="C330" s="23" t="s">
        <v>139</v>
      </c>
      <c r="D330" s="24"/>
      <c r="E330" s="25"/>
      <c r="F330" s="24" t="str">
        <f t="shared" si="0"/>
        <v/>
      </c>
      <c r="G330" s="26" t="str">
        <f t="shared" si="1"/>
        <v/>
      </c>
      <c r="H330" s="27" t="str">
        <f t="shared" si="2"/>
        <v>Positional</v>
      </c>
      <c r="J330" s="73"/>
      <c r="K330" s="31" t="s">
        <v>131</v>
      </c>
      <c r="L330" s="74">
        <v>15.93</v>
      </c>
      <c r="M330" s="31" t="s">
        <v>210</v>
      </c>
    </row>
    <row r="331" spans="1:13" ht="14.25" customHeight="1">
      <c r="A331" s="21">
        <v>44334</v>
      </c>
      <c r="B331" s="22">
        <v>41.579999999999927</v>
      </c>
      <c r="C331" s="23" t="s">
        <v>153</v>
      </c>
      <c r="D331" s="24"/>
      <c r="E331" s="25"/>
      <c r="F331" s="24" t="str">
        <f t="shared" si="0"/>
        <v/>
      </c>
      <c r="G331" s="26" t="str">
        <f t="shared" si="1"/>
        <v/>
      </c>
      <c r="H331" s="27" t="str">
        <f t="shared" si="2"/>
        <v>Positional</v>
      </c>
      <c r="J331" s="73"/>
      <c r="K331" s="31" t="s">
        <v>131</v>
      </c>
      <c r="L331" s="74">
        <v>15.93</v>
      </c>
      <c r="M331" s="31" t="s">
        <v>211</v>
      </c>
    </row>
    <row r="332" spans="1:13" ht="14.25" customHeight="1">
      <c r="A332" s="21">
        <v>44334</v>
      </c>
      <c r="B332" s="22">
        <v>618</v>
      </c>
      <c r="C332" s="23" t="s">
        <v>154</v>
      </c>
      <c r="D332" s="24"/>
      <c r="E332" s="25"/>
      <c r="F332" s="24" t="str">
        <f t="shared" si="0"/>
        <v/>
      </c>
      <c r="G332" s="26" t="str">
        <f t="shared" si="1"/>
        <v/>
      </c>
      <c r="H332" s="27" t="str">
        <f t="shared" si="2"/>
        <v>Positional</v>
      </c>
      <c r="J332" s="73"/>
      <c r="K332" s="31" t="s">
        <v>131</v>
      </c>
      <c r="L332" s="74">
        <v>15.93</v>
      </c>
      <c r="M332" s="31" t="s">
        <v>212</v>
      </c>
    </row>
    <row r="333" spans="1:13" ht="14.25" customHeight="1">
      <c r="A333" s="21">
        <v>44334</v>
      </c>
      <c r="B333" s="22">
        <v>244</v>
      </c>
      <c r="C333" s="23" t="s">
        <v>155</v>
      </c>
      <c r="D333" s="24"/>
      <c r="E333" s="25"/>
      <c r="F333" s="24" t="str">
        <f t="shared" si="0"/>
        <v/>
      </c>
      <c r="G333" s="26" t="str">
        <f t="shared" si="1"/>
        <v/>
      </c>
      <c r="H333" s="27" t="str">
        <f t="shared" si="2"/>
        <v>Positional</v>
      </c>
      <c r="J333" s="73"/>
      <c r="K333" s="31" t="s">
        <v>131</v>
      </c>
      <c r="L333" s="74">
        <v>15.93</v>
      </c>
      <c r="M333" s="31" t="s">
        <v>213</v>
      </c>
    </row>
    <row r="334" spans="1:13" ht="14.25" customHeight="1">
      <c r="A334" s="21">
        <v>44334</v>
      </c>
      <c r="B334" s="22">
        <v>-0.68</v>
      </c>
      <c r="C334" s="23" t="s">
        <v>16</v>
      </c>
      <c r="D334" s="24">
        <v>95121.15</v>
      </c>
      <c r="E334" s="25">
        <v>121749</v>
      </c>
      <c r="F334" s="24">
        <f t="shared" si="0"/>
        <v>35.06</v>
      </c>
      <c r="G334" s="26">
        <f t="shared" si="1"/>
        <v>216870.15</v>
      </c>
      <c r="H334" s="27" t="str">
        <f t="shared" si="2"/>
        <v/>
      </c>
      <c r="J334" s="73"/>
      <c r="K334" s="28" t="s">
        <v>214</v>
      </c>
      <c r="L334" s="74">
        <v>29.5</v>
      </c>
      <c r="M334" s="31"/>
    </row>
    <row r="335" spans="1:13" ht="14.25" customHeight="1">
      <c r="A335" s="21">
        <v>44335</v>
      </c>
      <c r="B335" s="22">
        <v>114</v>
      </c>
      <c r="C335" s="23" t="s">
        <v>156</v>
      </c>
      <c r="D335" s="24"/>
      <c r="E335" s="25"/>
      <c r="F335" s="24" t="str">
        <f t="shared" si="0"/>
        <v/>
      </c>
      <c r="G335" s="26" t="str">
        <f t="shared" si="1"/>
        <v/>
      </c>
      <c r="H335" s="27" t="str">
        <f t="shared" si="2"/>
        <v>Positional</v>
      </c>
      <c r="J335" s="73"/>
      <c r="K335" s="31" t="s">
        <v>131</v>
      </c>
      <c r="L335" s="74">
        <v>15.93</v>
      </c>
      <c r="M335" s="31" t="s">
        <v>215</v>
      </c>
    </row>
    <row r="336" spans="1:13" ht="14.25" customHeight="1">
      <c r="A336" s="21">
        <v>44335</v>
      </c>
      <c r="B336" s="22">
        <v>274</v>
      </c>
      <c r="C336" s="23" t="s">
        <v>157</v>
      </c>
      <c r="D336" s="24"/>
      <c r="E336" s="25"/>
      <c r="F336" s="24" t="str">
        <f t="shared" si="0"/>
        <v/>
      </c>
      <c r="G336" s="26" t="str">
        <f t="shared" si="1"/>
        <v/>
      </c>
      <c r="H336" s="27" t="str">
        <f t="shared" si="2"/>
        <v>Positional</v>
      </c>
      <c r="J336" s="73"/>
      <c r="K336" s="31" t="s">
        <v>131</v>
      </c>
      <c r="L336" s="74">
        <v>15.93</v>
      </c>
      <c r="M336" s="31" t="s">
        <v>216</v>
      </c>
    </row>
    <row r="337" spans="1:13" ht="14.25" customHeight="1">
      <c r="A337" s="21">
        <v>44335</v>
      </c>
      <c r="B337" s="22">
        <v>260.52</v>
      </c>
      <c r="C337" s="23" t="s">
        <v>20</v>
      </c>
      <c r="D337" s="24">
        <v>63782.879999999997</v>
      </c>
      <c r="E337" s="25">
        <v>153499.5</v>
      </c>
      <c r="F337" s="24">
        <f t="shared" si="0"/>
        <v>35.119999999999997</v>
      </c>
      <c r="G337" s="26">
        <f t="shared" si="1"/>
        <v>217282.38</v>
      </c>
      <c r="H337" s="27" t="str">
        <f t="shared" si="2"/>
        <v/>
      </c>
      <c r="J337" s="73"/>
      <c r="K337" s="31" t="s">
        <v>131</v>
      </c>
      <c r="L337" s="74">
        <v>15.93</v>
      </c>
      <c r="M337" s="31" t="s">
        <v>217</v>
      </c>
    </row>
    <row r="338" spans="1:13" ht="14.25" customHeight="1">
      <c r="A338" s="21">
        <v>44336</v>
      </c>
      <c r="B338" s="22">
        <v>-210</v>
      </c>
      <c r="C338" s="23" t="s">
        <v>158</v>
      </c>
      <c r="D338" s="24"/>
      <c r="E338" s="25"/>
      <c r="F338" s="24" t="str">
        <f t="shared" si="0"/>
        <v/>
      </c>
      <c r="G338" s="26" t="str">
        <f t="shared" si="1"/>
        <v/>
      </c>
      <c r="H338" s="27" t="str">
        <f t="shared" si="2"/>
        <v>Positional</v>
      </c>
      <c r="J338" s="73"/>
      <c r="K338" s="31" t="s">
        <v>131</v>
      </c>
      <c r="L338" s="74">
        <v>15.93</v>
      </c>
      <c r="M338" s="31" t="s">
        <v>218</v>
      </c>
    </row>
    <row r="339" spans="1:13" ht="14.25" customHeight="1">
      <c r="A339" s="21">
        <v>44336</v>
      </c>
      <c r="B339" s="22">
        <v>-248.06</v>
      </c>
      <c r="C339" s="23" t="s">
        <v>20</v>
      </c>
      <c r="D339" s="24">
        <v>56749.89</v>
      </c>
      <c r="E339" s="25">
        <v>160300</v>
      </c>
      <c r="F339" s="24">
        <f t="shared" si="0"/>
        <v>35.08</v>
      </c>
      <c r="G339" s="26">
        <f t="shared" si="1"/>
        <v>217049.89</v>
      </c>
      <c r="H339" s="27" t="str">
        <f t="shared" si="2"/>
        <v/>
      </c>
      <c r="J339" s="73"/>
      <c r="K339" s="31" t="s">
        <v>131</v>
      </c>
      <c r="L339" s="74">
        <v>15.93</v>
      </c>
      <c r="M339" s="31" t="s">
        <v>139</v>
      </c>
    </row>
    <row r="340" spans="1:13" ht="14.25" customHeight="1">
      <c r="A340" s="21">
        <v>44337</v>
      </c>
      <c r="B340" s="22">
        <v>203</v>
      </c>
      <c r="C340" s="23" t="s">
        <v>159</v>
      </c>
      <c r="D340" s="24"/>
      <c r="E340" s="25"/>
      <c r="F340" s="24" t="str">
        <f t="shared" si="0"/>
        <v/>
      </c>
      <c r="G340" s="26" t="str">
        <f t="shared" si="1"/>
        <v/>
      </c>
      <c r="H340" s="27" t="str">
        <f t="shared" si="2"/>
        <v>Positional</v>
      </c>
      <c r="J340" s="73"/>
      <c r="K340" s="31" t="s">
        <v>131</v>
      </c>
      <c r="L340" s="74">
        <v>15.93</v>
      </c>
      <c r="M340" s="31" t="s">
        <v>219</v>
      </c>
    </row>
    <row r="341" spans="1:13" ht="14.25" customHeight="1">
      <c r="A341" s="21">
        <v>44337</v>
      </c>
      <c r="B341" s="22">
        <v>67</v>
      </c>
      <c r="C341" s="23" t="s">
        <v>160</v>
      </c>
      <c r="D341" s="24"/>
      <c r="E341" s="25"/>
      <c r="F341" s="24" t="str">
        <f t="shared" si="0"/>
        <v/>
      </c>
      <c r="G341" s="26" t="str">
        <f t="shared" si="1"/>
        <v/>
      </c>
      <c r="H341" s="27" t="str">
        <f t="shared" si="2"/>
        <v>Positional</v>
      </c>
      <c r="J341" s="73"/>
      <c r="K341" s="31" t="s">
        <v>131</v>
      </c>
      <c r="L341" s="74">
        <v>15.93</v>
      </c>
      <c r="M341" s="31" t="s">
        <v>220</v>
      </c>
    </row>
    <row r="342" spans="1:13" ht="14.25" customHeight="1">
      <c r="A342" s="21">
        <v>44337</v>
      </c>
      <c r="B342" s="22">
        <v>136.4</v>
      </c>
      <c r="C342" s="23" t="s">
        <v>20</v>
      </c>
      <c r="D342" s="24">
        <v>65679.44</v>
      </c>
      <c r="E342" s="25">
        <v>151755</v>
      </c>
      <c r="F342" s="24">
        <f t="shared" si="0"/>
        <v>105.44</v>
      </c>
      <c r="G342" s="26">
        <f t="shared" si="1"/>
        <v>652303.32000000007</v>
      </c>
      <c r="H342" s="27" t="str">
        <f t="shared" si="2"/>
        <v/>
      </c>
      <c r="J342" s="73"/>
      <c r="K342" s="31" t="s">
        <v>131</v>
      </c>
      <c r="L342" s="74">
        <v>15.93</v>
      </c>
      <c r="M342" s="31" t="s">
        <v>221</v>
      </c>
    </row>
    <row r="343" spans="1:13" ht="14.25" customHeight="1">
      <c r="A343" s="21">
        <v>44340</v>
      </c>
      <c r="B343" s="22">
        <v>242</v>
      </c>
      <c r="C343" s="23" t="s">
        <v>161</v>
      </c>
      <c r="D343" s="24"/>
      <c r="E343" s="25"/>
      <c r="F343" s="24" t="str">
        <f t="shared" si="0"/>
        <v/>
      </c>
      <c r="G343" s="26" t="str">
        <f t="shared" si="1"/>
        <v/>
      </c>
      <c r="H343" s="27" t="str">
        <f t="shared" si="2"/>
        <v>Positional</v>
      </c>
      <c r="J343" s="73"/>
      <c r="K343" s="31" t="s">
        <v>131</v>
      </c>
      <c r="L343" s="74">
        <v>15.93</v>
      </c>
      <c r="M343" s="31" t="s">
        <v>45</v>
      </c>
    </row>
    <row r="344" spans="1:13" ht="14.25" customHeight="1">
      <c r="A344" s="21">
        <v>44340</v>
      </c>
      <c r="B344" s="22">
        <v>202</v>
      </c>
      <c r="C344" s="23" t="s">
        <v>162</v>
      </c>
      <c r="D344" s="24"/>
      <c r="E344" s="25"/>
      <c r="F344" s="24" t="str">
        <f t="shared" si="0"/>
        <v/>
      </c>
      <c r="G344" s="26" t="str">
        <f t="shared" si="1"/>
        <v/>
      </c>
      <c r="H344" s="27" t="str">
        <f t="shared" si="2"/>
        <v>Positional</v>
      </c>
      <c r="J344" s="73"/>
      <c r="K344" s="31" t="s">
        <v>131</v>
      </c>
      <c r="L344" s="74">
        <v>15.93</v>
      </c>
      <c r="M344" s="31" t="s">
        <v>222</v>
      </c>
    </row>
    <row r="345" spans="1:13" ht="14.25" customHeight="1">
      <c r="A345" s="21">
        <v>44340</v>
      </c>
      <c r="B345" s="22">
        <v>183</v>
      </c>
      <c r="C345" s="23" t="s">
        <v>163</v>
      </c>
      <c r="D345" s="24"/>
      <c r="E345" s="25"/>
      <c r="F345" s="24" t="str">
        <f t="shared" si="0"/>
        <v/>
      </c>
      <c r="G345" s="26" t="str">
        <f t="shared" si="1"/>
        <v/>
      </c>
      <c r="H345" s="27" t="str">
        <f t="shared" si="2"/>
        <v>Positional</v>
      </c>
      <c r="J345" s="73"/>
      <c r="K345" s="31" t="s">
        <v>131</v>
      </c>
      <c r="L345" s="74">
        <v>15.93</v>
      </c>
      <c r="M345" s="31" t="s">
        <v>223</v>
      </c>
    </row>
    <row r="346" spans="1:13" ht="14.25" customHeight="1">
      <c r="A346" s="21">
        <v>44340</v>
      </c>
      <c r="B346" s="22">
        <v>-26.42</v>
      </c>
      <c r="C346" s="23" t="s">
        <v>20</v>
      </c>
      <c r="D346" s="24">
        <v>88795.15</v>
      </c>
      <c r="E346" s="25">
        <v>129235</v>
      </c>
      <c r="F346" s="24">
        <f t="shared" si="0"/>
        <v>35.24</v>
      </c>
      <c r="G346" s="26">
        <f t="shared" si="1"/>
        <v>218030.15</v>
      </c>
      <c r="H346" s="27" t="str">
        <f t="shared" si="2"/>
        <v/>
      </c>
      <c r="J346" s="73"/>
      <c r="K346" s="31" t="s">
        <v>131</v>
      </c>
      <c r="L346" s="74">
        <v>15.93</v>
      </c>
      <c r="M346" s="31" t="s">
        <v>224</v>
      </c>
    </row>
    <row r="347" spans="1:13" ht="14.25" customHeight="1">
      <c r="A347" s="21">
        <v>44341</v>
      </c>
      <c r="B347" s="22">
        <v>917</v>
      </c>
      <c r="C347" s="23" t="s">
        <v>164</v>
      </c>
      <c r="D347" s="24"/>
      <c r="E347" s="25"/>
      <c r="F347" s="24" t="str">
        <f t="shared" si="0"/>
        <v/>
      </c>
      <c r="G347" s="26" t="str">
        <f t="shared" si="1"/>
        <v/>
      </c>
      <c r="H347" s="27" t="str">
        <f t="shared" si="2"/>
        <v>Positional</v>
      </c>
      <c r="J347" s="73"/>
      <c r="K347" s="31" t="s">
        <v>131</v>
      </c>
      <c r="L347" s="74">
        <v>15.93</v>
      </c>
      <c r="M347" s="31" t="s">
        <v>204</v>
      </c>
    </row>
    <row r="348" spans="1:13" ht="14.25" customHeight="1">
      <c r="A348" s="21">
        <v>44341</v>
      </c>
      <c r="B348" s="22">
        <v>85.81</v>
      </c>
      <c r="C348" s="23" t="s">
        <v>20</v>
      </c>
      <c r="D348" s="24">
        <v>61698.03</v>
      </c>
      <c r="E348" s="25">
        <v>157285</v>
      </c>
      <c r="F348" s="24">
        <f t="shared" si="0"/>
        <v>35.4</v>
      </c>
      <c r="G348" s="26">
        <f t="shared" si="1"/>
        <v>218983.03</v>
      </c>
      <c r="H348" s="27" t="str">
        <f t="shared" si="2"/>
        <v/>
      </c>
      <c r="J348" s="73"/>
      <c r="K348" s="31" t="s">
        <v>131</v>
      </c>
      <c r="L348" s="74">
        <v>15.93</v>
      </c>
      <c r="M348" s="31" t="s">
        <v>225</v>
      </c>
    </row>
    <row r="349" spans="1:13" ht="14.25" customHeight="1">
      <c r="A349" s="21">
        <v>44342</v>
      </c>
      <c r="B349" s="22">
        <v>101</v>
      </c>
      <c r="C349" s="23" t="s">
        <v>165</v>
      </c>
      <c r="D349" s="24"/>
      <c r="E349" s="25"/>
      <c r="F349" s="24" t="str">
        <f t="shared" si="0"/>
        <v/>
      </c>
      <c r="G349" s="26" t="str">
        <f t="shared" si="1"/>
        <v/>
      </c>
      <c r="H349" s="27" t="str">
        <f t="shared" si="2"/>
        <v>Positional</v>
      </c>
      <c r="J349" s="73"/>
      <c r="K349" s="31" t="s">
        <v>131</v>
      </c>
      <c r="L349" s="74">
        <v>15.93</v>
      </c>
      <c r="M349" s="31" t="s">
        <v>226</v>
      </c>
    </row>
    <row r="350" spans="1:13" ht="14.25" customHeight="1">
      <c r="A350" s="21">
        <v>44342</v>
      </c>
      <c r="B350" s="22">
        <v>75.23</v>
      </c>
      <c r="C350" s="23" t="s">
        <v>20</v>
      </c>
      <c r="D350" s="24">
        <v>47707.26</v>
      </c>
      <c r="E350" s="25">
        <v>171435</v>
      </c>
      <c r="F350" s="24">
        <f t="shared" si="0"/>
        <v>35.42</v>
      </c>
      <c r="G350" s="26">
        <f t="shared" si="1"/>
        <v>219142.26</v>
      </c>
      <c r="H350" s="27" t="str">
        <f t="shared" si="2"/>
        <v/>
      </c>
      <c r="J350" s="73"/>
      <c r="K350" s="31" t="s">
        <v>131</v>
      </c>
      <c r="L350" s="74">
        <v>15.93</v>
      </c>
      <c r="M350" s="31" t="s">
        <v>227</v>
      </c>
    </row>
    <row r="351" spans="1:13" ht="14.25" customHeight="1">
      <c r="A351" s="21">
        <v>44343</v>
      </c>
      <c r="B351" s="22">
        <v>497</v>
      </c>
      <c r="C351" s="23" t="s">
        <v>166</v>
      </c>
      <c r="D351" s="24"/>
      <c r="E351" s="25"/>
      <c r="F351" s="24" t="str">
        <f t="shared" si="0"/>
        <v/>
      </c>
      <c r="G351" s="26" t="str">
        <f t="shared" si="1"/>
        <v/>
      </c>
      <c r="H351" s="27" t="str">
        <f t="shared" si="2"/>
        <v>Positional</v>
      </c>
      <c r="J351" s="73"/>
      <c r="K351" s="31" t="s">
        <v>131</v>
      </c>
      <c r="L351" s="74">
        <v>15.93</v>
      </c>
      <c r="M351" s="31" t="s">
        <v>228</v>
      </c>
    </row>
    <row r="352" spans="1:13" ht="14.25" customHeight="1">
      <c r="A352" s="21">
        <v>44343</v>
      </c>
      <c r="B352" s="22">
        <v>-28.59</v>
      </c>
      <c r="C352" s="23" t="s">
        <v>20</v>
      </c>
      <c r="D352" s="24">
        <v>28556.74</v>
      </c>
      <c r="E352" s="25">
        <v>191015</v>
      </c>
      <c r="F352" s="24">
        <f t="shared" si="0"/>
        <v>35.49</v>
      </c>
      <c r="G352" s="26">
        <f t="shared" si="1"/>
        <v>219571.74</v>
      </c>
      <c r="H352" s="27" t="str">
        <f t="shared" si="2"/>
        <v/>
      </c>
      <c r="J352" s="73"/>
      <c r="K352" s="31" t="s">
        <v>131</v>
      </c>
      <c r="L352" s="74">
        <v>15.93</v>
      </c>
      <c r="M352" s="31" t="s">
        <v>229</v>
      </c>
    </row>
    <row r="353" spans="1:13" ht="14.25" customHeight="1">
      <c r="A353" s="21">
        <v>44344</v>
      </c>
      <c r="B353" s="22">
        <v>227</v>
      </c>
      <c r="C353" s="23" t="s">
        <v>167</v>
      </c>
      <c r="D353" s="24"/>
      <c r="E353" s="25"/>
      <c r="F353" s="24" t="str">
        <f t="shared" si="0"/>
        <v/>
      </c>
      <c r="G353" s="26" t="str">
        <f t="shared" si="1"/>
        <v/>
      </c>
      <c r="H353" s="27" t="str">
        <f t="shared" si="2"/>
        <v>Positional</v>
      </c>
      <c r="J353" s="73"/>
      <c r="K353" s="31" t="s">
        <v>131</v>
      </c>
      <c r="L353" s="74">
        <v>15.93</v>
      </c>
      <c r="M353" s="31" t="s">
        <v>218</v>
      </c>
    </row>
    <row r="354" spans="1:13" ht="14.25" customHeight="1">
      <c r="A354" s="21">
        <v>44344</v>
      </c>
      <c r="B354" s="22">
        <v>455</v>
      </c>
      <c r="C354" s="23" t="s">
        <v>168</v>
      </c>
      <c r="D354" s="24"/>
      <c r="E354" s="25"/>
      <c r="F354" s="24" t="str">
        <f t="shared" si="0"/>
        <v/>
      </c>
      <c r="G354" s="26" t="str">
        <f t="shared" si="1"/>
        <v/>
      </c>
      <c r="H354" s="27" t="str">
        <f t="shared" si="2"/>
        <v>Positional</v>
      </c>
      <c r="J354" s="73"/>
      <c r="K354" s="31" t="s">
        <v>131</v>
      </c>
      <c r="L354" s="74">
        <v>15.93</v>
      </c>
      <c r="M354" s="31" t="s">
        <v>230</v>
      </c>
    </row>
    <row r="355" spans="1:13" ht="14.25" customHeight="1">
      <c r="A355" s="21">
        <v>44344</v>
      </c>
      <c r="B355" s="22">
        <v>0.27</v>
      </c>
      <c r="C355" s="23" t="s">
        <v>16</v>
      </c>
      <c r="D355" s="24">
        <v>20517.080000000002</v>
      </c>
      <c r="E355" s="25">
        <v>199710</v>
      </c>
      <c r="F355" s="24">
        <f t="shared" si="0"/>
        <v>106.8</v>
      </c>
      <c r="G355" s="26">
        <f t="shared" si="1"/>
        <v>660681.24</v>
      </c>
      <c r="H355" s="27" t="str">
        <f t="shared" si="2"/>
        <v/>
      </c>
      <c r="J355" s="73"/>
      <c r="K355" s="31" t="s">
        <v>131</v>
      </c>
      <c r="L355" s="74">
        <v>15.93</v>
      </c>
      <c r="M355" s="31" t="s">
        <v>231</v>
      </c>
    </row>
    <row r="356" spans="1:13" ht="14.25" customHeight="1">
      <c r="A356" s="21">
        <v>44347</v>
      </c>
      <c r="B356" s="22">
        <v>689</v>
      </c>
      <c r="C356" s="23" t="s">
        <v>138</v>
      </c>
      <c r="D356" s="24"/>
      <c r="E356" s="25"/>
      <c r="F356" s="24" t="str">
        <f t="shared" si="0"/>
        <v/>
      </c>
      <c r="G356" s="26" t="str">
        <f t="shared" si="1"/>
        <v/>
      </c>
      <c r="H356" s="27" t="str">
        <f t="shared" si="2"/>
        <v>Positional</v>
      </c>
      <c r="J356" s="73"/>
      <c r="K356" s="31" t="s">
        <v>131</v>
      </c>
      <c r="L356" s="74">
        <v>15.93</v>
      </c>
      <c r="M356" s="31" t="s">
        <v>232</v>
      </c>
    </row>
    <row r="357" spans="1:13" ht="14.25" customHeight="1">
      <c r="A357" s="21">
        <v>44347</v>
      </c>
      <c r="B357" s="22">
        <v>0.3</v>
      </c>
      <c r="C357" s="23" t="s">
        <v>16</v>
      </c>
      <c r="D357" s="24">
        <v>36954.629999999997</v>
      </c>
      <c r="E357" s="25">
        <v>183960</v>
      </c>
      <c r="F357" s="24">
        <f t="shared" si="0"/>
        <v>35.71</v>
      </c>
      <c r="G357" s="26">
        <f t="shared" si="1"/>
        <v>220914.63</v>
      </c>
      <c r="H357" s="27" t="str">
        <f t="shared" si="2"/>
        <v/>
      </c>
      <c r="J357" s="73"/>
      <c r="K357" s="31" t="s">
        <v>131</v>
      </c>
      <c r="L357" s="74">
        <v>15.93</v>
      </c>
      <c r="M357" s="31" t="s">
        <v>233</v>
      </c>
    </row>
    <row r="358" spans="1:13" ht="14.25" customHeight="1">
      <c r="A358" s="21">
        <v>44348</v>
      </c>
      <c r="B358" s="22">
        <v>-0.14000000000000001</v>
      </c>
      <c r="C358" s="23" t="s">
        <v>16</v>
      </c>
      <c r="D358" s="24">
        <v>3164.49</v>
      </c>
      <c r="E358" s="25">
        <v>217710</v>
      </c>
      <c r="F358" s="24">
        <f t="shared" si="0"/>
        <v>35.700000000000003</v>
      </c>
      <c r="G358" s="26">
        <f t="shared" si="1"/>
        <v>220874.49</v>
      </c>
      <c r="H358" s="27" t="str">
        <f t="shared" si="2"/>
        <v/>
      </c>
      <c r="J358" s="73"/>
      <c r="K358" s="31" t="s">
        <v>131</v>
      </c>
      <c r="L358" s="74">
        <v>15.93</v>
      </c>
      <c r="M358" s="31" t="s">
        <v>234</v>
      </c>
    </row>
    <row r="359" spans="1:13" ht="14.25" customHeight="1">
      <c r="A359" s="21">
        <v>44349</v>
      </c>
      <c r="B359" s="22">
        <v>452</v>
      </c>
      <c r="C359" s="23" t="s">
        <v>159</v>
      </c>
      <c r="D359" s="24"/>
      <c r="E359" s="25"/>
      <c r="F359" s="24" t="str">
        <f t="shared" si="0"/>
        <v/>
      </c>
      <c r="G359" s="26" t="str">
        <f t="shared" si="1"/>
        <v/>
      </c>
      <c r="H359" s="27" t="str">
        <f t="shared" si="2"/>
        <v>Positional</v>
      </c>
      <c r="J359" s="73"/>
      <c r="K359" s="31" t="s">
        <v>131</v>
      </c>
      <c r="L359" s="74">
        <v>15.93</v>
      </c>
      <c r="M359" s="31" t="s">
        <v>235</v>
      </c>
    </row>
    <row r="360" spans="1:13" ht="14.25" customHeight="1">
      <c r="A360" s="21">
        <v>44349</v>
      </c>
      <c r="B360" s="22">
        <v>467</v>
      </c>
      <c r="C360" s="23" t="s">
        <v>236</v>
      </c>
      <c r="D360" s="24"/>
      <c r="E360" s="25"/>
      <c r="F360" s="24" t="str">
        <f t="shared" si="0"/>
        <v/>
      </c>
      <c r="G360" s="26" t="str">
        <f t="shared" si="1"/>
        <v/>
      </c>
      <c r="H360" s="27" t="str">
        <f t="shared" si="2"/>
        <v>Positional</v>
      </c>
      <c r="J360" s="73"/>
      <c r="K360" s="31" t="s">
        <v>237</v>
      </c>
      <c r="L360" s="74">
        <v>88.5</v>
      </c>
      <c r="M360" s="31"/>
    </row>
    <row r="361" spans="1:13" ht="14.25" customHeight="1">
      <c r="A361" s="21">
        <v>44349</v>
      </c>
      <c r="B361" s="22">
        <v>0.84</v>
      </c>
      <c r="C361" s="23" t="s">
        <v>16</v>
      </c>
      <c r="D361" s="24">
        <v>16773.39</v>
      </c>
      <c r="E361" s="25">
        <v>205020</v>
      </c>
      <c r="F361" s="24">
        <f t="shared" si="0"/>
        <v>35.85</v>
      </c>
      <c r="G361" s="26">
        <f t="shared" si="1"/>
        <v>221793.39</v>
      </c>
      <c r="H361" s="27" t="str">
        <f t="shared" si="2"/>
        <v/>
      </c>
      <c r="J361" s="73"/>
      <c r="K361" s="31" t="s">
        <v>131</v>
      </c>
      <c r="L361" s="74">
        <v>15.93</v>
      </c>
      <c r="M361" s="31" t="s">
        <v>234</v>
      </c>
    </row>
    <row r="362" spans="1:13" ht="14.25" customHeight="1">
      <c r="A362" s="21">
        <v>44350</v>
      </c>
      <c r="B362" s="22">
        <v>0.61</v>
      </c>
      <c r="C362" s="23" t="s">
        <v>16</v>
      </c>
      <c r="D362" s="24">
        <v>5309.99</v>
      </c>
      <c r="E362" s="25">
        <v>216470</v>
      </c>
      <c r="F362" s="24">
        <f t="shared" si="0"/>
        <v>35.85</v>
      </c>
      <c r="G362" s="26">
        <f t="shared" si="1"/>
        <v>221779.99</v>
      </c>
      <c r="H362" s="27" t="str">
        <f t="shared" si="2"/>
        <v/>
      </c>
      <c r="J362" s="73"/>
      <c r="K362" s="31" t="s">
        <v>131</v>
      </c>
      <c r="L362" s="74">
        <v>15.93</v>
      </c>
      <c r="M362" s="31" t="s">
        <v>238</v>
      </c>
    </row>
    <row r="363" spans="1:13" ht="14.25" customHeight="1">
      <c r="A363" s="21">
        <v>44351</v>
      </c>
      <c r="B363" s="22">
        <v>297</v>
      </c>
      <c r="C363" s="23" t="s">
        <v>172</v>
      </c>
      <c r="D363" s="24"/>
      <c r="E363" s="25"/>
      <c r="F363" s="24" t="str">
        <f t="shared" si="0"/>
        <v/>
      </c>
      <c r="G363" s="26" t="str">
        <f t="shared" si="1"/>
        <v/>
      </c>
      <c r="H363" s="27" t="str">
        <f t="shared" si="2"/>
        <v>Positional</v>
      </c>
      <c r="J363" s="73"/>
      <c r="K363" s="31" t="s">
        <v>131</v>
      </c>
      <c r="L363" s="74">
        <v>15.93</v>
      </c>
      <c r="M363" s="31" t="s">
        <v>215</v>
      </c>
    </row>
    <row r="364" spans="1:13" ht="14.25" customHeight="1">
      <c r="A364" s="21">
        <v>44351</v>
      </c>
      <c r="B364" s="22">
        <v>0.22</v>
      </c>
      <c r="C364" s="23" t="s">
        <v>16</v>
      </c>
      <c r="D364" s="24">
        <v>6442.28</v>
      </c>
      <c r="E364" s="25">
        <v>215620</v>
      </c>
      <c r="F364" s="24">
        <f t="shared" si="0"/>
        <v>107.68</v>
      </c>
      <c r="G364" s="26">
        <f t="shared" si="1"/>
        <v>666186.84</v>
      </c>
      <c r="H364" s="27" t="str">
        <f t="shared" si="2"/>
        <v/>
      </c>
      <c r="J364" s="73"/>
      <c r="K364" s="31" t="s">
        <v>131</v>
      </c>
      <c r="L364" s="74">
        <v>15.93</v>
      </c>
      <c r="M364" s="31" t="s">
        <v>239</v>
      </c>
    </row>
    <row r="365" spans="1:13" ht="14.25" customHeight="1">
      <c r="A365" s="21">
        <v>44354</v>
      </c>
      <c r="B365" s="22">
        <v>848</v>
      </c>
      <c r="C365" s="23" t="s">
        <v>173</v>
      </c>
      <c r="D365" s="24"/>
      <c r="E365" s="25"/>
      <c r="F365" s="24" t="str">
        <f t="shared" si="0"/>
        <v/>
      </c>
      <c r="G365" s="26" t="str">
        <f t="shared" si="1"/>
        <v/>
      </c>
      <c r="H365" s="27" t="str">
        <f t="shared" si="2"/>
        <v>Positional</v>
      </c>
      <c r="J365" s="73"/>
      <c r="K365" s="31" t="s">
        <v>131</v>
      </c>
      <c r="L365" s="74">
        <v>15.93</v>
      </c>
      <c r="M365" s="31" t="s">
        <v>240</v>
      </c>
    </row>
    <row r="366" spans="1:13" ht="14.25" customHeight="1">
      <c r="A366" s="21">
        <v>44354</v>
      </c>
      <c r="B366" s="22">
        <v>802</v>
      </c>
      <c r="C366" s="23" t="s">
        <v>174</v>
      </c>
      <c r="D366" s="24"/>
      <c r="E366" s="25"/>
      <c r="F366" s="24" t="str">
        <f t="shared" si="0"/>
        <v/>
      </c>
      <c r="G366" s="26" t="str">
        <f t="shared" si="1"/>
        <v/>
      </c>
      <c r="H366" s="27" t="str">
        <f t="shared" si="2"/>
        <v>Positional</v>
      </c>
      <c r="J366" s="73"/>
      <c r="K366" s="31" t="s">
        <v>131</v>
      </c>
      <c r="L366" s="74">
        <v>15.93</v>
      </c>
      <c r="M366" s="31" t="s">
        <v>228</v>
      </c>
    </row>
    <row r="367" spans="1:13" ht="14.25" customHeight="1">
      <c r="A367" s="21">
        <v>44354</v>
      </c>
      <c r="B367" s="22">
        <v>0.41</v>
      </c>
      <c r="C367" s="23" t="s">
        <v>16</v>
      </c>
      <c r="D367" s="24">
        <v>47507.460000000043</v>
      </c>
      <c r="E367" s="25">
        <v>176220</v>
      </c>
      <c r="F367" s="24">
        <f t="shared" si="0"/>
        <v>36.159999999999997</v>
      </c>
      <c r="G367" s="26">
        <f t="shared" si="1"/>
        <v>223727.46000000005</v>
      </c>
      <c r="H367" s="27" t="str">
        <f t="shared" si="2"/>
        <v/>
      </c>
      <c r="J367" s="73"/>
      <c r="K367" s="31" t="s">
        <v>131</v>
      </c>
      <c r="L367" s="74">
        <v>15.93</v>
      </c>
      <c r="M367" s="31" t="s">
        <v>241</v>
      </c>
    </row>
    <row r="368" spans="1:13" ht="14.25" customHeight="1">
      <c r="A368" s="21">
        <v>44355</v>
      </c>
      <c r="B368" s="22">
        <v>-0.4</v>
      </c>
      <c r="C368" s="23" t="s">
        <v>16</v>
      </c>
      <c r="D368" s="24">
        <v>35793.43</v>
      </c>
      <c r="E368" s="25">
        <v>187920</v>
      </c>
      <c r="F368" s="24">
        <f t="shared" si="0"/>
        <v>36.159999999999997</v>
      </c>
      <c r="G368" s="26">
        <f t="shared" si="1"/>
        <v>223713.43</v>
      </c>
      <c r="H368" s="27" t="str">
        <f t="shared" si="2"/>
        <v/>
      </c>
      <c r="J368" s="73"/>
      <c r="K368" s="31" t="s">
        <v>131</v>
      </c>
      <c r="L368" s="74">
        <v>15.93</v>
      </c>
      <c r="M368" s="31" t="s">
        <v>242</v>
      </c>
    </row>
    <row r="369" spans="1:13" ht="14.25" customHeight="1">
      <c r="A369" s="21">
        <v>44356</v>
      </c>
      <c r="B369" s="22">
        <v>122</v>
      </c>
      <c r="C369" s="23" t="s">
        <v>135</v>
      </c>
      <c r="D369" s="24"/>
      <c r="E369" s="25"/>
      <c r="F369" s="24" t="str">
        <f t="shared" si="0"/>
        <v/>
      </c>
      <c r="G369" s="26" t="str">
        <f t="shared" si="1"/>
        <v/>
      </c>
      <c r="H369" s="27" t="str">
        <f t="shared" si="2"/>
        <v>Positional</v>
      </c>
      <c r="J369" s="73"/>
      <c r="K369" s="31" t="s">
        <v>131</v>
      </c>
      <c r="L369" s="74">
        <v>15.93</v>
      </c>
      <c r="M369" s="31" t="s">
        <v>243</v>
      </c>
    </row>
    <row r="370" spans="1:13" ht="14.25" customHeight="1">
      <c r="A370" s="21">
        <v>44356</v>
      </c>
      <c r="B370" s="22">
        <v>941</v>
      </c>
      <c r="C370" s="23" t="s">
        <v>175</v>
      </c>
      <c r="D370" s="24"/>
      <c r="E370" s="25"/>
      <c r="F370" s="24" t="str">
        <f t="shared" si="0"/>
        <v/>
      </c>
      <c r="G370" s="26" t="str">
        <f t="shared" si="1"/>
        <v/>
      </c>
      <c r="H370" s="27" t="str">
        <f t="shared" si="2"/>
        <v>Positional</v>
      </c>
      <c r="J370" s="73"/>
      <c r="K370" s="31" t="s">
        <v>131</v>
      </c>
      <c r="L370" s="74">
        <v>15.93</v>
      </c>
      <c r="M370" s="31" t="s">
        <v>235</v>
      </c>
    </row>
    <row r="371" spans="1:13" ht="14.25" customHeight="1">
      <c r="A371" s="21">
        <v>44356</v>
      </c>
      <c r="B371" s="22">
        <v>627</v>
      </c>
      <c r="C371" s="23" t="s">
        <v>176</v>
      </c>
      <c r="D371" s="24"/>
      <c r="E371" s="25"/>
      <c r="F371" s="24" t="str">
        <f t="shared" si="0"/>
        <v/>
      </c>
      <c r="G371" s="26" t="str">
        <f t="shared" si="1"/>
        <v/>
      </c>
      <c r="H371" s="27" t="str">
        <f t="shared" si="2"/>
        <v>Positional</v>
      </c>
      <c r="J371" s="73"/>
      <c r="K371" s="31" t="s">
        <v>131</v>
      </c>
      <c r="L371" s="74">
        <v>15.93</v>
      </c>
      <c r="M371" s="31" t="s">
        <v>244</v>
      </c>
    </row>
    <row r="372" spans="1:13" ht="14.25" customHeight="1">
      <c r="A372" s="21">
        <v>44356</v>
      </c>
      <c r="B372" s="22">
        <v>1073</v>
      </c>
      <c r="C372" s="23" t="s">
        <v>177</v>
      </c>
      <c r="D372" s="24"/>
      <c r="E372" s="25"/>
      <c r="F372" s="24" t="str">
        <f t="shared" si="0"/>
        <v/>
      </c>
      <c r="G372" s="26" t="str">
        <f t="shared" si="1"/>
        <v/>
      </c>
      <c r="H372" s="27" t="str">
        <f t="shared" si="2"/>
        <v>Positional</v>
      </c>
      <c r="J372" s="73"/>
      <c r="K372" s="31" t="s">
        <v>131</v>
      </c>
      <c r="L372" s="74">
        <v>15.93</v>
      </c>
      <c r="M372" s="31" t="s">
        <v>221</v>
      </c>
    </row>
    <row r="373" spans="1:13" ht="14.25" customHeight="1">
      <c r="A373" s="21">
        <v>44356</v>
      </c>
      <c r="B373" s="22">
        <v>14.91</v>
      </c>
      <c r="C373" s="23" t="s">
        <v>20</v>
      </c>
      <c r="D373" s="24">
        <v>55219.56</v>
      </c>
      <c r="E373" s="25">
        <v>169445</v>
      </c>
      <c r="F373" s="24">
        <f t="shared" si="0"/>
        <v>36.32</v>
      </c>
      <c r="G373" s="26">
        <f t="shared" si="1"/>
        <v>224664.56</v>
      </c>
      <c r="H373" s="27" t="str">
        <f t="shared" si="2"/>
        <v/>
      </c>
      <c r="J373" s="73"/>
      <c r="K373" s="31" t="s">
        <v>131</v>
      </c>
      <c r="L373" s="74">
        <v>15.93</v>
      </c>
      <c r="M373" s="31" t="s">
        <v>245</v>
      </c>
    </row>
    <row r="374" spans="1:13" ht="14.25" customHeight="1">
      <c r="A374" s="21">
        <v>44357</v>
      </c>
      <c r="B374" s="22">
        <v>792.76</v>
      </c>
      <c r="C374" s="23" t="s">
        <v>20</v>
      </c>
      <c r="D374" s="24">
        <v>18186.38</v>
      </c>
      <c r="E374" s="25">
        <v>207210</v>
      </c>
      <c r="F374" s="24">
        <f t="shared" si="0"/>
        <v>36.43</v>
      </c>
      <c r="G374" s="26">
        <f t="shared" si="1"/>
        <v>225396.38</v>
      </c>
      <c r="H374" s="27" t="str">
        <f t="shared" si="2"/>
        <v/>
      </c>
      <c r="J374" s="73"/>
      <c r="K374" s="31" t="s">
        <v>131</v>
      </c>
      <c r="L374" s="74">
        <v>15.93</v>
      </c>
      <c r="M374" s="31" t="s">
        <v>246</v>
      </c>
    </row>
    <row r="375" spans="1:13" ht="14.25" customHeight="1">
      <c r="A375" s="21">
        <v>44358</v>
      </c>
      <c r="B375" s="22">
        <v>304</v>
      </c>
      <c r="C375" s="23" t="s">
        <v>178</v>
      </c>
      <c r="D375" s="24"/>
      <c r="E375" s="25"/>
      <c r="F375" s="24" t="str">
        <f t="shared" si="0"/>
        <v/>
      </c>
      <c r="G375" s="26" t="str">
        <f t="shared" si="1"/>
        <v/>
      </c>
      <c r="H375" s="27" t="str">
        <f t="shared" si="2"/>
        <v>Positional</v>
      </c>
      <c r="J375" s="73"/>
      <c r="K375" s="31" t="s">
        <v>131</v>
      </c>
      <c r="L375" s="74">
        <v>15.93</v>
      </c>
      <c r="M375" s="31" t="s">
        <v>247</v>
      </c>
    </row>
    <row r="376" spans="1:13" ht="14.25" customHeight="1">
      <c r="A376" s="21">
        <v>44358</v>
      </c>
      <c r="B376" s="22">
        <v>86</v>
      </c>
      <c r="C376" s="23" t="s">
        <v>179</v>
      </c>
      <c r="D376" s="24"/>
      <c r="E376" s="25"/>
      <c r="F376" s="24" t="str">
        <f t="shared" si="0"/>
        <v/>
      </c>
      <c r="G376" s="26" t="str">
        <f t="shared" si="1"/>
        <v/>
      </c>
      <c r="H376" s="27" t="str">
        <f t="shared" si="2"/>
        <v>Positional</v>
      </c>
      <c r="J376" s="73"/>
      <c r="K376" s="31" t="s">
        <v>131</v>
      </c>
      <c r="L376" s="74">
        <v>15.93</v>
      </c>
      <c r="M376" s="31" t="s">
        <v>248</v>
      </c>
    </row>
    <row r="377" spans="1:13" ht="14.25" customHeight="1">
      <c r="A377" s="21">
        <v>44358</v>
      </c>
      <c r="B377" s="22">
        <v>324</v>
      </c>
      <c r="C377" s="23" t="s">
        <v>180</v>
      </c>
      <c r="D377" s="24"/>
      <c r="E377" s="25"/>
      <c r="F377" s="24" t="str">
        <f t="shared" si="0"/>
        <v/>
      </c>
      <c r="G377" s="26" t="str">
        <f t="shared" si="1"/>
        <v/>
      </c>
      <c r="H377" s="27" t="str">
        <f t="shared" si="2"/>
        <v>Positional</v>
      </c>
      <c r="J377" s="73"/>
      <c r="K377" s="31" t="s">
        <v>131</v>
      </c>
      <c r="L377" s="74">
        <v>15.93</v>
      </c>
      <c r="M377" s="31" t="s">
        <v>249</v>
      </c>
    </row>
    <row r="378" spans="1:13" ht="14.25" customHeight="1">
      <c r="A378" s="21">
        <v>44358</v>
      </c>
      <c r="B378" s="22">
        <v>454.31</v>
      </c>
      <c r="C378" s="23" t="s">
        <v>20</v>
      </c>
      <c r="D378" s="24">
        <v>36542.9</v>
      </c>
      <c r="E378" s="25">
        <v>189995</v>
      </c>
      <c r="F378" s="24">
        <f t="shared" si="0"/>
        <v>109.86</v>
      </c>
      <c r="G378" s="26">
        <f t="shared" si="1"/>
        <v>679613.7</v>
      </c>
      <c r="H378" s="27" t="str">
        <f t="shared" si="2"/>
        <v/>
      </c>
      <c r="J378" s="73"/>
      <c r="K378" s="31" t="s">
        <v>131</v>
      </c>
      <c r="L378" s="74">
        <v>15.93</v>
      </c>
      <c r="M378" s="31" t="s">
        <v>250</v>
      </c>
    </row>
    <row r="379" spans="1:13" ht="14.25" customHeight="1">
      <c r="A379" s="21">
        <v>44361</v>
      </c>
      <c r="B379" s="22">
        <v>109</v>
      </c>
      <c r="C379" s="23" t="s">
        <v>181</v>
      </c>
      <c r="D379" s="24"/>
      <c r="E379" s="25"/>
      <c r="F379" s="24" t="str">
        <f t="shared" si="0"/>
        <v/>
      </c>
      <c r="G379" s="26" t="str">
        <f t="shared" si="1"/>
        <v/>
      </c>
      <c r="H379" s="27" t="str">
        <f t="shared" si="2"/>
        <v>Positional</v>
      </c>
      <c r="J379" s="73"/>
      <c r="K379" s="31" t="s">
        <v>131</v>
      </c>
      <c r="L379" s="74">
        <v>15.93</v>
      </c>
      <c r="M379" s="31" t="s">
        <v>251</v>
      </c>
    </row>
    <row r="380" spans="1:13" ht="14.25" customHeight="1">
      <c r="A380" s="21">
        <v>44361</v>
      </c>
      <c r="B380" s="22">
        <v>210</v>
      </c>
      <c r="C380" s="23" t="s">
        <v>182</v>
      </c>
      <c r="D380" s="24"/>
      <c r="E380" s="25"/>
      <c r="F380" s="24" t="str">
        <f t="shared" si="0"/>
        <v/>
      </c>
      <c r="G380" s="26" t="str">
        <f t="shared" si="1"/>
        <v/>
      </c>
      <c r="H380" s="27" t="str">
        <f t="shared" si="2"/>
        <v>Positional</v>
      </c>
      <c r="J380" s="73"/>
      <c r="K380" s="31" t="s">
        <v>252</v>
      </c>
      <c r="L380" s="74">
        <v>0.99</v>
      </c>
      <c r="M380" s="31"/>
    </row>
    <row r="381" spans="1:13" ht="14.25" customHeight="1">
      <c r="A381" s="21">
        <v>44361</v>
      </c>
      <c r="B381" s="22">
        <v>1.36</v>
      </c>
      <c r="C381" s="23" t="s">
        <v>16</v>
      </c>
      <c r="D381" s="24">
        <v>15420.41</v>
      </c>
      <c r="E381" s="25">
        <v>211380</v>
      </c>
      <c r="F381" s="24">
        <f t="shared" si="0"/>
        <v>36.659999999999997</v>
      </c>
      <c r="G381" s="26">
        <f t="shared" si="1"/>
        <v>226800.41</v>
      </c>
      <c r="H381" s="27" t="str">
        <f t="shared" si="2"/>
        <v/>
      </c>
      <c r="J381" s="73"/>
      <c r="K381" s="31" t="s">
        <v>131</v>
      </c>
      <c r="L381" s="74">
        <v>15.93</v>
      </c>
      <c r="M381" s="31" t="s">
        <v>253</v>
      </c>
    </row>
    <row r="382" spans="1:13" ht="14.25" customHeight="1">
      <c r="A382" s="21">
        <v>44362</v>
      </c>
      <c r="B382" s="22">
        <v>0.49</v>
      </c>
      <c r="C382" s="23" t="s">
        <v>16</v>
      </c>
      <c r="D382" s="24">
        <v>502.9</v>
      </c>
      <c r="E382" s="25">
        <v>226280</v>
      </c>
      <c r="F382" s="24">
        <f t="shared" si="0"/>
        <v>36.659999999999997</v>
      </c>
      <c r="G382" s="26">
        <f t="shared" si="1"/>
        <v>226782.9</v>
      </c>
      <c r="H382" s="27" t="str">
        <f t="shared" si="2"/>
        <v/>
      </c>
      <c r="J382" s="73"/>
      <c r="K382" s="31" t="s">
        <v>131</v>
      </c>
      <c r="L382" s="74">
        <v>15.93</v>
      </c>
      <c r="M382" s="31" t="s">
        <v>254</v>
      </c>
    </row>
    <row r="383" spans="1:13" ht="14.25" customHeight="1">
      <c r="A383" s="21">
        <v>44363</v>
      </c>
      <c r="B383" s="22">
        <v>779</v>
      </c>
      <c r="C383" s="23" t="s">
        <v>183</v>
      </c>
      <c r="D383" s="24"/>
      <c r="E383" s="25"/>
      <c r="F383" s="24" t="str">
        <f t="shared" si="0"/>
        <v/>
      </c>
      <c r="G383" s="26" t="str">
        <f t="shared" si="1"/>
        <v/>
      </c>
      <c r="H383" s="27" t="str">
        <f t="shared" si="2"/>
        <v>Positional</v>
      </c>
      <c r="J383" s="73"/>
      <c r="K383" s="31" t="s">
        <v>131</v>
      </c>
      <c r="L383" s="74">
        <v>15.93</v>
      </c>
      <c r="M383" s="31" t="s">
        <v>255</v>
      </c>
    </row>
    <row r="384" spans="1:13" ht="14.25" customHeight="1">
      <c r="A384" s="21">
        <v>44363</v>
      </c>
      <c r="B384" s="22">
        <v>0.11</v>
      </c>
      <c r="C384" s="23" t="s">
        <v>16</v>
      </c>
      <c r="D384" s="24">
        <v>21690.07</v>
      </c>
      <c r="E384" s="25">
        <v>205880</v>
      </c>
      <c r="F384" s="24">
        <f t="shared" si="0"/>
        <v>36.79</v>
      </c>
      <c r="G384" s="26">
        <f t="shared" si="1"/>
        <v>227570.07</v>
      </c>
      <c r="H384" s="27" t="str">
        <f t="shared" si="2"/>
        <v/>
      </c>
      <c r="J384" s="73"/>
      <c r="K384" s="31" t="s">
        <v>131</v>
      </c>
      <c r="L384" s="74">
        <v>15.93</v>
      </c>
      <c r="M384" s="31" t="s">
        <v>256</v>
      </c>
    </row>
    <row r="385" spans="1:13" ht="14.25" customHeight="1">
      <c r="A385" s="21">
        <v>44364</v>
      </c>
      <c r="B385" s="22">
        <v>458</v>
      </c>
      <c r="C385" s="23" t="s">
        <v>184</v>
      </c>
      <c r="D385" s="24"/>
      <c r="E385" s="25"/>
      <c r="F385" s="24" t="str">
        <f t="shared" si="0"/>
        <v/>
      </c>
      <c r="G385" s="26" t="str">
        <f t="shared" si="1"/>
        <v/>
      </c>
      <c r="H385" s="27" t="str">
        <f t="shared" si="2"/>
        <v>Positional</v>
      </c>
      <c r="J385" s="73"/>
      <c r="K385" s="31" t="s">
        <v>131</v>
      </c>
      <c r="L385" s="74">
        <v>15.93</v>
      </c>
      <c r="M385" s="31" t="s">
        <v>257</v>
      </c>
    </row>
    <row r="386" spans="1:13" ht="14.25" customHeight="1">
      <c r="A386" s="21">
        <v>44364</v>
      </c>
      <c r="B386" s="22">
        <v>288</v>
      </c>
      <c r="C386" s="23" t="s">
        <v>185</v>
      </c>
      <c r="D386" s="24"/>
      <c r="E386" s="25"/>
      <c r="F386" s="24" t="str">
        <f t="shared" si="0"/>
        <v/>
      </c>
      <c r="G386" s="26" t="str">
        <f t="shared" si="1"/>
        <v/>
      </c>
      <c r="H386" s="27" t="str">
        <f t="shared" si="2"/>
        <v>Positional</v>
      </c>
      <c r="J386" s="73"/>
      <c r="K386" s="31" t="s">
        <v>131</v>
      </c>
      <c r="L386" s="74">
        <v>15.93</v>
      </c>
      <c r="M386" s="31" t="s">
        <v>253</v>
      </c>
    </row>
    <row r="387" spans="1:13" ht="14.25" customHeight="1">
      <c r="A387" s="21">
        <v>44364</v>
      </c>
      <c r="B387" s="22">
        <v>-0.48</v>
      </c>
      <c r="C387" s="23" t="s">
        <v>16</v>
      </c>
      <c r="D387" s="24">
        <v>29397.73</v>
      </c>
      <c r="E387" s="25">
        <v>198895</v>
      </c>
      <c r="F387" s="24">
        <f t="shared" si="0"/>
        <v>36.9</v>
      </c>
      <c r="G387" s="26">
        <f t="shared" si="1"/>
        <v>228292.73</v>
      </c>
      <c r="H387" s="27" t="str">
        <f t="shared" si="2"/>
        <v/>
      </c>
      <c r="J387" s="73"/>
      <c r="K387" s="31" t="s">
        <v>131</v>
      </c>
      <c r="L387" s="74">
        <v>15.93</v>
      </c>
      <c r="M387" s="31" t="s">
        <v>222</v>
      </c>
    </row>
    <row r="388" spans="1:13" ht="14.25" customHeight="1">
      <c r="A388" s="21">
        <v>44365</v>
      </c>
      <c r="B388" s="22">
        <v>73</v>
      </c>
      <c r="C388" s="23" t="s">
        <v>186</v>
      </c>
      <c r="D388" s="24"/>
      <c r="E388" s="25"/>
      <c r="F388" s="24" t="str">
        <f t="shared" si="0"/>
        <v/>
      </c>
      <c r="G388" s="26" t="str">
        <f t="shared" si="1"/>
        <v/>
      </c>
      <c r="H388" s="27" t="str">
        <f t="shared" si="2"/>
        <v>Positional</v>
      </c>
      <c r="J388" s="73"/>
      <c r="K388" s="31" t="s">
        <v>131</v>
      </c>
      <c r="L388" s="74">
        <v>15.93</v>
      </c>
      <c r="M388" s="31" t="s">
        <v>258</v>
      </c>
    </row>
    <row r="389" spans="1:13" ht="14.25" customHeight="1">
      <c r="A389" s="21">
        <v>44365</v>
      </c>
      <c r="B389" s="22">
        <v>17</v>
      </c>
      <c r="C389" s="23" t="s">
        <v>187</v>
      </c>
      <c r="D389" s="24"/>
      <c r="E389" s="25"/>
      <c r="F389" s="24" t="str">
        <f t="shared" si="0"/>
        <v/>
      </c>
      <c r="G389" s="26" t="str">
        <f t="shared" si="1"/>
        <v/>
      </c>
      <c r="H389" s="27" t="str">
        <f t="shared" si="2"/>
        <v>Positional</v>
      </c>
      <c r="J389" s="73"/>
      <c r="K389" s="31" t="s">
        <v>131</v>
      </c>
      <c r="L389" s="74">
        <v>15.93</v>
      </c>
      <c r="M389" s="31" t="s">
        <v>259</v>
      </c>
    </row>
    <row r="390" spans="1:13" ht="14.25" customHeight="1">
      <c r="A390" s="21">
        <v>44365</v>
      </c>
      <c r="B390" s="22">
        <v>244.58</v>
      </c>
      <c r="C390" s="23" t="s">
        <v>20</v>
      </c>
      <c r="D390" s="24">
        <v>50852.44</v>
      </c>
      <c r="E390" s="25">
        <v>197745</v>
      </c>
      <c r="F390" s="24">
        <f t="shared" si="0"/>
        <v>120.55</v>
      </c>
      <c r="G390" s="26">
        <f t="shared" si="1"/>
        <v>745792.32000000007</v>
      </c>
      <c r="H390" s="27" t="str">
        <f t="shared" si="2"/>
        <v/>
      </c>
      <c r="J390" s="73"/>
      <c r="K390" s="31" t="s">
        <v>131</v>
      </c>
      <c r="L390" s="74">
        <v>15.93</v>
      </c>
      <c r="M390" s="31" t="s">
        <v>260</v>
      </c>
    </row>
    <row r="391" spans="1:13" ht="14.25" customHeight="1">
      <c r="A391" s="21">
        <v>44368</v>
      </c>
      <c r="B391" s="22">
        <v>460</v>
      </c>
      <c r="C391" s="23" t="s">
        <v>188</v>
      </c>
      <c r="D391" s="24"/>
      <c r="E391" s="25"/>
      <c r="F391" s="24" t="str">
        <f t="shared" si="0"/>
        <v/>
      </c>
      <c r="G391" s="26" t="str">
        <f t="shared" si="1"/>
        <v/>
      </c>
      <c r="H391" s="27" t="str">
        <f t="shared" si="2"/>
        <v>Positional</v>
      </c>
      <c r="J391" s="73"/>
      <c r="K391" s="31" t="s">
        <v>131</v>
      </c>
      <c r="L391" s="74">
        <v>15.93</v>
      </c>
      <c r="M391" s="31" t="s">
        <v>253</v>
      </c>
    </row>
    <row r="392" spans="1:13" ht="14.25" customHeight="1">
      <c r="A392" s="21">
        <v>44368</v>
      </c>
      <c r="B392" s="22">
        <v>-0.87</v>
      </c>
      <c r="C392" s="23" t="s">
        <v>16</v>
      </c>
      <c r="D392" s="24">
        <v>37719.629999999997</v>
      </c>
      <c r="E392" s="25">
        <v>211305</v>
      </c>
      <c r="F392" s="24">
        <f t="shared" si="0"/>
        <v>40.25</v>
      </c>
      <c r="G392" s="26">
        <f t="shared" si="1"/>
        <v>249024.63</v>
      </c>
      <c r="H392" s="27" t="str">
        <f t="shared" si="2"/>
        <v/>
      </c>
      <c r="J392" s="73"/>
      <c r="K392" s="31" t="s">
        <v>131</v>
      </c>
      <c r="L392" s="74">
        <v>15.93</v>
      </c>
      <c r="M392" s="31" t="s">
        <v>261</v>
      </c>
    </row>
    <row r="393" spans="1:13" ht="14.25" customHeight="1">
      <c r="A393" s="21">
        <v>44369</v>
      </c>
      <c r="B393" s="22">
        <v>0.51</v>
      </c>
      <c r="C393" s="23" t="s">
        <v>16</v>
      </c>
      <c r="D393" s="24">
        <v>23002.13</v>
      </c>
      <c r="E393" s="25">
        <v>226005</v>
      </c>
      <c r="F393" s="24">
        <f t="shared" si="0"/>
        <v>40.25</v>
      </c>
      <c r="G393" s="26">
        <f t="shared" si="1"/>
        <v>249007.13</v>
      </c>
      <c r="H393" s="27" t="str">
        <f t="shared" si="2"/>
        <v/>
      </c>
      <c r="J393" s="73"/>
      <c r="K393" s="31" t="s">
        <v>131</v>
      </c>
      <c r="L393" s="74">
        <v>15.93</v>
      </c>
      <c r="M393" s="31" t="s">
        <v>262</v>
      </c>
    </row>
    <row r="394" spans="1:13" ht="14.25" customHeight="1">
      <c r="A394" s="21">
        <v>44370</v>
      </c>
      <c r="B394" s="22">
        <v>-125.61</v>
      </c>
      <c r="C394" s="23" t="s">
        <v>20</v>
      </c>
      <c r="D394" s="24">
        <v>47876.51</v>
      </c>
      <c r="E394" s="25">
        <v>254616</v>
      </c>
      <c r="F394" s="24">
        <f t="shared" si="0"/>
        <v>48.9</v>
      </c>
      <c r="G394" s="26">
        <f t="shared" si="1"/>
        <v>302492.51</v>
      </c>
      <c r="H394" s="27" t="str">
        <f t="shared" si="2"/>
        <v/>
      </c>
      <c r="J394" s="73"/>
      <c r="K394" s="31" t="s">
        <v>131</v>
      </c>
      <c r="L394" s="74">
        <v>15.93</v>
      </c>
      <c r="M394" s="31" t="s">
        <v>258</v>
      </c>
    </row>
    <row r="395" spans="1:13" ht="14.25" customHeight="1">
      <c r="A395" s="21">
        <v>44371</v>
      </c>
      <c r="B395" s="22">
        <v>1411</v>
      </c>
      <c r="C395" s="23" t="s">
        <v>41</v>
      </c>
      <c r="D395" s="24"/>
      <c r="E395" s="25"/>
      <c r="F395" s="24" t="str">
        <f t="shared" si="0"/>
        <v/>
      </c>
      <c r="G395" s="26" t="str">
        <f t="shared" si="1"/>
        <v/>
      </c>
      <c r="H395" s="27" t="str">
        <f t="shared" si="2"/>
        <v>Positional</v>
      </c>
      <c r="J395" s="73"/>
      <c r="K395" s="31" t="s">
        <v>131</v>
      </c>
      <c r="L395" s="74">
        <v>15.93</v>
      </c>
      <c r="M395" s="31" t="s">
        <v>184</v>
      </c>
    </row>
    <row r="396" spans="1:13" ht="14.25" customHeight="1">
      <c r="A396" s="21">
        <v>44371</v>
      </c>
      <c r="B396" s="22">
        <v>245.01</v>
      </c>
      <c r="C396" s="23" t="s">
        <v>20</v>
      </c>
      <c r="D396" s="24">
        <v>39953.599999999999</v>
      </c>
      <c r="E396" s="25">
        <v>264150</v>
      </c>
      <c r="F396" s="24">
        <f t="shared" si="0"/>
        <v>49.16</v>
      </c>
      <c r="G396" s="26">
        <f t="shared" si="1"/>
        <v>304103.59999999998</v>
      </c>
      <c r="H396" s="27" t="str">
        <f t="shared" si="2"/>
        <v/>
      </c>
      <c r="J396" s="73"/>
      <c r="K396" s="31" t="s">
        <v>131</v>
      </c>
      <c r="L396" s="74">
        <v>15.93</v>
      </c>
      <c r="M396" s="31" t="s">
        <v>263</v>
      </c>
    </row>
    <row r="397" spans="1:13" ht="14.25" customHeight="1">
      <c r="A397" s="21">
        <v>44372</v>
      </c>
      <c r="B397" s="22">
        <v>9</v>
      </c>
      <c r="C397" s="23" t="s">
        <v>159</v>
      </c>
      <c r="D397" s="24"/>
      <c r="E397" s="25"/>
      <c r="F397" s="24" t="str">
        <f t="shared" si="0"/>
        <v/>
      </c>
      <c r="G397" s="26" t="str">
        <f t="shared" si="1"/>
        <v/>
      </c>
      <c r="H397" s="27" t="str">
        <f t="shared" si="2"/>
        <v>Positional</v>
      </c>
      <c r="J397" s="73"/>
      <c r="K397" s="31" t="s">
        <v>131</v>
      </c>
      <c r="L397" s="74">
        <v>15.93</v>
      </c>
      <c r="M397" s="31" t="s">
        <v>264</v>
      </c>
    </row>
    <row r="398" spans="1:13" ht="14.25" customHeight="1">
      <c r="A398" s="21">
        <v>44372</v>
      </c>
      <c r="B398" s="22">
        <v>220</v>
      </c>
      <c r="C398" s="23" t="s">
        <v>189</v>
      </c>
      <c r="D398" s="24"/>
      <c r="E398" s="25"/>
      <c r="F398" s="24" t="str">
        <f t="shared" si="0"/>
        <v/>
      </c>
      <c r="G398" s="26" t="str">
        <f t="shared" si="1"/>
        <v/>
      </c>
      <c r="H398" s="27" t="str">
        <f t="shared" si="2"/>
        <v>Positional</v>
      </c>
      <c r="J398" s="73"/>
      <c r="K398" s="31" t="s">
        <v>131</v>
      </c>
      <c r="L398" s="74">
        <v>15.93</v>
      </c>
      <c r="M398" s="31" t="s">
        <v>265</v>
      </c>
    </row>
    <row r="399" spans="1:13" ht="14.25" customHeight="1">
      <c r="A399" s="21">
        <v>44372</v>
      </c>
      <c r="B399" s="22">
        <v>783.21</v>
      </c>
      <c r="C399" s="23" t="s">
        <v>20</v>
      </c>
      <c r="D399" s="24">
        <v>44929.87</v>
      </c>
      <c r="E399" s="25">
        <v>275155</v>
      </c>
      <c r="F399" s="24">
        <f t="shared" si="0"/>
        <v>155.22</v>
      </c>
      <c r="G399" s="26">
        <f t="shared" si="1"/>
        <v>960254.61</v>
      </c>
      <c r="H399" s="27" t="str">
        <f t="shared" si="2"/>
        <v/>
      </c>
      <c r="J399" s="73"/>
      <c r="K399" s="31" t="s">
        <v>131</v>
      </c>
      <c r="L399" s="74">
        <v>15.93</v>
      </c>
      <c r="M399" s="31" t="s">
        <v>266</v>
      </c>
    </row>
    <row r="400" spans="1:13" ht="14.25" customHeight="1">
      <c r="A400" s="21">
        <v>44375</v>
      </c>
      <c r="B400" s="22">
        <v>5544</v>
      </c>
      <c r="C400" s="23" t="s">
        <v>42</v>
      </c>
      <c r="D400" s="24"/>
      <c r="E400" s="25"/>
      <c r="F400" s="24" t="str">
        <f t="shared" si="0"/>
        <v/>
      </c>
      <c r="G400" s="26" t="str">
        <f t="shared" si="1"/>
        <v/>
      </c>
      <c r="H400" s="27" t="str">
        <f t="shared" si="2"/>
        <v>Positional</v>
      </c>
      <c r="J400" s="73"/>
      <c r="K400" s="31" t="s">
        <v>131</v>
      </c>
      <c r="L400" s="74">
        <v>15.93</v>
      </c>
      <c r="M400" s="31" t="s">
        <v>267</v>
      </c>
    </row>
    <row r="401" spans="1:13" ht="14.25" customHeight="1">
      <c r="A401" s="21">
        <v>44375</v>
      </c>
      <c r="B401" s="22">
        <v>416</v>
      </c>
      <c r="C401" s="23" t="s">
        <v>190</v>
      </c>
      <c r="D401" s="24"/>
      <c r="E401" s="25"/>
      <c r="F401" s="24" t="str">
        <f t="shared" si="0"/>
        <v/>
      </c>
      <c r="G401" s="26" t="str">
        <f t="shared" si="1"/>
        <v/>
      </c>
      <c r="H401" s="27" t="str">
        <f t="shared" si="2"/>
        <v>Positional</v>
      </c>
      <c r="J401" s="73"/>
      <c r="K401" s="31" t="s">
        <v>131</v>
      </c>
      <c r="L401" s="74">
        <v>15.93</v>
      </c>
      <c r="M401" s="31" t="s">
        <v>262</v>
      </c>
    </row>
    <row r="402" spans="1:13" ht="14.25" customHeight="1">
      <c r="A402" s="21">
        <v>44375</v>
      </c>
      <c r="B402" s="22">
        <v>3447</v>
      </c>
      <c r="C402" s="23" t="s">
        <v>43</v>
      </c>
      <c r="D402" s="24"/>
      <c r="E402" s="25"/>
      <c r="F402" s="24" t="str">
        <f t="shared" si="0"/>
        <v/>
      </c>
      <c r="G402" s="26" t="str">
        <f t="shared" si="1"/>
        <v/>
      </c>
      <c r="H402" s="27" t="str">
        <f t="shared" si="2"/>
        <v>Positional</v>
      </c>
      <c r="J402" s="73"/>
      <c r="K402" s="31" t="s">
        <v>268</v>
      </c>
      <c r="L402" s="74">
        <v>10.62</v>
      </c>
      <c r="M402" s="31"/>
    </row>
    <row r="403" spans="1:13" ht="14.25" customHeight="1">
      <c r="A403" s="21">
        <v>44375</v>
      </c>
      <c r="B403" s="22">
        <v>224.14000000000001</v>
      </c>
      <c r="C403" s="23" t="s">
        <v>20</v>
      </c>
      <c r="D403" s="24">
        <v>48781.3</v>
      </c>
      <c r="E403" s="25">
        <v>280830</v>
      </c>
      <c r="F403" s="24">
        <f t="shared" si="0"/>
        <v>53.28</v>
      </c>
      <c r="G403" s="26">
        <f t="shared" si="1"/>
        <v>329611.3</v>
      </c>
      <c r="H403" s="27" t="str">
        <f t="shared" si="2"/>
        <v/>
      </c>
      <c r="J403" s="73"/>
      <c r="K403" s="31" t="s">
        <v>131</v>
      </c>
      <c r="L403" s="74">
        <v>15.93</v>
      </c>
      <c r="M403" s="31" t="s">
        <v>269</v>
      </c>
    </row>
    <row r="404" spans="1:13" ht="14.25" customHeight="1">
      <c r="A404" s="21">
        <v>44376</v>
      </c>
      <c r="B404" s="22">
        <v>206</v>
      </c>
      <c r="C404" s="23" t="s">
        <v>191</v>
      </c>
      <c r="D404" s="24"/>
      <c r="E404" s="25"/>
      <c r="F404" s="24" t="str">
        <f t="shared" si="0"/>
        <v/>
      </c>
      <c r="G404" s="26" t="str">
        <f t="shared" si="1"/>
        <v/>
      </c>
      <c r="H404" s="27" t="str">
        <f t="shared" si="2"/>
        <v>Positional</v>
      </c>
      <c r="J404" s="73"/>
      <c r="K404" s="31" t="s">
        <v>131</v>
      </c>
      <c r="L404" s="74">
        <v>15.93</v>
      </c>
      <c r="M404" s="31" t="s">
        <v>196</v>
      </c>
    </row>
    <row r="405" spans="1:13" ht="14.25" customHeight="1">
      <c r="A405" s="21">
        <v>44376</v>
      </c>
      <c r="B405" s="22">
        <v>733</v>
      </c>
      <c r="C405" s="23" t="s">
        <v>192</v>
      </c>
      <c r="D405" s="24"/>
      <c r="E405" s="25"/>
      <c r="F405" s="24" t="str">
        <f t="shared" si="0"/>
        <v/>
      </c>
      <c r="G405" s="26" t="str">
        <f t="shared" si="1"/>
        <v/>
      </c>
      <c r="H405" s="27" t="str">
        <f t="shared" si="2"/>
        <v>Positional</v>
      </c>
      <c r="J405" s="73"/>
      <c r="K405" s="31" t="s">
        <v>131</v>
      </c>
      <c r="L405" s="74">
        <v>15.93</v>
      </c>
      <c r="M405" s="31" t="s">
        <v>270</v>
      </c>
    </row>
    <row r="406" spans="1:13" ht="14.25" customHeight="1">
      <c r="A406" s="21">
        <v>44376</v>
      </c>
      <c r="B406" s="22">
        <v>547.92000000000007</v>
      </c>
      <c r="C406" s="23" t="s">
        <v>20</v>
      </c>
      <c r="D406" s="24">
        <v>54131.360000000001</v>
      </c>
      <c r="E406" s="25">
        <v>276940</v>
      </c>
      <c r="F406" s="24">
        <f t="shared" si="0"/>
        <v>53.52</v>
      </c>
      <c r="G406" s="26">
        <f t="shared" si="1"/>
        <v>331071.35999999999</v>
      </c>
      <c r="H406" s="27" t="str">
        <f t="shared" si="2"/>
        <v/>
      </c>
      <c r="J406" s="73"/>
      <c r="K406" s="31" t="s">
        <v>131</v>
      </c>
      <c r="L406" s="74">
        <v>15.93</v>
      </c>
      <c r="M406" s="31" t="s">
        <v>271</v>
      </c>
    </row>
    <row r="407" spans="1:13" ht="14.25" customHeight="1">
      <c r="A407" s="21">
        <v>44377</v>
      </c>
      <c r="B407" s="22">
        <v>241</v>
      </c>
      <c r="C407" s="23" t="s">
        <v>193</v>
      </c>
      <c r="D407" s="24"/>
      <c r="E407" s="25"/>
      <c r="F407" s="24" t="str">
        <f t="shared" si="0"/>
        <v/>
      </c>
      <c r="G407" s="26" t="str">
        <f t="shared" si="1"/>
        <v/>
      </c>
      <c r="H407" s="27" t="str">
        <f t="shared" si="2"/>
        <v>Positional</v>
      </c>
      <c r="J407" s="73"/>
      <c r="K407" s="31" t="s">
        <v>131</v>
      </c>
      <c r="L407" s="74">
        <v>15.93</v>
      </c>
      <c r="M407" s="31" t="s">
        <v>272</v>
      </c>
    </row>
    <row r="408" spans="1:13" ht="14.25" customHeight="1">
      <c r="A408" s="21">
        <v>44377</v>
      </c>
      <c r="B408" s="22">
        <v>83</v>
      </c>
      <c r="C408" s="23" t="s">
        <v>151</v>
      </c>
      <c r="D408" s="24"/>
      <c r="E408" s="25"/>
      <c r="F408" s="24" t="str">
        <f t="shared" si="0"/>
        <v/>
      </c>
      <c r="G408" s="26" t="str">
        <f t="shared" si="1"/>
        <v/>
      </c>
      <c r="H408" s="27" t="str">
        <f t="shared" si="2"/>
        <v>Positional</v>
      </c>
      <c r="J408" s="73"/>
      <c r="K408" s="31" t="s">
        <v>131</v>
      </c>
      <c r="L408" s="74">
        <v>15.93</v>
      </c>
      <c r="M408" s="31" t="s">
        <v>273</v>
      </c>
    </row>
    <row r="409" spans="1:13" ht="14.25" customHeight="1">
      <c r="A409" s="21">
        <v>44377</v>
      </c>
      <c r="B409" s="22">
        <v>632</v>
      </c>
      <c r="C409" s="23" t="s">
        <v>194</v>
      </c>
      <c r="D409" s="24"/>
      <c r="E409" s="25"/>
      <c r="F409" s="24" t="str">
        <f t="shared" si="0"/>
        <v/>
      </c>
      <c r="G409" s="26" t="str">
        <f t="shared" si="1"/>
        <v/>
      </c>
      <c r="H409" s="27" t="str">
        <f t="shared" si="2"/>
        <v>Positional</v>
      </c>
      <c r="J409" s="73"/>
      <c r="K409" s="31" t="s">
        <v>131</v>
      </c>
      <c r="L409" s="74">
        <v>15.93</v>
      </c>
      <c r="M409" s="31" t="s">
        <v>273</v>
      </c>
    </row>
    <row r="410" spans="1:13" ht="14.25" customHeight="1">
      <c r="A410" s="21">
        <v>44377</v>
      </c>
      <c r="B410" s="22">
        <v>218.59</v>
      </c>
      <c r="C410" s="23" t="s">
        <v>20</v>
      </c>
      <c r="D410" s="24">
        <v>67963.16</v>
      </c>
      <c r="E410" s="25">
        <v>264250</v>
      </c>
      <c r="F410" s="24">
        <f t="shared" si="0"/>
        <v>53.7</v>
      </c>
      <c r="G410" s="26">
        <f t="shared" si="1"/>
        <v>332213.16000000003</v>
      </c>
      <c r="H410" s="27" t="str">
        <f t="shared" si="2"/>
        <v/>
      </c>
      <c r="J410" s="73"/>
      <c r="K410" s="31" t="s">
        <v>131</v>
      </c>
      <c r="L410" s="74">
        <v>15.93</v>
      </c>
      <c r="M410" s="31" t="s">
        <v>261</v>
      </c>
    </row>
    <row r="411" spans="1:13" ht="14.25" customHeight="1">
      <c r="A411" s="21">
        <v>44378</v>
      </c>
      <c r="B411" s="22">
        <v>-1738</v>
      </c>
      <c r="C411" s="23" t="s">
        <v>189</v>
      </c>
      <c r="D411" s="24"/>
      <c r="E411" s="25"/>
      <c r="F411" s="24" t="str">
        <f t="shared" si="0"/>
        <v/>
      </c>
      <c r="G411" s="26" t="str">
        <f t="shared" si="1"/>
        <v/>
      </c>
      <c r="H411" s="27" t="str">
        <f t="shared" si="2"/>
        <v>Positional</v>
      </c>
      <c r="J411" s="73"/>
      <c r="K411" s="31" t="s">
        <v>131</v>
      </c>
      <c r="L411" s="74">
        <v>15.93</v>
      </c>
      <c r="M411" s="31" t="s">
        <v>267</v>
      </c>
    </row>
    <row r="412" spans="1:13" ht="14.25" customHeight="1">
      <c r="A412" s="21">
        <v>44378</v>
      </c>
      <c r="B412" s="22">
        <v>333.23</v>
      </c>
      <c r="C412" s="23" t="s">
        <v>20</v>
      </c>
      <c r="D412" s="24">
        <v>37212.449999999997</v>
      </c>
      <c r="E412" s="25">
        <v>293545</v>
      </c>
      <c r="F412" s="24">
        <f t="shared" si="0"/>
        <v>53.46</v>
      </c>
      <c r="G412" s="26">
        <f t="shared" si="1"/>
        <v>330757.45</v>
      </c>
      <c r="H412" s="27" t="str">
        <f t="shared" si="2"/>
        <v/>
      </c>
      <c r="J412" s="73"/>
      <c r="K412" s="31" t="s">
        <v>131</v>
      </c>
      <c r="L412" s="74">
        <v>15.93</v>
      </c>
      <c r="M412" s="31" t="s">
        <v>274</v>
      </c>
    </row>
    <row r="413" spans="1:13" ht="14.25" customHeight="1">
      <c r="A413" s="21">
        <v>44379</v>
      </c>
      <c r="B413" s="22">
        <v>614</v>
      </c>
      <c r="C413" s="23" t="s">
        <v>195</v>
      </c>
      <c r="D413" s="24"/>
      <c r="E413" s="25"/>
      <c r="F413" s="24" t="str">
        <f t="shared" si="0"/>
        <v/>
      </c>
      <c r="G413" s="26" t="str">
        <f t="shared" si="1"/>
        <v/>
      </c>
      <c r="H413" s="27" t="str">
        <f t="shared" si="2"/>
        <v>Positional</v>
      </c>
      <c r="J413" s="73"/>
      <c r="K413" s="31" t="s">
        <v>131</v>
      </c>
      <c r="L413" s="74">
        <v>15.93</v>
      </c>
      <c r="M413" s="31" t="s">
        <v>261</v>
      </c>
    </row>
    <row r="414" spans="1:13" ht="14.25" customHeight="1">
      <c r="A414" s="21">
        <v>44379</v>
      </c>
      <c r="B414" s="22">
        <v>-520.39</v>
      </c>
      <c r="C414" s="23" t="s">
        <v>20</v>
      </c>
      <c r="D414" s="24">
        <v>28255.06</v>
      </c>
      <c r="E414" s="25">
        <v>307580</v>
      </c>
      <c r="F414" s="24">
        <f t="shared" si="0"/>
        <v>162.86000000000001</v>
      </c>
      <c r="G414" s="26">
        <f t="shared" si="1"/>
        <v>1007505.1799999999</v>
      </c>
      <c r="H414" s="27" t="str">
        <f t="shared" si="2"/>
        <v/>
      </c>
      <c r="J414" s="73"/>
      <c r="K414" s="31" t="s">
        <v>131</v>
      </c>
      <c r="L414" s="74">
        <v>15.93</v>
      </c>
      <c r="M414" s="31" t="s">
        <v>275</v>
      </c>
    </row>
    <row r="415" spans="1:13" ht="14.25" customHeight="1">
      <c r="A415" s="21">
        <v>44382</v>
      </c>
      <c r="B415" s="22">
        <v>407</v>
      </c>
      <c r="C415" s="23" t="s">
        <v>196</v>
      </c>
      <c r="D415" s="24"/>
      <c r="E415" s="25"/>
      <c r="F415" s="24" t="str">
        <f t="shared" si="0"/>
        <v/>
      </c>
      <c r="G415" s="26" t="str">
        <f t="shared" si="1"/>
        <v/>
      </c>
      <c r="H415" s="27" t="str">
        <f t="shared" si="2"/>
        <v>Positional</v>
      </c>
      <c r="J415" s="73"/>
      <c r="K415" s="31" t="s">
        <v>131</v>
      </c>
      <c r="L415" s="74">
        <v>15.93</v>
      </c>
      <c r="M415" s="31" t="s">
        <v>276</v>
      </c>
    </row>
    <row r="416" spans="1:13" ht="14.25" customHeight="1">
      <c r="A416" s="21">
        <v>44382</v>
      </c>
      <c r="B416" s="22">
        <v>220</v>
      </c>
      <c r="C416" s="23" t="s">
        <v>151</v>
      </c>
      <c r="D416" s="24"/>
      <c r="E416" s="25"/>
      <c r="F416" s="24" t="str">
        <f t="shared" si="0"/>
        <v/>
      </c>
      <c r="G416" s="26" t="str">
        <f t="shared" si="1"/>
        <v/>
      </c>
      <c r="H416" s="27" t="str">
        <f t="shared" si="2"/>
        <v>Positional</v>
      </c>
      <c r="J416" s="73"/>
      <c r="K416" s="31" t="s">
        <v>131</v>
      </c>
      <c r="L416" s="74">
        <v>15.93</v>
      </c>
      <c r="M416" s="31" t="s">
        <v>277</v>
      </c>
    </row>
    <row r="417" spans="1:13" ht="14.25" customHeight="1">
      <c r="A417" s="21">
        <v>44382</v>
      </c>
      <c r="B417" s="22">
        <v>0.1</v>
      </c>
      <c r="C417" s="23" t="s">
        <v>16</v>
      </c>
      <c r="D417" s="24">
        <v>21956.38</v>
      </c>
      <c r="E417" s="25">
        <v>290580</v>
      </c>
      <c r="F417" s="24">
        <f t="shared" si="0"/>
        <v>50.52</v>
      </c>
      <c r="G417" s="26">
        <f t="shared" si="1"/>
        <v>312536.38</v>
      </c>
      <c r="H417" s="27" t="str">
        <f t="shared" si="2"/>
        <v/>
      </c>
      <c r="J417" s="73"/>
      <c r="K417" s="31" t="s">
        <v>131</v>
      </c>
      <c r="L417" s="74">
        <v>15.93</v>
      </c>
      <c r="M417" s="31" t="s">
        <v>278</v>
      </c>
    </row>
    <row r="418" spans="1:13" ht="14.25" customHeight="1">
      <c r="A418" s="21">
        <v>44383</v>
      </c>
      <c r="B418" s="22">
        <v>243</v>
      </c>
      <c r="C418" s="23" t="s">
        <v>139</v>
      </c>
      <c r="D418" s="24"/>
      <c r="E418" s="25"/>
      <c r="F418" s="24" t="str">
        <f t="shared" si="0"/>
        <v/>
      </c>
      <c r="G418" s="26" t="str">
        <f t="shared" si="1"/>
        <v/>
      </c>
      <c r="H418" s="27" t="str">
        <f t="shared" si="2"/>
        <v>Positional</v>
      </c>
      <c r="J418" s="73"/>
      <c r="K418" s="31" t="s">
        <v>131</v>
      </c>
      <c r="L418" s="74">
        <v>15.93</v>
      </c>
      <c r="M418" s="31" t="s">
        <v>279</v>
      </c>
    </row>
    <row r="419" spans="1:13" ht="14.25" customHeight="1">
      <c r="A419" s="21">
        <v>44383</v>
      </c>
      <c r="B419" s="22">
        <v>34.660000000000004</v>
      </c>
      <c r="C419" s="23" t="s">
        <v>20</v>
      </c>
      <c r="D419" s="24">
        <v>2617.11</v>
      </c>
      <c r="E419" s="25">
        <v>310156.79999999999</v>
      </c>
      <c r="F419" s="24">
        <f t="shared" si="0"/>
        <v>101.12</v>
      </c>
      <c r="G419" s="26">
        <f t="shared" si="1"/>
        <v>625547.81999999995</v>
      </c>
      <c r="H419" s="27" t="str">
        <f t="shared" si="2"/>
        <v/>
      </c>
      <c r="J419" s="73"/>
      <c r="K419" s="31" t="s">
        <v>131</v>
      </c>
      <c r="L419" s="74">
        <v>15.93</v>
      </c>
      <c r="M419" s="31" t="s">
        <v>280</v>
      </c>
    </row>
    <row r="420" spans="1:13" ht="14.25" customHeight="1">
      <c r="A420" s="21">
        <v>44385</v>
      </c>
      <c r="B420" s="22">
        <v>-0.09</v>
      </c>
      <c r="C420" s="23" t="s">
        <v>16</v>
      </c>
      <c r="D420" s="24">
        <v>585.01</v>
      </c>
      <c r="E420" s="25">
        <v>312186.8</v>
      </c>
      <c r="F420" s="24">
        <f t="shared" si="0"/>
        <v>50.56</v>
      </c>
      <c r="G420" s="26">
        <f t="shared" si="1"/>
        <v>312771.81</v>
      </c>
      <c r="H420" s="27" t="str">
        <f t="shared" si="2"/>
        <v/>
      </c>
      <c r="J420" s="73"/>
      <c r="K420" s="31" t="s">
        <v>131</v>
      </c>
      <c r="L420" s="74">
        <v>15.93</v>
      </c>
      <c r="M420" s="31" t="s">
        <v>281</v>
      </c>
    </row>
    <row r="421" spans="1:13" ht="14.25" customHeight="1">
      <c r="A421" s="21">
        <v>44386</v>
      </c>
      <c r="B421" s="22">
        <v>621</v>
      </c>
      <c r="C421" s="23" t="s">
        <v>189</v>
      </c>
      <c r="D421" s="24"/>
      <c r="E421" s="25"/>
      <c r="F421" s="24" t="str">
        <f t="shared" si="0"/>
        <v/>
      </c>
      <c r="G421" s="26" t="str">
        <f t="shared" si="1"/>
        <v/>
      </c>
      <c r="H421" s="27" t="str">
        <f t="shared" si="2"/>
        <v>Positional</v>
      </c>
      <c r="J421" s="73"/>
      <c r="K421" s="31" t="s">
        <v>131</v>
      </c>
      <c r="L421" s="74">
        <v>15.93</v>
      </c>
      <c r="M421" s="31" t="s">
        <v>282</v>
      </c>
    </row>
    <row r="422" spans="1:13" ht="14.25" customHeight="1">
      <c r="A422" s="21">
        <v>44386</v>
      </c>
      <c r="B422" s="22">
        <v>554</v>
      </c>
      <c r="C422" s="23" t="s">
        <v>198</v>
      </c>
      <c r="D422" s="24"/>
      <c r="E422" s="25"/>
      <c r="F422" s="24" t="str">
        <f t="shared" si="0"/>
        <v/>
      </c>
      <c r="G422" s="26" t="str">
        <f t="shared" si="1"/>
        <v/>
      </c>
      <c r="H422" s="27" t="str">
        <f t="shared" si="2"/>
        <v>Positional</v>
      </c>
      <c r="J422" s="73"/>
      <c r="K422" s="31" t="s">
        <v>131</v>
      </c>
      <c r="L422" s="74">
        <v>15.93</v>
      </c>
      <c r="M422" s="31" t="s">
        <v>283</v>
      </c>
    </row>
    <row r="423" spans="1:13" ht="14.25" customHeight="1">
      <c r="A423" s="21">
        <v>44386</v>
      </c>
      <c r="B423" s="22">
        <v>0.74</v>
      </c>
      <c r="C423" s="23" t="s">
        <v>16</v>
      </c>
      <c r="D423" s="24">
        <v>44467.9</v>
      </c>
      <c r="E423" s="25">
        <v>279486.8</v>
      </c>
      <c r="F423" s="24">
        <f t="shared" si="0"/>
        <v>52.37</v>
      </c>
      <c r="G423" s="26">
        <f t="shared" si="1"/>
        <v>323954.7</v>
      </c>
      <c r="H423" s="27" t="str">
        <f t="shared" si="2"/>
        <v/>
      </c>
      <c r="J423" s="73"/>
      <c r="K423" s="31" t="s">
        <v>131</v>
      </c>
      <c r="L423" s="74">
        <v>15.93</v>
      </c>
      <c r="M423" s="31" t="s">
        <v>284</v>
      </c>
    </row>
    <row r="424" spans="1:13" ht="14.25" customHeight="1">
      <c r="A424" s="21">
        <v>44387</v>
      </c>
      <c r="B424" s="22"/>
      <c r="C424" s="23" t="s">
        <v>132</v>
      </c>
      <c r="D424" s="24">
        <v>34467.9</v>
      </c>
      <c r="E424" s="25">
        <v>279486.8</v>
      </c>
      <c r="F424" s="24">
        <f t="shared" si="0"/>
        <v>101.5</v>
      </c>
      <c r="G424" s="26">
        <f t="shared" si="1"/>
        <v>627909.4</v>
      </c>
      <c r="H424" s="27" t="str">
        <f t="shared" si="2"/>
        <v/>
      </c>
      <c r="J424" s="73"/>
      <c r="K424" s="31" t="s">
        <v>131</v>
      </c>
      <c r="L424" s="74">
        <v>15.93</v>
      </c>
      <c r="M424" s="31" t="s">
        <v>285</v>
      </c>
    </row>
    <row r="425" spans="1:13" ht="14.25" customHeight="1">
      <c r="A425" s="21">
        <v>44389</v>
      </c>
      <c r="B425" s="22">
        <v>0.37</v>
      </c>
      <c r="C425" s="23" t="s">
        <v>16</v>
      </c>
      <c r="D425" s="24">
        <v>17152.27</v>
      </c>
      <c r="E425" s="25">
        <v>296781.8</v>
      </c>
      <c r="F425" s="24">
        <f t="shared" si="0"/>
        <v>50.75</v>
      </c>
      <c r="G425" s="26">
        <f t="shared" si="1"/>
        <v>313934.07</v>
      </c>
      <c r="H425" s="27" t="str">
        <f t="shared" si="2"/>
        <v/>
      </c>
      <c r="J425" s="73"/>
      <c r="K425" s="31" t="s">
        <v>131</v>
      </c>
      <c r="L425" s="74">
        <v>15.93</v>
      </c>
      <c r="M425" s="31" t="s">
        <v>286</v>
      </c>
    </row>
    <row r="426" spans="1:13" ht="14.25" customHeight="1">
      <c r="A426" s="21">
        <v>44390</v>
      </c>
      <c r="B426" s="22">
        <v>-0.17</v>
      </c>
      <c r="C426" s="23" t="s">
        <v>16</v>
      </c>
      <c r="D426" s="24">
        <v>12371.1</v>
      </c>
      <c r="E426" s="25">
        <v>301556.8</v>
      </c>
      <c r="F426" s="24">
        <f t="shared" si="0"/>
        <v>50.74</v>
      </c>
      <c r="G426" s="26">
        <f t="shared" si="1"/>
        <v>313927.89999999997</v>
      </c>
      <c r="H426" s="27" t="str">
        <f t="shared" si="2"/>
        <v/>
      </c>
      <c r="J426" s="73"/>
      <c r="K426" s="31" t="s">
        <v>237</v>
      </c>
      <c r="L426" s="74">
        <v>88.5</v>
      </c>
      <c r="M426" s="31"/>
    </row>
    <row r="427" spans="1:13" ht="14.25" customHeight="1">
      <c r="A427" s="21">
        <v>44391</v>
      </c>
      <c r="B427" s="22">
        <v>-0.4</v>
      </c>
      <c r="C427" s="23" t="s">
        <v>16</v>
      </c>
      <c r="D427" s="24">
        <v>2258.69</v>
      </c>
      <c r="E427" s="25">
        <v>311656.8</v>
      </c>
      <c r="F427" s="24">
        <f t="shared" si="0"/>
        <v>50.74</v>
      </c>
      <c r="G427" s="26">
        <f t="shared" si="1"/>
        <v>313915.49</v>
      </c>
      <c r="H427" s="27" t="str">
        <f t="shared" si="2"/>
        <v/>
      </c>
      <c r="J427" s="73"/>
      <c r="K427" s="31" t="s">
        <v>131</v>
      </c>
      <c r="L427" s="74">
        <v>15.93</v>
      </c>
      <c r="M427" s="31" t="s">
        <v>287</v>
      </c>
    </row>
    <row r="428" spans="1:13" ht="14.25" customHeight="1">
      <c r="A428" s="21">
        <v>44392</v>
      </c>
      <c r="B428" s="22">
        <v>158</v>
      </c>
      <c r="C428" s="23" t="s">
        <v>199</v>
      </c>
      <c r="D428" s="24"/>
      <c r="E428" s="25"/>
      <c r="F428" s="24" t="str">
        <f t="shared" si="0"/>
        <v/>
      </c>
      <c r="G428" s="26" t="str">
        <f t="shared" si="1"/>
        <v/>
      </c>
      <c r="H428" s="27" t="str">
        <f t="shared" si="2"/>
        <v>Positional</v>
      </c>
      <c r="J428" s="73"/>
      <c r="K428" s="31" t="s">
        <v>131</v>
      </c>
      <c r="L428" s="74">
        <v>15.93</v>
      </c>
      <c r="M428" s="31" t="s">
        <v>280</v>
      </c>
    </row>
    <row r="429" spans="1:13" ht="14.25" customHeight="1">
      <c r="A429" s="21">
        <v>44392</v>
      </c>
      <c r="B429" s="22">
        <v>-0.08</v>
      </c>
      <c r="C429" s="23" t="s">
        <v>16</v>
      </c>
      <c r="D429" s="24">
        <v>4432.68</v>
      </c>
      <c r="E429" s="25">
        <v>309626.8</v>
      </c>
      <c r="F429" s="24">
        <f t="shared" si="0"/>
        <v>50.77</v>
      </c>
      <c r="G429" s="26">
        <f t="shared" si="1"/>
        <v>314059.48</v>
      </c>
      <c r="H429" s="27" t="str">
        <f t="shared" si="2"/>
        <v/>
      </c>
      <c r="J429" s="73"/>
      <c r="K429" s="31" t="s">
        <v>131</v>
      </c>
      <c r="L429" s="74">
        <v>15.93</v>
      </c>
      <c r="M429" s="31" t="s">
        <v>288</v>
      </c>
    </row>
    <row r="430" spans="1:13" ht="14.25" customHeight="1">
      <c r="A430" s="21">
        <v>44393</v>
      </c>
      <c r="B430" s="22">
        <v>727</v>
      </c>
      <c r="C430" s="23" t="s">
        <v>200</v>
      </c>
      <c r="D430" s="24"/>
      <c r="E430" s="25"/>
      <c r="F430" s="24" t="str">
        <f t="shared" si="0"/>
        <v/>
      </c>
      <c r="G430" s="26" t="str">
        <f t="shared" si="1"/>
        <v/>
      </c>
      <c r="H430" s="27" t="str">
        <f t="shared" si="2"/>
        <v>Positional</v>
      </c>
      <c r="J430" s="73"/>
      <c r="K430" s="31" t="s">
        <v>131</v>
      </c>
      <c r="L430" s="74">
        <v>15.93</v>
      </c>
      <c r="M430" s="31" t="s">
        <v>289</v>
      </c>
    </row>
    <row r="431" spans="1:13" ht="14.25" customHeight="1">
      <c r="A431" s="21">
        <v>44393</v>
      </c>
      <c r="B431" s="22">
        <v>45.62</v>
      </c>
      <c r="C431" s="23" t="s">
        <v>20</v>
      </c>
      <c r="D431" s="24">
        <v>6510.37</v>
      </c>
      <c r="E431" s="25">
        <v>308306.8</v>
      </c>
      <c r="F431" s="24">
        <f t="shared" si="0"/>
        <v>152.66</v>
      </c>
      <c r="G431" s="26">
        <f t="shared" si="1"/>
        <v>944451.51</v>
      </c>
      <c r="H431" s="27" t="str">
        <f t="shared" si="2"/>
        <v/>
      </c>
      <c r="J431" s="73"/>
      <c r="K431" s="31" t="s">
        <v>131</v>
      </c>
      <c r="L431" s="74">
        <v>15.93</v>
      </c>
      <c r="M431" s="31" t="s">
        <v>290</v>
      </c>
    </row>
    <row r="432" spans="1:13" ht="14.25" customHeight="1">
      <c r="A432" s="21">
        <v>44396</v>
      </c>
      <c r="B432" s="22">
        <v>-0.1</v>
      </c>
      <c r="C432" s="23" t="s">
        <v>16</v>
      </c>
      <c r="D432" s="24">
        <v>3847.77</v>
      </c>
      <c r="E432" s="25">
        <v>310936.8</v>
      </c>
      <c r="F432" s="24">
        <f t="shared" si="0"/>
        <v>203.53</v>
      </c>
      <c r="G432" s="26">
        <f t="shared" si="1"/>
        <v>1259138.28</v>
      </c>
      <c r="H432" s="27" t="str">
        <f t="shared" si="2"/>
        <v/>
      </c>
      <c r="J432" s="73"/>
      <c r="K432" s="31" t="s">
        <v>131</v>
      </c>
      <c r="L432" s="74">
        <v>15.93</v>
      </c>
      <c r="M432" s="31" t="s">
        <v>291</v>
      </c>
    </row>
    <row r="433" spans="1:13" ht="14.25" customHeight="1">
      <c r="A433" s="21">
        <v>44400</v>
      </c>
      <c r="B433" s="22">
        <v>0.42</v>
      </c>
      <c r="C433" s="23" t="s">
        <v>16</v>
      </c>
      <c r="D433" s="24">
        <v>1758.19</v>
      </c>
      <c r="E433" s="25">
        <v>313024.3</v>
      </c>
      <c r="F433" s="24">
        <f t="shared" si="0"/>
        <v>254.41</v>
      </c>
      <c r="G433" s="26">
        <f t="shared" si="1"/>
        <v>1573912.45</v>
      </c>
      <c r="H433" s="27" t="str">
        <f t="shared" si="2"/>
        <v/>
      </c>
      <c r="J433" s="73"/>
      <c r="K433" s="31" t="s">
        <v>131</v>
      </c>
      <c r="L433" s="74">
        <v>15.93</v>
      </c>
      <c r="M433" s="31" t="s">
        <v>292</v>
      </c>
    </row>
    <row r="434" spans="1:13" ht="14.25" customHeight="1">
      <c r="A434" s="21">
        <v>44405</v>
      </c>
      <c r="B434" s="22">
        <v>283</v>
      </c>
      <c r="C434" s="23" t="s">
        <v>203</v>
      </c>
      <c r="D434" s="24"/>
      <c r="E434" s="25"/>
      <c r="F434" s="24" t="str">
        <f t="shared" si="0"/>
        <v/>
      </c>
      <c r="G434" s="26" t="str">
        <f t="shared" si="1"/>
        <v/>
      </c>
      <c r="H434" s="27" t="str">
        <f t="shared" si="2"/>
        <v>Positional</v>
      </c>
      <c r="J434" s="73"/>
      <c r="K434" s="31" t="s">
        <v>131</v>
      </c>
      <c r="L434" s="74">
        <v>15.93</v>
      </c>
      <c r="M434" s="31" t="s">
        <v>293</v>
      </c>
    </row>
    <row r="435" spans="1:13" ht="14.25" customHeight="1">
      <c r="A435" s="21">
        <v>44405</v>
      </c>
      <c r="B435" s="22">
        <v>-0.09</v>
      </c>
      <c r="C435" s="23" t="s">
        <v>16</v>
      </c>
      <c r="D435" s="24">
        <v>4115.17</v>
      </c>
      <c r="E435" s="25">
        <v>310936.8</v>
      </c>
      <c r="F435" s="24">
        <f t="shared" si="0"/>
        <v>50.93</v>
      </c>
      <c r="G435" s="26">
        <f t="shared" si="1"/>
        <v>315051.96999999997</v>
      </c>
      <c r="H435" s="27" t="str">
        <f t="shared" si="2"/>
        <v/>
      </c>
      <c r="J435" s="73"/>
      <c r="K435" s="31" t="s">
        <v>294</v>
      </c>
      <c r="L435" s="74">
        <v>88.5</v>
      </c>
      <c r="M435" s="31" t="s">
        <v>295</v>
      </c>
    </row>
    <row r="436" spans="1:13" ht="14.25" customHeight="1">
      <c r="A436" s="21">
        <v>44406</v>
      </c>
      <c r="B436" s="22">
        <v>0.91</v>
      </c>
      <c r="C436" s="23" t="s">
        <v>16</v>
      </c>
      <c r="D436" s="24">
        <v>1813.08</v>
      </c>
      <c r="E436" s="25">
        <v>313236.8</v>
      </c>
      <c r="F436" s="24">
        <f t="shared" si="0"/>
        <v>50.93</v>
      </c>
      <c r="G436" s="26">
        <f t="shared" si="1"/>
        <v>315049.88</v>
      </c>
      <c r="H436" s="27" t="str">
        <f t="shared" si="2"/>
        <v/>
      </c>
      <c r="J436" s="73"/>
      <c r="K436" s="28" t="s">
        <v>296</v>
      </c>
      <c r="L436" s="74">
        <v>23.6</v>
      </c>
      <c r="M436" s="31" t="s">
        <v>297</v>
      </c>
    </row>
    <row r="437" spans="1:13" ht="14.25" customHeight="1">
      <c r="A437" s="21">
        <v>44407</v>
      </c>
      <c r="B437" s="22">
        <v>334.55</v>
      </c>
      <c r="C437" s="23" t="s">
        <v>20</v>
      </c>
      <c r="D437" s="24">
        <v>3868.63</v>
      </c>
      <c r="E437" s="25">
        <v>316511.8</v>
      </c>
      <c r="F437" s="24">
        <f t="shared" si="0"/>
        <v>155.36000000000001</v>
      </c>
      <c r="G437" s="26">
        <f t="shared" si="1"/>
        <v>961141.29</v>
      </c>
      <c r="H437" s="27" t="str">
        <f t="shared" si="2"/>
        <v/>
      </c>
      <c r="J437" s="73"/>
      <c r="K437" s="31" t="s">
        <v>131</v>
      </c>
      <c r="L437" s="74">
        <v>15.93</v>
      </c>
      <c r="M437" s="31" t="s">
        <v>298</v>
      </c>
    </row>
    <row r="438" spans="1:13" ht="14.25" customHeight="1">
      <c r="A438" s="21">
        <v>44410</v>
      </c>
      <c r="B438" s="22">
        <v>95</v>
      </c>
      <c r="C438" s="23" t="s">
        <v>204</v>
      </c>
      <c r="D438" s="24"/>
      <c r="E438" s="25"/>
      <c r="F438" s="24" t="str">
        <f t="shared" si="0"/>
        <v/>
      </c>
      <c r="G438" s="26" t="str">
        <f t="shared" si="1"/>
        <v/>
      </c>
      <c r="H438" s="27" t="str">
        <f t="shared" si="2"/>
        <v>Positional</v>
      </c>
      <c r="J438" s="73"/>
      <c r="K438" s="31" t="s">
        <v>131</v>
      </c>
      <c r="L438" s="74">
        <v>15.93</v>
      </c>
      <c r="M438" s="31" t="s">
        <v>281</v>
      </c>
    </row>
    <row r="439" spans="1:13" ht="14.25" customHeight="1">
      <c r="A439" s="21">
        <v>44410</v>
      </c>
      <c r="B439" s="22">
        <v>0.43</v>
      </c>
      <c r="C439" s="23" t="s">
        <v>16</v>
      </c>
      <c r="D439" s="24">
        <v>19020.13</v>
      </c>
      <c r="E439" s="25">
        <v>306451.8</v>
      </c>
      <c r="F439" s="24">
        <f t="shared" si="0"/>
        <v>52.61</v>
      </c>
      <c r="G439" s="26">
        <f t="shared" si="1"/>
        <v>325471.93</v>
      </c>
      <c r="H439" s="27" t="str">
        <f t="shared" si="2"/>
        <v/>
      </c>
      <c r="J439" s="73"/>
      <c r="K439" s="31" t="s">
        <v>131</v>
      </c>
      <c r="L439" s="74">
        <v>15.93</v>
      </c>
      <c r="M439" s="31" t="s">
        <v>299</v>
      </c>
    </row>
    <row r="440" spans="1:13" ht="14.25" customHeight="1">
      <c r="A440" s="21">
        <v>44411</v>
      </c>
      <c r="B440" s="22">
        <v>-0.17</v>
      </c>
      <c r="C440" s="23" t="s">
        <v>16</v>
      </c>
      <c r="D440" s="24">
        <v>10875.91</v>
      </c>
      <c r="E440" s="25">
        <v>309589.3</v>
      </c>
      <c r="F440" s="24">
        <f t="shared" si="0"/>
        <v>51.8</v>
      </c>
      <c r="G440" s="26">
        <f t="shared" si="1"/>
        <v>320465.20999999996</v>
      </c>
      <c r="H440" s="27" t="str">
        <f t="shared" si="2"/>
        <v/>
      </c>
      <c r="J440" s="73"/>
      <c r="K440" s="31" t="s">
        <v>131</v>
      </c>
      <c r="L440" s="74">
        <v>15.93</v>
      </c>
      <c r="M440" s="31" t="s">
        <v>300</v>
      </c>
    </row>
    <row r="441" spans="1:13" ht="14.25" customHeight="1">
      <c r="A441" s="21">
        <v>44412</v>
      </c>
      <c r="B441" s="22">
        <v>258</v>
      </c>
      <c r="C441" s="23" t="s">
        <v>206</v>
      </c>
      <c r="D441" s="24"/>
      <c r="E441" s="25"/>
      <c r="F441" s="24" t="str">
        <f t="shared" si="0"/>
        <v/>
      </c>
      <c r="G441" s="26" t="str">
        <f t="shared" si="1"/>
        <v/>
      </c>
      <c r="H441" s="27" t="str">
        <f t="shared" si="2"/>
        <v>Positional</v>
      </c>
      <c r="J441" s="73"/>
      <c r="K441" s="31" t="s">
        <v>131</v>
      </c>
      <c r="L441" s="74">
        <v>15.93</v>
      </c>
      <c r="M441" s="31" t="s">
        <v>301</v>
      </c>
    </row>
    <row r="442" spans="1:13" ht="14.25" customHeight="1">
      <c r="A442" s="21">
        <v>44412</v>
      </c>
      <c r="B442" s="22">
        <v>-0.17</v>
      </c>
      <c r="C442" s="23" t="s">
        <v>16</v>
      </c>
      <c r="D442" s="24">
        <v>15704.81</v>
      </c>
      <c r="E442" s="25">
        <v>305007.5</v>
      </c>
      <c r="F442" s="24">
        <f t="shared" si="0"/>
        <v>51.84</v>
      </c>
      <c r="G442" s="26">
        <f t="shared" si="1"/>
        <v>320712.31</v>
      </c>
      <c r="H442" s="27" t="str">
        <f t="shared" si="2"/>
        <v/>
      </c>
      <c r="J442" s="73"/>
      <c r="K442" s="31" t="s">
        <v>131</v>
      </c>
      <c r="L442" s="74">
        <v>15.93</v>
      </c>
      <c r="M442" s="31" t="s">
        <v>274</v>
      </c>
    </row>
    <row r="443" spans="1:13" ht="14.25" customHeight="1">
      <c r="A443" s="21">
        <v>44413</v>
      </c>
      <c r="B443" s="22">
        <v>94.68</v>
      </c>
      <c r="C443" s="23" t="s">
        <v>20</v>
      </c>
      <c r="D443" s="24">
        <v>15799.5</v>
      </c>
      <c r="E443" s="25">
        <v>305007.5</v>
      </c>
      <c r="F443" s="24">
        <f t="shared" si="0"/>
        <v>51.86</v>
      </c>
      <c r="G443" s="26">
        <f t="shared" si="1"/>
        <v>320807</v>
      </c>
      <c r="H443" s="27" t="str">
        <f t="shared" si="2"/>
        <v/>
      </c>
      <c r="J443" s="73"/>
      <c r="K443" s="31" t="s">
        <v>131</v>
      </c>
      <c r="L443" s="74">
        <v>15.93</v>
      </c>
      <c r="M443" s="31" t="s">
        <v>302</v>
      </c>
    </row>
    <row r="444" spans="1:13" ht="14.25" customHeight="1">
      <c r="A444" s="21">
        <v>44414</v>
      </c>
      <c r="B444" s="22">
        <v>-230.09</v>
      </c>
      <c r="C444" s="23" t="s">
        <v>20</v>
      </c>
      <c r="D444" s="24">
        <v>15569.41</v>
      </c>
      <c r="E444" s="25">
        <v>305007.5</v>
      </c>
      <c r="F444" s="24">
        <f t="shared" si="0"/>
        <v>155.46</v>
      </c>
      <c r="G444" s="26">
        <f t="shared" si="1"/>
        <v>961730.73</v>
      </c>
      <c r="H444" s="27" t="str">
        <f t="shared" si="2"/>
        <v/>
      </c>
      <c r="J444" s="73"/>
      <c r="K444" s="31" t="s">
        <v>131</v>
      </c>
      <c r="L444" s="74"/>
      <c r="M444" s="31" t="s">
        <v>303</v>
      </c>
    </row>
    <row r="445" spans="1:13" ht="14.25" customHeight="1">
      <c r="A445" s="21">
        <v>44417</v>
      </c>
      <c r="B445" s="22">
        <v>0.7</v>
      </c>
      <c r="C445" s="23" t="s">
        <v>16</v>
      </c>
      <c r="D445" s="24">
        <v>7070.12</v>
      </c>
      <c r="E445" s="25">
        <v>313497.5</v>
      </c>
      <c r="F445" s="24">
        <f t="shared" si="0"/>
        <v>362.72</v>
      </c>
      <c r="G445" s="26">
        <f t="shared" si="1"/>
        <v>2243973.34</v>
      </c>
      <c r="H445" s="27" t="str">
        <f t="shared" si="2"/>
        <v/>
      </c>
      <c r="J445" s="73"/>
      <c r="K445" s="31" t="s">
        <v>131</v>
      </c>
      <c r="L445" s="74">
        <v>15.93</v>
      </c>
      <c r="M445" s="31" t="s">
        <v>304</v>
      </c>
    </row>
    <row r="446" spans="1:13" ht="14.25" customHeight="1">
      <c r="A446" s="21">
        <v>44424</v>
      </c>
      <c r="B446" s="22">
        <v>-0.19</v>
      </c>
      <c r="C446" s="23" t="s">
        <v>16</v>
      </c>
      <c r="D446" s="24">
        <v>2799.93</v>
      </c>
      <c r="E446" s="25">
        <v>317762.5</v>
      </c>
      <c r="F446" s="24">
        <f t="shared" si="0"/>
        <v>466.35</v>
      </c>
      <c r="G446" s="26">
        <f t="shared" si="1"/>
        <v>2885061.87</v>
      </c>
      <c r="H446" s="27" t="str">
        <f t="shared" si="2"/>
        <v/>
      </c>
      <c r="J446" s="73"/>
      <c r="K446" s="31" t="s">
        <v>131</v>
      </c>
      <c r="L446" s="74">
        <v>15.93</v>
      </c>
      <c r="M446" s="31" t="s">
        <v>59</v>
      </c>
    </row>
    <row r="447" spans="1:13" ht="14.25" customHeight="1">
      <c r="A447" s="21">
        <v>44433</v>
      </c>
      <c r="B447" s="22">
        <v>-1.01</v>
      </c>
      <c r="C447" s="23" t="s">
        <v>16</v>
      </c>
      <c r="D447" s="24">
        <v>1950.91</v>
      </c>
      <c r="E447" s="25">
        <v>333429.5</v>
      </c>
      <c r="F447" s="24">
        <f t="shared" si="0"/>
        <v>54.21</v>
      </c>
      <c r="G447" s="26">
        <f t="shared" si="1"/>
        <v>335380.40999999997</v>
      </c>
      <c r="H447" s="27" t="str">
        <f t="shared" si="2"/>
        <v/>
      </c>
      <c r="J447" s="73"/>
      <c r="K447" s="31" t="s">
        <v>131</v>
      </c>
      <c r="L447" s="74">
        <v>15.93</v>
      </c>
      <c r="M447" s="31" t="s">
        <v>305</v>
      </c>
    </row>
    <row r="448" spans="1:13" ht="14.25" customHeight="1">
      <c r="A448" s="21">
        <v>44434</v>
      </c>
      <c r="B448" s="22">
        <v>5</v>
      </c>
      <c r="C448" s="23" t="s">
        <v>207</v>
      </c>
      <c r="D448" s="24"/>
      <c r="E448" s="25"/>
      <c r="F448" s="24" t="str">
        <f t="shared" si="0"/>
        <v/>
      </c>
      <c r="G448" s="26" t="str">
        <f t="shared" si="1"/>
        <v/>
      </c>
      <c r="H448" s="27" t="str">
        <f t="shared" si="2"/>
        <v>Positional</v>
      </c>
      <c r="J448" s="73"/>
      <c r="K448" s="31" t="s">
        <v>131</v>
      </c>
      <c r="L448" s="74">
        <v>15.93</v>
      </c>
      <c r="M448" s="31" t="s">
        <v>306</v>
      </c>
    </row>
    <row r="449" spans="1:13" ht="14.25" customHeight="1">
      <c r="A449" s="21">
        <v>44434</v>
      </c>
      <c r="B449" s="22">
        <v>0.44</v>
      </c>
      <c r="C449" s="23" t="s">
        <v>16</v>
      </c>
      <c r="D449" s="24">
        <v>2966.43</v>
      </c>
      <c r="E449" s="25">
        <v>332404.5</v>
      </c>
      <c r="F449" s="24">
        <f t="shared" si="0"/>
        <v>271.05</v>
      </c>
      <c r="G449" s="26">
        <f t="shared" si="1"/>
        <v>1676854.65</v>
      </c>
      <c r="H449" s="27" t="str">
        <f t="shared" si="2"/>
        <v/>
      </c>
      <c r="J449" s="73"/>
      <c r="K449" s="28" t="s">
        <v>307</v>
      </c>
      <c r="L449" s="74">
        <v>23.6</v>
      </c>
      <c r="M449" s="31" t="s">
        <v>308</v>
      </c>
    </row>
    <row r="450" spans="1:13" ht="14.25" customHeight="1">
      <c r="A450" s="21">
        <v>44439</v>
      </c>
      <c r="B450" s="22">
        <v>491</v>
      </c>
      <c r="C450" s="23" t="s">
        <v>208</v>
      </c>
      <c r="D450" s="24"/>
      <c r="E450" s="25"/>
      <c r="F450" s="24" t="str">
        <f t="shared" si="0"/>
        <v/>
      </c>
      <c r="G450" s="26" t="str">
        <f t="shared" si="1"/>
        <v/>
      </c>
      <c r="H450" s="27" t="str">
        <f t="shared" si="2"/>
        <v>Positional</v>
      </c>
      <c r="J450" s="73"/>
      <c r="K450" s="31" t="s">
        <v>309</v>
      </c>
      <c r="L450" s="74">
        <v>499</v>
      </c>
      <c r="M450" s="31"/>
    </row>
    <row r="451" spans="1:13" ht="14.25" customHeight="1">
      <c r="A451" s="21">
        <v>44439</v>
      </c>
      <c r="B451" s="22">
        <v>16.5</v>
      </c>
      <c r="C451" s="23" t="s">
        <v>20</v>
      </c>
      <c r="D451" s="24">
        <v>11958</v>
      </c>
      <c r="E451" s="25">
        <v>332404.5</v>
      </c>
      <c r="F451" s="24">
        <f t="shared" si="0"/>
        <v>55.66</v>
      </c>
      <c r="G451" s="26">
        <f t="shared" si="1"/>
        <v>344362.5</v>
      </c>
      <c r="H451" s="27" t="str">
        <f t="shared" si="2"/>
        <v/>
      </c>
      <c r="J451" s="73"/>
      <c r="K451" s="31" t="s">
        <v>268</v>
      </c>
      <c r="L451" s="74">
        <v>10.62</v>
      </c>
      <c r="M451" s="31"/>
    </row>
    <row r="452" spans="1:13" ht="14.25" customHeight="1">
      <c r="A452" s="21">
        <v>44440</v>
      </c>
      <c r="B452" s="22">
        <v>309</v>
      </c>
      <c r="C452" s="23" t="s">
        <v>209</v>
      </c>
      <c r="D452" s="24"/>
      <c r="E452" s="25"/>
      <c r="F452" s="24" t="str">
        <f t="shared" si="0"/>
        <v/>
      </c>
      <c r="G452" s="26" t="str">
        <f t="shared" si="1"/>
        <v/>
      </c>
      <c r="H452" s="27" t="str">
        <f t="shared" si="2"/>
        <v>Positional</v>
      </c>
      <c r="J452" s="73"/>
      <c r="K452" s="31" t="s">
        <v>131</v>
      </c>
      <c r="L452" s="74">
        <v>15.93</v>
      </c>
      <c r="M452" s="31" t="s">
        <v>310</v>
      </c>
    </row>
    <row r="453" spans="1:13" ht="14.25" customHeight="1">
      <c r="A453" s="21">
        <v>44440</v>
      </c>
      <c r="B453" s="22">
        <v>-2547</v>
      </c>
      <c r="C453" s="23" t="s">
        <v>210</v>
      </c>
      <c r="D453" s="24"/>
      <c r="E453" s="25"/>
      <c r="F453" s="24" t="str">
        <f t="shared" si="0"/>
        <v/>
      </c>
      <c r="G453" s="26" t="str">
        <f t="shared" si="1"/>
        <v/>
      </c>
      <c r="H453" s="27" t="str">
        <f t="shared" si="2"/>
        <v>Positional</v>
      </c>
      <c r="J453" s="73"/>
      <c r="K453" s="31" t="s">
        <v>131</v>
      </c>
      <c r="L453" s="74">
        <v>15.93</v>
      </c>
      <c r="M453" s="31" t="s">
        <v>311</v>
      </c>
    </row>
    <row r="454" spans="1:13" ht="14.25" customHeight="1">
      <c r="A454" s="21">
        <v>44440</v>
      </c>
      <c r="B454" s="22">
        <v>-385.16</v>
      </c>
      <c r="C454" s="23" t="s">
        <v>20</v>
      </c>
      <c r="D454" s="24">
        <v>23519.97</v>
      </c>
      <c r="E454" s="25">
        <v>309714.5</v>
      </c>
      <c r="F454" s="24">
        <f t="shared" si="0"/>
        <v>53.87</v>
      </c>
      <c r="G454" s="26">
        <f t="shared" si="1"/>
        <v>333234.46999999997</v>
      </c>
      <c r="H454" s="27" t="str">
        <f t="shared" si="2"/>
        <v/>
      </c>
      <c r="J454" s="73"/>
      <c r="K454" s="31" t="s">
        <v>131</v>
      </c>
      <c r="L454" s="74">
        <v>15.93</v>
      </c>
      <c r="M454" s="31" t="s">
        <v>312</v>
      </c>
    </row>
    <row r="455" spans="1:13" ht="14.25" customHeight="1">
      <c r="A455" s="21">
        <v>44441</v>
      </c>
      <c r="B455" s="22">
        <v>-1916.81</v>
      </c>
      <c r="C455" s="23" t="s">
        <v>20</v>
      </c>
      <c r="D455" s="24">
        <v>15292.16</v>
      </c>
      <c r="E455" s="25">
        <v>330999.5</v>
      </c>
      <c r="F455" s="24">
        <f t="shared" si="0"/>
        <v>55.98</v>
      </c>
      <c r="G455" s="26">
        <f t="shared" si="1"/>
        <v>346291.66</v>
      </c>
      <c r="H455" s="27" t="str">
        <f t="shared" si="2"/>
        <v/>
      </c>
      <c r="J455" s="73"/>
      <c r="K455" s="31" t="s">
        <v>131</v>
      </c>
      <c r="L455" s="74">
        <v>15.93</v>
      </c>
      <c r="M455" s="31" t="s">
        <v>313</v>
      </c>
    </row>
    <row r="456" spans="1:13" ht="14.25" customHeight="1">
      <c r="A456" s="21">
        <v>44442</v>
      </c>
      <c r="B456" s="22">
        <v>546</v>
      </c>
      <c r="C456" s="23" t="s">
        <v>211</v>
      </c>
      <c r="D456" s="24"/>
      <c r="E456" s="25"/>
      <c r="F456" s="24" t="str">
        <f t="shared" si="0"/>
        <v/>
      </c>
      <c r="G456" s="26" t="str">
        <f t="shared" si="1"/>
        <v/>
      </c>
      <c r="H456" s="27" t="str">
        <f t="shared" si="2"/>
        <v>Positional</v>
      </c>
      <c r="J456" s="73"/>
      <c r="K456" s="31" t="s">
        <v>131</v>
      </c>
      <c r="L456" s="74">
        <v>15.93</v>
      </c>
      <c r="M456" s="31" t="s">
        <v>314</v>
      </c>
    </row>
    <row r="457" spans="1:13" ht="14.25" customHeight="1">
      <c r="A457" s="21">
        <v>44442</v>
      </c>
      <c r="B457" s="22">
        <v>-0.01</v>
      </c>
      <c r="C457" s="23" t="s">
        <v>16</v>
      </c>
      <c r="D457" s="24">
        <v>27227.15</v>
      </c>
      <c r="E457" s="25">
        <v>319624.5</v>
      </c>
      <c r="F457" s="24">
        <f t="shared" si="0"/>
        <v>168.2</v>
      </c>
      <c r="G457" s="26">
        <f t="shared" si="1"/>
        <v>1040554.9500000001</v>
      </c>
      <c r="H457" s="27" t="str">
        <f t="shared" si="2"/>
        <v/>
      </c>
      <c r="J457" s="73"/>
      <c r="K457" s="31" t="s">
        <v>131</v>
      </c>
      <c r="L457" s="74">
        <v>15.93</v>
      </c>
      <c r="M457" s="31" t="s">
        <v>315</v>
      </c>
    </row>
    <row r="458" spans="1:13" ht="14.25" customHeight="1">
      <c r="A458" s="21">
        <v>44445</v>
      </c>
      <c r="B458" s="22">
        <v>285</v>
      </c>
      <c r="C458" s="23" t="s">
        <v>212</v>
      </c>
      <c r="D458" s="24"/>
      <c r="E458" s="25"/>
      <c r="F458" s="24" t="str">
        <f t="shared" si="0"/>
        <v/>
      </c>
      <c r="G458" s="26" t="str">
        <f t="shared" si="1"/>
        <v/>
      </c>
      <c r="H458" s="27" t="str">
        <f t="shared" si="2"/>
        <v>Positional</v>
      </c>
      <c r="J458" s="73"/>
      <c r="K458" s="31" t="s">
        <v>131</v>
      </c>
      <c r="L458" s="74">
        <v>15.93</v>
      </c>
      <c r="M458" s="31" t="s">
        <v>316</v>
      </c>
    </row>
    <row r="459" spans="1:13" ht="14.25" customHeight="1">
      <c r="A459" s="21">
        <v>44445</v>
      </c>
      <c r="B459" s="22">
        <v>-0.57999999999999996</v>
      </c>
      <c r="C459" s="23" t="s">
        <v>16</v>
      </c>
      <c r="D459" s="24">
        <v>7160.71</v>
      </c>
      <c r="E459" s="25">
        <v>339919.5</v>
      </c>
      <c r="F459" s="24">
        <f t="shared" si="0"/>
        <v>112.21</v>
      </c>
      <c r="G459" s="26">
        <f t="shared" si="1"/>
        <v>694160.42</v>
      </c>
      <c r="H459" s="27" t="str">
        <f t="shared" si="2"/>
        <v/>
      </c>
      <c r="J459" s="73"/>
      <c r="K459" s="31" t="s">
        <v>131</v>
      </c>
      <c r="L459" s="74">
        <v>15.93</v>
      </c>
      <c r="M459" s="31" t="s">
        <v>317</v>
      </c>
    </row>
    <row r="460" spans="1:13" ht="14.25" customHeight="1">
      <c r="A460" s="21">
        <v>44447</v>
      </c>
      <c r="B460" s="22">
        <v>61.1</v>
      </c>
      <c r="C460" s="23" t="s">
        <v>20</v>
      </c>
      <c r="D460" s="24">
        <v>7221.81</v>
      </c>
      <c r="E460" s="25">
        <v>339919.5</v>
      </c>
      <c r="F460" s="24">
        <f t="shared" si="0"/>
        <v>280.57</v>
      </c>
      <c r="G460" s="26">
        <f t="shared" si="1"/>
        <v>1735706.55</v>
      </c>
      <c r="H460" s="27" t="str">
        <f t="shared" si="2"/>
        <v/>
      </c>
      <c r="J460" s="73">
        <v>44707</v>
      </c>
      <c r="K460" s="31" t="s">
        <v>318</v>
      </c>
      <c r="L460" s="74">
        <v>35.4</v>
      </c>
      <c r="M460" s="28"/>
    </row>
    <row r="461" spans="1:13" ht="14.25" customHeight="1">
      <c r="A461" s="21">
        <v>44452</v>
      </c>
      <c r="B461" s="22">
        <v>761</v>
      </c>
      <c r="C461" s="23" t="s">
        <v>213</v>
      </c>
      <c r="D461" s="24"/>
      <c r="E461" s="25"/>
      <c r="F461" s="24" t="str">
        <f t="shared" si="0"/>
        <v/>
      </c>
      <c r="G461" s="26" t="str">
        <f t="shared" si="1"/>
        <v/>
      </c>
      <c r="H461" s="27" t="str">
        <f t="shared" si="2"/>
        <v>Positional</v>
      </c>
      <c r="J461" s="73"/>
      <c r="K461" s="31" t="s">
        <v>131</v>
      </c>
      <c r="L461" s="74">
        <v>15.93</v>
      </c>
      <c r="M461" s="31" t="s">
        <v>312</v>
      </c>
    </row>
    <row r="462" spans="1:13" ht="14.25" customHeight="1">
      <c r="A462" s="21">
        <v>44452</v>
      </c>
      <c r="B462" s="22">
        <v>0.8</v>
      </c>
      <c r="C462" s="23" t="s">
        <v>16</v>
      </c>
      <c r="D462" s="24">
        <v>30896.68</v>
      </c>
      <c r="E462" s="25">
        <v>317017.5</v>
      </c>
      <c r="F462" s="24">
        <f t="shared" si="0"/>
        <v>56.24</v>
      </c>
      <c r="G462" s="26">
        <f t="shared" si="1"/>
        <v>347914.18</v>
      </c>
      <c r="H462" s="27" t="str">
        <f t="shared" si="2"/>
        <v/>
      </c>
      <c r="J462" s="73"/>
      <c r="K462" s="31" t="s">
        <v>131</v>
      </c>
      <c r="L462" s="74">
        <v>15.93</v>
      </c>
      <c r="M462" s="31" t="s">
        <v>319</v>
      </c>
    </row>
    <row r="463" spans="1:13" ht="14.25" customHeight="1">
      <c r="A463" s="21">
        <v>44453</v>
      </c>
      <c r="B463" s="22">
        <v>17.059999999999999</v>
      </c>
      <c r="C463" s="23" t="s">
        <v>20</v>
      </c>
      <c r="D463" s="24">
        <v>30884.240000000002</v>
      </c>
      <c r="E463" s="25">
        <v>317017.5</v>
      </c>
      <c r="F463" s="24">
        <f t="shared" si="0"/>
        <v>56.24</v>
      </c>
      <c r="G463" s="26">
        <f t="shared" si="1"/>
        <v>347901.74</v>
      </c>
      <c r="H463" s="27" t="str">
        <f t="shared" si="2"/>
        <v/>
      </c>
      <c r="J463" s="73"/>
      <c r="K463" s="31" t="s">
        <v>131</v>
      </c>
      <c r="L463" s="74">
        <v>15.93</v>
      </c>
      <c r="M463" s="31" t="s">
        <v>319</v>
      </c>
    </row>
    <row r="464" spans="1:13" ht="14.25" customHeight="1">
      <c r="A464" s="21">
        <v>44454</v>
      </c>
      <c r="B464" s="22">
        <v>129</v>
      </c>
      <c r="C464" s="23" t="s">
        <v>215</v>
      </c>
      <c r="D464" s="24"/>
      <c r="E464" s="25"/>
      <c r="F464" s="24" t="str">
        <f t="shared" si="0"/>
        <v/>
      </c>
      <c r="G464" s="26" t="str">
        <f t="shared" si="1"/>
        <v/>
      </c>
      <c r="H464" s="27" t="str">
        <f t="shared" si="2"/>
        <v>Positional</v>
      </c>
      <c r="J464" s="73"/>
      <c r="K464" s="31" t="s">
        <v>131</v>
      </c>
      <c r="L464" s="74">
        <v>15.93</v>
      </c>
      <c r="M464" s="31" t="s">
        <v>319</v>
      </c>
    </row>
    <row r="465" spans="1:13" ht="14.25" customHeight="1">
      <c r="A465" s="21">
        <v>44454</v>
      </c>
      <c r="B465" s="22">
        <v>364.16</v>
      </c>
      <c r="C465" s="23" t="s">
        <v>20</v>
      </c>
      <c r="D465" s="24">
        <v>24528.47</v>
      </c>
      <c r="E465" s="25">
        <v>323797.5</v>
      </c>
      <c r="F465" s="24">
        <f t="shared" si="0"/>
        <v>56.3</v>
      </c>
      <c r="G465" s="26">
        <f t="shared" si="1"/>
        <v>348325.97</v>
      </c>
      <c r="H465" s="27" t="str">
        <f t="shared" si="2"/>
        <v/>
      </c>
      <c r="J465" s="73">
        <v>44715</v>
      </c>
      <c r="K465" s="31" t="s">
        <v>320</v>
      </c>
      <c r="L465" s="74">
        <v>23.6</v>
      </c>
      <c r="M465" s="31" t="s">
        <v>321</v>
      </c>
    </row>
    <row r="466" spans="1:13" ht="14.25" customHeight="1">
      <c r="A466" s="21">
        <v>44455</v>
      </c>
      <c r="B466" s="22">
        <v>2709</v>
      </c>
      <c r="C466" s="23" t="s">
        <v>216</v>
      </c>
      <c r="D466" s="24"/>
      <c r="E466" s="25"/>
      <c r="F466" s="24" t="str">
        <f t="shared" si="0"/>
        <v/>
      </c>
      <c r="G466" s="26" t="str">
        <f t="shared" si="1"/>
        <v/>
      </c>
      <c r="H466" s="27" t="str">
        <f t="shared" si="2"/>
        <v>Positional</v>
      </c>
      <c r="J466" s="73"/>
      <c r="K466" s="31" t="s">
        <v>131</v>
      </c>
      <c r="L466" s="74">
        <v>15.93</v>
      </c>
      <c r="M466" s="31" t="s">
        <v>322</v>
      </c>
    </row>
    <row r="467" spans="1:13" ht="14.25" customHeight="1">
      <c r="A467" s="21">
        <v>44455</v>
      </c>
      <c r="B467" s="22">
        <v>194</v>
      </c>
      <c r="C467" s="23" t="s">
        <v>217</v>
      </c>
      <c r="D467" s="24"/>
      <c r="E467" s="25"/>
      <c r="F467" s="24" t="str">
        <f t="shared" si="0"/>
        <v/>
      </c>
      <c r="G467" s="26" t="str">
        <f t="shared" si="1"/>
        <v/>
      </c>
      <c r="H467" s="27" t="str">
        <f t="shared" si="2"/>
        <v>Positional</v>
      </c>
      <c r="J467" s="73">
        <v>44726</v>
      </c>
      <c r="K467" s="31" t="s">
        <v>320</v>
      </c>
      <c r="L467" s="74">
        <v>23.6</v>
      </c>
      <c r="M467" s="31" t="s">
        <v>323</v>
      </c>
    </row>
    <row r="468" spans="1:13" ht="14.25" customHeight="1">
      <c r="A468" s="21">
        <v>44455</v>
      </c>
      <c r="B468" s="22">
        <v>-2015.67</v>
      </c>
      <c r="C468" s="23" t="s">
        <v>20</v>
      </c>
      <c r="D468" s="24">
        <v>44063.95</v>
      </c>
      <c r="E468" s="25">
        <v>281167.5</v>
      </c>
      <c r="F468" s="24">
        <f t="shared" si="0"/>
        <v>52.57</v>
      </c>
      <c r="G468" s="26">
        <f t="shared" si="1"/>
        <v>325231.45</v>
      </c>
      <c r="H468" s="27" t="str">
        <f t="shared" si="2"/>
        <v/>
      </c>
      <c r="J468" s="73">
        <v>44727</v>
      </c>
      <c r="K468" s="31" t="s">
        <v>324</v>
      </c>
      <c r="L468" s="74">
        <v>8.31</v>
      </c>
      <c r="M468" s="31" t="s">
        <v>325</v>
      </c>
    </row>
    <row r="469" spans="1:13" ht="14.25" customHeight="1">
      <c r="A469" s="21">
        <v>44456</v>
      </c>
      <c r="B469" s="22">
        <v>77.349999999999994</v>
      </c>
      <c r="C469" s="23" t="s">
        <v>20</v>
      </c>
      <c r="D469" s="24">
        <v>44125.37</v>
      </c>
      <c r="E469" s="25">
        <v>281867.5</v>
      </c>
      <c r="F469" s="24">
        <f t="shared" si="0"/>
        <v>158.08000000000001</v>
      </c>
      <c r="G469" s="26">
        <f t="shared" si="1"/>
        <v>977978.61</v>
      </c>
      <c r="H469" s="27" t="str">
        <f t="shared" si="2"/>
        <v/>
      </c>
      <c r="J469" s="73">
        <v>44736</v>
      </c>
      <c r="K469" s="31" t="s">
        <v>324</v>
      </c>
      <c r="L469" s="74">
        <v>10.31</v>
      </c>
      <c r="M469" s="31" t="s">
        <v>326</v>
      </c>
    </row>
    <row r="470" spans="1:13" ht="14.25" customHeight="1">
      <c r="A470" s="21">
        <v>44459</v>
      </c>
      <c r="B470" s="22">
        <v>0.04</v>
      </c>
      <c r="C470" s="23" t="s">
        <v>16</v>
      </c>
      <c r="D470" s="24">
        <v>18645.419999999998</v>
      </c>
      <c r="E470" s="25">
        <v>307317.5</v>
      </c>
      <c r="F470" s="24">
        <f t="shared" si="0"/>
        <v>52.69</v>
      </c>
      <c r="G470" s="26">
        <f t="shared" si="1"/>
        <v>325962.92</v>
      </c>
      <c r="H470" s="27" t="str">
        <f t="shared" si="2"/>
        <v/>
      </c>
      <c r="J470" s="73"/>
      <c r="K470" s="31" t="s">
        <v>131</v>
      </c>
      <c r="L470" s="74">
        <v>15.93</v>
      </c>
      <c r="M470" s="31" t="s">
        <v>327</v>
      </c>
    </row>
    <row r="471" spans="1:13" ht="14.25" customHeight="1">
      <c r="A471" s="21">
        <v>44460</v>
      </c>
      <c r="B471" s="22">
        <v>474</v>
      </c>
      <c r="C471" s="23" t="s">
        <v>139</v>
      </c>
      <c r="D471" s="24"/>
      <c r="E471" s="25"/>
      <c r="F471" s="24" t="str">
        <f t="shared" si="0"/>
        <v/>
      </c>
      <c r="G471" s="26" t="str">
        <f t="shared" si="1"/>
        <v/>
      </c>
      <c r="H471" s="27" t="str">
        <f t="shared" si="2"/>
        <v>Positional</v>
      </c>
      <c r="J471" s="73"/>
      <c r="K471" s="31" t="s">
        <v>131</v>
      </c>
      <c r="L471" s="74">
        <v>15.93</v>
      </c>
      <c r="M471" s="31" t="s">
        <v>327</v>
      </c>
    </row>
    <row r="472" spans="1:13" ht="14.25" customHeight="1">
      <c r="A472" s="21">
        <v>44460</v>
      </c>
      <c r="B472" s="22">
        <v>627</v>
      </c>
      <c r="C472" s="23" t="s">
        <v>219</v>
      </c>
      <c r="D472" s="24"/>
      <c r="E472" s="25"/>
      <c r="F472" s="24" t="str">
        <f t="shared" si="0"/>
        <v/>
      </c>
      <c r="G472" s="26" t="str">
        <f t="shared" si="1"/>
        <v/>
      </c>
      <c r="H472" s="27" t="str">
        <f t="shared" si="2"/>
        <v>Positional</v>
      </c>
      <c r="J472" s="73"/>
      <c r="K472" s="31" t="s">
        <v>131</v>
      </c>
      <c r="L472" s="74">
        <v>15.93</v>
      </c>
      <c r="M472" s="31" t="s">
        <v>328</v>
      </c>
    </row>
    <row r="473" spans="1:13" ht="14.25" customHeight="1">
      <c r="A473" s="21">
        <v>44460</v>
      </c>
      <c r="B473" s="22">
        <v>371.25</v>
      </c>
      <c r="C473" s="23" t="s">
        <v>20</v>
      </c>
      <c r="D473" s="24">
        <v>34690.800000000003</v>
      </c>
      <c r="E473" s="25">
        <v>292730.5</v>
      </c>
      <c r="F473" s="24">
        <f t="shared" si="0"/>
        <v>52.93</v>
      </c>
      <c r="G473" s="26">
        <f t="shared" si="1"/>
        <v>327421.3</v>
      </c>
      <c r="H473" s="27" t="str">
        <f t="shared" si="2"/>
        <v/>
      </c>
      <c r="J473" s="73"/>
      <c r="K473" s="31" t="s">
        <v>131</v>
      </c>
      <c r="L473" s="74">
        <v>15.93</v>
      </c>
      <c r="M473" s="31" t="s">
        <v>329</v>
      </c>
    </row>
    <row r="474" spans="1:13" ht="14.25" customHeight="1">
      <c r="A474" s="21">
        <v>44461</v>
      </c>
      <c r="B474" s="22">
        <v>347</v>
      </c>
      <c r="C474" s="23" t="s">
        <v>220</v>
      </c>
      <c r="D474" s="24"/>
      <c r="E474" s="25"/>
      <c r="F474" s="24" t="str">
        <f t="shared" si="0"/>
        <v/>
      </c>
      <c r="G474" s="26" t="str">
        <f t="shared" si="1"/>
        <v/>
      </c>
      <c r="H474" s="27" t="str">
        <f t="shared" si="2"/>
        <v>Positional</v>
      </c>
      <c r="J474" s="73"/>
      <c r="K474" s="31" t="s">
        <v>131</v>
      </c>
      <c r="L474" s="74">
        <v>15.93</v>
      </c>
      <c r="M474" s="31" t="s">
        <v>330</v>
      </c>
    </row>
    <row r="475" spans="1:13" ht="14.25" customHeight="1">
      <c r="A475" s="21">
        <v>44461</v>
      </c>
      <c r="B475" s="22">
        <v>187.15</v>
      </c>
      <c r="C475" s="23" t="s">
        <v>20</v>
      </c>
      <c r="D475" s="24">
        <v>34638.949999999997</v>
      </c>
      <c r="E475" s="25">
        <v>293315.5</v>
      </c>
      <c r="F475" s="24">
        <f t="shared" si="0"/>
        <v>53.01</v>
      </c>
      <c r="G475" s="26">
        <f t="shared" si="1"/>
        <v>327954.45</v>
      </c>
      <c r="H475" s="27" t="str">
        <f t="shared" si="2"/>
        <v/>
      </c>
      <c r="J475" s="73"/>
      <c r="K475" s="31" t="s">
        <v>131</v>
      </c>
      <c r="L475" s="74">
        <v>15.93</v>
      </c>
      <c r="M475" s="31" t="s">
        <v>283</v>
      </c>
    </row>
    <row r="476" spans="1:13" ht="14.25" customHeight="1">
      <c r="A476" s="21">
        <v>44462</v>
      </c>
      <c r="B476" s="22">
        <v>345</v>
      </c>
      <c r="C476" s="23" t="s">
        <v>221</v>
      </c>
      <c r="D476" s="24"/>
      <c r="E476" s="25"/>
      <c r="F476" s="24" t="str">
        <f t="shared" si="0"/>
        <v/>
      </c>
      <c r="G476" s="26" t="str">
        <f t="shared" si="1"/>
        <v/>
      </c>
      <c r="H476" s="27" t="str">
        <f t="shared" si="2"/>
        <v>Positional</v>
      </c>
      <c r="J476" s="73"/>
      <c r="K476" s="31" t="s">
        <v>131</v>
      </c>
      <c r="L476" s="74">
        <v>15.93</v>
      </c>
      <c r="M476" s="31" t="s">
        <v>274</v>
      </c>
    </row>
    <row r="477" spans="1:13" ht="14.25" customHeight="1">
      <c r="A477" s="21">
        <v>44462</v>
      </c>
      <c r="B477" s="22">
        <v>10.77</v>
      </c>
      <c r="C477" s="23" t="s">
        <v>20</v>
      </c>
      <c r="D477" s="24">
        <v>38061.86</v>
      </c>
      <c r="E477" s="25">
        <v>305010.5</v>
      </c>
      <c r="F477" s="24">
        <f t="shared" si="0"/>
        <v>55.46</v>
      </c>
      <c r="G477" s="26">
        <f t="shared" si="1"/>
        <v>343072.36</v>
      </c>
      <c r="H477" s="27" t="str">
        <f t="shared" si="2"/>
        <v/>
      </c>
      <c r="J477" s="73"/>
      <c r="K477" s="31" t="s">
        <v>131</v>
      </c>
      <c r="L477" s="74">
        <v>15.93</v>
      </c>
      <c r="M477" s="31" t="s">
        <v>331</v>
      </c>
    </row>
    <row r="478" spans="1:13" ht="14.25" customHeight="1">
      <c r="A478" s="21">
        <v>44463</v>
      </c>
      <c r="B478" s="22">
        <v>1863</v>
      </c>
      <c r="C478" s="23" t="s">
        <v>45</v>
      </c>
      <c r="D478" s="24"/>
      <c r="E478" s="25"/>
      <c r="F478" s="24" t="str">
        <f t="shared" si="0"/>
        <v/>
      </c>
      <c r="G478" s="26" t="str">
        <f t="shared" si="1"/>
        <v/>
      </c>
      <c r="H478" s="27" t="str">
        <f t="shared" si="2"/>
        <v>Positional</v>
      </c>
      <c r="J478" s="73"/>
      <c r="K478" s="31" t="s">
        <v>131</v>
      </c>
      <c r="L478" s="74">
        <v>15.93</v>
      </c>
      <c r="M478" s="31" t="s">
        <v>332</v>
      </c>
    </row>
    <row r="479" spans="1:13" ht="14.25" customHeight="1">
      <c r="A479" s="21">
        <v>44463</v>
      </c>
      <c r="B479" s="22">
        <v>-5.95</v>
      </c>
      <c r="C479" s="23" t="s">
        <v>20</v>
      </c>
      <c r="D479" s="24">
        <v>29917.98</v>
      </c>
      <c r="E479" s="25">
        <v>314965.5</v>
      </c>
      <c r="F479" s="24">
        <f t="shared" si="0"/>
        <v>222.99</v>
      </c>
      <c r="G479" s="26">
        <f t="shared" si="1"/>
        <v>1379533.92</v>
      </c>
      <c r="H479" s="27" t="str">
        <f t="shared" si="2"/>
        <v/>
      </c>
      <c r="J479" s="73"/>
      <c r="K479" s="31" t="s">
        <v>131</v>
      </c>
      <c r="L479" s="74">
        <v>15.93</v>
      </c>
      <c r="M479" s="31" t="s">
        <v>283</v>
      </c>
    </row>
    <row r="480" spans="1:13" ht="14.25" customHeight="1">
      <c r="A480" s="21">
        <v>44467</v>
      </c>
      <c r="B480" s="22">
        <v>64.010000000000005</v>
      </c>
      <c r="C480" s="23" t="s">
        <v>20</v>
      </c>
      <c r="D480" s="24">
        <v>6924.99</v>
      </c>
      <c r="E480" s="25">
        <v>337995.5</v>
      </c>
      <c r="F480" s="24">
        <f t="shared" si="0"/>
        <v>55.75</v>
      </c>
      <c r="G480" s="26">
        <f t="shared" si="1"/>
        <v>344920.49</v>
      </c>
      <c r="H480" s="27" t="str">
        <f t="shared" si="2"/>
        <v/>
      </c>
      <c r="J480" s="73"/>
      <c r="K480" s="31" t="s">
        <v>131</v>
      </c>
      <c r="L480" s="74">
        <v>15.93</v>
      </c>
      <c r="M480" s="31" t="s">
        <v>274</v>
      </c>
    </row>
    <row r="481" spans="1:13" ht="14.25" customHeight="1">
      <c r="A481" s="21">
        <v>44468</v>
      </c>
      <c r="B481" s="22">
        <v>219.62</v>
      </c>
      <c r="C481" s="23" t="s">
        <v>20</v>
      </c>
      <c r="D481" s="24">
        <v>7144.61</v>
      </c>
      <c r="E481" s="25">
        <v>337995.5</v>
      </c>
      <c r="F481" s="24">
        <f t="shared" si="0"/>
        <v>55.79</v>
      </c>
      <c r="G481" s="26">
        <f t="shared" si="1"/>
        <v>345140.11</v>
      </c>
      <c r="H481" s="27" t="str">
        <f t="shared" si="2"/>
        <v/>
      </c>
      <c r="J481" s="73"/>
      <c r="K481" s="31" t="s">
        <v>131</v>
      </c>
      <c r="L481" s="74">
        <v>15.93</v>
      </c>
      <c r="M481" s="31" t="s">
        <v>333</v>
      </c>
    </row>
    <row r="482" spans="1:13" ht="14.25" customHeight="1">
      <c r="A482" s="21">
        <v>44469</v>
      </c>
      <c r="B482" s="22">
        <v>3</v>
      </c>
      <c r="C482" s="23" t="s">
        <v>222</v>
      </c>
      <c r="D482" s="24"/>
      <c r="E482" s="25"/>
      <c r="F482" s="24" t="str">
        <f t="shared" si="0"/>
        <v/>
      </c>
      <c r="G482" s="26" t="str">
        <f t="shared" si="1"/>
        <v/>
      </c>
      <c r="H482" s="27" t="str">
        <f t="shared" si="2"/>
        <v>Positional</v>
      </c>
      <c r="J482" s="73">
        <v>44778</v>
      </c>
      <c r="K482" s="31" t="s">
        <v>320</v>
      </c>
      <c r="L482" s="74">
        <v>23.6</v>
      </c>
      <c r="M482" s="76" t="s">
        <v>334</v>
      </c>
    </row>
    <row r="483" spans="1:13" ht="14.25" customHeight="1">
      <c r="A483" s="21">
        <v>44469</v>
      </c>
      <c r="B483" s="22">
        <v>0.46</v>
      </c>
      <c r="C483" s="23" t="s">
        <v>16</v>
      </c>
      <c r="D483" s="24">
        <v>8313.14</v>
      </c>
      <c r="E483" s="25">
        <v>336745.5</v>
      </c>
      <c r="F483" s="24">
        <f t="shared" si="0"/>
        <v>55.78</v>
      </c>
      <c r="G483" s="26">
        <f t="shared" si="1"/>
        <v>345058.64</v>
      </c>
      <c r="H483" s="27" t="str">
        <f t="shared" si="2"/>
        <v/>
      </c>
      <c r="J483" s="73"/>
      <c r="K483" s="28" t="s">
        <v>131</v>
      </c>
      <c r="L483" s="74">
        <v>15.93</v>
      </c>
      <c r="M483" s="31" t="s">
        <v>335</v>
      </c>
    </row>
    <row r="484" spans="1:13" ht="14.25" customHeight="1">
      <c r="A484" s="21">
        <v>44470</v>
      </c>
      <c r="B484" s="22">
        <v>-0.68</v>
      </c>
      <c r="C484" s="23" t="s">
        <v>16</v>
      </c>
      <c r="D484" s="24">
        <v>718.47</v>
      </c>
      <c r="E484" s="25">
        <v>344330.85</v>
      </c>
      <c r="F484" s="24">
        <f t="shared" si="0"/>
        <v>167.33</v>
      </c>
      <c r="G484" s="26">
        <f t="shared" si="1"/>
        <v>1035147.9599999998</v>
      </c>
      <c r="H484" s="27" t="str">
        <f t="shared" si="2"/>
        <v/>
      </c>
      <c r="J484" s="73"/>
      <c r="K484" s="28" t="s">
        <v>131</v>
      </c>
      <c r="L484" s="74">
        <v>15.93</v>
      </c>
      <c r="M484" s="31" t="s">
        <v>336</v>
      </c>
    </row>
    <row r="485" spans="1:13" ht="14.25" customHeight="1">
      <c r="A485" s="21">
        <v>44473</v>
      </c>
      <c r="B485" s="22">
        <v>413</v>
      </c>
      <c r="C485" s="23" t="s">
        <v>223</v>
      </c>
      <c r="D485" s="24"/>
      <c r="E485" s="25"/>
      <c r="F485" s="24" t="str">
        <f t="shared" si="0"/>
        <v/>
      </c>
      <c r="G485" s="26" t="str">
        <f t="shared" si="1"/>
        <v/>
      </c>
      <c r="H485" s="27" t="str">
        <f t="shared" si="2"/>
        <v>Positional</v>
      </c>
      <c r="J485" s="73"/>
      <c r="K485" s="28" t="s">
        <v>131</v>
      </c>
      <c r="L485" s="74">
        <v>15.93</v>
      </c>
      <c r="M485" s="31" t="s">
        <v>337</v>
      </c>
    </row>
    <row r="486" spans="1:13" ht="14.25" customHeight="1">
      <c r="A486" s="21">
        <v>44473</v>
      </c>
      <c r="B486" s="22">
        <v>116</v>
      </c>
      <c r="C486" s="23" t="s">
        <v>224</v>
      </c>
      <c r="D486" s="24"/>
      <c r="E486" s="25"/>
      <c r="F486" s="24" t="str">
        <f t="shared" si="0"/>
        <v/>
      </c>
      <c r="G486" s="26" t="str">
        <f t="shared" si="1"/>
        <v/>
      </c>
      <c r="H486" s="27" t="str">
        <f t="shared" si="2"/>
        <v>Positional</v>
      </c>
      <c r="J486" s="73"/>
      <c r="K486" s="28" t="s">
        <v>131</v>
      </c>
      <c r="L486" s="74">
        <v>15.93</v>
      </c>
      <c r="M486" s="31" t="s">
        <v>261</v>
      </c>
    </row>
    <row r="487" spans="1:13" ht="14.25" customHeight="1">
      <c r="A487" s="21">
        <v>44473</v>
      </c>
      <c r="B487" s="22">
        <v>0.08</v>
      </c>
      <c r="C487" s="23" t="s">
        <v>16</v>
      </c>
      <c r="D487" s="24">
        <v>3144.62</v>
      </c>
      <c r="E487" s="25">
        <v>342419.7</v>
      </c>
      <c r="F487" s="24">
        <f t="shared" si="0"/>
        <v>55.86</v>
      </c>
      <c r="G487" s="26">
        <f t="shared" si="1"/>
        <v>345564.32</v>
      </c>
      <c r="H487" s="27" t="str">
        <f t="shared" si="2"/>
        <v/>
      </c>
      <c r="J487" s="73"/>
      <c r="K487" s="28" t="s">
        <v>131</v>
      </c>
      <c r="L487" s="74">
        <v>15.93</v>
      </c>
      <c r="M487" s="77" t="s">
        <v>338</v>
      </c>
    </row>
    <row r="488" spans="1:13" ht="14.25" customHeight="1">
      <c r="A488" s="21">
        <v>44474</v>
      </c>
      <c r="B488" s="22">
        <v>467</v>
      </c>
      <c r="C488" s="23" t="s">
        <v>204</v>
      </c>
      <c r="D488" s="24"/>
      <c r="E488" s="25"/>
      <c r="F488" s="24" t="str">
        <f t="shared" si="0"/>
        <v/>
      </c>
      <c r="G488" s="26" t="str">
        <f t="shared" si="1"/>
        <v/>
      </c>
      <c r="H488" s="27" t="str">
        <f t="shared" si="2"/>
        <v>Positional</v>
      </c>
      <c r="J488" s="73">
        <v>44792</v>
      </c>
      <c r="K488" s="31" t="s">
        <v>324</v>
      </c>
      <c r="L488" s="74">
        <v>6.2</v>
      </c>
      <c r="M488" s="31" t="s">
        <v>339</v>
      </c>
    </row>
    <row r="489" spans="1:13" ht="14.25" customHeight="1">
      <c r="A489" s="21">
        <v>44474</v>
      </c>
      <c r="B489" s="22">
        <v>39</v>
      </c>
      <c r="C489" s="23" t="s">
        <v>225</v>
      </c>
      <c r="D489" s="24"/>
      <c r="E489" s="25"/>
      <c r="F489" s="24" t="str">
        <f t="shared" si="0"/>
        <v/>
      </c>
      <c r="G489" s="26" t="str">
        <f t="shared" si="1"/>
        <v/>
      </c>
      <c r="H489" s="27" t="str">
        <f t="shared" si="2"/>
        <v>Positional</v>
      </c>
      <c r="J489" s="73"/>
      <c r="K489" s="28" t="s">
        <v>131</v>
      </c>
      <c r="L489" s="74">
        <v>15.93</v>
      </c>
      <c r="M489" s="31" t="s">
        <v>340</v>
      </c>
    </row>
    <row r="490" spans="1:13" ht="14.25" customHeight="1">
      <c r="A490" s="21">
        <v>44474</v>
      </c>
      <c r="B490" s="22">
        <v>0.33</v>
      </c>
      <c r="C490" s="23" t="s">
        <v>16</v>
      </c>
      <c r="D490" s="24">
        <v>30855.16</v>
      </c>
      <c r="E490" s="25">
        <v>315199.7</v>
      </c>
      <c r="F490" s="24">
        <f t="shared" si="0"/>
        <v>111.88</v>
      </c>
      <c r="G490" s="26">
        <f t="shared" si="1"/>
        <v>692109.72</v>
      </c>
      <c r="H490" s="27" t="str">
        <f t="shared" si="2"/>
        <v/>
      </c>
      <c r="J490" s="73"/>
      <c r="K490" s="28" t="s">
        <v>131</v>
      </c>
      <c r="L490" s="74">
        <v>15.93</v>
      </c>
      <c r="M490" s="31" t="s">
        <v>341</v>
      </c>
    </row>
    <row r="491" spans="1:13" ht="14.25" customHeight="1">
      <c r="A491" s="21">
        <v>44476</v>
      </c>
      <c r="B491" s="22">
        <v>153</v>
      </c>
      <c r="C491" s="23" t="s">
        <v>226</v>
      </c>
      <c r="D491" s="24"/>
      <c r="E491" s="25"/>
      <c r="F491" s="24" t="str">
        <f t="shared" si="0"/>
        <v/>
      </c>
      <c r="G491" s="26" t="str">
        <f t="shared" si="1"/>
        <v/>
      </c>
      <c r="H491" s="27" t="str">
        <f t="shared" si="2"/>
        <v>Positional</v>
      </c>
      <c r="J491" s="73"/>
      <c r="K491" s="28" t="s">
        <v>131</v>
      </c>
      <c r="L491" s="74">
        <v>15.93</v>
      </c>
      <c r="M491" s="31" t="s">
        <v>342</v>
      </c>
    </row>
    <row r="492" spans="1:13" ht="14.25" customHeight="1">
      <c r="A492" s="21">
        <v>44476</v>
      </c>
      <c r="B492" s="22">
        <v>-0.34</v>
      </c>
      <c r="C492" s="23" t="s">
        <v>16</v>
      </c>
      <c r="D492" s="24">
        <v>38705.89</v>
      </c>
      <c r="E492" s="25">
        <v>307584.7</v>
      </c>
      <c r="F492" s="24">
        <f t="shared" si="0"/>
        <v>55.98</v>
      </c>
      <c r="G492" s="26">
        <f t="shared" si="1"/>
        <v>346290.59</v>
      </c>
      <c r="H492" s="27" t="str">
        <f t="shared" si="2"/>
        <v/>
      </c>
      <c r="J492" s="73"/>
      <c r="K492" s="28" t="s">
        <v>131</v>
      </c>
      <c r="L492" s="74">
        <v>15.93</v>
      </c>
      <c r="M492" s="31" t="s">
        <v>341</v>
      </c>
    </row>
    <row r="493" spans="1:13" ht="14.25" customHeight="1">
      <c r="A493" s="21">
        <v>44477</v>
      </c>
      <c r="B493" s="22">
        <v>70</v>
      </c>
      <c r="C493" s="23" t="s">
        <v>227</v>
      </c>
      <c r="D493" s="24"/>
      <c r="E493" s="25"/>
      <c r="F493" s="24" t="str">
        <f t="shared" si="0"/>
        <v/>
      </c>
      <c r="G493" s="26" t="str">
        <f t="shared" si="1"/>
        <v/>
      </c>
      <c r="H493" s="27" t="str">
        <f t="shared" si="2"/>
        <v>Positional</v>
      </c>
      <c r="J493" s="73"/>
      <c r="K493" s="28" t="s">
        <v>131</v>
      </c>
      <c r="L493" s="74">
        <v>15.93</v>
      </c>
      <c r="M493" s="31" t="s">
        <v>343</v>
      </c>
    </row>
    <row r="494" spans="1:13" ht="14.25" customHeight="1">
      <c r="A494" s="21">
        <v>44477</v>
      </c>
      <c r="B494" s="22">
        <v>435</v>
      </c>
      <c r="C494" s="23" t="s">
        <v>228</v>
      </c>
      <c r="D494" s="24"/>
      <c r="E494" s="25"/>
      <c r="F494" s="24" t="str">
        <f t="shared" si="0"/>
        <v/>
      </c>
      <c r="G494" s="26" t="str">
        <f t="shared" si="1"/>
        <v/>
      </c>
      <c r="H494" s="27" t="str">
        <f t="shared" si="2"/>
        <v>Positional</v>
      </c>
      <c r="J494" s="73"/>
      <c r="K494" s="28" t="s">
        <v>131</v>
      </c>
      <c r="L494" s="74">
        <v>15.93</v>
      </c>
      <c r="M494" s="31" t="s">
        <v>340</v>
      </c>
    </row>
    <row r="495" spans="1:13" ht="14.25" customHeight="1">
      <c r="A495" s="21">
        <v>44477</v>
      </c>
      <c r="B495" s="22">
        <v>457</v>
      </c>
      <c r="C495" s="23" t="s">
        <v>229</v>
      </c>
      <c r="D495" s="24"/>
      <c r="E495" s="25"/>
      <c r="F495" s="24" t="str">
        <f t="shared" si="0"/>
        <v/>
      </c>
      <c r="G495" s="26" t="str">
        <f t="shared" si="1"/>
        <v/>
      </c>
      <c r="H495" s="27" t="str">
        <f t="shared" si="2"/>
        <v>Positional</v>
      </c>
      <c r="J495" s="73"/>
      <c r="K495" s="28" t="s">
        <v>131</v>
      </c>
      <c r="L495" s="74">
        <v>15.93</v>
      </c>
      <c r="M495" s="31" t="s">
        <v>344</v>
      </c>
    </row>
    <row r="496" spans="1:13" ht="14.25" customHeight="1">
      <c r="A496" s="21">
        <v>44477</v>
      </c>
      <c r="B496" s="22">
        <v>75.099999999999994</v>
      </c>
      <c r="C496" s="23" t="s">
        <v>20</v>
      </c>
      <c r="D496" s="24">
        <v>53214.21</v>
      </c>
      <c r="E496" s="25">
        <v>308322.7</v>
      </c>
      <c r="F496" s="24">
        <f t="shared" si="0"/>
        <v>175.32</v>
      </c>
      <c r="G496" s="26">
        <f t="shared" si="1"/>
        <v>1084610.73</v>
      </c>
      <c r="H496" s="27" t="str">
        <f t="shared" si="2"/>
        <v/>
      </c>
      <c r="J496" s="73"/>
      <c r="K496" s="28" t="s">
        <v>131</v>
      </c>
      <c r="L496" s="74">
        <v>15.93</v>
      </c>
      <c r="M496" s="31" t="s">
        <v>345</v>
      </c>
    </row>
    <row r="497" spans="1:13" ht="14.25" customHeight="1">
      <c r="A497" s="21">
        <v>44480</v>
      </c>
      <c r="B497" s="22">
        <v>184.64</v>
      </c>
      <c r="C497" s="23" t="s">
        <v>20</v>
      </c>
      <c r="D497" s="24">
        <v>10028.85</v>
      </c>
      <c r="E497" s="25">
        <v>321697.7</v>
      </c>
      <c r="F497" s="24">
        <f t="shared" si="0"/>
        <v>53.62</v>
      </c>
      <c r="G497" s="26">
        <f t="shared" si="1"/>
        <v>331726.55</v>
      </c>
      <c r="H497" s="27" t="str">
        <f t="shared" si="2"/>
        <v/>
      </c>
      <c r="J497" s="73"/>
      <c r="K497" s="28" t="s">
        <v>131</v>
      </c>
      <c r="L497" s="74">
        <v>15.93</v>
      </c>
      <c r="M497" s="31" t="s">
        <v>346</v>
      </c>
    </row>
    <row r="498" spans="1:13" ht="14.25" customHeight="1">
      <c r="A498" s="21">
        <v>44481</v>
      </c>
      <c r="B498" s="22">
        <v>225.51</v>
      </c>
      <c r="C498" s="23" t="s">
        <v>20</v>
      </c>
      <c r="D498" s="24">
        <v>10233.36</v>
      </c>
      <c r="E498" s="25">
        <v>321697.7</v>
      </c>
      <c r="F498" s="24">
        <f t="shared" si="0"/>
        <v>53.65</v>
      </c>
      <c r="G498" s="26">
        <f t="shared" si="1"/>
        <v>331931.06</v>
      </c>
      <c r="H498" s="27" t="str">
        <f t="shared" si="2"/>
        <v/>
      </c>
      <c r="J498" s="73"/>
      <c r="K498" s="28" t="s">
        <v>131</v>
      </c>
      <c r="L498" s="74">
        <v>15.93</v>
      </c>
      <c r="M498" s="31" t="s">
        <v>347</v>
      </c>
    </row>
    <row r="499" spans="1:13" ht="14.25" customHeight="1">
      <c r="A499" s="21">
        <v>44482</v>
      </c>
      <c r="B499" s="22">
        <v>108.16</v>
      </c>
      <c r="C499" s="23" t="s">
        <v>20</v>
      </c>
      <c r="D499" s="24">
        <v>4280.59</v>
      </c>
      <c r="E499" s="25">
        <v>328110.2</v>
      </c>
      <c r="F499" s="24">
        <f t="shared" si="0"/>
        <v>53.73</v>
      </c>
      <c r="G499" s="26">
        <f t="shared" si="1"/>
        <v>332390.79000000004</v>
      </c>
      <c r="H499" s="27" t="str">
        <f t="shared" si="2"/>
        <v/>
      </c>
      <c r="J499" s="73"/>
      <c r="K499" s="28" t="s">
        <v>131</v>
      </c>
      <c r="L499" s="74">
        <v>15.93</v>
      </c>
      <c r="M499" s="31" t="s">
        <v>246</v>
      </c>
    </row>
    <row r="500" spans="1:13" ht="14.25" customHeight="1">
      <c r="A500" s="21">
        <v>44483</v>
      </c>
      <c r="B500" s="22">
        <v>-0.3</v>
      </c>
      <c r="C500" s="23" t="s">
        <v>20</v>
      </c>
      <c r="D500" s="24">
        <v>4280.29</v>
      </c>
      <c r="E500" s="25">
        <v>328110.2</v>
      </c>
      <c r="F500" s="24">
        <f t="shared" si="0"/>
        <v>214.92</v>
      </c>
      <c r="G500" s="26">
        <f t="shared" si="1"/>
        <v>1329561.96</v>
      </c>
      <c r="H500" s="27" t="str">
        <f t="shared" si="2"/>
        <v/>
      </c>
      <c r="J500" s="73">
        <v>44817</v>
      </c>
      <c r="K500" s="28" t="s">
        <v>131</v>
      </c>
      <c r="L500" s="74">
        <v>15.93</v>
      </c>
      <c r="M500" s="31" t="s">
        <v>108</v>
      </c>
    </row>
    <row r="501" spans="1:13" ht="14.25" customHeight="1">
      <c r="A501" s="21">
        <v>44487</v>
      </c>
      <c r="B501" s="22">
        <v>365</v>
      </c>
      <c r="C501" s="23" t="s">
        <v>230</v>
      </c>
      <c r="D501" s="24"/>
      <c r="E501" s="25"/>
      <c r="F501" s="24" t="str">
        <f t="shared" si="0"/>
        <v/>
      </c>
      <c r="G501" s="26" t="str">
        <f t="shared" si="1"/>
        <v/>
      </c>
      <c r="H501" s="27" t="str">
        <f t="shared" si="2"/>
        <v>Positional</v>
      </c>
      <c r="J501" s="73">
        <v>44817</v>
      </c>
      <c r="K501" s="28" t="s">
        <v>131</v>
      </c>
      <c r="L501" s="74">
        <v>15.93</v>
      </c>
      <c r="M501" s="31" t="s">
        <v>348</v>
      </c>
    </row>
    <row r="502" spans="1:13" ht="14.25" customHeight="1">
      <c r="A502" s="21">
        <v>44487</v>
      </c>
      <c r="B502" s="22">
        <v>327</v>
      </c>
      <c r="C502" s="23" t="s">
        <v>231</v>
      </c>
      <c r="D502" s="24"/>
      <c r="E502" s="25"/>
      <c r="F502" s="24" t="str">
        <f t="shared" si="0"/>
        <v/>
      </c>
      <c r="G502" s="26" t="str">
        <f t="shared" si="1"/>
        <v/>
      </c>
      <c r="H502" s="27" t="str">
        <f t="shared" si="2"/>
        <v>Positional</v>
      </c>
      <c r="J502" s="73">
        <v>44817</v>
      </c>
      <c r="K502" s="28" t="s">
        <v>131</v>
      </c>
      <c r="L502" s="74">
        <v>15.93</v>
      </c>
      <c r="M502" s="31" t="s">
        <v>349</v>
      </c>
    </row>
    <row r="503" spans="1:13" ht="14.25" customHeight="1">
      <c r="A503" s="21">
        <v>44487</v>
      </c>
      <c r="B503" s="22">
        <v>69</v>
      </c>
      <c r="C503" s="23" t="s">
        <v>232</v>
      </c>
      <c r="D503" s="24"/>
      <c r="E503" s="25"/>
      <c r="F503" s="24" t="str">
        <f t="shared" si="0"/>
        <v/>
      </c>
      <c r="G503" s="26" t="str">
        <f t="shared" si="1"/>
        <v/>
      </c>
      <c r="H503" s="27" t="str">
        <f t="shared" si="2"/>
        <v>Positional</v>
      </c>
      <c r="J503" s="73">
        <v>44818</v>
      </c>
      <c r="K503" s="28" t="s">
        <v>131</v>
      </c>
      <c r="L503" s="74">
        <v>15.93</v>
      </c>
      <c r="M503" s="31" t="s">
        <v>350</v>
      </c>
    </row>
    <row r="504" spans="1:13" ht="14.25" customHeight="1">
      <c r="A504" s="21">
        <v>44487</v>
      </c>
      <c r="B504" s="22">
        <v>131</v>
      </c>
      <c r="C504" s="23" t="s">
        <v>233</v>
      </c>
      <c r="D504" s="24"/>
      <c r="E504" s="25"/>
      <c r="F504" s="24" t="str">
        <f t="shared" si="0"/>
        <v/>
      </c>
      <c r="G504" s="26" t="str">
        <f t="shared" si="1"/>
        <v/>
      </c>
      <c r="H504" s="27" t="str">
        <f t="shared" si="2"/>
        <v>Positional</v>
      </c>
      <c r="J504" s="73">
        <v>44823</v>
      </c>
      <c r="K504" s="28" t="s">
        <v>131</v>
      </c>
      <c r="L504" s="74">
        <v>15.93</v>
      </c>
      <c r="M504" s="31" t="s">
        <v>351</v>
      </c>
    </row>
    <row r="505" spans="1:13" ht="14.25" customHeight="1">
      <c r="A505" s="21">
        <v>44487</v>
      </c>
      <c r="B505" s="22">
        <v>269.52</v>
      </c>
      <c r="C505" s="23" t="s">
        <v>20</v>
      </c>
      <c r="D505" s="24">
        <v>13744.08</v>
      </c>
      <c r="E505" s="25">
        <v>319754.2</v>
      </c>
      <c r="F505" s="24">
        <f t="shared" si="0"/>
        <v>53.91</v>
      </c>
      <c r="G505" s="26">
        <f t="shared" si="1"/>
        <v>333498.28000000003</v>
      </c>
      <c r="H505" s="27" t="str">
        <f t="shared" si="2"/>
        <v/>
      </c>
      <c r="J505" s="73">
        <v>44823</v>
      </c>
      <c r="K505" s="28" t="s">
        <v>131</v>
      </c>
      <c r="L505" s="74">
        <v>15.93</v>
      </c>
      <c r="M505" s="31" t="s">
        <v>352</v>
      </c>
    </row>
    <row r="506" spans="1:13" ht="14.25" customHeight="1">
      <c r="A506" s="21">
        <v>44488</v>
      </c>
      <c r="B506" s="22">
        <v>673</v>
      </c>
      <c r="C506" s="23" t="s">
        <v>234</v>
      </c>
      <c r="D506" s="24"/>
      <c r="E506" s="25"/>
      <c r="F506" s="24" t="str">
        <f t="shared" si="0"/>
        <v/>
      </c>
      <c r="G506" s="26" t="str">
        <f t="shared" si="1"/>
        <v/>
      </c>
      <c r="H506" s="27" t="str">
        <f t="shared" si="2"/>
        <v>Positional</v>
      </c>
      <c r="J506" s="73">
        <v>44824</v>
      </c>
      <c r="K506" s="28" t="s">
        <v>131</v>
      </c>
      <c r="L506" s="74">
        <v>15.93</v>
      </c>
      <c r="M506" s="31" t="s">
        <v>266</v>
      </c>
    </row>
    <row r="507" spans="1:13" ht="14.25" customHeight="1">
      <c r="A507" s="21">
        <v>44488</v>
      </c>
      <c r="B507" s="22">
        <v>154.93</v>
      </c>
      <c r="C507" s="23" t="s">
        <v>20</v>
      </c>
      <c r="D507" s="24">
        <v>20601.09</v>
      </c>
      <c r="E507" s="25">
        <v>313716.7</v>
      </c>
      <c r="F507" s="24">
        <f t="shared" si="0"/>
        <v>54.04</v>
      </c>
      <c r="G507" s="26">
        <f t="shared" si="1"/>
        <v>334317.79000000004</v>
      </c>
      <c r="H507" s="27" t="str">
        <f t="shared" si="2"/>
        <v/>
      </c>
      <c r="J507" s="73">
        <v>44859</v>
      </c>
      <c r="K507" s="28" t="s">
        <v>131</v>
      </c>
      <c r="L507" s="74">
        <v>15.93</v>
      </c>
      <c r="M507" s="31" t="s">
        <v>353</v>
      </c>
    </row>
    <row r="508" spans="1:13" ht="14.25" customHeight="1">
      <c r="A508" s="21">
        <v>44489</v>
      </c>
      <c r="B508" s="22">
        <v>357.14</v>
      </c>
      <c r="C508" s="23" t="s">
        <v>20</v>
      </c>
      <c r="D508" s="24">
        <v>31205.24</v>
      </c>
      <c r="E508" s="25">
        <v>333446.7</v>
      </c>
      <c r="F508" s="24">
        <f t="shared" si="0"/>
        <v>58.94</v>
      </c>
      <c r="G508" s="26">
        <f t="shared" si="1"/>
        <v>364651.94</v>
      </c>
      <c r="H508" s="27" t="str">
        <f t="shared" si="2"/>
        <v/>
      </c>
      <c r="J508" s="73"/>
      <c r="K508" s="31" t="s">
        <v>354</v>
      </c>
      <c r="L508" s="74"/>
      <c r="M508" s="31"/>
    </row>
    <row r="509" spans="1:13" ht="14.25" customHeight="1">
      <c r="A509" s="21">
        <v>44490</v>
      </c>
      <c r="B509" s="22">
        <v>117.53</v>
      </c>
      <c r="C509" s="23" t="s">
        <v>20</v>
      </c>
      <c r="D509" s="24">
        <v>9406.76</v>
      </c>
      <c r="E509" s="25">
        <v>355236.7</v>
      </c>
      <c r="F509" s="24">
        <f t="shared" si="0"/>
        <v>58.94</v>
      </c>
      <c r="G509" s="26">
        <f t="shared" si="1"/>
        <v>364643.46</v>
      </c>
      <c r="H509" s="27" t="str">
        <f t="shared" si="2"/>
        <v/>
      </c>
      <c r="J509" s="73">
        <v>44865</v>
      </c>
      <c r="K509" s="28" t="s">
        <v>131</v>
      </c>
      <c r="L509" s="74">
        <v>15.93</v>
      </c>
      <c r="M509" s="31" t="s">
        <v>355</v>
      </c>
    </row>
    <row r="510" spans="1:13" ht="14.25" customHeight="1">
      <c r="A510" s="21">
        <v>44491</v>
      </c>
      <c r="B510" s="22">
        <v>248.01</v>
      </c>
      <c r="C510" s="23" t="s">
        <v>20</v>
      </c>
      <c r="D510" s="24">
        <v>4427.76</v>
      </c>
      <c r="E510" s="25">
        <v>354278</v>
      </c>
      <c r="F510" s="24">
        <f t="shared" si="0"/>
        <v>173.95</v>
      </c>
      <c r="G510" s="26">
        <f t="shared" si="1"/>
        <v>1076117.28</v>
      </c>
      <c r="H510" s="27" t="str">
        <f t="shared" si="2"/>
        <v/>
      </c>
      <c r="J510" s="73">
        <v>44876</v>
      </c>
      <c r="K510" s="28" t="s">
        <v>131</v>
      </c>
      <c r="L510" s="74">
        <v>15.93</v>
      </c>
      <c r="M510" s="31" t="s">
        <v>115</v>
      </c>
    </row>
    <row r="511" spans="1:13" ht="14.25" customHeight="1">
      <c r="A511" s="21">
        <v>44494</v>
      </c>
      <c r="B511" s="22">
        <v>794</v>
      </c>
      <c r="C511" s="23" t="s">
        <v>235</v>
      </c>
      <c r="D511" s="24"/>
      <c r="E511" s="25"/>
      <c r="F511" s="24" t="str">
        <f t="shared" si="0"/>
        <v/>
      </c>
      <c r="G511" s="26" t="str">
        <f t="shared" si="1"/>
        <v/>
      </c>
      <c r="H511" s="27" t="str">
        <f t="shared" si="2"/>
        <v>Positional</v>
      </c>
      <c r="J511" s="73">
        <v>44876</v>
      </c>
      <c r="K511" s="28" t="s">
        <v>356</v>
      </c>
      <c r="L511" s="74">
        <v>118</v>
      </c>
      <c r="M511" s="31"/>
    </row>
    <row r="512" spans="1:13" ht="14.25" customHeight="1">
      <c r="A512" s="21">
        <v>44494</v>
      </c>
      <c r="B512" s="22">
        <v>-0.33</v>
      </c>
      <c r="C512" s="23" t="s">
        <v>16</v>
      </c>
      <c r="D512" s="24">
        <v>11978.51</v>
      </c>
      <c r="E512" s="25">
        <v>347505</v>
      </c>
      <c r="F512" s="24">
        <f t="shared" si="0"/>
        <v>58.11</v>
      </c>
      <c r="G512" s="26">
        <f t="shared" si="1"/>
        <v>359483.51</v>
      </c>
      <c r="H512" s="27" t="str">
        <f t="shared" si="2"/>
        <v/>
      </c>
      <c r="J512" s="73">
        <v>44879</v>
      </c>
      <c r="K512" s="28" t="s">
        <v>131</v>
      </c>
      <c r="L512" s="74">
        <v>15.93</v>
      </c>
      <c r="M512" s="31" t="s">
        <v>357</v>
      </c>
    </row>
    <row r="513" spans="1:16" ht="14.25" customHeight="1">
      <c r="A513" s="21">
        <v>44495</v>
      </c>
      <c r="B513" s="22">
        <v>516.21</v>
      </c>
      <c r="C513" s="23" t="s">
        <v>20</v>
      </c>
      <c r="D513" s="24">
        <v>14494.71</v>
      </c>
      <c r="E513" s="25">
        <v>347505</v>
      </c>
      <c r="F513" s="24">
        <f t="shared" si="0"/>
        <v>58.52</v>
      </c>
      <c r="G513" s="26">
        <f t="shared" si="1"/>
        <v>361999.71</v>
      </c>
      <c r="H513" s="27" t="str">
        <f t="shared" si="2"/>
        <v/>
      </c>
      <c r="J513" s="73">
        <v>44879</v>
      </c>
      <c r="K513" s="28" t="s">
        <v>131</v>
      </c>
      <c r="L513" s="74">
        <v>15.93</v>
      </c>
      <c r="M513" s="31" t="s">
        <v>358</v>
      </c>
    </row>
    <row r="514" spans="1:16" ht="14.25" customHeight="1">
      <c r="A514" s="21">
        <v>44496</v>
      </c>
      <c r="B514" s="22">
        <v>310.35000000000002</v>
      </c>
      <c r="C514" s="23" t="s">
        <v>20</v>
      </c>
      <c r="D514" s="24">
        <v>4793.07</v>
      </c>
      <c r="E514" s="25">
        <v>357517</v>
      </c>
      <c r="F514" s="24">
        <f t="shared" si="0"/>
        <v>58.57</v>
      </c>
      <c r="G514" s="26">
        <f t="shared" si="1"/>
        <v>362310.07</v>
      </c>
      <c r="H514" s="27" t="str">
        <f t="shared" si="2"/>
        <v/>
      </c>
      <c r="J514" s="73">
        <v>44880</v>
      </c>
      <c r="K514" s="28" t="s">
        <v>131</v>
      </c>
      <c r="L514" s="74">
        <v>15.93</v>
      </c>
      <c r="M514" s="31" t="s">
        <v>359</v>
      </c>
    </row>
    <row r="515" spans="1:16" ht="14.25" customHeight="1">
      <c r="A515" s="21">
        <v>44497</v>
      </c>
      <c r="B515" s="22">
        <v>-0.75</v>
      </c>
      <c r="C515" s="23" t="s">
        <v>16</v>
      </c>
      <c r="D515" s="24">
        <v>1011.82</v>
      </c>
      <c r="E515" s="25">
        <v>401209</v>
      </c>
      <c r="F515" s="24">
        <f t="shared" si="0"/>
        <v>65.02</v>
      </c>
      <c r="G515" s="26">
        <f t="shared" si="1"/>
        <v>402220.82</v>
      </c>
      <c r="H515" s="27" t="str">
        <f t="shared" si="2"/>
        <v/>
      </c>
      <c r="J515" s="73">
        <v>44880</v>
      </c>
      <c r="K515" s="28" t="s">
        <v>131</v>
      </c>
      <c r="L515" s="74">
        <v>15.93</v>
      </c>
      <c r="M515" s="31" t="s">
        <v>358</v>
      </c>
    </row>
    <row r="516" spans="1:16" ht="14.25" customHeight="1">
      <c r="A516" s="21">
        <v>44498</v>
      </c>
      <c r="B516" s="22">
        <v>0.01</v>
      </c>
      <c r="C516" s="23" t="s">
        <v>16</v>
      </c>
      <c r="D516" s="24">
        <v>219.83</v>
      </c>
      <c r="E516" s="25">
        <v>402001</v>
      </c>
      <c r="F516" s="24">
        <f t="shared" si="0"/>
        <v>195.05</v>
      </c>
      <c r="G516" s="26">
        <f t="shared" si="1"/>
        <v>1206662.49</v>
      </c>
      <c r="H516" s="27" t="str">
        <f t="shared" si="2"/>
        <v/>
      </c>
      <c r="J516" s="73">
        <v>44889</v>
      </c>
      <c r="K516" s="28" t="s">
        <v>131</v>
      </c>
      <c r="L516" s="74">
        <v>15.93</v>
      </c>
      <c r="M516" s="31" t="s">
        <v>360</v>
      </c>
    </row>
    <row r="517" spans="1:16" ht="14.25" customHeight="1">
      <c r="A517" s="21">
        <v>44501</v>
      </c>
      <c r="B517" s="22">
        <v>534</v>
      </c>
      <c r="C517" s="23" t="s">
        <v>234</v>
      </c>
      <c r="D517" s="24"/>
      <c r="E517" s="25"/>
      <c r="F517" s="24" t="str">
        <f t="shared" si="0"/>
        <v/>
      </c>
      <c r="G517" s="26" t="str">
        <f t="shared" si="1"/>
        <v/>
      </c>
      <c r="H517" s="27" t="str">
        <f t="shared" si="2"/>
        <v>Positional</v>
      </c>
      <c r="J517" s="73">
        <v>44889</v>
      </c>
      <c r="K517" s="28" t="s">
        <v>131</v>
      </c>
      <c r="L517" s="74">
        <v>15.93</v>
      </c>
      <c r="M517" s="31" t="s">
        <v>248</v>
      </c>
    </row>
    <row r="518" spans="1:16" ht="14.25" customHeight="1">
      <c r="A518" s="21">
        <v>44501</v>
      </c>
      <c r="B518" s="22">
        <v>0.69</v>
      </c>
      <c r="C518" s="23" t="s">
        <v>16</v>
      </c>
      <c r="D518" s="24">
        <v>7446.59</v>
      </c>
      <c r="E518" s="25">
        <v>395293</v>
      </c>
      <c r="F518" s="24">
        <f t="shared" si="0"/>
        <v>65.099999999999994</v>
      </c>
      <c r="G518" s="26">
        <f t="shared" si="1"/>
        <v>402739.59</v>
      </c>
      <c r="H518" s="27" t="str">
        <f t="shared" si="2"/>
        <v/>
      </c>
      <c r="J518" s="73">
        <v>44889</v>
      </c>
      <c r="K518" s="28" t="s">
        <v>131</v>
      </c>
      <c r="L518" s="74">
        <v>15.93</v>
      </c>
      <c r="M518" s="31" t="s">
        <v>118</v>
      </c>
    </row>
    <row r="519" spans="1:16" ht="14.25" customHeight="1">
      <c r="A519" s="21">
        <v>44502</v>
      </c>
      <c r="B519" s="22">
        <v>1428</v>
      </c>
      <c r="C519" s="23" t="s">
        <v>238</v>
      </c>
      <c r="D519" s="24"/>
      <c r="E519" s="25"/>
      <c r="F519" s="24" t="str">
        <f t="shared" si="0"/>
        <v/>
      </c>
      <c r="G519" s="26" t="str">
        <f t="shared" si="1"/>
        <v/>
      </c>
      <c r="H519" s="27" t="str">
        <f t="shared" si="2"/>
        <v>Positional</v>
      </c>
      <c r="J519" s="73">
        <v>44890</v>
      </c>
      <c r="K519" s="28" t="s">
        <v>131</v>
      </c>
      <c r="L519" s="74">
        <v>15.93</v>
      </c>
      <c r="M519" s="31" t="s">
        <v>361</v>
      </c>
    </row>
    <row r="520" spans="1:16" ht="14.25" customHeight="1">
      <c r="A520" s="21">
        <v>44502</v>
      </c>
      <c r="B520" s="22">
        <v>164</v>
      </c>
      <c r="C520" s="23" t="s">
        <v>215</v>
      </c>
      <c r="D520" s="24"/>
      <c r="E520" s="25"/>
      <c r="F520" s="24" t="str">
        <f t="shared" si="0"/>
        <v/>
      </c>
      <c r="G520" s="26" t="str">
        <f t="shared" si="1"/>
        <v/>
      </c>
      <c r="H520" s="27" t="str">
        <f t="shared" si="2"/>
        <v>Positional</v>
      </c>
      <c r="J520" s="73">
        <v>44896</v>
      </c>
      <c r="K520" s="28" t="s">
        <v>131</v>
      </c>
      <c r="L520" s="74">
        <v>15.93</v>
      </c>
      <c r="M520" s="31" t="s">
        <v>362</v>
      </c>
    </row>
    <row r="521" spans="1:16" ht="14.25" customHeight="1">
      <c r="A521" s="21">
        <v>44502</v>
      </c>
      <c r="B521" s="22">
        <v>-0.81</v>
      </c>
      <c r="C521" s="23" t="s">
        <v>16</v>
      </c>
      <c r="D521" s="24">
        <v>29915.919999999998</v>
      </c>
      <c r="E521" s="25">
        <v>374383</v>
      </c>
      <c r="F521" s="24">
        <f t="shared" si="0"/>
        <v>65.349999999999994</v>
      </c>
      <c r="G521" s="26">
        <f t="shared" si="1"/>
        <v>404298.92</v>
      </c>
      <c r="H521" s="27" t="str">
        <f t="shared" si="2"/>
        <v/>
      </c>
      <c r="J521" s="73">
        <v>44897</v>
      </c>
      <c r="K521" s="28" t="s">
        <v>131</v>
      </c>
      <c r="L521" s="74">
        <v>15.93</v>
      </c>
      <c r="M521" s="31" t="s">
        <v>363</v>
      </c>
    </row>
    <row r="522" spans="1:16" ht="14.25" customHeight="1">
      <c r="A522" s="21">
        <v>44503</v>
      </c>
      <c r="B522" s="22">
        <v>-2057.9299999999998</v>
      </c>
      <c r="C522" s="23" t="s">
        <v>4</v>
      </c>
      <c r="D522" s="24">
        <v>27857.99</v>
      </c>
      <c r="E522" s="25">
        <v>374383</v>
      </c>
      <c r="F522" s="24">
        <f t="shared" si="0"/>
        <v>325.10000000000002</v>
      </c>
      <c r="G522" s="26">
        <f t="shared" si="1"/>
        <v>2011204.95</v>
      </c>
      <c r="H522" s="27" t="str">
        <f t="shared" si="2"/>
        <v/>
      </c>
      <c r="I522" s="4"/>
      <c r="J522" s="73">
        <v>44901</v>
      </c>
      <c r="K522" s="28" t="s">
        <v>131</v>
      </c>
      <c r="L522" s="74">
        <v>15.93</v>
      </c>
      <c r="M522" s="31" t="s">
        <v>364</v>
      </c>
      <c r="N522" s="4"/>
      <c r="O522" s="4"/>
      <c r="P522" s="4"/>
    </row>
    <row r="523" spans="1:16" ht="14.25" customHeight="1">
      <c r="A523" s="21">
        <v>44508</v>
      </c>
      <c r="B523" s="22">
        <v>322</v>
      </c>
      <c r="C523" s="23" t="s">
        <v>239</v>
      </c>
      <c r="D523" s="24"/>
      <c r="E523" s="25"/>
      <c r="F523" s="24" t="str">
        <f t="shared" si="0"/>
        <v/>
      </c>
      <c r="G523" s="26" t="str">
        <f t="shared" si="1"/>
        <v/>
      </c>
      <c r="H523" s="27" t="str">
        <f t="shared" si="2"/>
        <v>Positional</v>
      </c>
      <c r="J523" s="73">
        <v>44903</v>
      </c>
      <c r="K523" s="28" t="s">
        <v>131</v>
      </c>
      <c r="L523" s="74">
        <v>15.93</v>
      </c>
      <c r="M523" s="31" t="s">
        <v>365</v>
      </c>
    </row>
    <row r="524" spans="1:16" ht="14.25" customHeight="1">
      <c r="A524" s="21">
        <v>44508</v>
      </c>
      <c r="B524" s="22">
        <v>-1.26</v>
      </c>
      <c r="C524" s="23" t="s">
        <v>16</v>
      </c>
      <c r="D524" s="24">
        <v>19941.8</v>
      </c>
      <c r="E524" s="25">
        <v>367604</v>
      </c>
      <c r="F524" s="24">
        <f t="shared" si="0"/>
        <v>62.64</v>
      </c>
      <c r="G524" s="26">
        <f t="shared" si="1"/>
        <v>387545.8</v>
      </c>
      <c r="H524" s="27" t="str">
        <f t="shared" si="2"/>
        <v/>
      </c>
      <c r="J524" s="73">
        <v>44907</v>
      </c>
      <c r="K524" s="28" t="s">
        <v>131</v>
      </c>
      <c r="L524" s="74">
        <v>15.93</v>
      </c>
      <c r="M524" s="31" t="s">
        <v>366</v>
      </c>
    </row>
    <row r="525" spans="1:16" ht="14.25" customHeight="1">
      <c r="A525" s="32">
        <v>44509</v>
      </c>
      <c r="B525" s="22">
        <v>15</v>
      </c>
      <c r="C525" s="23" t="s">
        <v>240</v>
      </c>
      <c r="D525" s="24"/>
      <c r="E525" s="25"/>
      <c r="F525" s="24" t="str">
        <f t="shared" si="0"/>
        <v/>
      </c>
      <c r="G525" s="26" t="str">
        <f t="shared" si="1"/>
        <v/>
      </c>
      <c r="H525" s="27" t="str">
        <f t="shared" si="2"/>
        <v>Positional</v>
      </c>
      <c r="J525" s="73">
        <v>44907</v>
      </c>
      <c r="K525" s="28" t="s">
        <v>131</v>
      </c>
      <c r="L525" s="74">
        <v>15.93</v>
      </c>
      <c r="M525" s="31" t="s">
        <v>367</v>
      </c>
    </row>
    <row r="526" spans="1:16" ht="14.25" customHeight="1">
      <c r="A526" s="32">
        <v>44509</v>
      </c>
      <c r="B526" s="22">
        <v>193</v>
      </c>
      <c r="C526" s="23" t="s">
        <v>228</v>
      </c>
      <c r="D526" s="24"/>
      <c r="E526" s="25"/>
      <c r="F526" s="24" t="str">
        <f t="shared" si="0"/>
        <v/>
      </c>
      <c r="G526" s="26" t="str">
        <f t="shared" si="1"/>
        <v/>
      </c>
      <c r="H526" s="27" t="str">
        <f t="shared" si="2"/>
        <v>Positional</v>
      </c>
      <c r="J526" s="73">
        <v>44909</v>
      </c>
      <c r="K526" s="28" t="s">
        <v>131</v>
      </c>
      <c r="L526" s="74">
        <v>15.93</v>
      </c>
      <c r="M526" s="31" t="s">
        <v>368</v>
      </c>
    </row>
    <row r="527" spans="1:16" ht="14.25" customHeight="1">
      <c r="A527" s="32">
        <v>44509</v>
      </c>
      <c r="B527" s="22">
        <v>83</v>
      </c>
      <c r="C527" s="23" t="s">
        <v>241</v>
      </c>
      <c r="D527" s="24"/>
      <c r="E527" s="25"/>
      <c r="F527" s="24" t="str">
        <f t="shared" si="0"/>
        <v/>
      </c>
      <c r="G527" s="26" t="str">
        <f t="shared" si="1"/>
        <v/>
      </c>
      <c r="H527" s="27" t="str">
        <f t="shared" si="2"/>
        <v>Positional</v>
      </c>
      <c r="J527" s="73">
        <v>44908</v>
      </c>
      <c r="K527" s="31" t="s">
        <v>294</v>
      </c>
      <c r="L527" s="74">
        <v>88.5</v>
      </c>
      <c r="M527" s="31" t="s">
        <v>369</v>
      </c>
    </row>
    <row r="528" spans="1:16" ht="14.25" customHeight="1">
      <c r="A528" s="32">
        <v>44509</v>
      </c>
      <c r="B528" s="22">
        <v>200</v>
      </c>
      <c r="C528" s="23" t="s">
        <v>242</v>
      </c>
      <c r="D528" s="24"/>
      <c r="E528" s="25"/>
      <c r="F528" s="24" t="str">
        <f t="shared" si="0"/>
        <v/>
      </c>
      <c r="G528" s="26" t="str">
        <f t="shared" si="1"/>
        <v/>
      </c>
      <c r="H528" s="27" t="str">
        <f t="shared" si="2"/>
        <v>Positional</v>
      </c>
      <c r="J528" s="73">
        <v>44925</v>
      </c>
      <c r="K528" s="28" t="s">
        <v>131</v>
      </c>
      <c r="L528" s="74">
        <v>15.93</v>
      </c>
      <c r="M528" s="31" t="s">
        <v>365</v>
      </c>
    </row>
    <row r="529" spans="1:13" ht="14.25" customHeight="1">
      <c r="A529" s="32">
        <v>44509</v>
      </c>
      <c r="B529" s="22">
        <v>49</v>
      </c>
      <c r="C529" s="23" t="s">
        <v>243</v>
      </c>
      <c r="D529" s="24"/>
      <c r="E529" s="25"/>
      <c r="F529" s="24" t="str">
        <f t="shared" si="0"/>
        <v/>
      </c>
      <c r="G529" s="26" t="str">
        <f t="shared" si="1"/>
        <v/>
      </c>
      <c r="H529" s="27" t="str">
        <f t="shared" si="2"/>
        <v>Positional</v>
      </c>
      <c r="J529" s="73">
        <v>44928</v>
      </c>
      <c r="K529" s="28" t="s">
        <v>131</v>
      </c>
      <c r="L529" s="74">
        <v>15.93</v>
      </c>
      <c r="M529" s="31" t="s">
        <v>370</v>
      </c>
    </row>
    <row r="530" spans="1:13" ht="14.25" customHeight="1">
      <c r="A530" s="32">
        <v>44509</v>
      </c>
      <c r="B530" s="22">
        <v>148</v>
      </c>
      <c r="C530" s="23" t="s">
        <v>235</v>
      </c>
      <c r="D530" s="24"/>
      <c r="E530" s="25"/>
      <c r="F530" s="24" t="str">
        <f t="shared" si="0"/>
        <v/>
      </c>
      <c r="G530" s="26" t="str">
        <f t="shared" si="1"/>
        <v/>
      </c>
      <c r="H530" s="27" t="str">
        <f t="shared" si="2"/>
        <v>Positional</v>
      </c>
      <c r="J530" s="73">
        <v>44939</v>
      </c>
      <c r="K530" s="28" t="s">
        <v>131</v>
      </c>
      <c r="L530" s="74">
        <v>15.93</v>
      </c>
      <c r="M530" s="31" t="s">
        <v>371</v>
      </c>
    </row>
    <row r="531" spans="1:13" ht="14.25" customHeight="1">
      <c r="A531" s="32">
        <v>44509</v>
      </c>
      <c r="B531" s="22">
        <v>61.89</v>
      </c>
      <c r="C531" s="23" t="s">
        <v>20</v>
      </c>
      <c r="D531" s="24">
        <v>34737.040000000001</v>
      </c>
      <c r="E531" s="25">
        <v>343479</v>
      </c>
      <c r="F531" s="24">
        <f t="shared" si="0"/>
        <v>61.14</v>
      </c>
      <c r="G531" s="26">
        <f t="shared" si="1"/>
        <v>378216.04</v>
      </c>
      <c r="H531" s="27" t="str">
        <f t="shared" si="2"/>
        <v/>
      </c>
      <c r="J531" s="73">
        <v>44942</v>
      </c>
      <c r="K531" s="28" t="s">
        <v>131</v>
      </c>
      <c r="L531" s="74">
        <v>15.93</v>
      </c>
      <c r="M531" s="31" t="s">
        <v>120</v>
      </c>
    </row>
    <row r="532" spans="1:13" ht="14.25" customHeight="1">
      <c r="A532" s="32">
        <v>44510</v>
      </c>
      <c r="B532" s="22">
        <v>148.49</v>
      </c>
      <c r="C532" s="23" t="s">
        <v>20</v>
      </c>
      <c r="D532" s="24">
        <v>27610.59</v>
      </c>
      <c r="E532" s="25">
        <v>350738</v>
      </c>
      <c r="F532" s="24">
        <f t="shared" si="0"/>
        <v>61.16</v>
      </c>
      <c r="G532" s="26">
        <f t="shared" si="1"/>
        <v>378348.59</v>
      </c>
      <c r="H532" s="27" t="str">
        <f t="shared" si="2"/>
        <v/>
      </c>
      <c r="J532" s="73">
        <v>44943</v>
      </c>
      <c r="K532" s="28" t="s">
        <v>131</v>
      </c>
      <c r="L532" s="74">
        <v>15.93</v>
      </c>
      <c r="M532" s="31" t="s">
        <v>372</v>
      </c>
    </row>
    <row r="533" spans="1:13" ht="14.25" customHeight="1">
      <c r="A533" s="32">
        <v>44511</v>
      </c>
      <c r="B533" s="22">
        <v>188.3</v>
      </c>
      <c r="C533" s="23" t="s">
        <v>20</v>
      </c>
      <c r="D533" s="24">
        <v>531.89</v>
      </c>
      <c r="E533" s="25">
        <v>378005</v>
      </c>
      <c r="F533" s="24">
        <f t="shared" si="0"/>
        <v>61.19</v>
      </c>
      <c r="G533" s="26">
        <f t="shared" si="1"/>
        <v>378536.89</v>
      </c>
      <c r="H533" s="27" t="str">
        <f t="shared" si="2"/>
        <v/>
      </c>
      <c r="J533" s="73">
        <v>44944</v>
      </c>
      <c r="K533" s="28" t="s">
        <v>131</v>
      </c>
      <c r="L533" s="74">
        <v>15.93</v>
      </c>
      <c r="M533" s="31" t="s">
        <v>373</v>
      </c>
    </row>
    <row r="534" spans="1:13" ht="14.25" customHeight="1">
      <c r="A534" s="32">
        <v>44512</v>
      </c>
      <c r="B534" s="22">
        <v>1329</v>
      </c>
      <c r="C534" s="23" t="s">
        <v>244</v>
      </c>
      <c r="D534" s="24"/>
      <c r="E534" s="25"/>
      <c r="F534" s="24" t="str">
        <f t="shared" si="0"/>
        <v/>
      </c>
      <c r="G534" s="26" t="str">
        <f t="shared" si="1"/>
        <v/>
      </c>
      <c r="H534" s="27" t="str">
        <f t="shared" si="2"/>
        <v>Positional</v>
      </c>
      <c r="J534" s="73">
        <v>44946</v>
      </c>
      <c r="K534" s="28" t="s">
        <v>131</v>
      </c>
      <c r="L534" s="74">
        <v>15.93</v>
      </c>
      <c r="M534" s="31" t="s">
        <v>374</v>
      </c>
    </row>
    <row r="535" spans="1:13" ht="14.25" customHeight="1">
      <c r="A535" s="32">
        <v>44512</v>
      </c>
      <c r="B535" s="22">
        <v>95</v>
      </c>
      <c r="C535" s="23" t="s">
        <v>221</v>
      </c>
      <c r="D535" s="24"/>
      <c r="E535" s="25"/>
      <c r="F535" s="24" t="str">
        <f t="shared" si="0"/>
        <v/>
      </c>
      <c r="G535" s="26" t="str">
        <f t="shared" si="1"/>
        <v/>
      </c>
      <c r="H535" s="27" t="str">
        <f t="shared" si="2"/>
        <v>Positional</v>
      </c>
      <c r="J535" s="73">
        <v>44949</v>
      </c>
      <c r="K535" s="28" t="s">
        <v>131</v>
      </c>
      <c r="L535" s="74"/>
      <c r="M535" s="31" t="s">
        <v>373</v>
      </c>
    </row>
    <row r="536" spans="1:13" ht="14.25" customHeight="1">
      <c r="A536" s="32">
        <v>44512</v>
      </c>
      <c r="B536" s="22">
        <v>-349.79</v>
      </c>
      <c r="C536" s="23" t="s">
        <v>20</v>
      </c>
      <c r="D536" s="24">
        <v>35903.24</v>
      </c>
      <c r="E536" s="25">
        <v>353676</v>
      </c>
      <c r="F536" s="24">
        <f t="shared" si="0"/>
        <v>188.92</v>
      </c>
      <c r="G536" s="26">
        <f t="shared" si="1"/>
        <v>1168737.72</v>
      </c>
      <c r="H536" s="27" t="str">
        <f t="shared" si="2"/>
        <v/>
      </c>
      <c r="J536" s="73">
        <v>44949</v>
      </c>
      <c r="K536" s="28" t="s">
        <v>131</v>
      </c>
      <c r="L536" s="74">
        <v>15.93</v>
      </c>
      <c r="M536" s="31" t="s">
        <v>375</v>
      </c>
    </row>
    <row r="537" spans="1:13" ht="14.25" customHeight="1">
      <c r="A537" s="32">
        <v>44515</v>
      </c>
      <c r="B537" s="22">
        <v>0.35</v>
      </c>
      <c r="C537" s="23" t="s">
        <v>16</v>
      </c>
      <c r="D537" s="24">
        <v>7572.58</v>
      </c>
      <c r="E537" s="25">
        <v>382007</v>
      </c>
      <c r="F537" s="24">
        <f t="shared" si="0"/>
        <v>62.97</v>
      </c>
      <c r="G537" s="26">
        <f t="shared" si="1"/>
        <v>389579.58</v>
      </c>
      <c r="H537" s="27" t="str">
        <f t="shared" si="2"/>
        <v/>
      </c>
      <c r="J537" s="73">
        <v>44950</v>
      </c>
      <c r="K537" s="28" t="s">
        <v>131</v>
      </c>
      <c r="L537" s="74"/>
      <c r="M537" s="31" t="s">
        <v>376</v>
      </c>
    </row>
    <row r="538" spans="1:13" ht="14.25" customHeight="1">
      <c r="A538" s="32">
        <v>44516</v>
      </c>
      <c r="B538" s="22">
        <v>150.61000000000001</v>
      </c>
      <c r="C538" s="23" t="s">
        <v>20</v>
      </c>
      <c r="D538" s="24">
        <v>4449.2</v>
      </c>
      <c r="E538" s="25">
        <v>398181</v>
      </c>
      <c r="F538" s="24">
        <f t="shared" si="0"/>
        <v>65.08</v>
      </c>
      <c r="G538" s="26">
        <f t="shared" si="1"/>
        <v>402630.2</v>
      </c>
      <c r="H538" s="27" t="str">
        <f t="shared" si="2"/>
        <v/>
      </c>
      <c r="J538" s="73">
        <v>44950</v>
      </c>
      <c r="K538" s="28" t="s">
        <v>131</v>
      </c>
      <c r="L538" s="74">
        <v>15.93</v>
      </c>
      <c r="M538" s="31" t="s">
        <v>293</v>
      </c>
    </row>
    <row r="539" spans="1:13" ht="14.25" customHeight="1">
      <c r="A539" s="32">
        <v>44517</v>
      </c>
      <c r="B539" s="22">
        <v>499</v>
      </c>
      <c r="C539" s="23" t="s">
        <v>245</v>
      </c>
      <c r="D539" s="24"/>
      <c r="E539" s="25"/>
      <c r="F539" s="24" t="str">
        <f t="shared" si="0"/>
        <v/>
      </c>
      <c r="G539" s="26" t="str">
        <f t="shared" si="1"/>
        <v/>
      </c>
      <c r="H539" s="27" t="str">
        <f t="shared" si="2"/>
        <v>Positional</v>
      </c>
      <c r="J539" s="73">
        <v>44953</v>
      </c>
      <c r="K539" s="28" t="s">
        <v>131</v>
      </c>
      <c r="L539" s="74"/>
      <c r="M539" s="31" t="s">
        <v>365</v>
      </c>
    </row>
    <row r="540" spans="1:13" ht="14.25" customHeight="1">
      <c r="A540" s="32">
        <v>44517</v>
      </c>
      <c r="B540" s="22">
        <v>237</v>
      </c>
      <c r="C540" s="23" t="s">
        <v>246</v>
      </c>
      <c r="D540" s="24"/>
      <c r="E540" s="25"/>
      <c r="F540" s="24" t="str">
        <f t="shared" si="0"/>
        <v/>
      </c>
      <c r="G540" s="26" t="str">
        <f t="shared" si="1"/>
        <v/>
      </c>
      <c r="H540" s="27" t="str">
        <f t="shared" si="2"/>
        <v>Positional</v>
      </c>
      <c r="J540" s="73">
        <v>44991</v>
      </c>
      <c r="K540" s="28" t="s">
        <v>131</v>
      </c>
      <c r="L540" s="74">
        <v>15.93</v>
      </c>
      <c r="M540" s="31" t="s">
        <v>377</v>
      </c>
    </row>
    <row r="541" spans="1:13" ht="14.25" customHeight="1">
      <c r="A541" s="32">
        <v>44517</v>
      </c>
      <c r="B541" s="22">
        <v>112.9</v>
      </c>
      <c r="C541" s="23" t="s">
        <v>20</v>
      </c>
      <c r="D541" s="24">
        <v>19360.240000000002</v>
      </c>
      <c r="E541" s="25">
        <v>388087</v>
      </c>
      <c r="F541" s="24">
        <f t="shared" si="0"/>
        <v>65.86</v>
      </c>
      <c r="G541" s="26">
        <f t="shared" si="1"/>
        <v>407447.24</v>
      </c>
      <c r="H541" s="27" t="str">
        <f t="shared" si="2"/>
        <v/>
      </c>
      <c r="J541" s="73">
        <v>44993</v>
      </c>
      <c r="K541" s="28" t="s">
        <v>131</v>
      </c>
      <c r="L541" s="74">
        <v>15.93</v>
      </c>
      <c r="M541" s="31" t="s">
        <v>378</v>
      </c>
    </row>
    <row r="542" spans="1:13" ht="14.25" customHeight="1">
      <c r="A542" s="32">
        <v>44518</v>
      </c>
      <c r="B542" s="22">
        <v>135.76</v>
      </c>
      <c r="C542" s="23" t="s">
        <v>20</v>
      </c>
      <c r="D542" s="24">
        <v>7286.01</v>
      </c>
      <c r="E542" s="25">
        <v>399416</v>
      </c>
      <c r="F542" s="24">
        <f t="shared" si="0"/>
        <v>394.45</v>
      </c>
      <c r="G542" s="26">
        <f t="shared" si="1"/>
        <v>2440212.06</v>
      </c>
      <c r="H542" s="27" t="str">
        <f t="shared" si="2"/>
        <v/>
      </c>
      <c r="J542" s="73">
        <v>45014</v>
      </c>
      <c r="K542" s="31" t="s">
        <v>294</v>
      </c>
      <c r="L542" s="74">
        <v>88.5</v>
      </c>
      <c r="M542" s="31" t="s">
        <v>379</v>
      </c>
    </row>
    <row r="543" spans="1:13" ht="14.25" customHeight="1">
      <c r="A543" s="32">
        <v>44524</v>
      </c>
      <c r="B543" s="22">
        <v>257.60000000000002</v>
      </c>
      <c r="C543" s="23" t="s">
        <v>20</v>
      </c>
      <c r="D543" s="24">
        <v>2543.61</v>
      </c>
      <c r="E543" s="25">
        <v>399416</v>
      </c>
      <c r="F543" s="24">
        <f t="shared" si="0"/>
        <v>64.97</v>
      </c>
      <c r="G543" s="26">
        <f t="shared" si="1"/>
        <v>401959.61</v>
      </c>
      <c r="H543" s="27" t="str">
        <f t="shared" si="2"/>
        <v/>
      </c>
      <c r="J543" s="73">
        <v>45015</v>
      </c>
      <c r="K543" s="31" t="s">
        <v>294</v>
      </c>
      <c r="L543" s="74">
        <v>88.5</v>
      </c>
      <c r="M543" s="31" t="s">
        <v>380</v>
      </c>
    </row>
    <row r="544" spans="1:13" ht="14.25" customHeight="1">
      <c r="A544" s="32">
        <v>44525</v>
      </c>
      <c r="B544" s="22">
        <v>-8</v>
      </c>
      <c r="C544" s="23" t="s">
        <v>247</v>
      </c>
      <c r="D544" s="24"/>
      <c r="E544" s="25"/>
      <c r="F544" s="24" t="str">
        <f t="shared" si="0"/>
        <v/>
      </c>
      <c r="G544" s="26" t="str">
        <f t="shared" si="1"/>
        <v/>
      </c>
      <c r="H544" s="27" t="str">
        <f t="shared" si="2"/>
        <v>Positional</v>
      </c>
      <c r="J544" s="73">
        <v>45022</v>
      </c>
      <c r="K544" s="31" t="s">
        <v>294</v>
      </c>
      <c r="L544" s="74">
        <v>88.5</v>
      </c>
      <c r="M544" s="31" t="s">
        <v>381</v>
      </c>
    </row>
    <row r="545" spans="1:13" ht="14.25" customHeight="1">
      <c r="A545" s="32">
        <v>44525</v>
      </c>
      <c r="B545" s="22">
        <v>-0.02</v>
      </c>
      <c r="C545" s="23" t="s">
        <v>16</v>
      </c>
      <c r="D545" s="24">
        <v>14702.66</v>
      </c>
      <c r="E545" s="25">
        <v>387233</v>
      </c>
      <c r="F545" s="24">
        <f t="shared" si="0"/>
        <v>64.97</v>
      </c>
      <c r="G545" s="26">
        <f t="shared" si="1"/>
        <v>401935.66</v>
      </c>
      <c r="H545" s="27" t="str">
        <f t="shared" si="2"/>
        <v/>
      </c>
      <c r="J545" s="73">
        <v>45028</v>
      </c>
      <c r="K545" s="28" t="s">
        <v>131</v>
      </c>
      <c r="L545" s="74">
        <v>15.93</v>
      </c>
      <c r="M545" s="31" t="s">
        <v>382</v>
      </c>
    </row>
    <row r="546" spans="1:13" ht="14.25" customHeight="1">
      <c r="A546" s="32">
        <v>44526</v>
      </c>
      <c r="B546" s="22">
        <v>1.31</v>
      </c>
      <c r="C546" s="23" t="s">
        <v>16</v>
      </c>
      <c r="D546" s="24">
        <v>313.95999999999998</v>
      </c>
      <c r="E546" s="25">
        <v>403623</v>
      </c>
      <c r="F546" s="24">
        <f t="shared" si="0"/>
        <v>261.18</v>
      </c>
      <c r="G546" s="26">
        <f t="shared" si="1"/>
        <v>1615747.84</v>
      </c>
      <c r="H546" s="27" t="str">
        <f t="shared" si="2"/>
        <v/>
      </c>
      <c r="J546" s="73">
        <v>45028</v>
      </c>
      <c r="K546" s="28" t="s">
        <v>131</v>
      </c>
      <c r="L546" s="74">
        <v>15.93</v>
      </c>
      <c r="M546" s="31" t="s">
        <v>383</v>
      </c>
    </row>
    <row r="547" spans="1:13" ht="14.25" customHeight="1">
      <c r="A547" s="32">
        <v>44530</v>
      </c>
      <c r="B547" s="22">
        <v>-36</v>
      </c>
      <c r="C547" s="23" t="s">
        <v>248</v>
      </c>
      <c r="D547" s="24"/>
      <c r="E547" s="25"/>
      <c r="F547" s="24" t="str">
        <f t="shared" si="0"/>
        <v/>
      </c>
      <c r="G547" s="26" t="str">
        <f t="shared" si="1"/>
        <v/>
      </c>
      <c r="H547" s="27" t="str">
        <f t="shared" si="2"/>
        <v>Positional</v>
      </c>
      <c r="J547" s="73">
        <v>45040</v>
      </c>
      <c r="K547" s="28" t="s">
        <v>131</v>
      </c>
      <c r="L547" s="74">
        <v>15.93</v>
      </c>
      <c r="M547" s="31" t="s">
        <v>384</v>
      </c>
    </row>
    <row r="548" spans="1:13" ht="14.25" customHeight="1">
      <c r="A548" s="32">
        <v>44530</v>
      </c>
      <c r="B548" s="22">
        <v>21.96</v>
      </c>
      <c r="C548" s="23" t="s">
        <v>20</v>
      </c>
      <c r="D548" s="24">
        <v>7413</v>
      </c>
      <c r="E548" s="25">
        <v>396494</v>
      </c>
      <c r="F548" s="24">
        <f t="shared" si="0"/>
        <v>65.290000000000006</v>
      </c>
      <c r="G548" s="26">
        <f t="shared" si="1"/>
        <v>403907</v>
      </c>
      <c r="H548" s="27" t="str">
        <f t="shared" si="2"/>
        <v/>
      </c>
      <c r="J548" s="73">
        <v>45041</v>
      </c>
      <c r="K548" s="28" t="s">
        <v>131</v>
      </c>
      <c r="L548" s="74">
        <v>15.93</v>
      </c>
      <c r="M548" s="31" t="s">
        <v>385</v>
      </c>
    </row>
    <row r="549" spans="1:13" ht="14.25" customHeight="1">
      <c r="A549" s="32">
        <v>44531</v>
      </c>
      <c r="B549" s="22">
        <v>55</v>
      </c>
      <c r="C549" s="23" t="s">
        <v>249</v>
      </c>
      <c r="D549" s="24"/>
      <c r="E549" s="25"/>
      <c r="F549" s="24" t="str">
        <f t="shared" si="0"/>
        <v/>
      </c>
      <c r="G549" s="26" t="str">
        <f t="shared" si="1"/>
        <v/>
      </c>
      <c r="H549" s="27" t="str">
        <f t="shared" si="2"/>
        <v>Positional</v>
      </c>
      <c r="J549" s="73">
        <v>45042</v>
      </c>
      <c r="K549" s="28" t="s">
        <v>131</v>
      </c>
      <c r="L549" s="74">
        <v>15.93</v>
      </c>
      <c r="M549" s="31" t="s">
        <v>378</v>
      </c>
    </row>
    <row r="550" spans="1:13" ht="14.25" customHeight="1">
      <c r="A550" s="32">
        <v>44531</v>
      </c>
      <c r="B550" s="22">
        <v>-0.40999999999985448</v>
      </c>
      <c r="C550" s="23" t="s">
        <v>16</v>
      </c>
      <c r="D550" s="24">
        <v>18098.66</v>
      </c>
      <c r="E550" s="25">
        <v>385847</v>
      </c>
      <c r="F550" s="24">
        <f t="shared" si="0"/>
        <v>65.3</v>
      </c>
      <c r="G550" s="26">
        <f t="shared" si="1"/>
        <v>403945.66</v>
      </c>
      <c r="H550" s="27" t="str">
        <f t="shared" si="2"/>
        <v/>
      </c>
      <c r="J550" s="78">
        <v>45049</v>
      </c>
      <c r="K550" s="28" t="s">
        <v>131</v>
      </c>
      <c r="L550" s="74">
        <v>15.93</v>
      </c>
      <c r="M550" s="31" t="s">
        <v>135</v>
      </c>
    </row>
    <row r="551" spans="1:13" ht="14.25" customHeight="1">
      <c r="A551" s="32">
        <v>44532</v>
      </c>
      <c r="B551" s="22">
        <v>8</v>
      </c>
      <c r="C551" s="23" t="s">
        <v>250</v>
      </c>
      <c r="D551" s="24"/>
      <c r="E551" s="25"/>
      <c r="F551" s="24" t="str">
        <f t="shared" si="0"/>
        <v/>
      </c>
      <c r="G551" s="26" t="str">
        <f t="shared" si="1"/>
        <v/>
      </c>
      <c r="H551" s="27" t="str">
        <f t="shared" si="2"/>
        <v>Positional</v>
      </c>
      <c r="J551" s="73"/>
      <c r="K551" s="28"/>
      <c r="L551" s="74"/>
      <c r="M551" s="31"/>
    </row>
    <row r="552" spans="1:13" ht="14.25" customHeight="1">
      <c r="A552" s="32">
        <v>44532</v>
      </c>
      <c r="B552" s="22">
        <v>271</v>
      </c>
      <c r="C552" s="23" t="s">
        <v>251</v>
      </c>
      <c r="D552" s="24"/>
      <c r="E552" s="25"/>
      <c r="F552" s="24" t="str">
        <f t="shared" si="0"/>
        <v/>
      </c>
      <c r="G552" s="26" t="str">
        <f t="shared" si="1"/>
        <v/>
      </c>
      <c r="H552" s="27" t="str">
        <f t="shared" si="2"/>
        <v>Positional</v>
      </c>
      <c r="J552" s="73"/>
      <c r="K552" s="28"/>
      <c r="L552" s="74"/>
      <c r="M552" s="31"/>
    </row>
    <row r="553" spans="1:13" ht="14.25" customHeight="1">
      <c r="A553" s="32">
        <v>44532</v>
      </c>
      <c r="B553" s="22">
        <v>-0.31</v>
      </c>
      <c r="C553" s="23" t="s">
        <v>16</v>
      </c>
      <c r="D553" s="24">
        <v>25937.51</v>
      </c>
      <c r="E553" s="25">
        <v>378254</v>
      </c>
      <c r="F553" s="24">
        <f t="shared" si="0"/>
        <v>65.34</v>
      </c>
      <c r="G553" s="26">
        <f t="shared" si="1"/>
        <v>404191.51</v>
      </c>
      <c r="H553" s="27" t="str">
        <f t="shared" si="2"/>
        <v/>
      </c>
      <c r="J553" s="73"/>
      <c r="K553" s="28"/>
      <c r="L553" s="74"/>
      <c r="M553" s="31"/>
    </row>
    <row r="554" spans="1:13" ht="14.25" customHeight="1">
      <c r="A554" s="32">
        <v>44533</v>
      </c>
      <c r="B554" s="22">
        <v>-1109</v>
      </c>
      <c r="C554" s="23" t="s">
        <v>253</v>
      </c>
      <c r="D554" s="24"/>
      <c r="E554" s="25"/>
      <c r="F554" s="24" t="str">
        <f t="shared" si="0"/>
        <v/>
      </c>
      <c r="G554" s="26" t="str">
        <f t="shared" si="1"/>
        <v/>
      </c>
      <c r="H554" s="27" t="str">
        <f t="shared" si="2"/>
        <v>Positional</v>
      </c>
      <c r="J554" s="73"/>
      <c r="K554" s="28"/>
      <c r="L554" s="74"/>
      <c r="M554" s="31"/>
    </row>
    <row r="555" spans="1:13" ht="14.25" customHeight="1">
      <c r="A555" s="32">
        <v>44533</v>
      </c>
      <c r="B555" s="22">
        <v>-43.11</v>
      </c>
      <c r="C555" s="23" t="s">
        <v>20</v>
      </c>
      <c r="D555" s="24">
        <v>27202.47</v>
      </c>
      <c r="E555" s="25">
        <v>383430</v>
      </c>
      <c r="F555" s="24">
        <f t="shared" si="0"/>
        <v>199.13</v>
      </c>
      <c r="G555" s="26">
        <f t="shared" si="1"/>
        <v>1231897.4099999999</v>
      </c>
      <c r="H555" s="27" t="str">
        <f t="shared" si="2"/>
        <v/>
      </c>
      <c r="J555" s="73"/>
      <c r="K555" s="28"/>
      <c r="L555" s="74"/>
      <c r="M555" s="31"/>
    </row>
    <row r="556" spans="1:13" ht="14.25" customHeight="1">
      <c r="A556" s="32">
        <v>44536</v>
      </c>
      <c r="B556" s="22">
        <v>-0.27</v>
      </c>
      <c r="C556" s="23" t="s">
        <v>16</v>
      </c>
      <c r="D556" s="24">
        <v>1593.2</v>
      </c>
      <c r="E556" s="25">
        <v>383430</v>
      </c>
      <c r="F556" s="24">
        <f t="shared" si="0"/>
        <v>62.24</v>
      </c>
      <c r="G556" s="26">
        <f t="shared" si="1"/>
        <v>385023.2</v>
      </c>
      <c r="H556" s="27" t="str">
        <f t="shared" si="2"/>
        <v/>
      </c>
      <c r="J556" s="73"/>
      <c r="K556" s="28"/>
      <c r="L556" s="74"/>
      <c r="M556" s="31"/>
    </row>
    <row r="557" spans="1:13" ht="14.25" customHeight="1">
      <c r="A557" s="32">
        <v>44537</v>
      </c>
      <c r="B557" s="22">
        <v>133</v>
      </c>
      <c r="C557" s="23" t="s">
        <v>254</v>
      </c>
      <c r="D557" s="24"/>
      <c r="E557" s="25"/>
      <c r="F557" s="24" t="str">
        <f t="shared" si="0"/>
        <v/>
      </c>
      <c r="G557" s="26" t="str">
        <f t="shared" si="1"/>
        <v/>
      </c>
      <c r="H557" s="27" t="str">
        <f t="shared" si="2"/>
        <v>Positional</v>
      </c>
      <c r="J557" s="73"/>
      <c r="K557" s="28"/>
      <c r="L557" s="74"/>
      <c r="M557" s="31"/>
    </row>
    <row r="558" spans="1:13" ht="14.25" customHeight="1">
      <c r="A558" s="32">
        <v>44537</v>
      </c>
      <c r="B558" s="22">
        <v>10</v>
      </c>
      <c r="C558" s="23" t="s">
        <v>255</v>
      </c>
      <c r="D558" s="24"/>
      <c r="E558" s="25"/>
      <c r="F558" s="24" t="str">
        <f t="shared" si="0"/>
        <v/>
      </c>
      <c r="G558" s="26" t="str">
        <f t="shared" si="1"/>
        <v/>
      </c>
      <c r="H558" s="27" t="str">
        <f t="shared" si="2"/>
        <v>Positional</v>
      </c>
      <c r="J558" s="73"/>
      <c r="K558" s="28"/>
      <c r="L558" s="74"/>
      <c r="M558" s="31"/>
    </row>
    <row r="559" spans="1:13" ht="14.25" customHeight="1">
      <c r="A559" s="32">
        <v>44537</v>
      </c>
      <c r="B559" s="22">
        <v>-11.66</v>
      </c>
      <c r="C559" s="23" t="s">
        <v>20</v>
      </c>
      <c r="D559" s="24">
        <v>16275.62</v>
      </c>
      <c r="E559" s="25">
        <v>368863</v>
      </c>
      <c r="F559" s="24">
        <f t="shared" si="0"/>
        <v>62.26</v>
      </c>
      <c r="G559" s="26">
        <f t="shared" si="1"/>
        <v>385138.62</v>
      </c>
      <c r="H559" s="27" t="str">
        <f t="shared" si="2"/>
        <v/>
      </c>
      <c r="J559" s="73"/>
      <c r="K559" s="28"/>
      <c r="L559" s="74"/>
      <c r="M559" s="31"/>
    </row>
    <row r="560" spans="1:13" ht="14.25" customHeight="1">
      <c r="A560" s="32">
        <v>44538</v>
      </c>
      <c r="B560" s="22">
        <v>122</v>
      </c>
      <c r="C560" s="23" t="s">
        <v>256</v>
      </c>
      <c r="D560" s="24"/>
      <c r="E560" s="25"/>
      <c r="F560" s="24" t="str">
        <f t="shared" si="0"/>
        <v/>
      </c>
      <c r="G560" s="26" t="str">
        <f t="shared" si="1"/>
        <v/>
      </c>
      <c r="H560" s="27" t="str">
        <f t="shared" si="2"/>
        <v>Positional</v>
      </c>
      <c r="J560" s="73"/>
      <c r="K560" s="28"/>
      <c r="L560" s="74"/>
      <c r="M560" s="31"/>
    </row>
    <row r="561" spans="1:13" ht="14.25" customHeight="1">
      <c r="A561" s="32">
        <v>44538</v>
      </c>
      <c r="B561" s="22">
        <v>191.3</v>
      </c>
      <c r="C561" s="23" t="s">
        <v>20</v>
      </c>
      <c r="D561" s="24">
        <v>19831.05</v>
      </c>
      <c r="E561" s="25">
        <v>365589</v>
      </c>
      <c r="F561" s="24">
        <f t="shared" si="0"/>
        <v>62.3</v>
      </c>
      <c r="G561" s="26">
        <f t="shared" si="1"/>
        <v>385420.05</v>
      </c>
      <c r="H561" s="27" t="str">
        <f t="shared" si="2"/>
        <v/>
      </c>
      <c r="J561" s="73"/>
      <c r="K561" s="28"/>
      <c r="L561" s="74"/>
      <c r="M561" s="31"/>
    </row>
    <row r="562" spans="1:13" ht="14.25" customHeight="1">
      <c r="A562" s="32">
        <v>44539</v>
      </c>
      <c r="B562" s="22">
        <v>-4951</v>
      </c>
      <c r="C562" s="23" t="s">
        <v>257</v>
      </c>
      <c r="D562" s="24"/>
      <c r="E562" s="25"/>
      <c r="F562" s="24" t="str">
        <f t="shared" si="0"/>
        <v/>
      </c>
      <c r="G562" s="26" t="str">
        <f t="shared" si="1"/>
        <v/>
      </c>
      <c r="H562" s="27" t="str">
        <f t="shared" si="2"/>
        <v>Positional</v>
      </c>
      <c r="J562" s="73"/>
      <c r="K562" s="28"/>
      <c r="L562" s="74"/>
      <c r="M562" s="31"/>
    </row>
    <row r="563" spans="1:13" ht="14.25" customHeight="1">
      <c r="A563" s="32">
        <v>44539</v>
      </c>
      <c r="B563" s="22">
        <v>49.59</v>
      </c>
      <c r="C563" s="23" t="s">
        <v>20</v>
      </c>
      <c r="D563" s="24">
        <v>19005.7</v>
      </c>
      <c r="E563" s="25">
        <v>351497</v>
      </c>
      <c r="F563" s="24">
        <f t="shared" si="0"/>
        <v>239.56</v>
      </c>
      <c r="G563" s="26">
        <f t="shared" si="1"/>
        <v>1482010.8</v>
      </c>
      <c r="H563" s="27" t="str">
        <f t="shared" si="2"/>
        <v/>
      </c>
      <c r="J563" s="73"/>
      <c r="K563" s="28"/>
      <c r="L563" s="74"/>
      <c r="M563" s="31"/>
    </row>
    <row r="564" spans="1:13" ht="14.25" customHeight="1">
      <c r="A564" s="32">
        <v>44543</v>
      </c>
      <c r="B564" s="22">
        <v>244.8</v>
      </c>
      <c r="C564" s="23" t="s">
        <v>20</v>
      </c>
      <c r="D564" s="24">
        <v>250.5</v>
      </c>
      <c r="E564" s="25">
        <v>351641</v>
      </c>
      <c r="F564" s="24">
        <f t="shared" si="0"/>
        <v>227.52</v>
      </c>
      <c r="G564" s="26">
        <f t="shared" si="1"/>
        <v>1407566</v>
      </c>
      <c r="H564" s="27" t="str">
        <f t="shared" si="2"/>
        <v/>
      </c>
      <c r="J564" s="73"/>
      <c r="K564" s="28"/>
      <c r="L564" s="74"/>
      <c r="M564" s="31"/>
    </row>
    <row r="565" spans="1:13" ht="14.25" customHeight="1">
      <c r="A565" s="32">
        <v>44547</v>
      </c>
      <c r="B565" s="22">
        <v>-0.33</v>
      </c>
      <c r="C565" s="23" t="s">
        <v>16</v>
      </c>
      <c r="D565" s="24">
        <v>591.16999999999996</v>
      </c>
      <c r="E565" s="25">
        <v>359300</v>
      </c>
      <c r="F565" s="24">
        <f t="shared" si="0"/>
        <v>174.52</v>
      </c>
      <c r="G565" s="26">
        <f t="shared" si="1"/>
        <v>1079673.51</v>
      </c>
      <c r="H565" s="27" t="str">
        <f t="shared" si="2"/>
        <v/>
      </c>
      <c r="J565" s="73"/>
      <c r="K565" s="28"/>
      <c r="L565" s="74"/>
      <c r="M565" s="31"/>
    </row>
    <row r="566" spans="1:13" ht="14.25" customHeight="1">
      <c r="A566" s="32">
        <v>44550</v>
      </c>
      <c r="B566" s="22">
        <v>-0.28999999999999998</v>
      </c>
      <c r="C566" s="23" t="s">
        <v>16</v>
      </c>
      <c r="D566" s="24">
        <v>932.88</v>
      </c>
      <c r="E566" s="25">
        <v>365958</v>
      </c>
      <c r="F566" s="24">
        <f t="shared" si="0"/>
        <v>118.61</v>
      </c>
      <c r="G566" s="26">
        <f t="shared" si="1"/>
        <v>733781.76</v>
      </c>
      <c r="H566" s="27" t="str">
        <f t="shared" si="2"/>
        <v/>
      </c>
      <c r="J566" s="73"/>
      <c r="K566" s="28"/>
      <c r="L566" s="74"/>
      <c r="M566" s="31"/>
    </row>
    <row r="567" spans="1:13" ht="14.25" customHeight="1">
      <c r="A567" s="32">
        <v>44552</v>
      </c>
      <c r="B567" s="22">
        <v>94.74</v>
      </c>
      <c r="C567" s="23" t="s">
        <v>20</v>
      </c>
      <c r="D567" s="24">
        <v>3027.62</v>
      </c>
      <c r="E567" s="25">
        <v>365958</v>
      </c>
      <c r="F567" s="24">
        <f t="shared" si="0"/>
        <v>59.64</v>
      </c>
      <c r="G567" s="26">
        <f t="shared" si="1"/>
        <v>368985.62</v>
      </c>
      <c r="H567" s="27" t="str">
        <f t="shared" si="2"/>
        <v/>
      </c>
      <c r="J567" s="73"/>
      <c r="K567" s="28"/>
      <c r="L567" s="74"/>
      <c r="M567" s="31"/>
    </row>
    <row r="568" spans="1:13" ht="14.25" customHeight="1">
      <c r="A568" s="32">
        <v>44553</v>
      </c>
      <c r="B568" s="22">
        <v>209.96</v>
      </c>
      <c r="C568" s="23" t="s">
        <v>20</v>
      </c>
      <c r="D568" s="24">
        <v>6237.58</v>
      </c>
      <c r="E568" s="25">
        <v>365958</v>
      </c>
      <c r="F568" s="24">
        <f t="shared" si="0"/>
        <v>60.16</v>
      </c>
      <c r="G568" s="26">
        <f t="shared" si="1"/>
        <v>372195.58</v>
      </c>
      <c r="H568" s="27" t="str">
        <f t="shared" si="2"/>
        <v/>
      </c>
      <c r="J568" s="73"/>
      <c r="K568" s="28"/>
      <c r="L568" s="74"/>
      <c r="M568" s="31"/>
    </row>
    <row r="569" spans="1:13" ht="14.25" customHeight="1">
      <c r="A569" s="32">
        <v>44554</v>
      </c>
      <c r="B569" s="22">
        <v>0.94</v>
      </c>
      <c r="C569" s="23" t="s">
        <v>16</v>
      </c>
      <c r="D569" s="24">
        <v>4886.5200000000004</v>
      </c>
      <c r="E569" s="25">
        <v>367310</v>
      </c>
      <c r="F569" s="24">
        <f t="shared" si="0"/>
        <v>180.49</v>
      </c>
      <c r="G569" s="26">
        <f t="shared" si="1"/>
        <v>1116589.56</v>
      </c>
      <c r="H569" s="27" t="str">
        <f t="shared" si="2"/>
        <v/>
      </c>
      <c r="J569" s="73"/>
      <c r="K569" s="28"/>
      <c r="L569" s="74"/>
      <c r="M569" s="31"/>
    </row>
    <row r="570" spans="1:13" ht="14.25" customHeight="1">
      <c r="A570" s="32">
        <v>44557</v>
      </c>
      <c r="B570" s="22">
        <v>71</v>
      </c>
      <c r="C570" s="23" t="s">
        <v>253</v>
      </c>
      <c r="D570" s="24"/>
      <c r="E570" s="25"/>
      <c r="F570" s="24" t="str">
        <f t="shared" si="0"/>
        <v/>
      </c>
      <c r="G570" s="26" t="str">
        <f t="shared" si="1"/>
        <v/>
      </c>
      <c r="H570" s="27" t="str">
        <f t="shared" si="2"/>
        <v>Positional</v>
      </c>
      <c r="J570" s="73"/>
      <c r="K570" s="28"/>
      <c r="L570" s="74"/>
      <c r="M570" s="31"/>
    </row>
    <row r="571" spans="1:13" ht="14.25" customHeight="1">
      <c r="A571" s="32">
        <v>44557</v>
      </c>
      <c r="B571" s="22">
        <v>230</v>
      </c>
      <c r="C571" s="23" t="s">
        <v>222</v>
      </c>
      <c r="D571" s="24"/>
      <c r="E571" s="25"/>
      <c r="F571" s="24" t="str">
        <f t="shared" si="0"/>
        <v/>
      </c>
      <c r="G571" s="26" t="str">
        <f t="shared" si="1"/>
        <v/>
      </c>
      <c r="H571" s="27" t="str">
        <f t="shared" si="2"/>
        <v>Positional</v>
      </c>
      <c r="J571" s="73"/>
      <c r="K571" s="28"/>
      <c r="L571" s="74"/>
      <c r="M571" s="31"/>
    </row>
    <row r="572" spans="1:13" ht="14.25" customHeight="1">
      <c r="A572" s="32">
        <v>44557</v>
      </c>
      <c r="B572" s="22">
        <v>-625</v>
      </c>
      <c r="C572" s="23" t="s">
        <v>258</v>
      </c>
      <c r="D572" s="24"/>
      <c r="E572" s="25"/>
      <c r="F572" s="24" t="str">
        <f t="shared" si="0"/>
        <v/>
      </c>
      <c r="G572" s="26" t="str">
        <f t="shared" si="1"/>
        <v/>
      </c>
      <c r="H572" s="27" t="str">
        <f t="shared" si="2"/>
        <v>Positional</v>
      </c>
      <c r="J572" s="73"/>
      <c r="K572" s="28"/>
      <c r="L572" s="74"/>
      <c r="M572" s="31"/>
    </row>
    <row r="573" spans="1:13" ht="14.25" customHeight="1">
      <c r="A573" s="32">
        <v>44557</v>
      </c>
      <c r="B573" s="22">
        <v>-1311</v>
      </c>
      <c r="C573" s="23" t="s">
        <v>259</v>
      </c>
      <c r="D573" s="24">
        <v>40508.800000000003</v>
      </c>
      <c r="E573" s="25">
        <v>337989</v>
      </c>
      <c r="F573" s="24">
        <f t="shared" si="0"/>
        <v>61.18</v>
      </c>
      <c r="G573" s="26">
        <f t="shared" si="1"/>
        <v>378497.8</v>
      </c>
      <c r="H573" s="27" t="str">
        <f t="shared" si="2"/>
        <v>Positional</v>
      </c>
      <c r="J573" s="73"/>
      <c r="K573" s="28"/>
      <c r="L573" s="74"/>
      <c r="M573" s="31"/>
    </row>
    <row r="574" spans="1:13" ht="14.25" customHeight="1">
      <c r="A574" s="32">
        <v>44558</v>
      </c>
      <c r="B574" s="22">
        <v>140</v>
      </c>
      <c r="C574" s="23" t="s">
        <v>260</v>
      </c>
      <c r="D574" s="24"/>
      <c r="E574" s="25"/>
      <c r="F574" s="24" t="str">
        <f t="shared" si="0"/>
        <v/>
      </c>
      <c r="G574" s="26" t="str">
        <f t="shared" si="1"/>
        <v/>
      </c>
      <c r="H574" s="27" t="str">
        <f t="shared" si="2"/>
        <v>Positional</v>
      </c>
      <c r="J574" s="73"/>
      <c r="K574" s="28"/>
      <c r="L574" s="74"/>
      <c r="M574" s="31"/>
    </row>
    <row r="575" spans="1:13" ht="14.25" customHeight="1">
      <c r="A575" s="32">
        <v>44558</v>
      </c>
      <c r="B575" s="22">
        <v>-960</v>
      </c>
      <c r="C575" s="23" t="s">
        <v>253</v>
      </c>
      <c r="D575" s="24"/>
      <c r="E575" s="25"/>
      <c r="F575" s="24" t="str">
        <f t="shared" si="0"/>
        <v/>
      </c>
      <c r="G575" s="26" t="str">
        <f t="shared" si="1"/>
        <v/>
      </c>
      <c r="H575" s="27" t="str">
        <f t="shared" si="2"/>
        <v>Positional</v>
      </c>
      <c r="J575" s="73"/>
      <c r="K575" s="28"/>
      <c r="L575" s="74"/>
      <c r="M575" s="31"/>
    </row>
    <row r="576" spans="1:13" ht="14.25" customHeight="1">
      <c r="A576" s="32">
        <v>44558</v>
      </c>
      <c r="B576" s="22">
        <v>76.63</v>
      </c>
      <c r="C576" s="23" t="s">
        <v>20</v>
      </c>
      <c r="D576" s="24">
        <v>22768.58</v>
      </c>
      <c r="E576" s="25">
        <v>354954</v>
      </c>
      <c r="F576" s="24">
        <f t="shared" si="0"/>
        <v>61.06</v>
      </c>
      <c r="G576" s="26">
        <f t="shared" si="1"/>
        <v>377722.58</v>
      </c>
      <c r="H576" s="27" t="str">
        <f t="shared" si="2"/>
        <v/>
      </c>
      <c r="J576" s="73"/>
      <c r="K576" s="28"/>
      <c r="L576" s="74"/>
      <c r="M576" s="31"/>
    </row>
    <row r="577" spans="1:13" ht="14.25" customHeight="1">
      <c r="A577" s="32">
        <v>44559</v>
      </c>
      <c r="B577" s="22">
        <v>62.13</v>
      </c>
      <c r="C577" s="23" t="s">
        <v>20</v>
      </c>
      <c r="D577" s="24"/>
      <c r="E577" s="25"/>
      <c r="F577" s="24" t="str">
        <f t="shared" si="0"/>
        <v/>
      </c>
      <c r="G577" s="26" t="str">
        <f t="shared" si="1"/>
        <v/>
      </c>
      <c r="H577" s="27" t="str">
        <f t="shared" si="2"/>
        <v/>
      </c>
      <c r="J577" s="73"/>
      <c r="K577" s="28"/>
      <c r="L577" s="74"/>
      <c r="M577" s="31"/>
    </row>
    <row r="578" spans="1:13" ht="14.25" customHeight="1">
      <c r="A578" s="32">
        <v>44559</v>
      </c>
      <c r="B578" s="22">
        <v>992</v>
      </c>
      <c r="C578" s="23" t="s">
        <v>261</v>
      </c>
      <c r="D578" s="24">
        <v>28461.79</v>
      </c>
      <c r="E578" s="25">
        <v>350299</v>
      </c>
      <c r="F578" s="24">
        <f t="shared" si="0"/>
        <v>61.22</v>
      </c>
      <c r="G578" s="26">
        <f t="shared" si="1"/>
        <v>378760.79</v>
      </c>
      <c r="H578" s="27" t="str">
        <f t="shared" si="2"/>
        <v>Positional</v>
      </c>
      <c r="J578" s="73"/>
      <c r="K578" s="28"/>
      <c r="L578" s="74"/>
      <c r="M578" s="31"/>
    </row>
    <row r="579" spans="1:13" ht="14.25" customHeight="1">
      <c r="A579" s="32">
        <v>44560</v>
      </c>
      <c r="B579" s="22">
        <v>-0.38</v>
      </c>
      <c r="C579" s="23" t="s">
        <v>16</v>
      </c>
      <c r="D579" s="24">
        <v>17548.41</v>
      </c>
      <c r="E579" s="25">
        <v>361212</v>
      </c>
      <c r="F579" s="24">
        <f t="shared" si="0"/>
        <v>61.22</v>
      </c>
      <c r="G579" s="26">
        <f t="shared" si="1"/>
        <v>378760.41</v>
      </c>
      <c r="H579" s="27" t="str">
        <f t="shared" si="2"/>
        <v/>
      </c>
      <c r="J579" s="73"/>
      <c r="K579" s="28"/>
      <c r="L579" s="74"/>
      <c r="M579" s="31"/>
    </row>
    <row r="580" spans="1:13" ht="14.25" customHeight="1">
      <c r="A580" s="32">
        <v>44561</v>
      </c>
      <c r="B580" s="22">
        <v>189</v>
      </c>
      <c r="C580" s="23" t="s">
        <v>262</v>
      </c>
      <c r="D580" s="24"/>
      <c r="E580" s="25"/>
      <c r="F580" s="24" t="str">
        <f t="shared" si="0"/>
        <v/>
      </c>
      <c r="G580" s="26" t="str">
        <f t="shared" si="1"/>
        <v/>
      </c>
      <c r="H580" s="27" t="str">
        <f t="shared" si="2"/>
        <v>Positional</v>
      </c>
      <c r="J580" s="73"/>
      <c r="K580" s="28"/>
      <c r="L580" s="74"/>
      <c r="M580" s="31"/>
    </row>
    <row r="581" spans="1:13" ht="14.25" customHeight="1">
      <c r="A581" s="32">
        <v>44561</v>
      </c>
      <c r="B581" s="22">
        <v>396</v>
      </c>
      <c r="C581" s="23" t="s">
        <v>386</v>
      </c>
      <c r="D581" s="24"/>
      <c r="E581" s="25"/>
      <c r="F581" s="24" t="str">
        <f t="shared" si="0"/>
        <v/>
      </c>
      <c r="G581" s="26" t="str">
        <f t="shared" si="1"/>
        <v/>
      </c>
      <c r="H581" s="27" t="str">
        <f t="shared" si="2"/>
        <v>Positional</v>
      </c>
      <c r="J581" s="73"/>
      <c r="K581" s="28"/>
      <c r="L581" s="74"/>
      <c r="M581" s="31"/>
    </row>
    <row r="582" spans="1:13" ht="14.25" customHeight="1">
      <c r="A582" s="32">
        <v>44561</v>
      </c>
      <c r="B582" s="22">
        <v>177.19</v>
      </c>
      <c r="C582" s="23" t="s">
        <v>20</v>
      </c>
      <c r="D582" s="24">
        <v>42378.74</v>
      </c>
      <c r="E582" s="25">
        <v>337112</v>
      </c>
      <c r="F582" s="24">
        <f t="shared" si="0"/>
        <v>184.03</v>
      </c>
      <c r="G582" s="26">
        <f t="shared" si="1"/>
        <v>1138472.22</v>
      </c>
      <c r="H582" s="27" t="str">
        <f t="shared" si="2"/>
        <v/>
      </c>
      <c r="J582" s="73"/>
      <c r="K582" s="28"/>
      <c r="L582" s="74"/>
      <c r="M582" s="31"/>
    </row>
    <row r="583" spans="1:13" ht="14.25" customHeight="1">
      <c r="A583" s="32">
        <v>44564</v>
      </c>
      <c r="B583" s="22">
        <v>-993</v>
      </c>
      <c r="C583" s="23" t="s">
        <v>184</v>
      </c>
      <c r="D583" s="24"/>
      <c r="E583" s="25"/>
      <c r="F583" s="24" t="str">
        <f t="shared" si="0"/>
        <v/>
      </c>
      <c r="G583" s="26" t="str">
        <f t="shared" si="1"/>
        <v/>
      </c>
      <c r="H583" s="27" t="str">
        <f t="shared" si="2"/>
        <v>Positional</v>
      </c>
      <c r="J583" s="73"/>
      <c r="K583" s="28"/>
      <c r="L583" s="74"/>
      <c r="M583" s="31"/>
    </row>
    <row r="584" spans="1:13" ht="14.25" customHeight="1">
      <c r="A584" s="32">
        <v>44564</v>
      </c>
      <c r="B584" s="22">
        <v>36.03</v>
      </c>
      <c r="C584" s="23" t="s">
        <v>20</v>
      </c>
      <c r="D584" s="24">
        <v>39887.910000000003</v>
      </c>
      <c r="E584" s="25">
        <v>338614</v>
      </c>
      <c r="F584" s="24">
        <f t="shared" si="0"/>
        <v>61.18</v>
      </c>
      <c r="G584" s="26">
        <f t="shared" si="1"/>
        <v>378501.91000000003</v>
      </c>
      <c r="H584" s="27" t="str">
        <f t="shared" si="2"/>
        <v/>
      </c>
      <c r="J584" s="73"/>
      <c r="K584" s="28"/>
      <c r="L584" s="74"/>
      <c r="M584" s="31"/>
    </row>
    <row r="585" spans="1:13" ht="14.25" customHeight="1">
      <c r="A585" s="32">
        <v>44565</v>
      </c>
      <c r="B585" s="22">
        <v>163</v>
      </c>
      <c r="C585" s="23" t="s">
        <v>264</v>
      </c>
      <c r="D585" s="24"/>
      <c r="E585" s="25"/>
      <c r="F585" s="24" t="str">
        <f t="shared" si="0"/>
        <v/>
      </c>
      <c r="G585" s="26" t="str">
        <f t="shared" si="1"/>
        <v/>
      </c>
      <c r="H585" s="27" t="str">
        <f t="shared" si="2"/>
        <v>Positional</v>
      </c>
      <c r="J585" s="73"/>
      <c r="K585" s="28"/>
      <c r="L585" s="74"/>
      <c r="M585" s="31"/>
    </row>
    <row r="586" spans="1:13" ht="14.25" customHeight="1">
      <c r="A586" s="32">
        <v>44565</v>
      </c>
      <c r="B586" s="22">
        <f>-730+3</f>
        <v>-727</v>
      </c>
      <c r="C586" s="23" t="s">
        <v>265</v>
      </c>
      <c r="D586" s="24"/>
      <c r="E586" s="25"/>
      <c r="F586" s="24" t="str">
        <f t="shared" si="0"/>
        <v/>
      </c>
      <c r="G586" s="26" t="str">
        <f t="shared" si="1"/>
        <v/>
      </c>
      <c r="H586" s="27" t="str">
        <f t="shared" si="2"/>
        <v>Positional</v>
      </c>
      <c r="J586" s="73"/>
      <c r="K586" s="28"/>
      <c r="L586" s="74"/>
      <c r="M586" s="31"/>
    </row>
    <row r="587" spans="1:13" ht="14.25" customHeight="1">
      <c r="A587" s="32">
        <v>44565</v>
      </c>
      <c r="B587" s="22">
        <v>41.69</v>
      </c>
      <c r="C587" s="23" t="s">
        <v>20</v>
      </c>
      <c r="D587" s="24">
        <v>35069.78</v>
      </c>
      <c r="E587" s="25">
        <v>342881</v>
      </c>
      <c r="F587" s="24">
        <f t="shared" si="0"/>
        <v>61.09</v>
      </c>
      <c r="G587" s="26">
        <f t="shared" si="1"/>
        <v>377950.78</v>
      </c>
      <c r="H587" s="27" t="str">
        <f t="shared" si="2"/>
        <v/>
      </c>
      <c r="J587" s="73"/>
      <c r="K587" s="28"/>
      <c r="L587" s="74"/>
      <c r="M587" s="31"/>
    </row>
    <row r="588" spans="1:13" ht="14.25" customHeight="1">
      <c r="A588" s="32">
        <v>44566</v>
      </c>
      <c r="B588" s="22">
        <v>-113</v>
      </c>
      <c r="C588" s="23" t="s">
        <v>266</v>
      </c>
      <c r="D588" s="24"/>
      <c r="E588" s="25"/>
      <c r="F588" s="24" t="str">
        <f t="shared" si="0"/>
        <v/>
      </c>
      <c r="G588" s="26" t="str">
        <f t="shared" si="1"/>
        <v/>
      </c>
      <c r="H588" s="27" t="str">
        <f t="shared" si="2"/>
        <v>Positional</v>
      </c>
      <c r="J588" s="73"/>
      <c r="K588" s="28"/>
      <c r="L588" s="74"/>
      <c r="M588" s="31"/>
    </row>
    <row r="589" spans="1:13" ht="14.25" customHeight="1">
      <c r="A589" s="32">
        <v>44566</v>
      </c>
      <c r="B589" s="22">
        <v>496</v>
      </c>
      <c r="C589" s="23" t="s">
        <v>267</v>
      </c>
      <c r="D589" s="24"/>
      <c r="E589" s="25"/>
      <c r="F589" s="24" t="str">
        <f t="shared" si="0"/>
        <v/>
      </c>
      <c r="G589" s="26" t="str">
        <f t="shared" si="1"/>
        <v/>
      </c>
      <c r="H589" s="27" t="str">
        <f t="shared" si="2"/>
        <v>Positional</v>
      </c>
      <c r="J589" s="73"/>
      <c r="K589" s="28"/>
      <c r="L589" s="74"/>
      <c r="M589" s="31"/>
    </row>
    <row r="590" spans="1:13" ht="14.25" customHeight="1">
      <c r="A590" s="32">
        <v>44566</v>
      </c>
      <c r="B590" s="22">
        <v>-55.95</v>
      </c>
      <c r="C590" s="23" t="s">
        <v>20</v>
      </c>
      <c r="D590" s="24">
        <v>70791.97</v>
      </c>
      <c r="E590" s="25">
        <v>307454</v>
      </c>
      <c r="F590" s="24">
        <f t="shared" si="0"/>
        <v>61.14</v>
      </c>
      <c r="G590" s="26">
        <f t="shared" si="1"/>
        <v>378245.97</v>
      </c>
      <c r="H590" s="27" t="str">
        <f t="shared" si="2"/>
        <v/>
      </c>
      <c r="J590" s="73"/>
      <c r="K590" s="28"/>
      <c r="L590" s="74"/>
      <c r="M590" s="31"/>
    </row>
    <row r="591" spans="1:13" ht="14.25" customHeight="1">
      <c r="A591" s="32">
        <v>44567</v>
      </c>
      <c r="B591" s="22">
        <v>44.83</v>
      </c>
      <c r="C591" s="23" t="s">
        <v>20</v>
      </c>
      <c r="D591" s="24">
        <v>50836.800000000003</v>
      </c>
      <c r="E591" s="25">
        <v>305392</v>
      </c>
      <c r="F591" s="24">
        <f t="shared" si="0"/>
        <v>57.58</v>
      </c>
      <c r="G591" s="26">
        <f t="shared" si="1"/>
        <v>356228.8</v>
      </c>
      <c r="H591" s="27" t="str">
        <f t="shared" si="2"/>
        <v/>
      </c>
      <c r="J591" s="73"/>
      <c r="K591" s="28"/>
      <c r="L591" s="74"/>
      <c r="M591" s="31"/>
    </row>
    <row r="592" spans="1:13" ht="14.25" customHeight="1">
      <c r="A592" s="32">
        <v>44568</v>
      </c>
      <c r="B592" s="22">
        <v>-12</v>
      </c>
      <c r="C592" s="23" t="s">
        <v>262</v>
      </c>
      <c r="D592" s="24"/>
      <c r="E592" s="25"/>
      <c r="F592" s="24" t="str">
        <f t="shared" si="0"/>
        <v/>
      </c>
      <c r="G592" s="26" t="str">
        <f t="shared" si="1"/>
        <v/>
      </c>
      <c r="H592" s="27" t="str">
        <f t="shared" si="2"/>
        <v>Positional</v>
      </c>
      <c r="J592" s="73"/>
      <c r="K592" s="28"/>
      <c r="L592" s="74"/>
      <c r="M592" s="31"/>
    </row>
    <row r="593" spans="1:13" ht="14.25" customHeight="1">
      <c r="A593" s="32">
        <v>44568</v>
      </c>
      <c r="B593" s="22">
        <v>-251.83</v>
      </c>
      <c r="C593" s="23" t="s">
        <v>20</v>
      </c>
      <c r="D593" s="24">
        <v>52619.040000000001</v>
      </c>
      <c r="E593" s="25">
        <v>305392</v>
      </c>
      <c r="F593" s="24">
        <f t="shared" si="0"/>
        <v>173.61</v>
      </c>
      <c r="G593" s="26">
        <f t="shared" si="1"/>
        <v>1074033.1199999999</v>
      </c>
      <c r="H593" s="27" t="str">
        <f t="shared" si="2"/>
        <v/>
      </c>
      <c r="J593" s="73"/>
      <c r="K593" s="28"/>
      <c r="L593" s="74"/>
      <c r="M593" s="31"/>
    </row>
    <row r="594" spans="1:13" ht="14.25" customHeight="1">
      <c r="A594" s="32">
        <v>44571</v>
      </c>
      <c r="B594" s="22">
        <v>170.63</v>
      </c>
      <c r="C594" s="23" t="s">
        <v>20</v>
      </c>
      <c r="D594" s="24">
        <v>177779.05</v>
      </c>
      <c r="E594" s="25">
        <v>305392</v>
      </c>
      <c r="F594" s="24">
        <f t="shared" si="0"/>
        <v>78.099999999999994</v>
      </c>
      <c r="G594" s="26">
        <f t="shared" si="1"/>
        <v>483171.05</v>
      </c>
      <c r="H594" s="27" t="str">
        <f t="shared" si="2"/>
        <v/>
      </c>
      <c r="J594" s="73"/>
      <c r="K594" s="28"/>
      <c r="L594" s="74"/>
      <c r="M594" s="31"/>
    </row>
    <row r="595" spans="1:13" ht="14.25" customHeight="1">
      <c r="A595" s="32">
        <v>44572</v>
      </c>
      <c r="B595" s="22">
        <v>883.83</v>
      </c>
      <c r="C595" s="23" t="s">
        <v>20</v>
      </c>
      <c r="D595" s="24">
        <v>36042.879999999997</v>
      </c>
      <c r="E595" s="25">
        <v>359496</v>
      </c>
      <c r="F595" s="24">
        <f t="shared" si="0"/>
        <v>63.94</v>
      </c>
      <c r="G595" s="26">
        <f t="shared" si="1"/>
        <v>395538.88</v>
      </c>
      <c r="H595" s="27" t="str">
        <f t="shared" si="2"/>
        <v/>
      </c>
      <c r="J595" s="73"/>
      <c r="K595" s="28"/>
      <c r="L595" s="74"/>
      <c r="M595" s="31"/>
    </row>
    <row r="596" spans="1:13" ht="14.25" customHeight="1">
      <c r="A596" s="32">
        <v>44573</v>
      </c>
      <c r="B596" s="22">
        <v>-592</v>
      </c>
      <c r="C596" s="23" t="s">
        <v>269</v>
      </c>
      <c r="D596" s="24"/>
      <c r="E596" s="25"/>
      <c r="F596" s="24" t="str">
        <f t="shared" si="0"/>
        <v/>
      </c>
      <c r="G596" s="26" t="str">
        <f t="shared" si="1"/>
        <v/>
      </c>
      <c r="H596" s="27" t="str">
        <f t="shared" si="2"/>
        <v>Positional</v>
      </c>
      <c r="J596" s="73"/>
      <c r="K596" s="28"/>
      <c r="L596" s="74"/>
      <c r="M596" s="31"/>
    </row>
    <row r="597" spans="1:13" ht="14.25" customHeight="1">
      <c r="A597" s="32">
        <v>44573</v>
      </c>
      <c r="B597" s="22">
        <v>410</v>
      </c>
      <c r="C597" s="23" t="s">
        <v>196</v>
      </c>
      <c r="D597" s="24"/>
      <c r="E597" s="25"/>
      <c r="F597" s="24" t="str">
        <f t="shared" si="0"/>
        <v/>
      </c>
      <c r="G597" s="26" t="str">
        <f t="shared" si="1"/>
        <v/>
      </c>
      <c r="H597" s="27" t="str">
        <f t="shared" si="2"/>
        <v>Positional</v>
      </c>
      <c r="J597" s="73"/>
      <c r="K597" s="28"/>
      <c r="L597" s="74"/>
      <c r="M597" s="31"/>
    </row>
    <row r="598" spans="1:13" ht="14.25" customHeight="1">
      <c r="A598" s="32">
        <v>44573</v>
      </c>
      <c r="B598" s="22">
        <v>616.29</v>
      </c>
      <c r="C598" s="23" t="s">
        <v>20</v>
      </c>
      <c r="D598" s="24">
        <v>124992.17</v>
      </c>
      <c r="E598" s="25">
        <v>424519</v>
      </c>
      <c r="F598" s="24">
        <f t="shared" si="0"/>
        <v>88.83</v>
      </c>
      <c r="G598" s="26">
        <f t="shared" si="1"/>
        <v>549511.17000000004</v>
      </c>
      <c r="H598" s="27" t="str">
        <f t="shared" si="2"/>
        <v/>
      </c>
      <c r="J598" s="73"/>
      <c r="K598" s="28"/>
      <c r="L598" s="74"/>
      <c r="M598" s="31"/>
    </row>
    <row r="599" spans="1:13" ht="14.25" customHeight="1">
      <c r="A599" s="32">
        <v>44574</v>
      </c>
      <c r="B599" s="22">
        <v>797.22</v>
      </c>
      <c r="C599" s="23" t="s">
        <v>20</v>
      </c>
      <c r="D599" s="24">
        <v>60735.54</v>
      </c>
      <c r="E599" s="25">
        <v>424519</v>
      </c>
      <c r="F599" s="24">
        <f t="shared" si="0"/>
        <v>78.44</v>
      </c>
      <c r="G599" s="26">
        <f t="shared" si="1"/>
        <v>485254.54</v>
      </c>
      <c r="H599" s="27" t="str">
        <f t="shared" si="2"/>
        <v/>
      </c>
      <c r="J599" s="73"/>
      <c r="K599" s="28"/>
      <c r="L599" s="74"/>
      <c r="M599" s="31"/>
    </row>
    <row r="600" spans="1:13" ht="14.25" customHeight="1">
      <c r="A600" s="32">
        <v>44575</v>
      </c>
      <c r="B600" s="22">
        <v>296.7</v>
      </c>
      <c r="C600" s="23" t="s">
        <v>20</v>
      </c>
      <c r="D600" s="24">
        <v>5480.24</v>
      </c>
      <c r="E600" s="25">
        <v>490071</v>
      </c>
      <c r="F600" s="24">
        <f t="shared" si="0"/>
        <v>240.31</v>
      </c>
      <c r="G600" s="26">
        <f t="shared" si="1"/>
        <v>1486653.72</v>
      </c>
      <c r="H600" s="27" t="str">
        <f t="shared" si="2"/>
        <v/>
      </c>
      <c r="J600" s="73"/>
      <c r="K600" s="28"/>
      <c r="L600" s="79"/>
      <c r="M600" s="31"/>
    </row>
    <row r="601" spans="1:13" ht="14.25" customHeight="1">
      <c r="A601" s="32">
        <v>44578</v>
      </c>
      <c r="B601" s="22">
        <v>-178</v>
      </c>
      <c r="C601" s="23" t="s">
        <v>270</v>
      </c>
      <c r="D601" s="24"/>
      <c r="E601" s="25"/>
      <c r="F601" s="24" t="str">
        <f t="shared" si="0"/>
        <v/>
      </c>
      <c r="G601" s="26" t="str">
        <f t="shared" si="1"/>
        <v/>
      </c>
      <c r="H601" s="27" t="str">
        <f t="shared" si="2"/>
        <v>Positional</v>
      </c>
      <c r="J601" s="73"/>
      <c r="K601" s="28"/>
      <c r="L601" s="79"/>
      <c r="M601" s="31"/>
    </row>
    <row r="602" spans="1:13" ht="14.25" customHeight="1">
      <c r="A602" s="32">
        <v>44578</v>
      </c>
      <c r="B602" s="22">
        <v>22</v>
      </c>
      <c r="C602" s="23" t="s">
        <v>271</v>
      </c>
      <c r="D602" s="24"/>
      <c r="E602" s="25"/>
      <c r="F602" s="24" t="str">
        <f t="shared" si="0"/>
        <v/>
      </c>
      <c r="G602" s="26" t="str">
        <f t="shared" si="1"/>
        <v/>
      </c>
      <c r="H602" s="27" t="str">
        <f t="shared" si="2"/>
        <v>Positional</v>
      </c>
      <c r="J602" s="73"/>
      <c r="K602" s="28"/>
      <c r="L602" s="79"/>
      <c r="M602" s="31"/>
    </row>
    <row r="603" spans="1:13" ht="14.25" customHeight="1">
      <c r="A603" s="32">
        <v>44578</v>
      </c>
      <c r="B603" s="22">
        <v>2120</v>
      </c>
      <c r="C603" s="23" t="s">
        <v>272</v>
      </c>
      <c r="D603" s="24"/>
      <c r="E603" s="25"/>
      <c r="F603" s="24" t="str">
        <f t="shared" si="0"/>
        <v/>
      </c>
      <c r="G603" s="26" t="str">
        <f t="shared" si="1"/>
        <v/>
      </c>
      <c r="H603" s="27" t="str">
        <f t="shared" si="2"/>
        <v>Positional</v>
      </c>
      <c r="J603" s="73"/>
      <c r="K603" s="28"/>
      <c r="L603" s="79"/>
      <c r="M603" s="31"/>
    </row>
    <row r="604" spans="1:13" ht="14.25" customHeight="1">
      <c r="A604" s="32">
        <v>44578</v>
      </c>
      <c r="B604" s="22">
        <v>476</v>
      </c>
      <c r="C604" s="23" t="s">
        <v>273</v>
      </c>
      <c r="D604" s="24"/>
      <c r="E604" s="25"/>
      <c r="F604" s="24" t="str">
        <f t="shared" si="0"/>
        <v/>
      </c>
      <c r="G604" s="26" t="str">
        <f t="shared" si="1"/>
        <v/>
      </c>
      <c r="H604" s="27" t="str">
        <f t="shared" si="2"/>
        <v>Positional</v>
      </c>
      <c r="J604" s="73"/>
      <c r="K604" s="28"/>
      <c r="L604" s="79"/>
      <c r="M604" s="31"/>
    </row>
    <row r="605" spans="1:13" ht="14.25" customHeight="1">
      <c r="A605" s="32">
        <v>44578</v>
      </c>
      <c r="B605" s="22">
        <v>73.849999999999994</v>
      </c>
      <c r="C605" s="23" t="s">
        <v>20</v>
      </c>
      <c r="D605" s="24">
        <v>38756.370000000003</v>
      </c>
      <c r="E605" s="25">
        <v>464245</v>
      </c>
      <c r="F605" s="24">
        <f t="shared" si="0"/>
        <v>81.31</v>
      </c>
      <c r="G605" s="26">
        <f t="shared" si="1"/>
        <v>503001.37</v>
      </c>
      <c r="H605" s="27" t="str">
        <f t="shared" si="2"/>
        <v/>
      </c>
      <c r="J605" s="73"/>
      <c r="K605" s="28"/>
      <c r="L605" s="79"/>
      <c r="M605" s="31"/>
    </row>
    <row r="606" spans="1:13" ht="14.25" customHeight="1">
      <c r="A606" s="32">
        <v>44579</v>
      </c>
      <c r="B606" s="22">
        <v>196.26</v>
      </c>
      <c r="C606" s="23" t="s">
        <v>4</v>
      </c>
      <c r="D606" s="24"/>
      <c r="E606" s="25"/>
      <c r="F606" s="24" t="str">
        <f t="shared" si="0"/>
        <v/>
      </c>
      <c r="G606" s="26" t="str">
        <f t="shared" si="1"/>
        <v/>
      </c>
      <c r="H606" s="27" t="str">
        <f t="shared" si="2"/>
        <v/>
      </c>
      <c r="J606" s="73"/>
      <c r="K606" s="28"/>
      <c r="L606" s="79"/>
      <c r="M606" s="31"/>
    </row>
    <row r="607" spans="1:13" ht="14.25" customHeight="1">
      <c r="A607" s="32">
        <v>44579</v>
      </c>
      <c r="B607" s="22">
        <v>224.13</v>
      </c>
      <c r="C607" s="23" t="s">
        <v>20</v>
      </c>
      <c r="D607" s="24">
        <v>26976.76</v>
      </c>
      <c r="E607" s="25">
        <v>476445</v>
      </c>
      <c r="F607" s="24">
        <f t="shared" si="0"/>
        <v>81.38</v>
      </c>
      <c r="G607" s="26">
        <f t="shared" si="1"/>
        <v>503421.76</v>
      </c>
      <c r="H607" s="27" t="str">
        <f t="shared" si="2"/>
        <v/>
      </c>
      <c r="J607" s="73"/>
      <c r="K607" s="28"/>
      <c r="L607" s="79"/>
      <c r="M607" s="31"/>
    </row>
    <row r="608" spans="1:13" ht="14.25" customHeight="1">
      <c r="A608" s="32">
        <v>44580</v>
      </c>
      <c r="B608" s="22">
        <v>1.76</v>
      </c>
      <c r="C608" s="23" t="s">
        <v>20</v>
      </c>
      <c r="D608" s="24"/>
      <c r="E608" s="25"/>
      <c r="F608" s="24" t="str">
        <f t="shared" si="0"/>
        <v/>
      </c>
      <c r="G608" s="26" t="str">
        <f t="shared" si="1"/>
        <v/>
      </c>
      <c r="H608" s="27" t="str">
        <f t="shared" si="2"/>
        <v/>
      </c>
      <c r="J608" s="73"/>
      <c r="K608" s="28"/>
      <c r="L608" s="79"/>
      <c r="M608" s="31"/>
    </row>
    <row r="609" spans="1:13" ht="14.25" customHeight="1">
      <c r="A609" s="32">
        <v>44580</v>
      </c>
      <c r="B609" s="22">
        <v>214</v>
      </c>
      <c r="C609" s="23" t="s">
        <v>273</v>
      </c>
      <c r="D609" s="24">
        <v>27787.58</v>
      </c>
      <c r="E609" s="25">
        <v>475834</v>
      </c>
      <c r="F609" s="24">
        <f t="shared" si="0"/>
        <v>81.41</v>
      </c>
      <c r="G609" s="26">
        <f t="shared" si="1"/>
        <v>503621.58</v>
      </c>
      <c r="H609" s="27" t="str">
        <f t="shared" si="2"/>
        <v>Positional</v>
      </c>
      <c r="J609" s="73"/>
      <c r="K609" s="28"/>
      <c r="L609" s="79"/>
      <c r="M609" s="31"/>
    </row>
    <row r="610" spans="1:13" ht="14.25" customHeight="1">
      <c r="A610" s="32">
        <v>44581</v>
      </c>
      <c r="B610" s="22">
        <v>976</v>
      </c>
      <c r="C610" s="23" t="s">
        <v>261</v>
      </c>
      <c r="D610" s="24"/>
      <c r="E610" s="25"/>
      <c r="F610" s="24" t="str">
        <f t="shared" si="0"/>
        <v/>
      </c>
      <c r="G610" s="26" t="str">
        <f t="shared" si="1"/>
        <v/>
      </c>
      <c r="H610" s="27" t="str">
        <f t="shared" si="2"/>
        <v>Positional</v>
      </c>
      <c r="J610" s="73"/>
      <c r="K610" s="28"/>
      <c r="L610" s="79"/>
      <c r="M610" s="31"/>
    </row>
    <row r="611" spans="1:13" ht="14.25" customHeight="1">
      <c r="A611" s="32">
        <v>44581</v>
      </c>
      <c r="B611" s="22">
        <v>336</v>
      </c>
      <c r="C611" s="23" t="s">
        <v>267</v>
      </c>
      <c r="D611" s="24"/>
      <c r="E611" s="25"/>
      <c r="F611" s="24" t="str">
        <f t="shared" si="0"/>
        <v/>
      </c>
      <c r="G611" s="26" t="str">
        <f t="shared" si="1"/>
        <v/>
      </c>
      <c r="H611" s="27" t="str">
        <f t="shared" si="2"/>
        <v>Positional</v>
      </c>
      <c r="J611" s="73"/>
      <c r="K611" s="28"/>
      <c r="L611" s="79"/>
      <c r="M611" s="31"/>
    </row>
    <row r="612" spans="1:13" ht="14.25" customHeight="1">
      <c r="A612" s="32">
        <v>44581</v>
      </c>
      <c r="B612" s="22">
        <v>290.94</v>
      </c>
      <c r="C612" s="23" t="s">
        <v>20</v>
      </c>
      <c r="D612" s="24">
        <v>34764.660000000003</v>
      </c>
      <c r="E612" s="25">
        <v>470428</v>
      </c>
      <c r="F612" s="24">
        <f t="shared" si="0"/>
        <v>81.66</v>
      </c>
      <c r="G612" s="26">
        <f t="shared" si="1"/>
        <v>505192.66000000003</v>
      </c>
      <c r="H612" s="27" t="str">
        <f t="shared" si="2"/>
        <v/>
      </c>
      <c r="J612" s="73"/>
      <c r="K612" s="28"/>
      <c r="L612" s="79"/>
      <c r="M612" s="31"/>
    </row>
    <row r="613" spans="1:13" ht="14.25" customHeight="1">
      <c r="A613" s="32">
        <v>44582</v>
      </c>
      <c r="B613" s="22">
        <v>211.12</v>
      </c>
      <c r="C613" s="23" t="s">
        <v>20</v>
      </c>
      <c r="D613" s="24">
        <v>5339.78</v>
      </c>
      <c r="E613" s="25">
        <v>500064</v>
      </c>
      <c r="F613" s="24">
        <f t="shared" si="0"/>
        <v>245.09</v>
      </c>
      <c r="G613" s="26">
        <f t="shared" si="1"/>
        <v>1516211.34</v>
      </c>
      <c r="H613" s="27" t="str">
        <f t="shared" si="2"/>
        <v/>
      </c>
      <c r="J613" s="73"/>
      <c r="K613" s="28"/>
      <c r="L613" s="79"/>
      <c r="M613" s="31"/>
    </row>
    <row r="614" spans="1:13" ht="14.25" customHeight="1">
      <c r="A614" s="32">
        <v>44585</v>
      </c>
      <c r="B614" s="22">
        <v>-0.4</v>
      </c>
      <c r="C614" s="23" t="s">
        <v>16</v>
      </c>
      <c r="D614" s="24">
        <v>10652.38</v>
      </c>
      <c r="E614" s="25">
        <v>519751</v>
      </c>
      <c r="F614" s="24">
        <f t="shared" si="0"/>
        <v>85.74</v>
      </c>
      <c r="G614" s="26">
        <f t="shared" si="1"/>
        <v>530403.38</v>
      </c>
      <c r="H614" s="27" t="str">
        <f t="shared" si="2"/>
        <v/>
      </c>
      <c r="J614" s="73"/>
      <c r="K614" s="28"/>
      <c r="L614" s="79"/>
      <c r="M614" s="31"/>
    </row>
    <row r="615" spans="1:13" ht="14.25" customHeight="1">
      <c r="A615" s="32">
        <v>44586</v>
      </c>
      <c r="B615" s="22">
        <v>7.0000000000000007E-2</v>
      </c>
      <c r="C615" s="23" t="s">
        <v>16</v>
      </c>
      <c r="D615" s="24">
        <v>4724.47</v>
      </c>
      <c r="E615" s="25">
        <v>535679</v>
      </c>
      <c r="F615" s="24">
        <f t="shared" si="0"/>
        <v>174.71</v>
      </c>
      <c r="G615" s="26">
        <f t="shared" si="1"/>
        <v>1080806.94</v>
      </c>
      <c r="H615" s="27" t="str">
        <f t="shared" si="2"/>
        <v/>
      </c>
      <c r="J615" s="73"/>
      <c r="K615" s="28"/>
      <c r="L615" s="79"/>
      <c r="M615" s="31"/>
    </row>
    <row r="616" spans="1:13" ht="14.25" customHeight="1">
      <c r="A616" s="32">
        <v>44588</v>
      </c>
      <c r="B616" s="22">
        <v>159</v>
      </c>
      <c r="C616" s="23" t="s">
        <v>274</v>
      </c>
      <c r="D616" s="24"/>
      <c r="E616" s="25"/>
      <c r="F616" s="24" t="str">
        <f t="shared" si="0"/>
        <v/>
      </c>
      <c r="G616" s="26" t="str">
        <f t="shared" si="1"/>
        <v/>
      </c>
      <c r="H616" s="27" t="str">
        <f t="shared" si="2"/>
        <v>Positional</v>
      </c>
      <c r="J616" s="73"/>
      <c r="K616" s="28"/>
      <c r="L616" s="79"/>
      <c r="M616" s="31"/>
    </row>
    <row r="617" spans="1:13" ht="14.25" customHeight="1">
      <c r="A617" s="32">
        <v>44588</v>
      </c>
      <c r="B617" s="22">
        <v>178.82</v>
      </c>
      <c r="C617" s="23" t="s">
        <v>20</v>
      </c>
      <c r="D617" s="24">
        <v>28036.35</v>
      </c>
      <c r="E617" s="25">
        <v>522689</v>
      </c>
      <c r="F617" s="24">
        <f t="shared" si="0"/>
        <v>89.02</v>
      </c>
      <c r="G617" s="26">
        <f t="shared" si="1"/>
        <v>550725.35</v>
      </c>
      <c r="H617" s="27" t="str">
        <f t="shared" si="2"/>
        <v/>
      </c>
      <c r="J617" s="73"/>
      <c r="K617" s="28"/>
      <c r="L617" s="79"/>
      <c r="M617" s="31"/>
    </row>
    <row r="618" spans="1:13" ht="14.25" customHeight="1">
      <c r="A618" s="32">
        <v>44589</v>
      </c>
      <c r="B618" s="22">
        <v>783</v>
      </c>
      <c r="C618" s="23" t="s">
        <v>261</v>
      </c>
      <c r="D618" s="24"/>
      <c r="E618" s="25"/>
      <c r="F618" s="24" t="str">
        <f t="shared" si="0"/>
        <v/>
      </c>
      <c r="G618" s="26" t="str">
        <f t="shared" si="1"/>
        <v/>
      </c>
      <c r="H618" s="27" t="str">
        <f t="shared" si="2"/>
        <v>Positional</v>
      </c>
      <c r="J618" s="73"/>
      <c r="K618" s="28"/>
      <c r="L618" s="79"/>
      <c r="M618" s="31"/>
    </row>
    <row r="619" spans="1:13" ht="14.25" customHeight="1">
      <c r="A619" s="32">
        <v>44589</v>
      </c>
      <c r="B619" s="22">
        <v>570</v>
      </c>
      <c r="C619" s="23" t="s">
        <v>275</v>
      </c>
      <c r="D619" s="24"/>
      <c r="E619" s="25"/>
      <c r="F619" s="24" t="str">
        <f t="shared" si="0"/>
        <v/>
      </c>
      <c r="G619" s="26" t="str">
        <f t="shared" si="1"/>
        <v/>
      </c>
      <c r="H619" s="27" t="str">
        <f t="shared" si="2"/>
        <v>Positional</v>
      </c>
      <c r="J619" s="73"/>
      <c r="K619" s="28"/>
      <c r="L619" s="79"/>
      <c r="M619" s="31"/>
    </row>
    <row r="620" spans="1:13" ht="14.25" customHeight="1">
      <c r="A620" s="32">
        <v>44589</v>
      </c>
      <c r="B620" s="22">
        <v>154.09</v>
      </c>
      <c r="C620" s="23" t="s">
        <v>20</v>
      </c>
      <c r="D620" s="24">
        <v>30124.85</v>
      </c>
      <c r="E620" s="25">
        <v>537049</v>
      </c>
      <c r="F620" s="24">
        <f t="shared" si="0"/>
        <v>275.04000000000002</v>
      </c>
      <c r="G620" s="26">
        <f t="shared" si="1"/>
        <v>1701521.5499999998</v>
      </c>
      <c r="H620" s="27" t="str">
        <f t="shared" si="2"/>
        <v/>
      </c>
      <c r="J620" s="73"/>
      <c r="K620" s="28"/>
      <c r="L620" s="79"/>
      <c r="M620" s="31"/>
    </row>
    <row r="621" spans="1:13" ht="14.25" customHeight="1">
      <c r="A621" s="32">
        <v>44592</v>
      </c>
      <c r="B621" s="22">
        <v>741</v>
      </c>
      <c r="C621" s="23" t="s">
        <v>276</v>
      </c>
      <c r="D621" s="24"/>
      <c r="E621" s="25"/>
      <c r="F621" s="24" t="str">
        <f t="shared" si="0"/>
        <v/>
      </c>
      <c r="G621" s="26" t="str">
        <f t="shared" si="1"/>
        <v/>
      </c>
      <c r="H621" s="27" t="str">
        <f t="shared" si="2"/>
        <v>Positional</v>
      </c>
      <c r="J621" s="73"/>
      <c r="K621" s="28"/>
      <c r="L621" s="79"/>
      <c r="M621" s="31"/>
    </row>
    <row r="622" spans="1:13" ht="14.25" customHeight="1">
      <c r="A622" s="32">
        <v>44592</v>
      </c>
      <c r="B622" s="22">
        <v>20</v>
      </c>
      <c r="C622" s="23" t="s">
        <v>277</v>
      </c>
      <c r="D622" s="24"/>
      <c r="E622" s="25"/>
      <c r="F622" s="24" t="str">
        <f t="shared" si="0"/>
        <v/>
      </c>
      <c r="G622" s="26" t="str">
        <f t="shared" si="1"/>
        <v/>
      </c>
      <c r="H622" s="27" t="str">
        <f t="shared" si="2"/>
        <v>Positional</v>
      </c>
      <c r="J622" s="73"/>
      <c r="K622" s="28"/>
      <c r="L622" s="79"/>
      <c r="M622" s="31"/>
    </row>
    <row r="623" spans="1:13" ht="14.25" customHeight="1">
      <c r="A623" s="32">
        <v>44592</v>
      </c>
      <c r="B623" s="22">
        <v>173.46</v>
      </c>
      <c r="C623" s="23" t="s">
        <v>20</v>
      </c>
      <c r="D623" s="24"/>
      <c r="E623" s="25"/>
      <c r="F623" s="24" t="str">
        <f t="shared" si="0"/>
        <v/>
      </c>
      <c r="G623" s="26" t="str">
        <f t="shared" si="1"/>
        <v/>
      </c>
      <c r="H623" s="27" t="str">
        <f t="shared" si="2"/>
        <v/>
      </c>
      <c r="J623" s="73"/>
      <c r="K623" s="28"/>
      <c r="L623" s="79"/>
      <c r="M623" s="31"/>
    </row>
    <row r="624" spans="1:13" ht="14.25" customHeight="1">
      <c r="A624" s="32">
        <v>44592</v>
      </c>
      <c r="B624" s="22">
        <v>693.07</v>
      </c>
      <c r="C624" s="23" t="s">
        <v>4</v>
      </c>
      <c r="D624" s="24">
        <v>13719.8</v>
      </c>
      <c r="E624" s="25">
        <v>559309</v>
      </c>
      <c r="F624" s="24">
        <f t="shared" si="0"/>
        <v>92.63</v>
      </c>
      <c r="G624" s="26">
        <f t="shared" si="1"/>
        <v>573028.80000000005</v>
      </c>
      <c r="H624" s="27" t="str">
        <f t="shared" si="2"/>
        <v/>
      </c>
      <c r="J624" s="73"/>
      <c r="K624" s="28"/>
      <c r="L624" s="79"/>
      <c r="M624" s="31"/>
    </row>
    <row r="625" spans="1:13" ht="14.25" customHeight="1">
      <c r="A625" s="32">
        <v>44593</v>
      </c>
      <c r="B625" s="22">
        <v>-1.53</v>
      </c>
      <c r="C625" s="23" t="s">
        <v>16</v>
      </c>
      <c r="D625" s="24"/>
      <c r="E625" s="25"/>
      <c r="F625" s="24" t="str">
        <f t="shared" si="0"/>
        <v/>
      </c>
      <c r="G625" s="26" t="str">
        <f t="shared" si="1"/>
        <v/>
      </c>
      <c r="H625" s="27" t="str">
        <f t="shared" si="2"/>
        <v/>
      </c>
      <c r="J625" s="73"/>
      <c r="K625" s="28"/>
      <c r="L625" s="79"/>
      <c r="M625" s="31"/>
    </row>
    <row r="626" spans="1:13" ht="14.25" customHeight="1">
      <c r="A626" s="32">
        <v>44593</v>
      </c>
      <c r="B626" s="22">
        <v>1672</v>
      </c>
      <c r="C626" s="23" t="s">
        <v>278</v>
      </c>
      <c r="D626" s="24">
        <v>2243.34</v>
      </c>
      <c r="E626" s="25">
        <v>577440</v>
      </c>
      <c r="F626" s="24">
        <f t="shared" si="0"/>
        <v>281.11</v>
      </c>
      <c r="G626" s="26">
        <f t="shared" si="1"/>
        <v>1739050.02</v>
      </c>
      <c r="H626" s="27" t="str">
        <f t="shared" si="2"/>
        <v>Positional</v>
      </c>
      <c r="J626" s="73"/>
      <c r="K626" s="28"/>
      <c r="L626" s="79"/>
      <c r="M626" s="31"/>
    </row>
    <row r="627" spans="1:13" ht="14.25" customHeight="1">
      <c r="A627" s="32">
        <v>44596</v>
      </c>
      <c r="B627" s="22">
        <v>0.94</v>
      </c>
      <c r="C627" s="23" t="s">
        <v>16</v>
      </c>
      <c r="D627" s="24">
        <v>887.29</v>
      </c>
      <c r="E627" s="25">
        <v>578797</v>
      </c>
      <c r="F627" s="24">
        <f t="shared" si="0"/>
        <v>281.11</v>
      </c>
      <c r="G627" s="26">
        <f t="shared" si="1"/>
        <v>1739052.87</v>
      </c>
      <c r="H627" s="27" t="str">
        <f t="shared" si="2"/>
        <v/>
      </c>
      <c r="J627" s="73"/>
      <c r="K627" s="28"/>
      <c r="L627" s="79"/>
      <c r="M627" s="31"/>
    </row>
    <row r="628" spans="1:13" ht="14.25" customHeight="1">
      <c r="A628" s="32">
        <v>44599</v>
      </c>
      <c r="B628" s="22">
        <v>0.62</v>
      </c>
      <c r="C628" s="23" t="s">
        <v>16</v>
      </c>
      <c r="D628" s="24">
        <v>14223.38</v>
      </c>
      <c r="E628" s="25">
        <v>587558</v>
      </c>
      <c r="F628" s="24">
        <f t="shared" si="0"/>
        <v>97.27</v>
      </c>
      <c r="G628" s="26">
        <f t="shared" si="1"/>
        <v>601781.38</v>
      </c>
      <c r="H628" s="27" t="str">
        <f t="shared" si="2"/>
        <v/>
      </c>
      <c r="J628" s="73"/>
      <c r="K628" s="28"/>
      <c r="L628" s="79"/>
      <c r="M628" s="31"/>
    </row>
    <row r="629" spans="1:13" ht="14.25" customHeight="1">
      <c r="A629" s="32">
        <v>44600</v>
      </c>
      <c r="B629" s="22">
        <v>2267.81</v>
      </c>
      <c r="C629" s="23" t="s">
        <v>4</v>
      </c>
      <c r="D629" s="24">
        <v>24394.720000000001</v>
      </c>
      <c r="E629" s="25">
        <v>587558</v>
      </c>
      <c r="F629" s="24">
        <f t="shared" si="0"/>
        <v>98.92</v>
      </c>
      <c r="G629" s="26">
        <f t="shared" si="1"/>
        <v>611952.72</v>
      </c>
      <c r="H629" s="27" t="str">
        <f t="shared" si="2"/>
        <v/>
      </c>
      <c r="J629" s="73"/>
      <c r="K629" s="28"/>
      <c r="L629" s="79"/>
      <c r="M629" s="31"/>
    </row>
    <row r="630" spans="1:13" ht="14.25" customHeight="1">
      <c r="A630" s="32">
        <v>44601</v>
      </c>
      <c r="B630" s="22">
        <v>2596.5300000000002</v>
      </c>
      <c r="C630" s="23" t="s">
        <v>4</v>
      </c>
      <c r="D630" s="24">
        <v>26991.25</v>
      </c>
      <c r="E630" s="25">
        <v>587558</v>
      </c>
      <c r="F630" s="24">
        <f t="shared" si="0"/>
        <v>99.34</v>
      </c>
      <c r="G630" s="26">
        <f t="shared" si="1"/>
        <v>614549.25</v>
      </c>
      <c r="H630" s="27" t="str">
        <f t="shared" si="2"/>
        <v/>
      </c>
      <c r="J630" s="73"/>
      <c r="K630" s="28"/>
      <c r="L630" s="79"/>
      <c r="M630" s="31"/>
    </row>
    <row r="631" spans="1:13" ht="14.25" customHeight="1">
      <c r="A631" s="32">
        <v>44602</v>
      </c>
      <c r="B631" s="22">
        <v>1825.78</v>
      </c>
      <c r="C631" s="23" t="s">
        <v>4</v>
      </c>
      <c r="D631" s="24"/>
      <c r="E631" s="25"/>
      <c r="F631" s="24" t="str">
        <f t="shared" si="0"/>
        <v/>
      </c>
      <c r="G631" s="26" t="str">
        <f t="shared" si="1"/>
        <v/>
      </c>
      <c r="H631" s="27" t="str">
        <f t="shared" si="2"/>
        <v/>
      </c>
      <c r="J631" s="73"/>
      <c r="K631" s="28"/>
      <c r="L631" s="79"/>
      <c r="M631" s="31"/>
    </row>
    <row r="632" spans="1:13" ht="14.25" customHeight="1">
      <c r="A632" s="32">
        <v>44602</v>
      </c>
      <c r="B632" s="22">
        <v>526.82000000000005</v>
      </c>
      <c r="C632" s="23" t="s">
        <v>20</v>
      </c>
      <c r="D632" s="24">
        <v>4818.51</v>
      </c>
      <c r="E632" s="25">
        <v>587558</v>
      </c>
      <c r="F632" s="24">
        <f t="shared" si="0"/>
        <v>95.75</v>
      </c>
      <c r="G632" s="26">
        <f t="shared" si="1"/>
        <v>592376.51</v>
      </c>
      <c r="H632" s="27" t="str">
        <f t="shared" si="2"/>
        <v/>
      </c>
      <c r="J632" s="73"/>
      <c r="K632" s="28"/>
      <c r="L632" s="79"/>
      <c r="M632" s="31"/>
    </row>
    <row r="633" spans="1:13" ht="14.25" customHeight="1">
      <c r="A633" s="32">
        <v>44603</v>
      </c>
      <c r="B633" s="22">
        <v>-0.23</v>
      </c>
      <c r="C633" s="23" t="s">
        <v>16</v>
      </c>
      <c r="D633" s="24">
        <v>3229.28</v>
      </c>
      <c r="E633" s="25">
        <v>599147</v>
      </c>
      <c r="F633" s="24">
        <f t="shared" si="0"/>
        <v>292.11</v>
      </c>
      <c r="G633" s="26">
        <f t="shared" si="1"/>
        <v>1807128.84</v>
      </c>
      <c r="H633" s="27" t="str">
        <f t="shared" si="2"/>
        <v/>
      </c>
      <c r="J633" s="73"/>
      <c r="K633" s="28"/>
      <c r="L633" s="79"/>
      <c r="M633" s="31"/>
    </row>
    <row r="634" spans="1:13" ht="14.25" customHeight="1">
      <c r="A634" s="32">
        <v>44606</v>
      </c>
      <c r="B634" s="22">
        <v>190.3</v>
      </c>
      <c r="C634" s="23" t="s">
        <v>20</v>
      </c>
      <c r="D634" s="24">
        <v>4751.0600000000004</v>
      </c>
      <c r="E634" s="25">
        <v>601523</v>
      </c>
      <c r="F634" s="24">
        <f t="shared" si="0"/>
        <v>98</v>
      </c>
      <c r="G634" s="26">
        <f t="shared" si="1"/>
        <v>606274.06000000006</v>
      </c>
      <c r="H634" s="27" t="str">
        <f t="shared" si="2"/>
        <v/>
      </c>
      <c r="J634" s="73"/>
      <c r="K634" s="28"/>
      <c r="L634" s="79"/>
      <c r="M634" s="31"/>
    </row>
    <row r="635" spans="1:13" ht="14.25" customHeight="1">
      <c r="A635" s="32">
        <v>44607</v>
      </c>
      <c r="B635" s="22">
        <v>0.22</v>
      </c>
      <c r="C635" s="23" t="s">
        <v>16</v>
      </c>
      <c r="D635" s="24">
        <v>3245.28</v>
      </c>
      <c r="E635" s="25">
        <v>603029</v>
      </c>
      <c r="F635" s="24">
        <f t="shared" si="0"/>
        <v>98</v>
      </c>
      <c r="G635" s="26">
        <f t="shared" si="1"/>
        <v>606274.28</v>
      </c>
      <c r="H635" s="27" t="str">
        <f t="shared" si="2"/>
        <v/>
      </c>
      <c r="J635" s="73"/>
      <c r="K635" s="28"/>
      <c r="L635" s="79"/>
      <c r="M635" s="31"/>
    </row>
    <row r="636" spans="1:13" ht="14.25" customHeight="1">
      <c r="A636" s="32">
        <v>44608</v>
      </c>
      <c r="B636" s="22">
        <v>0</v>
      </c>
      <c r="C636" s="23" t="s">
        <v>16</v>
      </c>
      <c r="D636" s="24">
        <v>770.14</v>
      </c>
      <c r="E636" s="25">
        <v>603029</v>
      </c>
      <c r="F636" s="24">
        <f t="shared" si="0"/>
        <v>585.6</v>
      </c>
      <c r="G636" s="26">
        <f t="shared" si="1"/>
        <v>3622794.84</v>
      </c>
      <c r="H636" s="27" t="str">
        <f t="shared" si="2"/>
        <v/>
      </c>
      <c r="J636" s="73"/>
      <c r="K636" s="28"/>
      <c r="L636" s="79"/>
      <c r="M636" s="31"/>
    </row>
    <row r="637" spans="1:13" ht="14.25" customHeight="1">
      <c r="A637" s="32">
        <v>44614</v>
      </c>
      <c r="B637" s="22">
        <v>199</v>
      </c>
      <c r="C637" s="23" t="s">
        <v>279</v>
      </c>
      <c r="D637" s="24"/>
      <c r="E637" s="25"/>
      <c r="F637" s="24" t="str">
        <f t="shared" si="0"/>
        <v/>
      </c>
      <c r="G637" s="26" t="str">
        <f t="shared" si="1"/>
        <v/>
      </c>
      <c r="H637" s="27" t="str">
        <f t="shared" si="2"/>
        <v>Positional</v>
      </c>
      <c r="J637" s="73"/>
      <c r="K637" s="28"/>
      <c r="L637" s="79"/>
      <c r="M637" s="31"/>
    </row>
    <row r="638" spans="1:13" ht="14.25" customHeight="1">
      <c r="A638" s="32">
        <v>44614</v>
      </c>
      <c r="B638" s="22">
        <v>473</v>
      </c>
      <c r="C638" s="23" t="s">
        <v>280</v>
      </c>
      <c r="D638" s="24"/>
      <c r="E638" s="25"/>
      <c r="F638" s="24" t="str">
        <f t="shared" si="0"/>
        <v/>
      </c>
      <c r="G638" s="26" t="str">
        <f t="shared" si="1"/>
        <v/>
      </c>
      <c r="H638" s="27" t="str">
        <f t="shared" si="2"/>
        <v>Positional</v>
      </c>
      <c r="J638" s="73"/>
      <c r="K638" s="28"/>
      <c r="L638" s="79"/>
      <c r="M638" s="31"/>
    </row>
    <row r="639" spans="1:13" ht="14.25" customHeight="1">
      <c r="A639" s="32">
        <v>44614</v>
      </c>
      <c r="B639" s="22">
        <v>59</v>
      </c>
      <c r="C639" s="23" t="s">
        <v>281</v>
      </c>
      <c r="D639" s="24"/>
      <c r="E639" s="25"/>
      <c r="F639" s="24" t="str">
        <f t="shared" si="0"/>
        <v/>
      </c>
      <c r="G639" s="26" t="str">
        <f t="shared" si="1"/>
        <v/>
      </c>
      <c r="H639" s="27" t="str">
        <f t="shared" si="2"/>
        <v>Positional</v>
      </c>
      <c r="J639" s="73"/>
      <c r="K639" s="28"/>
      <c r="L639" s="79"/>
      <c r="M639" s="31"/>
    </row>
    <row r="640" spans="1:13" ht="14.25" customHeight="1">
      <c r="A640" s="32">
        <v>44614</v>
      </c>
      <c r="B640" s="22">
        <v>-22789.23</v>
      </c>
      <c r="C640" s="23" t="s">
        <v>4</v>
      </c>
      <c r="D640" s="24"/>
      <c r="E640" s="25"/>
      <c r="F640" s="24" t="str">
        <f t="shared" si="0"/>
        <v/>
      </c>
      <c r="G640" s="26" t="str">
        <f t="shared" si="1"/>
        <v/>
      </c>
      <c r="H640" s="27" t="str">
        <f t="shared" si="2"/>
        <v/>
      </c>
      <c r="J640" s="73"/>
      <c r="K640" s="28"/>
      <c r="L640" s="79"/>
      <c r="M640" s="31"/>
    </row>
    <row r="641" spans="1:13" ht="14.25" customHeight="1">
      <c r="A641" s="32">
        <v>44614</v>
      </c>
      <c r="B641" s="22">
        <v>-0.16</v>
      </c>
      <c r="C641" s="23" t="s">
        <v>16</v>
      </c>
      <c r="D641" s="80">
        <v>35386.959999999999</v>
      </c>
      <c r="E641" s="25">
        <v>563052</v>
      </c>
      <c r="F641" s="24">
        <f t="shared" si="0"/>
        <v>96.73</v>
      </c>
      <c r="G641" s="26">
        <f t="shared" si="1"/>
        <v>598438.96</v>
      </c>
      <c r="H641" s="27" t="str">
        <f t="shared" si="2"/>
        <v/>
      </c>
      <c r="J641" s="73"/>
      <c r="K641" s="28"/>
      <c r="L641" s="79"/>
      <c r="M641" s="31"/>
    </row>
    <row r="642" spans="1:13" ht="14.25" customHeight="1">
      <c r="A642" s="32">
        <v>44615</v>
      </c>
      <c r="B642" s="22">
        <v>-3194.4700000000003</v>
      </c>
      <c r="C642" s="23" t="s">
        <v>4</v>
      </c>
      <c r="D642" s="80"/>
      <c r="E642" s="25"/>
      <c r="F642" s="24" t="str">
        <f t="shared" si="0"/>
        <v/>
      </c>
      <c r="G642" s="26" t="str">
        <f t="shared" si="1"/>
        <v/>
      </c>
      <c r="H642" s="27" t="str">
        <f t="shared" si="2"/>
        <v/>
      </c>
      <c r="J642" s="73"/>
      <c r="K642" s="28"/>
      <c r="L642" s="79"/>
      <c r="M642" s="31"/>
    </row>
    <row r="643" spans="1:13" ht="14.25" customHeight="1">
      <c r="A643" s="32">
        <v>44615</v>
      </c>
      <c r="B643" s="22">
        <v>1.17</v>
      </c>
      <c r="C643" s="23" t="s">
        <v>16</v>
      </c>
      <c r="D643" s="80">
        <v>17695.009999999998</v>
      </c>
      <c r="E643" s="25">
        <v>586330</v>
      </c>
      <c r="F643" s="24">
        <f t="shared" si="0"/>
        <v>97.64</v>
      </c>
      <c r="G643" s="26">
        <f t="shared" si="1"/>
        <v>604025.01</v>
      </c>
      <c r="H643" s="27" t="str">
        <f t="shared" si="2"/>
        <v/>
      </c>
      <c r="J643" s="73"/>
      <c r="K643" s="28"/>
      <c r="L643" s="79"/>
      <c r="M643" s="31"/>
    </row>
    <row r="644" spans="1:13" ht="14.25" customHeight="1">
      <c r="A644" s="32">
        <v>44616</v>
      </c>
      <c r="B644" s="22">
        <v>-8721.2900000000009</v>
      </c>
      <c r="C644" s="23" t="s">
        <v>4</v>
      </c>
      <c r="D644" s="80"/>
      <c r="E644" s="25"/>
      <c r="F644" s="24" t="str">
        <f t="shared" si="0"/>
        <v/>
      </c>
      <c r="G644" s="26" t="str">
        <f t="shared" si="1"/>
        <v/>
      </c>
      <c r="H644" s="27" t="str">
        <f t="shared" si="2"/>
        <v/>
      </c>
      <c r="J644" s="73"/>
      <c r="K644" s="28"/>
      <c r="L644" s="79"/>
      <c r="M644" s="31"/>
    </row>
    <row r="645" spans="1:13" ht="14.25" customHeight="1">
      <c r="A645" s="32">
        <v>44616</v>
      </c>
      <c r="B645" s="22">
        <v>0.88</v>
      </c>
      <c r="C645" s="23" t="s">
        <v>16</v>
      </c>
      <c r="D645" s="80">
        <v>8372.24</v>
      </c>
      <c r="E645" s="25">
        <v>615700</v>
      </c>
      <c r="F645" s="24">
        <f t="shared" si="0"/>
        <v>403.51</v>
      </c>
      <c r="G645" s="26">
        <f t="shared" si="1"/>
        <v>2496288.96</v>
      </c>
      <c r="H645" s="27" t="str">
        <f t="shared" si="2"/>
        <v/>
      </c>
      <c r="J645" s="73"/>
      <c r="K645" s="28"/>
      <c r="L645" s="79"/>
      <c r="M645" s="31"/>
    </row>
    <row r="646" spans="1:13" ht="14.25" customHeight="1">
      <c r="A646" s="32">
        <v>44620</v>
      </c>
      <c r="B646" s="22">
        <v>26</v>
      </c>
      <c r="C646" s="23" t="s">
        <v>282</v>
      </c>
      <c r="D646" s="80"/>
      <c r="E646" s="25"/>
      <c r="F646" s="24" t="str">
        <f t="shared" si="0"/>
        <v/>
      </c>
      <c r="G646" s="26" t="str">
        <f t="shared" si="1"/>
        <v/>
      </c>
      <c r="H646" s="27" t="str">
        <f t="shared" si="2"/>
        <v>Positional</v>
      </c>
      <c r="J646" s="73"/>
      <c r="K646" s="28"/>
      <c r="L646" s="79"/>
      <c r="M646" s="31"/>
    </row>
    <row r="647" spans="1:13" ht="14.25" customHeight="1">
      <c r="A647" s="32">
        <v>44620</v>
      </c>
      <c r="B647" s="22">
        <v>27</v>
      </c>
      <c r="C647" s="23" t="s">
        <v>283</v>
      </c>
      <c r="D647" s="80"/>
      <c r="E647" s="25"/>
      <c r="F647" s="24" t="str">
        <f t="shared" si="0"/>
        <v/>
      </c>
      <c r="G647" s="26" t="str">
        <f t="shared" si="1"/>
        <v/>
      </c>
      <c r="H647" s="27" t="str">
        <f t="shared" si="2"/>
        <v>Positional</v>
      </c>
      <c r="J647" s="73"/>
      <c r="K647" s="28"/>
      <c r="L647" s="79"/>
      <c r="M647" s="31"/>
    </row>
    <row r="648" spans="1:13" ht="14.25" customHeight="1">
      <c r="A648" s="32">
        <v>44620</v>
      </c>
      <c r="B648" s="22">
        <v>-0.36</v>
      </c>
      <c r="C648" s="23" t="s">
        <v>16</v>
      </c>
      <c r="D648" s="80">
        <v>16653.03</v>
      </c>
      <c r="E648" s="25">
        <v>607440</v>
      </c>
      <c r="F648" s="24">
        <f t="shared" si="0"/>
        <v>201.76</v>
      </c>
      <c r="G648" s="26">
        <f t="shared" si="1"/>
        <v>1248186.06</v>
      </c>
      <c r="H648" s="27" t="str">
        <f t="shared" si="2"/>
        <v/>
      </c>
      <c r="J648" s="73"/>
      <c r="K648" s="28"/>
      <c r="L648" s="79"/>
      <c r="M648" s="31"/>
    </row>
    <row r="649" spans="1:13" ht="14.25" customHeight="1">
      <c r="A649" s="32">
        <v>44622</v>
      </c>
      <c r="B649" s="22">
        <v>56</v>
      </c>
      <c r="C649" s="23" t="s">
        <v>284</v>
      </c>
      <c r="D649" s="80"/>
      <c r="E649" s="25"/>
      <c r="F649" s="24" t="str">
        <f t="shared" si="0"/>
        <v/>
      </c>
      <c r="G649" s="26" t="str">
        <f t="shared" si="1"/>
        <v/>
      </c>
      <c r="H649" s="27" t="str">
        <f t="shared" si="2"/>
        <v>Positional</v>
      </c>
      <c r="J649" s="73"/>
      <c r="K649" s="28"/>
      <c r="L649" s="79"/>
      <c r="M649" s="31"/>
    </row>
    <row r="650" spans="1:13" ht="14.25" customHeight="1">
      <c r="A650" s="32">
        <v>44622</v>
      </c>
      <c r="B650" s="22">
        <v>38</v>
      </c>
      <c r="C650" s="23" t="s">
        <v>285</v>
      </c>
      <c r="D650" s="80"/>
      <c r="E650" s="25"/>
      <c r="F650" s="24" t="str">
        <f t="shared" si="0"/>
        <v/>
      </c>
      <c r="G650" s="26" t="str">
        <f t="shared" si="1"/>
        <v/>
      </c>
      <c r="H650" s="27" t="str">
        <f t="shared" si="2"/>
        <v>Positional</v>
      </c>
      <c r="J650" s="73"/>
      <c r="K650" s="28"/>
      <c r="L650" s="79"/>
      <c r="M650" s="31"/>
    </row>
    <row r="651" spans="1:13" ht="14.25" customHeight="1">
      <c r="A651" s="32">
        <v>44622</v>
      </c>
      <c r="B651" s="22">
        <v>111.65</v>
      </c>
      <c r="C651" s="23" t="s">
        <v>20</v>
      </c>
      <c r="D651" s="80">
        <v>26404.78</v>
      </c>
      <c r="E651" s="25">
        <v>585956</v>
      </c>
      <c r="F651" s="24">
        <f t="shared" si="0"/>
        <v>98.98</v>
      </c>
      <c r="G651" s="26">
        <f t="shared" si="1"/>
        <v>612360.78</v>
      </c>
      <c r="H651" s="27" t="str">
        <f t="shared" si="2"/>
        <v/>
      </c>
      <c r="J651" s="73"/>
      <c r="K651" s="28"/>
      <c r="L651" s="79"/>
      <c r="M651" s="31"/>
    </row>
    <row r="652" spans="1:13" ht="14.25" customHeight="1">
      <c r="A652" s="32">
        <v>44623</v>
      </c>
      <c r="B652" s="22">
        <v>580.77</v>
      </c>
      <c r="C652" s="23" t="s">
        <v>4</v>
      </c>
      <c r="D652" s="80">
        <v>38891.58</v>
      </c>
      <c r="E652" s="25">
        <v>585956</v>
      </c>
      <c r="F652" s="24">
        <f t="shared" si="0"/>
        <v>101</v>
      </c>
      <c r="G652" s="26">
        <f t="shared" si="1"/>
        <v>624847.57999999996</v>
      </c>
      <c r="H652" s="27" t="str">
        <f t="shared" si="2"/>
        <v/>
      </c>
      <c r="J652" s="73"/>
      <c r="K652" s="28"/>
      <c r="L652" s="79"/>
      <c r="M652" s="31"/>
    </row>
    <row r="653" spans="1:13" ht="14.25" customHeight="1">
      <c r="A653" s="32">
        <v>44624</v>
      </c>
      <c r="B653" s="22">
        <v>409.87</v>
      </c>
      <c r="C653" s="23" t="s">
        <v>4</v>
      </c>
      <c r="D653" s="80">
        <v>10722.23</v>
      </c>
      <c r="E653" s="25">
        <v>585956</v>
      </c>
      <c r="F653" s="24">
        <f t="shared" si="0"/>
        <v>96.45</v>
      </c>
      <c r="G653" s="26">
        <f t="shared" si="1"/>
        <v>596678.23</v>
      </c>
      <c r="H653" s="27" t="str">
        <f t="shared" si="2"/>
        <v/>
      </c>
      <c r="J653" s="73"/>
      <c r="K653" s="28"/>
      <c r="L653" s="79"/>
      <c r="M653" s="31"/>
    </row>
    <row r="654" spans="1:13" ht="14.25" customHeight="1">
      <c r="A654" s="32">
        <v>44625</v>
      </c>
      <c r="B654" s="22">
        <v>0</v>
      </c>
      <c r="C654" s="23" t="s">
        <v>16</v>
      </c>
      <c r="D654" s="80">
        <v>722.23</v>
      </c>
      <c r="E654" s="25">
        <v>585956</v>
      </c>
      <c r="F654" s="24">
        <f t="shared" si="0"/>
        <v>284.5</v>
      </c>
      <c r="G654" s="26">
        <f t="shared" si="1"/>
        <v>1760034.69</v>
      </c>
      <c r="H654" s="27" t="str">
        <f t="shared" si="2"/>
        <v/>
      </c>
      <c r="J654" s="73"/>
      <c r="K654" s="28"/>
      <c r="L654" s="79"/>
      <c r="M654" s="31"/>
    </row>
    <row r="655" spans="1:13" ht="14.25" customHeight="1">
      <c r="A655" s="32">
        <v>44628</v>
      </c>
      <c r="B655" s="22">
        <v>131.15</v>
      </c>
      <c r="C655" s="23" t="s">
        <v>20</v>
      </c>
      <c r="D655" s="80">
        <v>23238.37</v>
      </c>
      <c r="E655" s="25">
        <v>618571</v>
      </c>
      <c r="F655" s="24">
        <f t="shared" si="0"/>
        <v>622.47</v>
      </c>
      <c r="G655" s="26">
        <f t="shared" si="1"/>
        <v>3850856.2199999997</v>
      </c>
      <c r="H655" s="27" t="str">
        <f t="shared" si="2"/>
        <v/>
      </c>
      <c r="J655" s="73"/>
      <c r="K655" s="28"/>
      <c r="L655" s="79"/>
      <c r="M655" s="31"/>
    </row>
    <row r="656" spans="1:13" ht="14.25" customHeight="1">
      <c r="A656" s="32">
        <v>44634</v>
      </c>
      <c r="B656" s="22">
        <v>123</v>
      </c>
      <c r="C656" s="23" t="s">
        <v>286</v>
      </c>
      <c r="D656" s="80"/>
      <c r="E656" s="25"/>
      <c r="F656" s="24" t="str">
        <f t="shared" si="0"/>
        <v/>
      </c>
      <c r="G656" s="26" t="str">
        <f t="shared" si="1"/>
        <v/>
      </c>
      <c r="H656" s="27" t="str">
        <f t="shared" si="2"/>
        <v>Positional</v>
      </c>
      <c r="J656" s="73"/>
      <c r="K656" s="28"/>
      <c r="L656" s="79"/>
      <c r="M656" s="31"/>
    </row>
    <row r="657" spans="1:13" ht="14.25" customHeight="1">
      <c r="A657" s="32">
        <v>44634</v>
      </c>
      <c r="B657" s="22">
        <v>-0.12</v>
      </c>
      <c r="C657" s="23" t="s">
        <v>16</v>
      </c>
      <c r="D657" s="80">
        <v>26339.32</v>
      </c>
      <c r="E657" s="25">
        <v>615577</v>
      </c>
      <c r="F657" s="24">
        <f t="shared" si="0"/>
        <v>103.76</v>
      </c>
      <c r="G657" s="26">
        <f t="shared" si="1"/>
        <v>641916.31999999995</v>
      </c>
      <c r="H657" s="27" t="str">
        <f t="shared" si="2"/>
        <v/>
      </c>
      <c r="J657" s="73"/>
      <c r="K657" s="28"/>
      <c r="L657" s="79"/>
      <c r="M657" s="31"/>
    </row>
    <row r="658" spans="1:13" ht="14.25" customHeight="1">
      <c r="A658" s="32">
        <v>44635</v>
      </c>
      <c r="B658" s="22">
        <v>0</v>
      </c>
      <c r="C658" s="23" t="s">
        <v>16</v>
      </c>
      <c r="D658" s="80">
        <v>16634.66</v>
      </c>
      <c r="E658" s="25">
        <v>615577</v>
      </c>
      <c r="F658" s="24">
        <f t="shared" si="0"/>
        <v>102.19</v>
      </c>
      <c r="G658" s="26">
        <f t="shared" si="1"/>
        <v>632211.66</v>
      </c>
      <c r="H658" s="27" t="str">
        <f t="shared" si="2"/>
        <v/>
      </c>
      <c r="J658" s="73"/>
      <c r="K658" s="28"/>
      <c r="L658" s="79"/>
      <c r="M658" s="31"/>
    </row>
    <row r="659" spans="1:13" ht="14.25" customHeight="1">
      <c r="A659" s="32">
        <v>44636</v>
      </c>
      <c r="B659" s="22">
        <v>685.21</v>
      </c>
      <c r="C659" s="23" t="s">
        <v>4</v>
      </c>
      <c r="D659" s="80">
        <v>27024.53</v>
      </c>
      <c r="E659" s="25">
        <v>615577</v>
      </c>
      <c r="F659" s="24">
        <f t="shared" si="0"/>
        <v>103.87</v>
      </c>
      <c r="G659" s="26">
        <f t="shared" si="1"/>
        <v>642601.53</v>
      </c>
      <c r="H659" s="27" t="str">
        <f t="shared" si="2"/>
        <v/>
      </c>
      <c r="J659" s="73"/>
      <c r="K659" s="28"/>
      <c r="L659" s="79"/>
      <c r="M659" s="31"/>
    </row>
    <row r="660" spans="1:13" ht="14.25" customHeight="1">
      <c r="A660" s="32">
        <v>44637</v>
      </c>
      <c r="B660" s="22">
        <v>817.09</v>
      </c>
      <c r="C660" s="23" t="s">
        <v>4</v>
      </c>
      <c r="D660" s="80">
        <v>27841.62</v>
      </c>
      <c r="E660" s="25">
        <v>615577</v>
      </c>
      <c r="F660" s="24">
        <f t="shared" si="0"/>
        <v>416.02</v>
      </c>
      <c r="G660" s="26">
        <f t="shared" si="1"/>
        <v>2573674.48</v>
      </c>
      <c r="H660" s="27" t="str">
        <f t="shared" si="2"/>
        <v/>
      </c>
      <c r="J660" s="73"/>
      <c r="K660" s="28"/>
      <c r="L660" s="79"/>
      <c r="M660" s="31"/>
    </row>
    <row r="661" spans="1:13" ht="14.25" customHeight="1">
      <c r="A661" s="32">
        <v>44641</v>
      </c>
      <c r="B661" s="22">
        <v>0</v>
      </c>
      <c r="C661" s="23" t="s">
        <v>16</v>
      </c>
      <c r="D661" s="80">
        <v>11808</v>
      </c>
      <c r="E661" s="25">
        <v>615577</v>
      </c>
      <c r="F661" s="24">
        <f t="shared" si="0"/>
        <v>101.41</v>
      </c>
      <c r="G661" s="26">
        <f t="shared" si="1"/>
        <v>627385</v>
      </c>
      <c r="H661" s="27" t="str">
        <f t="shared" si="2"/>
        <v/>
      </c>
      <c r="J661" s="73"/>
      <c r="K661" s="28"/>
      <c r="L661" s="79"/>
      <c r="M661" s="31"/>
    </row>
    <row r="662" spans="1:13" ht="14.25" customHeight="1">
      <c r="A662" s="32">
        <v>44642</v>
      </c>
      <c r="B662" s="22">
        <v>124.61</v>
      </c>
      <c r="C662" s="23" t="s">
        <v>4</v>
      </c>
      <c r="D662" s="80">
        <v>18877.75</v>
      </c>
      <c r="E662" s="25">
        <v>615577</v>
      </c>
      <c r="F662" s="24">
        <f t="shared" si="0"/>
        <v>102.56</v>
      </c>
      <c r="G662" s="26">
        <f t="shared" si="1"/>
        <v>634454.75</v>
      </c>
      <c r="H662" s="27" t="str">
        <f t="shared" si="2"/>
        <v/>
      </c>
      <c r="J662" s="73"/>
      <c r="K662" s="28"/>
      <c r="L662" s="79"/>
      <c r="M662" s="31"/>
    </row>
    <row r="663" spans="1:13" ht="14.25" customHeight="1">
      <c r="A663" s="32">
        <v>44643</v>
      </c>
      <c r="B663" s="22">
        <v>-3345.09</v>
      </c>
      <c r="C663" s="23" t="s">
        <v>4</v>
      </c>
      <c r="D663" s="80"/>
      <c r="E663" s="25"/>
      <c r="F663" s="24" t="str">
        <f t="shared" si="0"/>
        <v/>
      </c>
      <c r="G663" s="26" t="str">
        <f t="shared" si="1"/>
        <v/>
      </c>
      <c r="H663" s="27" t="str">
        <f t="shared" si="2"/>
        <v/>
      </c>
      <c r="J663" s="73"/>
      <c r="K663" s="28"/>
      <c r="L663" s="79"/>
      <c r="M663" s="31"/>
    </row>
    <row r="664" spans="1:13" ht="14.25" customHeight="1">
      <c r="A664" s="32">
        <v>44643</v>
      </c>
      <c r="B664" s="22">
        <v>2816</v>
      </c>
      <c r="C664" s="23" t="s">
        <v>287</v>
      </c>
      <c r="D664" s="80"/>
      <c r="E664" s="25"/>
      <c r="F664" s="24" t="str">
        <f t="shared" si="0"/>
        <v/>
      </c>
      <c r="G664" s="26" t="str">
        <f t="shared" si="1"/>
        <v/>
      </c>
      <c r="H664" s="27" t="str">
        <f t="shared" si="2"/>
        <v>Positional</v>
      </c>
      <c r="J664" s="73"/>
      <c r="K664" s="28"/>
      <c r="L664" s="79"/>
      <c r="M664" s="31"/>
    </row>
    <row r="665" spans="1:13" ht="14.25" customHeight="1">
      <c r="A665" s="32">
        <v>44643</v>
      </c>
      <c r="B665" s="22">
        <v>-0.6</v>
      </c>
      <c r="C665" s="23" t="s">
        <v>16</v>
      </c>
      <c r="D665" s="80">
        <v>74450.070000000007</v>
      </c>
      <c r="E665" s="25">
        <v>556307</v>
      </c>
      <c r="F665" s="24">
        <f t="shared" si="0"/>
        <v>101.96</v>
      </c>
      <c r="G665" s="26">
        <f t="shared" si="1"/>
        <v>630757.07000000007</v>
      </c>
      <c r="H665" s="27" t="str">
        <f t="shared" si="2"/>
        <v/>
      </c>
      <c r="J665" s="73"/>
      <c r="K665" s="28"/>
      <c r="L665" s="79"/>
      <c r="M665" s="31"/>
    </row>
    <row r="666" spans="1:13" ht="14.25" customHeight="1">
      <c r="A666" s="32">
        <v>44644</v>
      </c>
      <c r="B666" s="22">
        <v>1171.8900000000001</v>
      </c>
      <c r="C666" s="23" t="s">
        <v>4</v>
      </c>
      <c r="D666" s="80"/>
      <c r="E666" s="25"/>
      <c r="F666" s="24" t="str">
        <f t="shared" si="0"/>
        <v/>
      </c>
      <c r="G666" s="26" t="str">
        <f t="shared" si="1"/>
        <v/>
      </c>
      <c r="H666" s="27" t="str">
        <f t="shared" si="2"/>
        <v/>
      </c>
      <c r="J666" s="73"/>
      <c r="K666" s="28"/>
      <c r="L666" s="79"/>
      <c r="M666" s="31"/>
    </row>
    <row r="667" spans="1:13" ht="14.25" customHeight="1">
      <c r="A667" s="32">
        <v>44644</v>
      </c>
      <c r="B667" s="22">
        <v>1700</v>
      </c>
      <c r="C667" s="23" t="s">
        <v>280</v>
      </c>
      <c r="D667" s="80"/>
      <c r="E667" s="25"/>
      <c r="F667" s="24" t="str">
        <f t="shared" si="0"/>
        <v/>
      </c>
      <c r="G667" s="26" t="str">
        <f t="shared" si="1"/>
        <v/>
      </c>
      <c r="H667" s="27" t="str">
        <f t="shared" si="2"/>
        <v>Positional</v>
      </c>
      <c r="J667" s="73"/>
      <c r="K667" s="28"/>
      <c r="L667" s="79"/>
      <c r="M667" s="31"/>
    </row>
    <row r="668" spans="1:13" ht="14.25" customHeight="1">
      <c r="A668" s="32">
        <v>44644</v>
      </c>
      <c r="B668" s="22">
        <v>0.39</v>
      </c>
      <c r="C668" s="23" t="s">
        <v>16</v>
      </c>
      <c r="D668" s="80">
        <v>89831.42</v>
      </c>
      <c r="E668" s="25">
        <v>543782</v>
      </c>
      <c r="F668" s="24">
        <f t="shared" si="0"/>
        <v>102.42</v>
      </c>
      <c r="G668" s="26">
        <f t="shared" si="1"/>
        <v>633613.42000000004</v>
      </c>
      <c r="H668" s="27" t="str">
        <f t="shared" si="2"/>
        <v/>
      </c>
      <c r="J668" s="73"/>
      <c r="K668" s="28"/>
      <c r="L668" s="79"/>
      <c r="M668" s="31"/>
    </row>
    <row r="669" spans="1:13" ht="14.25" customHeight="1">
      <c r="A669" s="32">
        <v>44645</v>
      </c>
      <c r="B669" s="22">
        <v>-0.09</v>
      </c>
      <c r="C669" s="23" t="s">
        <v>16</v>
      </c>
      <c r="D669" s="80">
        <v>27718.33</v>
      </c>
      <c r="E669" s="25">
        <v>605895</v>
      </c>
      <c r="F669" s="24">
        <f t="shared" si="0"/>
        <v>307.26</v>
      </c>
      <c r="G669" s="26">
        <f t="shared" si="1"/>
        <v>1900839.9899999998</v>
      </c>
      <c r="H669" s="27" t="str">
        <f t="shared" si="2"/>
        <v/>
      </c>
      <c r="J669" s="73"/>
      <c r="K669" s="28"/>
      <c r="L669" s="79"/>
      <c r="M669" s="31"/>
    </row>
    <row r="670" spans="1:13" ht="14.25" customHeight="1">
      <c r="A670" s="32">
        <v>44648</v>
      </c>
      <c r="B670" s="22">
        <v>-8957.6299999999992</v>
      </c>
      <c r="C670" s="23" t="s">
        <v>4</v>
      </c>
      <c r="D670" s="80"/>
      <c r="E670" s="25"/>
      <c r="F670" s="24" t="str">
        <f t="shared" si="0"/>
        <v/>
      </c>
      <c r="G670" s="26" t="str">
        <f t="shared" si="1"/>
        <v/>
      </c>
      <c r="H670" s="27" t="str">
        <f t="shared" si="2"/>
        <v/>
      </c>
      <c r="J670" s="73"/>
      <c r="K670" s="28"/>
      <c r="L670" s="79"/>
      <c r="M670" s="31"/>
    </row>
    <row r="671" spans="1:13" ht="14.25" customHeight="1">
      <c r="A671" s="32">
        <v>44648</v>
      </c>
      <c r="B671" s="22">
        <v>-0.39</v>
      </c>
      <c r="C671" s="23" t="s">
        <v>16</v>
      </c>
      <c r="D671" s="80">
        <v>19103.59</v>
      </c>
      <c r="E671" s="25">
        <v>617283</v>
      </c>
      <c r="F671" s="24">
        <f t="shared" si="0"/>
        <v>102.87</v>
      </c>
      <c r="G671" s="26">
        <f t="shared" si="1"/>
        <v>636386.59</v>
      </c>
      <c r="H671" s="27" t="str">
        <f t="shared" si="2"/>
        <v/>
      </c>
      <c r="J671" s="73"/>
      <c r="K671" s="28"/>
      <c r="L671" s="79"/>
      <c r="M671" s="31"/>
    </row>
    <row r="672" spans="1:13" ht="14.25" customHeight="1">
      <c r="A672" s="32">
        <v>44649</v>
      </c>
      <c r="B672" s="22">
        <v>295.51</v>
      </c>
      <c r="C672" s="23" t="s">
        <v>20</v>
      </c>
      <c r="D672" s="80">
        <v>276.10000000000002</v>
      </c>
      <c r="E672" s="25">
        <v>636406</v>
      </c>
      <c r="F672" s="24">
        <f t="shared" si="0"/>
        <v>102.92</v>
      </c>
      <c r="G672" s="26">
        <f t="shared" si="1"/>
        <v>636682.1</v>
      </c>
      <c r="H672" s="27" t="str">
        <f t="shared" si="2"/>
        <v/>
      </c>
      <c r="J672" s="73"/>
      <c r="K672" s="28"/>
      <c r="L672" s="79"/>
      <c r="M672" s="31"/>
    </row>
    <row r="673" spans="1:13" ht="14.25" customHeight="1">
      <c r="A673" s="32">
        <v>44650</v>
      </c>
      <c r="B673" s="22">
        <v>525</v>
      </c>
      <c r="C673" s="23" t="s">
        <v>288</v>
      </c>
      <c r="D673" s="80"/>
      <c r="E673" s="25"/>
      <c r="F673" s="24" t="str">
        <f t="shared" si="0"/>
        <v/>
      </c>
      <c r="G673" s="26" t="str">
        <f t="shared" si="1"/>
        <v/>
      </c>
      <c r="H673" s="27" t="str">
        <f t="shared" si="2"/>
        <v>Positional</v>
      </c>
      <c r="J673" s="73"/>
      <c r="K673" s="28"/>
      <c r="L673" s="79"/>
      <c r="M673" s="31"/>
    </row>
    <row r="674" spans="1:13" ht="14.25" customHeight="1">
      <c r="A674" s="32">
        <v>44650</v>
      </c>
      <c r="B674" s="22">
        <v>372</v>
      </c>
      <c r="C674" s="23" t="s">
        <v>289</v>
      </c>
      <c r="D674" s="80"/>
      <c r="E674" s="25"/>
      <c r="F674" s="24" t="str">
        <f t="shared" si="0"/>
        <v/>
      </c>
      <c r="G674" s="26" t="str">
        <f t="shared" si="1"/>
        <v/>
      </c>
      <c r="H674" s="27" t="str">
        <f t="shared" si="2"/>
        <v>Positional</v>
      </c>
      <c r="J674" s="73"/>
      <c r="K674" s="28"/>
      <c r="L674" s="79"/>
      <c r="M674" s="31"/>
    </row>
    <row r="675" spans="1:13" ht="14.25" customHeight="1">
      <c r="A675" s="32">
        <v>44650</v>
      </c>
      <c r="B675" s="22">
        <v>3231</v>
      </c>
      <c r="C675" s="23" t="s">
        <v>290</v>
      </c>
      <c r="D675" s="80"/>
      <c r="E675" s="25"/>
      <c r="F675" s="24" t="str">
        <f t="shared" si="0"/>
        <v/>
      </c>
      <c r="G675" s="26" t="str">
        <f t="shared" si="1"/>
        <v/>
      </c>
      <c r="H675" s="27" t="str">
        <f t="shared" si="2"/>
        <v>Positional</v>
      </c>
      <c r="J675" s="73"/>
      <c r="K675" s="28"/>
      <c r="L675" s="79"/>
      <c r="M675" s="31"/>
    </row>
    <row r="676" spans="1:13" ht="14.25" customHeight="1">
      <c r="A676" s="32">
        <v>44650</v>
      </c>
      <c r="B676" s="22">
        <v>-0.93</v>
      </c>
      <c r="C676" s="23" t="s">
        <v>16</v>
      </c>
      <c r="D676" s="80">
        <v>58287.38</v>
      </c>
      <c r="E676" s="25">
        <v>602474</v>
      </c>
      <c r="F676" s="24">
        <f t="shared" si="0"/>
        <v>106.81</v>
      </c>
      <c r="G676" s="26">
        <f t="shared" si="1"/>
        <v>660761.38</v>
      </c>
      <c r="H676" s="27" t="str">
        <f t="shared" si="2"/>
        <v/>
      </c>
      <c r="J676" s="73"/>
      <c r="K676" s="28"/>
      <c r="L676" s="79"/>
      <c r="M676" s="31"/>
    </row>
    <row r="677" spans="1:13" ht="14.25" customHeight="1">
      <c r="A677" s="32">
        <v>44651</v>
      </c>
      <c r="B677" s="22">
        <v>454</v>
      </c>
      <c r="C677" s="23" t="s">
        <v>291</v>
      </c>
      <c r="D677" s="80"/>
      <c r="E677" s="25"/>
      <c r="F677" s="24" t="str">
        <f t="shared" si="0"/>
        <v/>
      </c>
      <c r="G677" s="26" t="str">
        <f t="shared" si="1"/>
        <v/>
      </c>
      <c r="H677" s="27" t="str">
        <f t="shared" si="2"/>
        <v>Positional</v>
      </c>
      <c r="J677" s="73"/>
      <c r="K677" s="28"/>
      <c r="L677" s="79"/>
      <c r="M677" s="31"/>
    </row>
    <row r="678" spans="1:13" ht="14.25" customHeight="1">
      <c r="A678" s="32">
        <v>44651</v>
      </c>
      <c r="B678" s="22">
        <v>163</v>
      </c>
      <c r="C678" s="23" t="s">
        <v>292</v>
      </c>
      <c r="D678" s="80"/>
      <c r="E678" s="25"/>
      <c r="F678" s="24" t="str">
        <f t="shared" si="0"/>
        <v/>
      </c>
      <c r="G678" s="26" t="str">
        <f t="shared" si="1"/>
        <v/>
      </c>
      <c r="H678" s="27" t="str">
        <f t="shared" si="2"/>
        <v>Positional</v>
      </c>
      <c r="J678" s="73"/>
      <c r="K678" s="28"/>
      <c r="L678" s="79"/>
      <c r="M678" s="31"/>
    </row>
    <row r="679" spans="1:13" ht="14.25" customHeight="1">
      <c r="A679" s="32">
        <v>44651</v>
      </c>
      <c r="B679" s="22">
        <v>22</v>
      </c>
      <c r="C679" s="23" t="s">
        <v>293</v>
      </c>
      <c r="D679" s="80"/>
      <c r="E679" s="25"/>
      <c r="F679" s="24" t="str">
        <f t="shared" si="0"/>
        <v/>
      </c>
      <c r="G679" s="26" t="str">
        <f t="shared" si="1"/>
        <v/>
      </c>
      <c r="H679" s="27" t="str">
        <f t="shared" si="2"/>
        <v>Positional</v>
      </c>
      <c r="J679" s="73"/>
      <c r="K679" s="28"/>
      <c r="L679" s="79"/>
      <c r="M679" s="31"/>
    </row>
    <row r="680" spans="1:13" ht="14.25" customHeight="1">
      <c r="A680" s="32">
        <v>44651</v>
      </c>
      <c r="B680" s="22">
        <v>0.13</v>
      </c>
      <c r="C680" s="23" t="s">
        <v>16</v>
      </c>
      <c r="D680" s="80">
        <v>43262.55</v>
      </c>
      <c r="E680" s="25">
        <v>646997</v>
      </c>
      <c r="F680" s="24">
        <f t="shared" si="0"/>
        <v>111.58</v>
      </c>
      <c r="G680" s="26">
        <f t="shared" si="1"/>
        <v>690259.55</v>
      </c>
      <c r="H680" s="27" t="str">
        <f t="shared" si="2"/>
        <v/>
      </c>
      <c r="J680" s="73"/>
      <c r="K680" s="28"/>
      <c r="L680" s="79"/>
      <c r="M680" s="31"/>
    </row>
    <row r="681" spans="1:13" ht="14.25" customHeight="1">
      <c r="A681" s="32">
        <v>44652</v>
      </c>
      <c r="B681" s="22">
        <v>214</v>
      </c>
      <c r="C681" s="23" t="s">
        <v>298</v>
      </c>
      <c r="D681" s="80"/>
      <c r="E681" s="25"/>
      <c r="F681" s="24" t="str">
        <f t="shared" si="0"/>
        <v/>
      </c>
      <c r="G681" s="26" t="str">
        <f t="shared" si="1"/>
        <v/>
      </c>
      <c r="H681" s="27" t="str">
        <f t="shared" si="2"/>
        <v>Positional</v>
      </c>
      <c r="J681" s="73"/>
      <c r="K681" s="28"/>
      <c r="L681" s="79"/>
      <c r="M681" s="31"/>
    </row>
    <row r="682" spans="1:13" ht="14.25" customHeight="1">
      <c r="A682" s="32">
        <v>44652</v>
      </c>
      <c r="B682" s="22">
        <v>309</v>
      </c>
      <c r="C682" s="23" t="s">
        <v>281</v>
      </c>
      <c r="D682" s="80"/>
      <c r="E682" s="25"/>
      <c r="F682" s="24" t="str">
        <f t="shared" si="0"/>
        <v/>
      </c>
      <c r="G682" s="26" t="str">
        <f t="shared" si="1"/>
        <v/>
      </c>
      <c r="H682" s="27" t="str">
        <f t="shared" si="2"/>
        <v>Positional</v>
      </c>
      <c r="J682" s="73"/>
      <c r="K682" s="28"/>
      <c r="L682" s="79"/>
      <c r="M682" s="31"/>
    </row>
    <row r="683" spans="1:13" ht="14.25" customHeight="1">
      <c r="A683" s="32">
        <v>44652</v>
      </c>
      <c r="B683" s="22">
        <v>-507</v>
      </c>
      <c r="C683" s="23" t="s">
        <v>299</v>
      </c>
      <c r="D683" s="80"/>
      <c r="E683" s="25"/>
      <c r="F683" s="24" t="str">
        <f t="shared" si="0"/>
        <v/>
      </c>
      <c r="G683" s="26" t="str">
        <f t="shared" si="1"/>
        <v/>
      </c>
      <c r="H683" s="27" t="str">
        <f t="shared" si="2"/>
        <v>Positional</v>
      </c>
      <c r="J683" s="73"/>
      <c r="K683" s="28"/>
      <c r="L683" s="79"/>
      <c r="M683" s="31"/>
    </row>
    <row r="684" spans="1:13" ht="14.25" customHeight="1">
      <c r="A684" s="32">
        <v>44652</v>
      </c>
      <c r="B684" s="22">
        <v>399</v>
      </c>
      <c r="C684" s="23" t="s">
        <v>300</v>
      </c>
      <c r="D684" s="80"/>
      <c r="E684" s="25"/>
      <c r="F684" s="24" t="str">
        <f t="shared" si="0"/>
        <v/>
      </c>
      <c r="G684" s="26" t="str">
        <f t="shared" si="1"/>
        <v/>
      </c>
      <c r="H684" s="27" t="str">
        <f t="shared" si="2"/>
        <v>Positional</v>
      </c>
      <c r="J684" s="73"/>
      <c r="K684" s="28"/>
      <c r="L684" s="79"/>
      <c r="M684" s="31"/>
    </row>
    <row r="685" spans="1:13" ht="14.25" customHeight="1">
      <c r="A685" s="32">
        <v>44652</v>
      </c>
      <c r="B685" s="22">
        <v>533</v>
      </c>
      <c r="C685" s="23" t="s">
        <v>301</v>
      </c>
      <c r="D685" s="80"/>
      <c r="E685" s="25"/>
      <c r="F685" s="24" t="str">
        <f t="shared" si="0"/>
        <v/>
      </c>
      <c r="G685" s="26" t="str">
        <f t="shared" si="1"/>
        <v/>
      </c>
      <c r="H685" s="27" t="str">
        <f t="shared" si="2"/>
        <v>Positional</v>
      </c>
      <c r="J685" s="73"/>
      <c r="K685" s="28"/>
      <c r="L685" s="79"/>
      <c r="M685" s="31"/>
    </row>
    <row r="686" spans="1:13" ht="14.25" customHeight="1">
      <c r="A686" s="32">
        <v>44652</v>
      </c>
      <c r="B686" s="22">
        <v>1604</v>
      </c>
      <c r="C686" s="23" t="s">
        <v>274</v>
      </c>
      <c r="D686" s="80"/>
      <c r="E686" s="25"/>
      <c r="F686" s="24" t="str">
        <f t="shared" si="0"/>
        <v/>
      </c>
      <c r="G686" s="26" t="str">
        <f t="shared" si="1"/>
        <v/>
      </c>
      <c r="H686" s="27" t="str">
        <f t="shared" si="2"/>
        <v>Positional</v>
      </c>
      <c r="J686" s="73"/>
      <c r="K686" s="28"/>
      <c r="L686" s="79"/>
      <c r="M686" s="31"/>
    </row>
    <row r="687" spans="1:13" ht="14.25" customHeight="1">
      <c r="A687" s="32">
        <v>44652</v>
      </c>
      <c r="B687" s="22">
        <v>980.01</v>
      </c>
      <c r="C687" s="23" t="s">
        <v>4</v>
      </c>
      <c r="D687" s="80"/>
      <c r="E687" s="25"/>
      <c r="F687" s="24" t="str">
        <f t="shared" si="0"/>
        <v/>
      </c>
      <c r="G687" s="26" t="str">
        <f t="shared" si="1"/>
        <v/>
      </c>
      <c r="H687" s="27" t="str">
        <f t="shared" si="2"/>
        <v/>
      </c>
      <c r="J687" s="73"/>
      <c r="K687" s="28"/>
      <c r="L687" s="79"/>
      <c r="M687" s="31"/>
    </row>
    <row r="688" spans="1:13" ht="14.25" customHeight="1">
      <c r="A688" s="32">
        <v>44652</v>
      </c>
      <c r="B688" s="22">
        <v>-2.0499999999999998</v>
      </c>
      <c r="C688" s="23" t="s">
        <v>16</v>
      </c>
      <c r="D688" s="80">
        <v>137631.85999999999</v>
      </c>
      <c r="E688" s="25">
        <v>572075</v>
      </c>
      <c r="F688" s="24">
        <f t="shared" si="0"/>
        <v>344.16</v>
      </c>
      <c r="G688" s="26">
        <f t="shared" si="1"/>
        <v>2129120.58</v>
      </c>
      <c r="H688" s="27" t="str">
        <f t="shared" si="2"/>
        <v/>
      </c>
      <c r="J688" s="73"/>
      <c r="K688" s="28"/>
      <c r="L688" s="79"/>
      <c r="M688" s="31"/>
    </row>
    <row r="689" spans="1:13" ht="14.25" customHeight="1">
      <c r="A689" s="32">
        <v>44655</v>
      </c>
      <c r="B689" s="22">
        <v>561</v>
      </c>
      <c r="C689" s="23" t="s">
        <v>302</v>
      </c>
      <c r="D689" s="80"/>
      <c r="E689" s="25"/>
      <c r="F689" s="24" t="str">
        <f t="shared" si="0"/>
        <v/>
      </c>
      <c r="G689" s="26" t="str">
        <f t="shared" si="1"/>
        <v/>
      </c>
      <c r="H689" s="27" t="str">
        <f t="shared" si="2"/>
        <v>Positional</v>
      </c>
      <c r="J689" s="73"/>
      <c r="K689" s="28"/>
      <c r="L689" s="79"/>
      <c r="M689" s="31"/>
    </row>
    <row r="690" spans="1:13" ht="14.25" customHeight="1">
      <c r="A690" s="32">
        <v>44655</v>
      </c>
      <c r="B690" s="22">
        <v>736</v>
      </c>
      <c r="C690" s="23" t="s">
        <v>303</v>
      </c>
      <c r="D690" s="80"/>
      <c r="E690" s="25"/>
      <c r="F690" s="24" t="str">
        <f t="shared" si="0"/>
        <v/>
      </c>
      <c r="G690" s="26" t="str">
        <f t="shared" si="1"/>
        <v/>
      </c>
      <c r="H690" s="27" t="str">
        <f t="shared" si="2"/>
        <v>Positional</v>
      </c>
      <c r="J690" s="73"/>
      <c r="K690" s="28"/>
      <c r="L690" s="79"/>
      <c r="M690" s="31"/>
    </row>
    <row r="691" spans="1:13" ht="14.25" customHeight="1">
      <c r="A691" s="32">
        <v>44655</v>
      </c>
      <c r="B691" s="22">
        <v>80.650000000000006</v>
      </c>
      <c r="C691" s="23" t="s">
        <v>20</v>
      </c>
      <c r="D691" s="80">
        <v>157334.72</v>
      </c>
      <c r="E691" s="25">
        <v>553702</v>
      </c>
      <c r="F691" s="24">
        <f t="shared" si="0"/>
        <v>114.93</v>
      </c>
      <c r="G691" s="26">
        <f t="shared" si="1"/>
        <v>711036.72</v>
      </c>
      <c r="H691" s="27" t="str">
        <f t="shared" si="2"/>
        <v/>
      </c>
      <c r="J691" s="73"/>
      <c r="K691" s="28"/>
      <c r="L691" s="79"/>
      <c r="M691" s="31"/>
    </row>
    <row r="692" spans="1:13" ht="14.25" customHeight="1">
      <c r="A692" s="32">
        <v>44656</v>
      </c>
      <c r="B692" s="22">
        <v>550</v>
      </c>
      <c r="C692" s="23" t="s">
        <v>304</v>
      </c>
      <c r="D692" s="80"/>
      <c r="E692" s="25"/>
      <c r="F692" s="24" t="str">
        <f t="shared" si="0"/>
        <v/>
      </c>
      <c r="G692" s="26" t="str">
        <f t="shared" si="1"/>
        <v/>
      </c>
      <c r="H692" s="27" t="str">
        <f t="shared" si="2"/>
        <v>Positional</v>
      </c>
      <c r="J692" s="73"/>
      <c r="K692" s="28"/>
      <c r="L692" s="79"/>
      <c r="M692" s="31"/>
    </row>
    <row r="693" spans="1:13" ht="14.25" customHeight="1">
      <c r="A693" s="32">
        <v>44656</v>
      </c>
      <c r="B693" s="22">
        <v>1935.98</v>
      </c>
      <c r="C693" s="23" t="s">
        <v>4</v>
      </c>
      <c r="D693" s="80"/>
      <c r="E693" s="25"/>
      <c r="F693" s="24" t="str">
        <f t="shared" si="0"/>
        <v/>
      </c>
      <c r="G693" s="26" t="str">
        <f t="shared" si="1"/>
        <v/>
      </c>
      <c r="H693" s="27" t="str">
        <f t="shared" si="2"/>
        <v/>
      </c>
      <c r="J693" s="73"/>
      <c r="K693" s="28"/>
      <c r="L693" s="79"/>
      <c r="M693" s="31"/>
    </row>
    <row r="694" spans="1:13" ht="14.25" customHeight="1">
      <c r="A694" s="32">
        <v>44656</v>
      </c>
      <c r="B694" s="22">
        <v>0.23</v>
      </c>
      <c r="C694" s="23" t="s">
        <v>16</v>
      </c>
      <c r="D694" s="80">
        <v>151348.99</v>
      </c>
      <c r="E694" s="25">
        <v>562158</v>
      </c>
      <c r="F694" s="24">
        <f t="shared" si="0"/>
        <v>115.33</v>
      </c>
      <c r="G694" s="26">
        <f t="shared" si="1"/>
        <v>713506.99</v>
      </c>
      <c r="H694" s="27" t="str">
        <f t="shared" si="2"/>
        <v/>
      </c>
      <c r="J694" s="73"/>
      <c r="K694" s="28"/>
      <c r="L694" s="79"/>
      <c r="M694" s="31"/>
    </row>
    <row r="695" spans="1:13" ht="14.25" customHeight="1">
      <c r="A695" s="32">
        <v>44657</v>
      </c>
      <c r="B695" s="22">
        <v>-4.1900000000000004</v>
      </c>
      <c r="C695" s="23" t="s">
        <v>20</v>
      </c>
      <c r="D695" s="80"/>
      <c r="E695" s="25"/>
      <c r="F695" s="24" t="str">
        <f t="shared" si="0"/>
        <v/>
      </c>
      <c r="G695" s="26" t="str">
        <f t="shared" si="1"/>
        <v/>
      </c>
      <c r="H695" s="27" t="str">
        <f t="shared" si="2"/>
        <v/>
      </c>
      <c r="J695" s="73"/>
      <c r="K695" s="28"/>
      <c r="L695" s="79"/>
      <c r="M695" s="31"/>
    </row>
    <row r="696" spans="1:13" ht="14.25" customHeight="1">
      <c r="A696" s="32">
        <v>44657</v>
      </c>
      <c r="B696" s="22">
        <v>8940.17</v>
      </c>
      <c r="C696" s="23" t="s">
        <v>4</v>
      </c>
      <c r="D696" s="80">
        <v>117153.97</v>
      </c>
      <c r="E696" s="25">
        <v>605289</v>
      </c>
      <c r="F696" s="24">
        <f t="shared" si="0"/>
        <v>116.78</v>
      </c>
      <c r="G696" s="26">
        <f t="shared" si="1"/>
        <v>722442.97</v>
      </c>
      <c r="H696" s="27" t="str">
        <f t="shared" si="2"/>
        <v/>
      </c>
      <c r="J696" s="73"/>
      <c r="K696" s="28"/>
      <c r="L696" s="79"/>
      <c r="M696" s="31"/>
    </row>
    <row r="697" spans="1:13" ht="14.25" customHeight="1">
      <c r="A697" s="32">
        <v>44658</v>
      </c>
      <c r="B697" s="22">
        <v>0</v>
      </c>
      <c r="C697" s="23" t="s">
        <v>16</v>
      </c>
      <c r="D697" s="80">
        <v>17656.240000000002</v>
      </c>
      <c r="E697" s="25">
        <v>632589</v>
      </c>
      <c r="F697" s="24">
        <f t="shared" si="0"/>
        <v>105.11</v>
      </c>
      <c r="G697" s="26">
        <f t="shared" si="1"/>
        <v>650245.24</v>
      </c>
      <c r="H697" s="27" t="str">
        <f t="shared" si="2"/>
        <v/>
      </c>
      <c r="J697" s="73"/>
      <c r="K697" s="28"/>
      <c r="L697" s="79"/>
      <c r="M697" s="31"/>
    </row>
    <row r="698" spans="1:13" ht="14.25" customHeight="1">
      <c r="A698" s="32">
        <v>44659</v>
      </c>
      <c r="B698" s="22">
        <v>9622</v>
      </c>
      <c r="C698" s="23" t="s">
        <v>59</v>
      </c>
      <c r="D698" s="80"/>
      <c r="E698" s="25"/>
      <c r="F698" s="24" t="str">
        <f t="shared" si="0"/>
        <v/>
      </c>
      <c r="G698" s="26" t="str">
        <f t="shared" si="1"/>
        <v/>
      </c>
      <c r="H698" s="27" t="str">
        <f t="shared" si="2"/>
        <v>Positional</v>
      </c>
      <c r="J698" s="73"/>
      <c r="K698" s="28"/>
      <c r="L698" s="79"/>
      <c r="M698" s="31"/>
    </row>
    <row r="699" spans="1:13" ht="14.25" customHeight="1">
      <c r="A699" s="32">
        <v>44659</v>
      </c>
      <c r="B699" s="22">
        <v>-2542.1999999999998</v>
      </c>
      <c r="C699" s="23" t="s">
        <v>4</v>
      </c>
      <c r="D699" s="80"/>
      <c r="E699" s="25"/>
      <c r="F699" s="24" t="str">
        <f t="shared" si="0"/>
        <v/>
      </c>
      <c r="G699" s="26" t="str">
        <f t="shared" si="1"/>
        <v/>
      </c>
      <c r="H699" s="27" t="str">
        <f t="shared" si="2"/>
        <v/>
      </c>
      <c r="J699" s="73"/>
      <c r="K699" s="28"/>
      <c r="L699" s="79"/>
      <c r="M699" s="31"/>
    </row>
    <row r="700" spans="1:13" ht="14.25" customHeight="1">
      <c r="A700" s="32">
        <v>44659</v>
      </c>
      <c r="B700" s="22">
        <v>-0.25</v>
      </c>
      <c r="C700" s="23" t="s">
        <v>16</v>
      </c>
      <c r="D700" s="80">
        <v>94369.87</v>
      </c>
      <c r="E700" s="25">
        <v>605289</v>
      </c>
      <c r="F700" s="24">
        <f t="shared" si="0"/>
        <v>339.29</v>
      </c>
      <c r="G700" s="26">
        <f t="shared" si="1"/>
        <v>2098976.61</v>
      </c>
      <c r="H700" s="27" t="str">
        <f t="shared" si="2"/>
        <v/>
      </c>
      <c r="J700" s="73"/>
      <c r="K700" s="28"/>
      <c r="L700" s="79"/>
      <c r="M700" s="31"/>
    </row>
    <row r="701" spans="1:13" ht="14.25" customHeight="1">
      <c r="A701" s="32">
        <v>44662</v>
      </c>
      <c r="B701" s="22">
        <v>-0.8</v>
      </c>
      <c r="C701" s="23" t="s">
        <v>16</v>
      </c>
      <c r="D701" s="80">
        <v>50841.62</v>
      </c>
      <c r="E701" s="25">
        <v>629067</v>
      </c>
      <c r="F701" s="24">
        <f t="shared" si="0"/>
        <v>109.9</v>
      </c>
      <c r="G701" s="26">
        <f t="shared" si="1"/>
        <v>679908.62</v>
      </c>
      <c r="H701" s="27" t="str">
        <f t="shared" si="2"/>
        <v/>
      </c>
      <c r="J701" s="73"/>
      <c r="K701" s="28"/>
      <c r="L701" s="79"/>
      <c r="M701" s="31"/>
    </row>
    <row r="702" spans="1:13" ht="14.25" customHeight="1">
      <c r="A702" s="32">
        <v>44663</v>
      </c>
      <c r="B702" s="22">
        <v>107</v>
      </c>
      <c r="C702" s="23" t="s">
        <v>305</v>
      </c>
      <c r="D702" s="80"/>
      <c r="E702" s="25"/>
      <c r="F702" s="24" t="str">
        <f t="shared" si="0"/>
        <v/>
      </c>
      <c r="G702" s="26" t="str">
        <f t="shared" si="1"/>
        <v/>
      </c>
      <c r="H702" s="27" t="str">
        <f t="shared" si="2"/>
        <v>Positional</v>
      </c>
      <c r="J702" s="73"/>
      <c r="K702" s="28"/>
      <c r="L702" s="79"/>
      <c r="M702" s="31"/>
    </row>
    <row r="703" spans="1:13" ht="14.25" customHeight="1">
      <c r="A703" s="32">
        <v>44663</v>
      </c>
      <c r="B703" s="22">
        <v>-35863.699999999997</v>
      </c>
      <c r="C703" s="23" t="s">
        <v>4</v>
      </c>
      <c r="D703" s="80"/>
      <c r="E703" s="25"/>
      <c r="F703" s="24" t="str">
        <f t="shared" si="0"/>
        <v/>
      </c>
      <c r="G703" s="26" t="str">
        <f t="shared" si="1"/>
        <v/>
      </c>
      <c r="H703" s="27" t="str">
        <f t="shared" si="2"/>
        <v/>
      </c>
      <c r="J703" s="73"/>
      <c r="K703" s="28"/>
      <c r="L703" s="79"/>
      <c r="M703" s="31"/>
    </row>
    <row r="704" spans="1:13" ht="14.25" customHeight="1">
      <c r="A704" s="32">
        <v>44663</v>
      </c>
      <c r="B704" s="22">
        <v>0.21</v>
      </c>
      <c r="C704" s="23" t="s">
        <v>16</v>
      </c>
      <c r="D704" s="80">
        <v>23390.92</v>
      </c>
      <c r="E704" s="25">
        <v>727893</v>
      </c>
      <c r="F704" s="24">
        <f t="shared" si="0"/>
        <v>121.44</v>
      </c>
      <c r="G704" s="26">
        <f t="shared" si="1"/>
        <v>751283.92</v>
      </c>
      <c r="H704" s="27" t="str">
        <f t="shared" si="2"/>
        <v/>
      </c>
      <c r="J704" s="73"/>
      <c r="K704" s="28"/>
      <c r="L704" s="79"/>
      <c r="M704" s="31"/>
    </row>
    <row r="705" spans="1:13" ht="14.25" customHeight="1">
      <c r="A705" s="32">
        <v>44664</v>
      </c>
      <c r="B705" s="22">
        <v>28</v>
      </c>
      <c r="C705" s="23" t="s">
        <v>306</v>
      </c>
      <c r="D705" s="80"/>
      <c r="E705" s="25"/>
      <c r="F705" s="24" t="str">
        <f t="shared" si="0"/>
        <v/>
      </c>
      <c r="G705" s="26" t="str">
        <f t="shared" si="1"/>
        <v/>
      </c>
      <c r="H705" s="27" t="str">
        <f t="shared" si="2"/>
        <v>Positional</v>
      </c>
      <c r="J705" s="73"/>
      <c r="K705" s="28"/>
      <c r="L705" s="79"/>
      <c r="M705" s="31"/>
    </row>
    <row r="706" spans="1:13" ht="14.25" customHeight="1">
      <c r="A706" s="32">
        <v>44664</v>
      </c>
      <c r="B706" s="22">
        <v>-322</v>
      </c>
      <c r="C706" s="23" t="s">
        <v>4</v>
      </c>
      <c r="D706" s="80"/>
      <c r="E706" s="25"/>
      <c r="F706" s="24" t="str">
        <f t="shared" si="0"/>
        <v/>
      </c>
      <c r="G706" s="26" t="str">
        <f t="shared" si="1"/>
        <v/>
      </c>
      <c r="H706" s="27" t="str">
        <f t="shared" si="2"/>
        <v/>
      </c>
      <c r="J706" s="73"/>
      <c r="K706" s="28"/>
      <c r="L706" s="79"/>
      <c r="M706" s="31"/>
    </row>
    <row r="707" spans="1:13" ht="14.25" customHeight="1">
      <c r="A707" s="32">
        <v>44664</v>
      </c>
      <c r="B707" s="22">
        <v>-0.06</v>
      </c>
      <c r="C707" s="23" t="s">
        <v>16</v>
      </c>
      <c r="D707" s="80">
        <v>9258.58</v>
      </c>
      <c r="E707" s="25">
        <v>726708</v>
      </c>
      <c r="F707" s="24">
        <f t="shared" si="0"/>
        <v>713.79</v>
      </c>
      <c r="G707" s="26">
        <f t="shared" si="1"/>
        <v>4415799.4799999995</v>
      </c>
      <c r="H707" s="27" t="str">
        <f t="shared" si="2"/>
        <v/>
      </c>
      <c r="J707" s="73"/>
      <c r="K707" s="28"/>
      <c r="L707" s="79"/>
      <c r="M707" s="31"/>
    </row>
    <row r="708" spans="1:13" ht="14.25" customHeight="1">
      <c r="A708" s="32">
        <v>44670</v>
      </c>
      <c r="B708" s="22">
        <v>-11232.41</v>
      </c>
      <c r="C708" s="23" t="s">
        <v>4</v>
      </c>
      <c r="D708" s="80"/>
      <c r="E708" s="25"/>
      <c r="F708" s="24" t="str">
        <f t="shared" si="0"/>
        <v/>
      </c>
      <c r="G708" s="26" t="str">
        <f t="shared" si="1"/>
        <v/>
      </c>
      <c r="H708" s="27" t="str">
        <f t="shared" si="2"/>
        <v/>
      </c>
      <c r="J708" s="73"/>
      <c r="K708" s="28"/>
      <c r="L708" s="79"/>
      <c r="M708" s="31"/>
    </row>
    <row r="709" spans="1:13" ht="14.25" customHeight="1">
      <c r="A709" s="32">
        <v>44670</v>
      </c>
      <c r="B709" s="22">
        <v>-1.1399999999999999</v>
      </c>
      <c r="C709" s="23" t="s">
        <v>16</v>
      </c>
      <c r="D709" s="80">
        <v>91956.76</v>
      </c>
      <c r="E709" s="25">
        <v>1001993</v>
      </c>
      <c r="F709" s="24">
        <f t="shared" si="0"/>
        <v>176.83</v>
      </c>
      <c r="G709" s="26">
        <f t="shared" si="1"/>
        <v>1093949.76</v>
      </c>
      <c r="H709" s="27" t="str">
        <f t="shared" si="2"/>
        <v/>
      </c>
      <c r="J709" s="73"/>
      <c r="K709" s="28"/>
      <c r="L709" s="79"/>
      <c r="M709" s="31"/>
    </row>
    <row r="710" spans="1:13" ht="14.25" customHeight="1">
      <c r="A710" s="32">
        <v>44671</v>
      </c>
      <c r="B710" s="22">
        <v>-4935.74</v>
      </c>
      <c r="C710" s="23" t="s">
        <v>4</v>
      </c>
      <c r="D710" s="80"/>
      <c r="E710" s="25"/>
      <c r="F710" s="24" t="str">
        <f t="shared" si="0"/>
        <v/>
      </c>
      <c r="G710" s="26" t="str">
        <f t="shared" si="1"/>
        <v/>
      </c>
      <c r="H710" s="27" t="str">
        <f t="shared" si="2"/>
        <v/>
      </c>
      <c r="J710" s="73"/>
      <c r="K710" s="28"/>
      <c r="L710" s="79"/>
      <c r="M710" s="31"/>
    </row>
    <row r="711" spans="1:13" ht="14.25" customHeight="1">
      <c r="A711" s="32">
        <v>44671</v>
      </c>
      <c r="B711" s="22">
        <v>0.9</v>
      </c>
      <c r="C711" s="23" t="s">
        <v>16</v>
      </c>
      <c r="D711" s="80">
        <v>75097.72</v>
      </c>
      <c r="E711" s="25">
        <v>1016170</v>
      </c>
      <c r="F711" s="24">
        <f t="shared" si="0"/>
        <v>176.4</v>
      </c>
      <c r="G711" s="26">
        <f t="shared" si="1"/>
        <v>1091267.72</v>
      </c>
      <c r="H711" s="27" t="str">
        <f t="shared" si="2"/>
        <v/>
      </c>
      <c r="J711" s="73"/>
      <c r="K711" s="28"/>
      <c r="L711" s="79"/>
      <c r="M711" s="31"/>
    </row>
    <row r="712" spans="1:13" ht="14.25" customHeight="1">
      <c r="A712" s="32">
        <v>44672</v>
      </c>
      <c r="B712" s="22">
        <v>-8640.64</v>
      </c>
      <c r="C712" s="23" t="s">
        <v>4</v>
      </c>
      <c r="D712" s="80"/>
      <c r="E712" s="25"/>
      <c r="F712" s="24" t="str">
        <f t="shared" si="0"/>
        <v/>
      </c>
      <c r="G712" s="26" t="str">
        <f t="shared" si="1"/>
        <v/>
      </c>
      <c r="H712" s="27" t="str">
        <f t="shared" si="2"/>
        <v/>
      </c>
      <c r="J712" s="73"/>
      <c r="K712" s="28"/>
      <c r="L712" s="79"/>
      <c r="M712" s="31"/>
    </row>
    <row r="713" spans="1:13" ht="14.25" customHeight="1">
      <c r="A713" s="32">
        <v>44672</v>
      </c>
      <c r="B713" s="22">
        <v>0.67</v>
      </c>
      <c r="C713" s="23" t="s">
        <v>16</v>
      </c>
      <c r="D713" s="80">
        <v>39714.79</v>
      </c>
      <c r="E713" s="25">
        <v>1055667</v>
      </c>
      <c r="F713" s="24">
        <f t="shared" si="0"/>
        <v>177.06</v>
      </c>
      <c r="G713" s="26">
        <f t="shared" si="1"/>
        <v>1095381.79</v>
      </c>
      <c r="H713" s="27" t="str">
        <f t="shared" si="2"/>
        <v/>
      </c>
      <c r="J713" s="73"/>
      <c r="K713" s="28"/>
      <c r="L713" s="79"/>
      <c r="M713" s="31"/>
    </row>
    <row r="714" spans="1:13" ht="14.25" customHeight="1">
      <c r="A714" s="32">
        <v>44673</v>
      </c>
      <c r="B714" s="22">
        <v>-7.0000000000000007E-2</v>
      </c>
      <c r="C714" s="23" t="s">
        <v>16</v>
      </c>
      <c r="D714" s="80">
        <v>14484.73</v>
      </c>
      <c r="E714" s="25">
        <v>1080897</v>
      </c>
      <c r="F714" s="24">
        <f t="shared" si="0"/>
        <v>531.19000000000005</v>
      </c>
      <c r="G714" s="26">
        <f t="shared" si="1"/>
        <v>3286145.19</v>
      </c>
      <c r="H714" s="27" t="str">
        <f t="shared" si="2"/>
        <v/>
      </c>
      <c r="J714" s="73"/>
      <c r="K714" s="28"/>
      <c r="L714" s="79"/>
      <c r="M714" s="31"/>
    </row>
    <row r="715" spans="1:13" ht="14.25" customHeight="1">
      <c r="A715" s="32">
        <v>44676</v>
      </c>
      <c r="B715" s="22">
        <v>0.41</v>
      </c>
      <c r="C715" s="23" t="s">
        <v>16</v>
      </c>
      <c r="D715" s="80">
        <v>17681.14</v>
      </c>
      <c r="E715" s="25">
        <v>1107701</v>
      </c>
      <c r="F715" s="24">
        <f t="shared" si="0"/>
        <v>181.91</v>
      </c>
      <c r="G715" s="26">
        <f t="shared" si="1"/>
        <v>1125382.1399999999</v>
      </c>
      <c r="H715" s="27" t="str">
        <f t="shared" si="2"/>
        <v/>
      </c>
      <c r="J715" s="73"/>
      <c r="K715" s="28"/>
      <c r="L715" s="79"/>
      <c r="M715" s="31"/>
    </row>
    <row r="716" spans="1:13" ht="14.25" customHeight="1">
      <c r="A716" s="32">
        <v>44677</v>
      </c>
      <c r="B716" s="22">
        <v>3564</v>
      </c>
      <c r="C716" s="23" t="s">
        <v>310</v>
      </c>
      <c r="D716" s="80"/>
      <c r="E716" s="25"/>
      <c r="F716" s="24" t="str">
        <f t="shared" si="0"/>
        <v/>
      </c>
      <c r="G716" s="26" t="str">
        <f t="shared" si="1"/>
        <v/>
      </c>
      <c r="H716" s="27" t="str">
        <f t="shared" si="2"/>
        <v>Positional</v>
      </c>
      <c r="J716" s="73"/>
      <c r="K716" s="28"/>
      <c r="L716" s="79"/>
      <c r="M716" s="31"/>
    </row>
    <row r="717" spans="1:13" ht="14.25" customHeight="1">
      <c r="A717" s="32">
        <v>44677</v>
      </c>
      <c r="B717" s="22">
        <v>0.17</v>
      </c>
      <c r="C717" s="23" t="s">
        <v>16</v>
      </c>
      <c r="D717" s="80">
        <v>57039.38</v>
      </c>
      <c r="E717" s="25">
        <v>1056891</v>
      </c>
      <c r="F717" s="24">
        <f t="shared" si="0"/>
        <v>180.06</v>
      </c>
      <c r="G717" s="26">
        <f t="shared" si="1"/>
        <v>1113930.3799999999</v>
      </c>
      <c r="H717" s="27" t="str">
        <f t="shared" si="2"/>
        <v/>
      </c>
      <c r="J717" s="73"/>
      <c r="K717" s="28"/>
      <c r="L717" s="79"/>
      <c r="M717" s="31"/>
    </row>
    <row r="718" spans="1:13" ht="14.25" customHeight="1">
      <c r="A718" s="32">
        <v>44678</v>
      </c>
      <c r="B718" s="22">
        <v>2048</v>
      </c>
      <c r="C718" s="23" t="s">
        <v>311</v>
      </c>
      <c r="D718" s="80"/>
      <c r="E718" s="25"/>
      <c r="F718" s="24" t="str">
        <f t="shared" si="0"/>
        <v/>
      </c>
      <c r="G718" s="26" t="str">
        <f t="shared" si="1"/>
        <v/>
      </c>
      <c r="H718" s="27" t="str">
        <f t="shared" si="2"/>
        <v>Positional</v>
      </c>
      <c r="J718" s="73"/>
      <c r="K718" s="28"/>
      <c r="L718" s="79"/>
      <c r="M718" s="31"/>
    </row>
    <row r="719" spans="1:13" ht="14.25" customHeight="1">
      <c r="A719" s="32">
        <v>44678</v>
      </c>
      <c r="B719" s="22">
        <v>372.19</v>
      </c>
      <c r="C719" s="23" t="s">
        <v>20</v>
      </c>
      <c r="D719" s="80">
        <v>73977.64</v>
      </c>
      <c r="E719" s="25">
        <v>1042357</v>
      </c>
      <c r="F719" s="24">
        <f t="shared" si="0"/>
        <v>180.45</v>
      </c>
      <c r="G719" s="26">
        <f t="shared" si="1"/>
        <v>1116334.6399999999</v>
      </c>
      <c r="H719" s="27" t="str">
        <f t="shared" si="2"/>
        <v/>
      </c>
      <c r="J719" s="73"/>
      <c r="K719" s="28"/>
      <c r="L719" s="79"/>
      <c r="M719" s="31"/>
    </row>
    <row r="720" spans="1:13" ht="14.25" customHeight="1">
      <c r="A720" s="32">
        <v>44679</v>
      </c>
      <c r="B720" s="22">
        <v>126.07</v>
      </c>
      <c r="C720" s="23" t="s">
        <v>20</v>
      </c>
      <c r="D720" s="80">
        <v>16954.189999999999</v>
      </c>
      <c r="E720" s="25">
        <v>1068788</v>
      </c>
      <c r="F720" s="24">
        <f t="shared" si="0"/>
        <v>175.5</v>
      </c>
      <c r="G720" s="26">
        <f t="shared" si="1"/>
        <v>1085742.19</v>
      </c>
      <c r="H720" s="27" t="str">
        <f t="shared" si="2"/>
        <v/>
      </c>
      <c r="J720" s="73"/>
      <c r="K720" s="28"/>
      <c r="L720" s="79"/>
      <c r="M720" s="31"/>
    </row>
    <row r="721" spans="1:13" ht="14.25" customHeight="1">
      <c r="A721" s="32">
        <v>44680</v>
      </c>
      <c r="B721" s="22">
        <v>1007.71</v>
      </c>
      <c r="C721" s="23" t="s">
        <v>4</v>
      </c>
      <c r="D721" s="80"/>
      <c r="E721" s="25"/>
      <c r="F721" s="24" t="str">
        <f t="shared" si="0"/>
        <v/>
      </c>
      <c r="G721" s="26" t="str">
        <f t="shared" si="1"/>
        <v/>
      </c>
      <c r="H721" s="27" t="str">
        <f t="shared" si="2"/>
        <v/>
      </c>
      <c r="J721" s="73"/>
      <c r="K721" s="28"/>
      <c r="L721" s="79"/>
      <c r="M721" s="31"/>
    </row>
    <row r="722" spans="1:13" ht="14.25" customHeight="1">
      <c r="A722" s="32">
        <v>44680</v>
      </c>
      <c r="B722" s="22">
        <v>-0.21</v>
      </c>
      <c r="C722" s="23" t="s">
        <v>16</v>
      </c>
      <c r="D722" s="80">
        <v>0</v>
      </c>
      <c r="E722" s="25">
        <v>1074445</v>
      </c>
      <c r="F722" s="24">
        <f t="shared" si="0"/>
        <v>521.03</v>
      </c>
      <c r="G722" s="26">
        <f t="shared" si="1"/>
        <v>3223335</v>
      </c>
      <c r="H722" s="27" t="str">
        <f t="shared" si="2"/>
        <v/>
      </c>
      <c r="J722" s="73"/>
      <c r="K722" s="28"/>
      <c r="L722" s="79"/>
      <c r="M722" s="31"/>
    </row>
    <row r="723" spans="1:13" ht="14.25" customHeight="1">
      <c r="A723" s="32">
        <v>44683</v>
      </c>
      <c r="B723" s="22">
        <v>2115</v>
      </c>
      <c r="C723" s="23" t="s">
        <v>312</v>
      </c>
      <c r="D723" s="80"/>
      <c r="E723" s="25"/>
      <c r="F723" s="24" t="str">
        <f t="shared" si="0"/>
        <v/>
      </c>
      <c r="G723" s="26" t="str">
        <f t="shared" si="1"/>
        <v/>
      </c>
      <c r="H723" s="27" t="str">
        <f t="shared" si="2"/>
        <v>Positional</v>
      </c>
      <c r="J723" s="73"/>
      <c r="K723" s="28"/>
      <c r="L723" s="79"/>
      <c r="M723" s="31"/>
    </row>
    <row r="724" spans="1:13" ht="14.25" customHeight="1">
      <c r="A724" s="32">
        <v>44683</v>
      </c>
      <c r="B724" s="22">
        <v>-3278.25</v>
      </c>
      <c r="C724" s="23" t="s">
        <v>4</v>
      </c>
      <c r="D724" s="80"/>
      <c r="E724" s="25"/>
      <c r="F724" s="24" t="str">
        <f t="shared" si="0"/>
        <v/>
      </c>
      <c r="G724" s="26" t="str">
        <f t="shared" si="1"/>
        <v/>
      </c>
      <c r="H724" s="27" t="str">
        <f t="shared" si="2"/>
        <v/>
      </c>
      <c r="J724" s="73"/>
      <c r="K724" s="28"/>
      <c r="L724" s="79"/>
      <c r="M724" s="31"/>
    </row>
    <row r="725" spans="1:13" ht="14.25" customHeight="1">
      <c r="A725" s="32">
        <v>44683</v>
      </c>
      <c r="B725" s="22">
        <v>0.23</v>
      </c>
      <c r="C725" s="23" t="s">
        <v>16</v>
      </c>
      <c r="D725" s="80">
        <v>58864.1</v>
      </c>
      <c r="E725" s="25">
        <v>1034404</v>
      </c>
      <c r="F725" s="24">
        <f t="shared" si="0"/>
        <v>353.44</v>
      </c>
      <c r="G725" s="26">
        <f t="shared" si="1"/>
        <v>2186536.2000000002</v>
      </c>
      <c r="H725" s="27" t="str">
        <f t="shared" si="2"/>
        <v/>
      </c>
      <c r="J725" s="73"/>
      <c r="K725" s="28"/>
      <c r="L725" s="79"/>
      <c r="M725" s="31"/>
    </row>
    <row r="726" spans="1:13" ht="14.25" customHeight="1">
      <c r="A726" s="32">
        <v>44685</v>
      </c>
      <c r="B726" s="22">
        <v>0</v>
      </c>
      <c r="C726" s="23" t="s">
        <v>16</v>
      </c>
      <c r="D726" s="80">
        <v>42156.22</v>
      </c>
      <c r="E726" s="25">
        <v>1034404</v>
      </c>
      <c r="F726" s="24">
        <f t="shared" si="0"/>
        <v>174.02</v>
      </c>
      <c r="G726" s="26">
        <f t="shared" si="1"/>
        <v>1076560.22</v>
      </c>
      <c r="H726" s="27" t="str">
        <f t="shared" si="2"/>
        <v/>
      </c>
      <c r="J726" s="73"/>
      <c r="K726" s="28"/>
      <c r="L726" s="79"/>
      <c r="M726" s="31"/>
    </row>
    <row r="727" spans="1:13" ht="14.25" customHeight="1">
      <c r="A727" s="32">
        <v>44686</v>
      </c>
      <c r="B727" s="22">
        <v>1453</v>
      </c>
      <c r="C727" s="23" t="s">
        <v>313</v>
      </c>
      <c r="D727" s="80"/>
      <c r="E727" s="25"/>
      <c r="F727" s="24" t="str">
        <f t="shared" si="0"/>
        <v/>
      </c>
      <c r="G727" s="26" t="str">
        <f t="shared" si="1"/>
        <v/>
      </c>
      <c r="H727" s="27" t="str">
        <f t="shared" si="2"/>
        <v>Positional</v>
      </c>
      <c r="J727" s="73"/>
      <c r="K727" s="28"/>
      <c r="L727" s="79"/>
      <c r="M727" s="31"/>
    </row>
    <row r="728" spans="1:13" ht="14.25" customHeight="1">
      <c r="A728" s="32">
        <v>44686</v>
      </c>
      <c r="B728" s="22">
        <v>-4891.01</v>
      </c>
      <c r="C728" s="23" t="s">
        <v>4</v>
      </c>
      <c r="D728" s="80"/>
      <c r="E728" s="25"/>
      <c r="F728" s="24" t="str">
        <f t="shared" si="0"/>
        <v/>
      </c>
      <c r="G728" s="26" t="str">
        <f t="shared" si="1"/>
        <v/>
      </c>
      <c r="H728" s="27" t="str">
        <f t="shared" si="2"/>
        <v/>
      </c>
      <c r="J728" s="73"/>
      <c r="K728" s="28"/>
      <c r="L728" s="79"/>
      <c r="M728" s="31"/>
    </row>
    <row r="729" spans="1:13" ht="14.25" customHeight="1">
      <c r="A729" s="32">
        <v>44686</v>
      </c>
      <c r="B729" s="22">
        <v>0.98</v>
      </c>
      <c r="C729" s="23" t="s">
        <v>16</v>
      </c>
      <c r="D729" s="80">
        <v>55434.26</v>
      </c>
      <c r="E729" s="25">
        <v>1002565</v>
      </c>
      <c r="F729" s="24">
        <f t="shared" si="0"/>
        <v>171.02</v>
      </c>
      <c r="G729" s="26">
        <f t="shared" si="1"/>
        <v>1057999.26</v>
      </c>
      <c r="H729" s="27" t="str">
        <f t="shared" si="2"/>
        <v/>
      </c>
      <c r="J729" s="73"/>
      <c r="K729" s="28"/>
      <c r="L729" s="79"/>
      <c r="M729" s="31"/>
    </row>
    <row r="730" spans="1:13" ht="14.25" customHeight="1">
      <c r="A730" s="32">
        <v>44687</v>
      </c>
      <c r="B730" s="22">
        <v>1468.84</v>
      </c>
      <c r="C730" s="23" t="s">
        <v>4</v>
      </c>
      <c r="D730" s="80"/>
      <c r="E730" s="25"/>
      <c r="F730" s="24" t="str">
        <f t="shared" si="0"/>
        <v/>
      </c>
      <c r="G730" s="26" t="str">
        <f t="shared" si="1"/>
        <v/>
      </c>
      <c r="H730" s="27" t="str">
        <f t="shared" si="2"/>
        <v/>
      </c>
      <c r="J730" s="73"/>
      <c r="K730" s="28"/>
      <c r="L730" s="79"/>
      <c r="M730" s="31"/>
    </row>
    <row r="731" spans="1:13" ht="14.25" customHeight="1">
      <c r="A731" s="32">
        <v>44687</v>
      </c>
      <c r="B731" s="22">
        <v>0.12</v>
      </c>
      <c r="C731" s="23" t="s">
        <v>16</v>
      </c>
      <c r="D731" s="80">
        <v>19323.22</v>
      </c>
      <c r="E731" s="25">
        <v>1024591</v>
      </c>
      <c r="F731" s="24">
        <f t="shared" si="0"/>
        <v>506.23</v>
      </c>
      <c r="G731" s="26">
        <f t="shared" si="1"/>
        <v>3131742.66</v>
      </c>
      <c r="H731" s="27" t="str">
        <f t="shared" si="2"/>
        <v/>
      </c>
      <c r="J731" s="73"/>
      <c r="K731" s="28"/>
      <c r="L731" s="79"/>
      <c r="M731" s="31"/>
    </row>
    <row r="732" spans="1:13" ht="14.25" customHeight="1">
      <c r="A732" s="32">
        <v>44690</v>
      </c>
      <c r="B732" s="22">
        <v>3704</v>
      </c>
      <c r="C732" s="23" t="s">
        <v>314</v>
      </c>
      <c r="D732" s="80"/>
      <c r="E732" s="25"/>
      <c r="F732" s="24" t="str">
        <f t="shared" si="0"/>
        <v/>
      </c>
      <c r="G732" s="26" t="str">
        <f t="shared" si="1"/>
        <v/>
      </c>
      <c r="H732" s="27" t="str">
        <f t="shared" si="2"/>
        <v>Positional</v>
      </c>
      <c r="J732" s="73"/>
      <c r="K732" s="28"/>
      <c r="L732" s="79"/>
      <c r="M732" s="31"/>
    </row>
    <row r="733" spans="1:13" ht="14.25" customHeight="1">
      <c r="A733" s="32">
        <v>44690</v>
      </c>
      <c r="B733" s="22">
        <v>-0.63</v>
      </c>
      <c r="C733" s="23" t="s">
        <v>16</v>
      </c>
      <c r="D733" s="80">
        <v>22902.66</v>
      </c>
      <c r="E733" s="25">
        <v>1009699</v>
      </c>
      <c r="F733" s="24">
        <f t="shared" si="0"/>
        <v>166.91</v>
      </c>
      <c r="G733" s="26">
        <f t="shared" si="1"/>
        <v>1032601.66</v>
      </c>
      <c r="H733" s="27" t="str">
        <f t="shared" si="2"/>
        <v/>
      </c>
      <c r="J733" s="73"/>
      <c r="K733" s="28"/>
      <c r="L733" s="79"/>
      <c r="M733" s="31"/>
    </row>
    <row r="734" spans="1:13" ht="14.25" customHeight="1">
      <c r="A734" s="32">
        <v>44691</v>
      </c>
      <c r="B734" s="22">
        <v>0</v>
      </c>
      <c r="C734" s="23" t="s">
        <v>16</v>
      </c>
      <c r="D734" s="80">
        <v>63.77</v>
      </c>
      <c r="E734" s="25">
        <v>1009699</v>
      </c>
      <c r="F734" s="24">
        <f t="shared" si="0"/>
        <v>489.67</v>
      </c>
      <c r="G734" s="26">
        <f t="shared" si="1"/>
        <v>3029288.31</v>
      </c>
      <c r="H734" s="27" t="str">
        <f t="shared" si="2"/>
        <v/>
      </c>
      <c r="J734" s="73"/>
      <c r="K734" s="28"/>
      <c r="L734" s="79"/>
      <c r="M734" s="31"/>
    </row>
    <row r="735" spans="1:13" ht="14.25" customHeight="1">
      <c r="A735" s="32">
        <v>44694</v>
      </c>
      <c r="B735" s="22">
        <v>0</v>
      </c>
      <c r="C735" s="23" t="s">
        <v>16</v>
      </c>
      <c r="D735" s="80">
        <v>2024.77</v>
      </c>
      <c r="E735" s="25">
        <v>1023259</v>
      </c>
      <c r="F735" s="24">
        <f t="shared" si="0"/>
        <v>662.92</v>
      </c>
      <c r="G735" s="26">
        <f t="shared" si="1"/>
        <v>4101135.08</v>
      </c>
      <c r="H735" s="27" t="str">
        <f t="shared" si="2"/>
        <v/>
      </c>
      <c r="J735" s="73"/>
      <c r="K735" s="28"/>
      <c r="L735" s="79"/>
      <c r="M735" s="31"/>
    </row>
    <row r="736" spans="1:13" ht="14.25" customHeight="1">
      <c r="A736" s="32">
        <v>44698</v>
      </c>
      <c r="B736" s="22">
        <v>-45724.29</v>
      </c>
      <c r="C736" s="23" t="s">
        <v>4</v>
      </c>
      <c r="D736" s="80"/>
      <c r="E736" s="25"/>
      <c r="F736" s="24" t="str">
        <f t="shared" si="0"/>
        <v/>
      </c>
      <c r="G736" s="26" t="str">
        <f t="shared" si="1"/>
        <v/>
      </c>
      <c r="H736" s="27" t="str">
        <f t="shared" si="2"/>
        <v/>
      </c>
      <c r="J736" s="73"/>
      <c r="K736" s="28"/>
      <c r="L736" s="79"/>
      <c r="M736" s="31"/>
    </row>
    <row r="737" spans="1:13" ht="14.25" customHeight="1">
      <c r="A737" s="32">
        <v>44698</v>
      </c>
      <c r="B737" s="22">
        <v>336.25</v>
      </c>
      <c r="C737" s="23" t="s">
        <v>20</v>
      </c>
      <c r="D737" s="80">
        <v>25191.68</v>
      </c>
      <c r="E737" s="25">
        <v>1023259</v>
      </c>
      <c r="F737" s="24">
        <f t="shared" si="0"/>
        <v>169.48</v>
      </c>
      <c r="G737" s="26">
        <f t="shared" si="1"/>
        <v>1048450.68</v>
      </c>
      <c r="H737" s="27" t="str">
        <f t="shared" si="2"/>
        <v/>
      </c>
      <c r="J737" s="73"/>
      <c r="K737" s="28"/>
      <c r="L737" s="79"/>
      <c r="M737" s="31"/>
    </row>
    <row r="738" spans="1:13" ht="14.25" customHeight="1">
      <c r="A738" s="32">
        <v>44699</v>
      </c>
      <c r="B738" s="22">
        <v>137</v>
      </c>
      <c r="C738" s="23" t="s">
        <v>315</v>
      </c>
      <c r="D738" s="80"/>
      <c r="E738" s="25"/>
      <c r="F738" s="24" t="str">
        <f t="shared" si="0"/>
        <v/>
      </c>
      <c r="G738" s="26" t="str">
        <f t="shared" si="1"/>
        <v/>
      </c>
      <c r="H738" s="27" t="str">
        <f t="shared" si="2"/>
        <v>Positional</v>
      </c>
      <c r="J738" s="73"/>
      <c r="K738" s="28"/>
      <c r="L738" s="79"/>
      <c r="M738" s="31"/>
    </row>
    <row r="739" spans="1:13" ht="14.25" customHeight="1">
      <c r="A739" s="32">
        <v>44699</v>
      </c>
      <c r="B739" s="22">
        <v>1784</v>
      </c>
      <c r="C739" s="23" t="s">
        <v>316</v>
      </c>
      <c r="D739" s="80"/>
      <c r="E739" s="25"/>
      <c r="F739" s="24" t="str">
        <f t="shared" si="0"/>
        <v/>
      </c>
      <c r="G739" s="26" t="str">
        <f t="shared" si="1"/>
        <v/>
      </c>
      <c r="H739" s="27" t="str">
        <f t="shared" si="2"/>
        <v>Positional</v>
      </c>
      <c r="J739" s="73"/>
      <c r="K739" s="28"/>
      <c r="L739" s="79"/>
      <c r="M739" s="31"/>
    </row>
    <row r="740" spans="1:13" ht="14.25" customHeight="1">
      <c r="A740" s="32">
        <v>44699</v>
      </c>
      <c r="B740" s="22">
        <v>550</v>
      </c>
      <c r="C740" s="23" t="s">
        <v>317</v>
      </c>
      <c r="D740" s="80"/>
      <c r="E740" s="25"/>
      <c r="F740" s="24" t="str">
        <f t="shared" si="0"/>
        <v/>
      </c>
      <c r="G740" s="26" t="str">
        <f t="shared" si="1"/>
        <v/>
      </c>
      <c r="H740" s="27" t="str">
        <f t="shared" si="2"/>
        <v>Positional</v>
      </c>
      <c r="J740" s="73"/>
      <c r="K740" s="28"/>
      <c r="L740" s="79"/>
      <c r="M740" s="31"/>
    </row>
    <row r="741" spans="1:13" ht="14.25" customHeight="1">
      <c r="A741" s="32">
        <v>44699</v>
      </c>
      <c r="B741" s="22">
        <v>-1750</v>
      </c>
      <c r="C741" s="23" t="s">
        <v>4</v>
      </c>
      <c r="D741" s="80"/>
      <c r="E741" s="25"/>
      <c r="F741" s="24" t="str">
        <f t="shared" si="0"/>
        <v/>
      </c>
      <c r="G741" s="26" t="str">
        <f t="shared" si="1"/>
        <v/>
      </c>
      <c r="H741" s="27" t="str">
        <f t="shared" si="2"/>
        <v/>
      </c>
      <c r="J741" s="73"/>
      <c r="K741" s="28"/>
      <c r="L741" s="79"/>
      <c r="M741" s="31"/>
    </row>
    <row r="742" spans="1:13" ht="14.25" customHeight="1">
      <c r="A742" s="32">
        <v>44699</v>
      </c>
      <c r="B742" s="22">
        <v>86.6</v>
      </c>
      <c r="C742" s="23" t="s">
        <v>20</v>
      </c>
      <c r="D742" s="80">
        <v>42224.86</v>
      </c>
      <c r="E742" s="25">
        <v>983928</v>
      </c>
      <c r="F742" s="24">
        <f t="shared" si="0"/>
        <v>165.87</v>
      </c>
      <c r="G742" s="26">
        <f t="shared" si="1"/>
        <v>1026152.86</v>
      </c>
      <c r="H742" s="27" t="str">
        <f t="shared" si="2"/>
        <v/>
      </c>
      <c r="J742" s="73"/>
      <c r="K742" s="28"/>
      <c r="L742" s="79"/>
      <c r="M742" s="31"/>
    </row>
    <row r="743" spans="1:13" ht="14.25" customHeight="1">
      <c r="A743" s="32">
        <v>44700</v>
      </c>
      <c r="B743" s="22">
        <v>0</v>
      </c>
      <c r="C743" s="23" t="s">
        <v>16</v>
      </c>
      <c r="D743" s="80">
        <v>18122.689999999999</v>
      </c>
      <c r="E743" s="25">
        <v>983928</v>
      </c>
      <c r="F743" s="24">
        <f t="shared" si="0"/>
        <v>161.97999999999999</v>
      </c>
      <c r="G743" s="26">
        <f t="shared" si="1"/>
        <v>1002050.69</v>
      </c>
      <c r="H743" s="27" t="str">
        <f t="shared" si="2"/>
        <v/>
      </c>
      <c r="J743" s="73"/>
      <c r="K743" s="28"/>
      <c r="L743" s="79"/>
      <c r="M743" s="31"/>
    </row>
    <row r="744" spans="1:13" ht="14.25" customHeight="1">
      <c r="A744" s="32">
        <v>44701</v>
      </c>
      <c r="B744" s="22">
        <v>1605.51</v>
      </c>
      <c r="C744" s="23" t="s">
        <v>4</v>
      </c>
      <c r="D744" s="80">
        <v>27681.32</v>
      </c>
      <c r="E744" s="25">
        <v>983928</v>
      </c>
      <c r="F744" s="24">
        <f t="shared" si="0"/>
        <v>490.56</v>
      </c>
      <c r="G744" s="26">
        <f t="shared" si="1"/>
        <v>3034827.96</v>
      </c>
      <c r="H744" s="27" t="str">
        <f t="shared" si="2"/>
        <v/>
      </c>
      <c r="J744" s="73"/>
      <c r="K744" s="28"/>
      <c r="L744" s="79"/>
      <c r="M744" s="31"/>
    </row>
    <row r="745" spans="1:13" ht="14.25" customHeight="1">
      <c r="A745" s="32">
        <v>44704</v>
      </c>
      <c r="B745" s="22">
        <v>44.09</v>
      </c>
      <c r="C745" s="23" t="s">
        <v>20</v>
      </c>
      <c r="D745" s="80">
        <v>25725.41</v>
      </c>
      <c r="E745" s="25">
        <v>983928</v>
      </c>
      <c r="F745" s="24">
        <f t="shared" si="0"/>
        <v>163.19999999999999</v>
      </c>
      <c r="G745" s="26">
        <f t="shared" si="1"/>
        <v>1009653.41</v>
      </c>
      <c r="H745" s="27" t="str">
        <f t="shared" si="2"/>
        <v/>
      </c>
      <c r="J745" s="73"/>
      <c r="K745" s="28"/>
      <c r="L745" s="79"/>
      <c r="M745" s="31"/>
    </row>
    <row r="746" spans="1:13" ht="14.25" customHeight="1">
      <c r="A746" s="32">
        <v>44705</v>
      </c>
      <c r="B746" s="22">
        <v>388.96</v>
      </c>
      <c r="C746" s="23" t="s">
        <v>20</v>
      </c>
      <c r="D746" s="80">
        <v>26114.38</v>
      </c>
      <c r="E746" s="25">
        <v>983928</v>
      </c>
      <c r="F746" s="24">
        <f t="shared" si="0"/>
        <v>163.27000000000001</v>
      </c>
      <c r="G746" s="26">
        <f t="shared" si="1"/>
        <v>1010042.38</v>
      </c>
      <c r="H746" s="27" t="str">
        <f t="shared" si="2"/>
        <v/>
      </c>
      <c r="J746" s="73"/>
      <c r="K746" s="28"/>
      <c r="L746" s="79"/>
      <c r="M746" s="31"/>
    </row>
    <row r="747" spans="1:13" ht="14.25" customHeight="1">
      <c r="A747" s="32">
        <v>44706</v>
      </c>
      <c r="B747" s="22">
        <v>-22753.21</v>
      </c>
      <c r="C747" s="23" t="s">
        <v>4</v>
      </c>
      <c r="D747" s="80">
        <v>388.96</v>
      </c>
      <c r="E747" s="25">
        <v>983928</v>
      </c>
      <c r="F747" s="24">
        <f t="shared" si="0"/>
        <v>159.11000000000001</v>
      </c>
      <c r="G747" s="26">
        <f t="shared" si="1"/>
        <v>984316.96</v>
      </c>
      <c r="H747" s="27" t="str">
        <f t="shared" si="2"/>
        <v/>
      </c>
      <c r="J747" s="73"/>
      <c r="K747" s="28"/>
      <c r="L747" s="79"/>
      <c r="M747" s="31"/>
    </row>
    <row r="748" spans="1:13" ht="14.25" customHeight="1">
      <c r="A748" s="32">
        <v>44707</v>
      </c>
      <c r="B748" s="22">
        <v>0</v>
      </c>
      <c r="C748" s="23" t="s">
        <v>16</v>
      </c>
      <c r="D748" s="80">
        <v>353.56</v>
      </c>
      <c r="E748" s="25">
        <v>983928</v>
      </c>
      <c r="F748" s="24">
        <f t="shared" si="0"/>
        <v>159.1</v>
      </c>
      <c r="G748" s="26">
        <f t="shared" si="1"/>
        <v>984281.56</v>
      </c>
      <c r="H748" s="27" t="str">
        <f t="shared" si="2"/>
        <v/>
      </c>
      <c r="J748" s="73"/>
      <c r="K748" s="28"/>
      <c r="L748" s="79"/>
      <c r="M748" s="31"/>
    </row>
    <row r="749" spans="1:13" ht="14.25" customHeight="1">
      <c r="A749" s="32">
        <v>44708</v>
      </c>
      <c r="B749" s="22">
        <v>3566</v>
      </c>
      <c r="C749" s="23" t="s">
        <v>312</v>
      </c>
      <c r="D749" s="80"/>
      <c r="E749" s="25"/>
      <c r="F749" s="24" t="str">
        <f t="shared" si="0"/>
        <v/>
      </c>
      <c r="G749" s="26" t="str">
        <f t="shared" si="1"/>
        <v/>
      </c>
      <c r="H749" s="27" t="str">
        <f t="shared" si="2"/>
        <v>Positional</v>
      </c>
      <c r="J749" s="73"/>
      <c r="K749" s="28"/>
      <c r="L749" s="79"/>
      <c r="M749" s="31"/>
    </row>
    <row r="750" spans="1:13" ht="14.25" customHeight="1">
      <c r="A750" s="32">
        <v>44708</v>
      </c>
      <c r="B750" s="22">
        <v>519.05999999999995</v>
      </c>
      <c r="C750" s="23" t="s">
        <v>20</v>
      </c>
      <c r="D750" s="80"/>
      <c r="E750" s="25"/>
      <c r="F750" s="24" t="str">
        <f t="shared" si="0"/>
        <v/>
      </c>
      <c r="G750" s="26" t="str">
        <f t="shared" si="1"/>
        <v/>
      </c>
      <c r="H750" s="27" t="str">
        <f t="shared" si="2"/>
        <v/>
      </c>
      <c r="J750" s="73"/>
      <c r="K750" s="28"/>
      <c r="L750" s="79"/>
      <c r="M750" s="31"/>
    </row>
    <row r="751" spans="1:13" ht="14.25" customHeight="1">
      <c r="A751" s="32">
        <v>44708</v>
      </c>
      <c r="B751" s="22">
        <v>5703.45</v>
      </c>
      <c r="C751" s="23" t="s">
        <v>4</v>
      </c>
      <c r="D751" s="80">
        <v>31329.15</v>
      </c>
      <c r="E751" s="25">
        <v>966477</v>
      </c>
      <c r="F751" s="24">
        <f t="shared" si="0"/>
        <v>483.87</v>
      </c>
      <c r="G751" s="26">
        <f t="shared" si="1"/>
        <v>2993418.45</v>
      </c>
      <c r="H751" s="27" t="str">
        <f t="shared" si="2"/>
        <v/>
      </c>
      <c r="J751" s="73"/>
      <c r="K751" s="28"/>
      <c r="L751" s="79"/>
      <c r="M751" s="31"/>
    </row>
    <row r="752" spans="1:13" ht="14.25" customHeight="1">
      <c r="A752" s="32">
        <v>44711</v>
      </c>
      <c r="B752" s="22">
        <v>436</v>
      </c>
      <c r="C752" s="23" t="s">
        <v>319</v>
      </c>
      <c r="D752" s="80"/>
      <c r="E752" s="25"/>
      <c r="F752" s="24" t="str">
        <f t="shared" si="0"/>
        <v/>
      </c>
      <c r="G752" s="26" t="str">
        <f t="shared" si="1"/>
        <v/>
      </c>
      <c r="H752" s="27" t="str">
        <f t="shared" si="2"/>
        <v>Positional</v>
      </c>
      <c r="J752" s="73"/>
      <c r="K752" s="28"/>
      <c r="L752" s="79"/>
      <c r="M752" s="31"/>
    </row>
    <row r="753" spans="1:13" ht="14.25" customHeight="1">
      <c r="A753" s="32">
        <v>44711</v>
      </c>
      <c r="B753" s="22">
        <v>0.22</v>
      </c>
      <c r="C753" s="23" t="s">
        <v>16</v>
      </c>
      <c r="D753" s="80">
        <v>46339.43</v>
      </c>
      <c r="E753" s="25">
        <v>943887</v>
      </c>
      <c r="F753" s="24">
        <f t="shared" si="0"/>
        <v>160.06</v>
      </c>
      <c r="G753" s="26">
        <f t="shared" si="1"/>
        <v>990226.43</v>
      </c>
      <c r="H753" s="27" t="str">
        <f t="shared" si="2"/>
        <v/>
      </c>
      <c r="J753" s="73"/>
      <c r="K753" s="28"/>
      <c r="L753" s="79"/>
      <c r="M753" s="31"/>
    </row>
    <row r="754" spans="1:13" ht="14.25" customHeight="1">
      <c r="A754" s="32">
        <v>44712</v>
      </c>
      <c r="B754" s="22">
        <v>2656</v>
      </c>
      <c r="C754" s="23" t="s">
        <v>319</v>
      </c>
      <c r="D754" s="80"/>
      <c r="E754" s="25"/>
      <c r="F754" s="24" t="str">
        <f t="shared" si="0"/>
        <v/>
      </c>
      <c r="G754" s="26" t="str">
        <f t="shared" si="1"/>
        <v/>
      </c>
      <c r="H754" s="27" t="str">
        <f t="shared" si="2"/>
        <v>Positional</v>
      </c>
      <c r="J754" s="73"/>
      <c r="K754" s="28"/>
      <c r="L754" s="79"/>
      <c r="M754" s="31"/>
    </row>
    <row r="755" spans="1:13" ht="14.25" customHeight="1">
      <c r="A755" s="32">
        <v>44712</v>
      </c>
      <c r="B755" s="22">
        <v>-0.95</v>
      </c>
      <c r="C755" s="23" t="s">
        <v>16</v>
      </c>
      <c r="D755" s="80">
        <v>56999.55</v>
      </c>
      <c r="E755" s="25">
        <v>923866</v>
      </c>
      <c r="F755" s="24">
        <f t="shared" si="0"/>
        <v>158.55000000000001</v>
      </c>
      <c r="G755" s="26">
        <f t="shared" si="1"/>
        <v>980865.55</v>
      </c>
      <c r="H755" s="27" t="str">
        <f t="shared" si="2"/>
        <v/>
      </c>
      <c r="J755" s="73"/>
      <c r="K755" s="28"/>
      <c r="L755" s="79"/>
      <c r="M755" s="31"/>
    </row>
    <row r="756" spans="1:13" ht="14.25" customHeight="1">
      <c r="A756" s="32">
        <v>44713</v>
      </c>
      <c r="B756" s="22">
        <v>115.8</v>
      </c>
      <c r="C756" s="23" t="s">
        <v>20</v>
      </c>
      <c r="D756" s="80"/>
      <c r="E756" s="25"/>
      <c r="F756" s="24" t="str">
        <f t="shared" si="0"/>
        <v/>
      </c>
      <c r="G756" s="26" t="str">
        <f t="shared" si="1"/>
        <v/>
      </c>
      <c r="H756" s="27" t="str">
        <f t="shared" si="2"/>
        <v/>
      </c>
      <c r="J756" s="73"/>
      <c r="K756" s="28"/>
      <c r="L756" s="79"/>
      <c r="M756" s="31"/>
    </row>
    <row r="757" spans="1:13" ht="14.25" customHeight="1">
      <c r="A757" s="32">
        <v>44713</v>
      </c>
      <c r="B757" s="22">
        <v>7018.95</v>
      </c>
      <c r="C757" s="23" t="s">
        <v>4</v>
      </c>
      <c r="D757" s="80">
        <v>84421.3</v>
      </c>
      <c r="E757" s="25">
        <v>923866</v>
      </c>
      <c r="F757" s="24">
        <f t="shared" si="0"/>
        <v>162.97999999999999</v>
      </c>
      <c r="G757" s="26">
        <f t="shared" si="1"/>
        <v>1008287.3</v>
      </c>
      <c r="H757" s="27" t="str">
        <f t="shared" si="2"/>
        <v/>
      </c>
      <c r="J757" s="73"/>
      <c r="K757" s="28"/>
      <c r="L757" s="79"/>
      <c r="M757" s="31"/>
    </row>
    <row r="758" spans="1:13" ht="14.25" customHeight="1">
      <c r="A758" s="32">
        <v>44714</v>
      </c>
      <c r="B758" s="22">
        <v>3130</v>
      </c>
      <c r="C758" s="23" t="s">
        <v>319</v>
      </c>
      <c r="D758" s="80"/>
      <c r="E758" s="25"/>
      <c r="F758" s="24" t="str">
        <f t="shared" si="0"/>
        <v/>
      </c>
      <c r="G758" s="26" t="str">
        <f t="shared" si="1"/>
        <v/>
      </c>
      <c r="H758" s="27" t="str">
        <f t="shared" si="2"/>
        <v>Positional</v>
      </c>
      <c r="J758" s="73"/>
      <c r="K758" s="28"/>
      <c r="L758" s="79"/>
      <c r="M758" s="31"/>
    </row>
    <row r="759" spans="1:13" ht="14.25" customHeight="1">
      <c r="A759" s="32">
        <v>44714</v>
      </c>
      <c r="B759" s="22">
        <v>2356.36</v>
      </c>
      <c r="C759" s="23" t="s">
        <v>4</v>
      </c>
      <c r="D759" s="80"/>
      <c r="E759" s="25"/>
      <c r="F759" s="24" t="str">
        <f t="shared" si="0"/>
        <v/>
      </c>
      <c r="G759" s="26" t="str">
        <f t="shared" si="1"/>
        <v/>
      </c>
      <c r="H759" s="27" t="str">
        <f t="shared" si="2"/>
        <v/>
      </c>
      <c r="J759" s="73"/>
      <c r="K759" s="28"/>
      <c r="L759" s="79"/>
      <c r="M759" s="31"/>
    </row>
    <row r="760" spans="1:13" ht="14.25" customHeight="1">
      <c r="A760" s="32">
        <v>44714</v>
      </c>
      <c r="B760" s="22">
        <v>126.77</v>
      </c>
      <c r="C760" s="23" t="s">
        <v>20</v>
      </c>
      <c r="D760" s="80">
        <v>110039.49</v>
      </c>
      <c r="E760" s="25">
        <v>903845</v>
      </c>
      <c r="F760" s="24">
        <f t="shared" si="0"/>
        <v>163.89</v>
      </c>
      <c r="G760" s="26">
        <f t="shared" si="1"/>
        <v>1013884.49</v>
      </c>
      <c r="H760" s="27" t="str">
        <f t="shared" si="2"/>
        <v/>
      </c>
      <c r="J760" s="73"/>
      <c r="K760" s="28"/>
      <c r="L760" s="79"/>
      <c r="M760" s="31"/>
    </row>
    <row r="761" spans="1:13" ht="14.25" customHeight="1">
      <c r="A761" s="32">
        <v>44715</v>
      </c>
      <c r="B761" s="22">
        <v>625.72</v>
      </c>
      <c r="C761" s="23" t="s">
        <v>20</v>
      </c>
      <c r="D761" s="80">
        <v>48817.74</v>
      </c>
      <c r="E761" s="25">
        <v>903845</v>
      </c>
      <c r="F761" s="24">
        <f t="shared" si="0"/>
        <v>461.98</v>
      </c>
      <c r="G761" s="26">
        <f t="shared" si="1"/>
        <v>2857988.2199999997</v>
      </c>
      <c r="H761" s="27" t="str">
        <f t="shared" si="2"/>
        <v/>
      </c>
      <c r="J761" s="73"/>
      <c r="K761" s="28"/>
      <c r="L761" s="79"/>
      <c r="M761" s="31"/>
    </row>
    <row r="762" spans="1:13" ht="14.25" customHeight="1">
      <c r="A762" s="32">
        <v>44718</v>
      </c>
      <c r="B762" s="22">
        <v>0</v>
      </c>
      <c r="C762" s="23" t="s">
        <v>16</v>
      </c>
      <c r="D762" s="80">
        <v>18530.45</v>
      </c>
      <c r="E762" s="25">
        <v>903845</v>
      </c>
      <c r="F762" s="24">
        <f t="shared" si="0"/>
        <v>298.19</v>
      </c>
      <c r="G762" s="26">
        <f t="shared" si="1"/>
        <v>1844750.9</v>
      </c>
      <c r="H762" s="27" t="str">
        <f t="shared" si="2"/>
        <v/>
      </c>
      <c r="J762" s="73"/>
      <c r="K762" s="28"/>
      <c r="L762" s="79"/>
      <c r="M762" s="31"/>
    </row>
    <row r="763" spans="1:13" ht="14.25" customHeight="1">
      <c r="A763" s="32">
        <v>44720</v>
      </c>
      <c r="B763" s="22">
        <v>4521.33</v>
      </c>
      <c r="C763" s="23" t="s">
        <v>4</v>
      </c>
      <c r="D763" s="80">
        <v>49132.65</v>
      </c>
      <c r="E763" s="25">
        <v>903845</v>
      </c>
      <c r="F763" s="24">
        <f t="shared" si="0"/>
        <v>154.04</v>
      </c>
      <c r="G763" s="26">
        <f t="shared" si="1"/>
        <v>952977.65</v>
      </c>
      <c r="H763" s="27" t="str">
        <f t="shared" si="2"/>
        <v/>
      </c>
      <c r="J763" s="73"/>
      <c r="K763" s="28"/>
      <c r="L763" s="79"/>
      <c r="M763" s="31"/>
    </row>
    <row r="764" spans="1:13" ht="14.25" customHeight="1">
      <c r="A764" s="32">
        <v>44721</v>
      </c>
      <c r="B764" s="22">
        <v>2735.19</v>
      </c>
      <c r="C764" s="23" t="s">
        <v>4</v>
      </c>
      <c r="D764" s="80">
        <v>51867.83</v>
      </c>
      <c r="E764" s="25">
        <v>903845</v>
      </c>
      <c r="F764" s="24">
        <f t="shared" si="0"/>
        <v>154.49</v>
      </c>
      <c r="G764" s="26">
        <f t="shared" si="1"/>
        <v>955712.83</v>
      </c>
      <c r="H764" s="27" t="str">
        <f t="shared" si="2"/>
        <v/>
      </c>
      <c r="J764" s="73"/>
      <c r="K764" s="28"/>
      <c r="L764" s="79"/>
      <c r="M764" s="31"/>
    </row>
    <row r="765" spans="1:13" ht="14.25" customHeight="1">
      <c r="A765" s="32">
        <v>44722</v>
      </c>
      <c r="B765" s="22">
        <v>2773.73</v>
      </c>
      <c r="C765" s="23" t="s">
        <v>4</v>
      </c>
      <c r="D765" s="80">
        <v>34641.56</v>
      </c>
      <c r="E765" s="25">
        <v>903845</v>
      </c>
      <c r="F765" s="24">
        <f t="shared" si="0"/>
        <v>455.1</v>
      </c>
      <c r="G765" s="26">
        <f t="shared" si="1"/>
        <v>2815459.68</v>
      </c>
      <c r="H765" s="27" t="str">
        <f t="shared" si="2"/>
        <v/>
      </c>
      <c r="J765" s="73"/>
      <c r="K765" s="28"/>
      <c r="L765" s="79"/>
      <c r="M765" s="31"/>
    </row>
    <row r="766" spans="1:13" ht="14.25" customHeight="1">
      <c r="A766" s="32">
        <v>44725</v>
      </c>
      <c r="B766" s="22">
        <v>-1581.63</v>
      </c>
      <c r="C766" s="23" t="s">
        <v>4</v>
      </c>
      <c r="D766" s="80">
        <v>53347.22</v>
      </c>
      <c r="E766" s="25">
        <v>903845</v>
      </c>
      <c r="F766" s="24">
        <f t="shared" si="0"/>
        <v>154.72</v>
      </c>
      <c r="G766" s="26">
        <f t="shared" si="1"/>
        <v>957192.22</v>
      </c>
      <c r="H766" s="27" t="str">
        <f t="shared" si="2"/>
        <v/>
      </c>
      <c r="J766" s="73"/>
      <c r="K766" s="28"/>
      <c r="L766" s="79"/>
      <c r="M766" s="31"/>
    </row>
    <row r="767" spans="1:13" ht="14.25" customHeight="1">
      <c r="A767" s="32">
        <v>44726</v>
      </c>
      <c r="B767" s="22">
        <v>41</v>
      </c>
      <c r="C767" s="23" t="s">
        <v>322</v>
      </c>
      <c r="D767" s="80"/>
      <c r="E767" s="25"/>
      <c r="F767" s="24" t="str">
        <f t="shared" si="0"/>
        <v/>
      </c>
      <c r="G767" s="26" t="str">
        <f t="shared" si="1"/>
        <v/>
      </c>
      <c r="H767" s="27" t="str">
        <f t="shared" si="2"/>
        <v>Positional</v>
      </c>
      <c r="J767" s="73"/>
      <c r="K767" s="28"/>
      <c r="L767" s="79"/>
      <c r="M767" s="31"/>
    </row>
    <row r="768" spans="1:13" ht="14.25" customHeight="1">
      <c r="A768" s="32">
        <v>44726</v>
      </c>
      <c r="B768" s="22">
        <v>-0.14000000000000001</v>
      </c>
      <c r="C768" s="23" t="s">
        <v>16</v>
      </c>
      <c r="D768" s="80">
        <v>41859.730000000003</v>
      </c>
      <c r="E768" s="25">
        <v>900601</v>
      </c>
      <c r="F768" s="24">
        <f t="shared" si="0"/>
        <v>152.34</v>
      </c>
      <c r="G768" s="26">
        <f t="shared" si="1"/>
        <v>942460.73</v>
      </c>
      <c r="H768" s="27" t="str">
        <f t="shared" si="2"/>
        <v/>
      </c>
      <c r="J768" s="73"/>
      <c r="K768" s="28"/>
      <c r="L768" s="79"/>
      <c r="M768" s="31"/>
    </row>
    <row r="769" spans="1:13" ht="14.25" customHeight="1">
      <c r="A769" s="32">
        <v>44727</v>
      </c>
      <c r="B769" s="22">
        <v>-1471.73</v>
      </c>
      <c r="C769" s="23" t="s">
        <v>4</v>
      </c>
      <c r="D769" s="80">
        <v>55112.49</v>
      </c>
      <c r="E769" s="25">
        <v>900601</v>
      </c>
      <c r="F769" s="24">
        <f t="shared" si="0"/>
        <v>154.49</v>
      </c>
      <c r="G769" s="26">
        <f t="shared" si="1"/>
        <v>955713.49</v>
      </c>
      <c r="H769" s="27" t="str">
        <f t="shared" si="2"/>
        <v/>
      </c>
      <c r="J769" s="73"/>
      <c r="K769" s="28"/>
      <c r="L769" s="79"/>
      <c r="M769" s="31"/>
    </row>
    <row r="770" spans="1:13" ht="14.25" customHeight="1">
      <c r="A770" s="32">
        <v>44728</v>
      </c>
      <c r="B770" s="22">
        <v>1161</v>
      </c>
      <c r="C770" s="23" t="s">
        <v>387</v>
      </c>
      <c r="D770" s="80"/>
      <c r="E770" s="25"/>
      <c r="F770" s="24" t="str">
        <f t="shared" si="0"/>
        <v/>
      </c>
      <c r="G770" s="26" t="str">
        <f t="shared" si="1"/>
        <v/>
      </c>
      <c r="H770" s="27" t="str">
        <f t="shared" si="2"/>
        <v>Positional</v>
      </c>
      <c r="J770" s="73"/>
      <c r="K770" s="28"/>
      <c r="L770" s="79"/>
      <c r="M770" s="31"/>
    </row>
    <row r="771" spans="1:13" ht="14.25" customHeight="1">
      <c r="A771" s="32">
        <v>44728</v>
      </c>
      <c r="B771" s="22">
        <v>-11951.99</v>
      </c>
      <c r="C771" s="23" t="s">
        <v>4</v>
      </c>
      <c r="D771" s="80">
        <v>43160.51</v>
      </c>
      <c r="E771" s="25">
        <v>894542</v>
      </c>
      <c r="F771" s="24">
        <f t="shared" si="0"/>
        <v>606.29999999999995</v>
      </c>
      <c r="G771" s="26">
        <f t="shared" si="1"/>
        <v>3750810.04</v>
      </c>
      <c r="H771" s="27" t="str">
        <f t="shared" si="2"/>
        <v/>
      </c>
      <c r="J771" s="73"/>
      <c r="K771" s="28"/>
      <c r="L771" s="79"/>
      <c r="M771" s="31"/>
    </row>
    <row r="772" spans="1:13" ht="14.25" customHeight="1">
      <c r="A772" s="32">
        <v>44732</v>
      </c>
      <c r="B772" s="22">
        <v>491.45</v>
      </c>
      <c r="C772" s="23" t="s">
        <v>4</v>
      </c>
      <c r="D772" s="80">
        <v>43651.95</v>
      </c>
      <c r="E772" s="25">
        <v>894542</v>
      </c>
      <c r="F772" s="24">
        <f t="shared" si="0"/>
        <v>151.65</v>
      </c>
      <c r="G772" s="26">
        <f t="shared" si="1"/>
        <v>938193.95</v>
      </c>
      <c r="H772" s="27" t="str">
        <f t="shared" si="2"/>
        <v/>
      </c>
      <c r="J772" s="73"/>
      <c r="K772" s="28"/>
      <c r="L772" s="79"/>
      <c r="M772" s="31"/>
    </row>
    <row r="773" spans="1:13" ht="14.25" customHeight="1">
      <c r="A773" s="32">
        <v>44733</v>
      </c>
      <c r="B773" s="22">
        <v>1117.82</v>
      </c>
      <c r="C773" s="23" t="s">
        <v>4</v>
      </c>
      <c r="D773" s="80">
        <v>44769.78</v>
      </c>
      <c r="E773" s="25">
        <v>894542</v>
      </c>
      <c r="F773" s="24">
        <f t="shared" si="0"/>
        <v>151.83000000000001</v>
      </c>
      <c r="G773" s="26">
        <f t="shared" si="1"/>
        <v>939311.78</v>
      </c>
      <c r="H773" s="27" t="str">
        <f t="shared" si="2"/>
        <v/>
      </c>
      <c r="J773" s="73"/>
      <c r="K773" s="28"/>
      <c r="L773" s="79"/>
      <c r="M773" s="31"/>
    </row>
    <row r="774" spans="1:13" ht="14.25" customHeight="1">
      <c r="A774" s="32">
        <v>44734</v>
      </c>
      <c r="B774" s="22">
        <v>-2052.8200000000002</v>
      </c>
      <c r="C774" s="23" t="s">
        <v>4</v>
      </c>
      <c r="D774" s="80">
        <v>42716.959999999999</v>
      </c>
      <c r="E774" s="25">
        <v>894542</v>
      </c>
      <c r="F774" s="24">
        <f t="shared" si="0"/>
        <v>151.5</v>
      </c>
      <c r="G774" s="26">
        <f t="shared" si="1"/>
        <v>937258.96</v>
      </c>
      <c r="H774" s="27" t="str">
        <f t="shared" si="2"/>
        <v/>
      </c>
      <c r="J774" s="73"/>
      <c r="K774" s="28"/>
      <c r="L774" s="79"/>
      <c r="M774" s="31"/>
    </row>
    <row r="775" spans="1:13" ht="14.25" customHeight="1">
      <c r="A775" s="32">
        <v>44735</v>
      </c>
      <c r="B775" s="22">
        <v>-37209.160000000003</v>
      </c>
      <c r="C775" s="23" t="s">
        <v>4</v>
      </c>
      <c r="D775" s="80">
        <v>41250.79</v>
      </c>
      <c r="E775" s="25">
        <v>894542</v>
      </c>
      <c r="F775" s="24">
        <f t="shared" si="0"/>
        <v>151.27000000000001</v>
      </c>
      <c r="G775" s="26">
        <f t="shared" si="1"/>
        <v>935792.79</v>
      </c>
      <c r="H775" s="27" t="str">
        <f t="shared" si="2"/>
        <v/>
      </c>
      <c r="J775" s="73"/>
      <c r="K775" s="28"/>
      <c r="L775" s="79"/>
      <c r="M775" s="31"/>
    </row>
    <row r="776" spans="1:13" ht="14.25" customHeight="1">
      <c r="A776" s="32">
        <v>44736</v>
      </c>
      <c r="B776" s="22">
        <v>-72.680000000000007</v>
      </c>
      <c r="C776" s="23" t="s">
        <v>4</v>
      </c>
      <c r="D776" s="80"/>
      <c r="E776" s="25"/>
      <c r="F776" s="24" t="str">
        <f t="shared" si="0"/>
        <v/>
      </c>
      <c r="G776" s="26" t="str">
        <f t="shared" si="1"/>
        <v/>
      </c>
      <c r="H776" s="27" t="str">
        <f t="shared" si="2"/>
        <v/>
      </c>
      <c r="J776" s="73"/>
      <c r="K776" s="28"/>
      <c r="L776" s="79"/>
      <c r="M776" s="31"/>
    </row>
    <row r="777" spans="1:13" ht="14.25" customHeight="1">
      <c r="A777" s="32">
        <v>44736</v>
      </c>
      <c r="B777" s="22">
        <v>119.82</v>
      </c>
      <c r="C777" s="23" t="s">
        <v>20</v>
      </c>
      <c r="D777" s="80"/>
      <c r="E777" s="25"/>
      <c r="F777" s="24" t="str">
        <f t="shared" si="0"/>
        <v/>
      </c>
      <c r="G777" s="26" t="str">
        <f t="shared" si="1"/>
        <v/>
      </c>
      <c r="H777" s="27" t="str">
        <f t="shared" si="2"/>
        <v/>
      </c>
      <c r="J777" s="73"/>
      <c r="K777" s="28"/>
      <c r="L777" s="79"/>
      <c r="M777" s="31"/>
    </row>
    <row r="778" spans="1:13" ht="14.25" customHeight="1">
      <c r="A778" s="32">
        <v>44736</v>
      </c>
      <c r="B778" s="22">
        <v>1356</v>
      </c>
      <c r="C778" s="23" t="s">
        <v>388</v>
      </c>
      <c r="D778" s="80">
        <v>32408.62</v>
      </c>
      <c r="E778" s="25">
        <v>886898</v>
      </c>
      <c r="F778" s="24">
        <f t="shared" si="0"/>
        <v>445.8</v>
      </c>
      <c r="G778" s="26">
        <f t="shared" si="1"/>
        <v>2757919.86</v>
      </c>
      <c r="H778" s="27" t="str">
        <f t="shared" si="2"/>
        <v>Positional</v>
      </c>
      <c r="J778" s="73"/>
      <c r="K778" s="28"/>
      <c r="L778" s="79"/>
      <c r="M778" s="31"/>
    </row>
    <row r="779" spans="1:13" ht="14.25" customHeight="1">
      <c r="A779" s="32">
        <v>44739</v>
      </c>
      <c r="B779" s="22">
        <v>4596.4399999999996</v>
      </c>
      <c r="C779" s="23" t="s">
        <v>4</v>
      </c>
      <c r="D779" s="24">
        <v>-14102.69</v>
      </c>
      <c r="E779" s="25">
        <v>886898</v>
      </c>
      <c r="F779" s="24">
        <f t="shared" si="0"/>
        <v>141.08000000000001</v>
      </c>
      <c r="G779" s="26">
        <f t="shared" si="1"/>
        <v>872795.31</v>
      </c>
      <c r="H779" s="27" t="str">
        <f t="shared" si="2"/>
        <v/>
      </c>
      <c r="J779" s="73"/>
      <c r="K779" s="28"/>
      <c r="L779" s="79"/>
      <c r="M779" s="31"/>
    </row>
    <row r="780" spans="1:13" ht="14.25" customHeight="1">
      <c r="A780" s="32">
        <v>44740</v>
      </c>
      <c r="B780" s="22">
        <v>-3747.17</v>
      </c>
      <c r="C780" s="23" t="s">
        <v>4</v>
      </c>
      <c r="D780" s="24"/>
      <c r="E780" s="25"/>
      <c r="F780" s="24" t="str">
        <f t="shared" si="0"/>
        <v/>
      </c>
      <c r="G780" s="26" t="str">
        <f t="shared" si="1"/>
        <v/>
      </c>
      <c r="H780" s="27" t="str">
        <f t="shared" si="2"/>
        <v/>
      </c>
      <c r="J780" s="73"/>
      <c r="K780" s="28"/>
      <c r="L780" s="79"/>
      <c r="M780" s="31"/>
    </row>
    <row r="781" spans="1:13" ht="14.25" customHeight="1">
      <c r="A781" s="32">
        <v>44740</v>
      </c>
      <c r="B781" s="22">
        <v>0.44</v>
      </c>
      <c r="C781" s="23" t="s">
        <v>16</v>
      </c>
      <c r="D781" s="24">
        <v>36164.33</v>
      </c>
      <c r="E781" s="25">
        <v>903317</v>
      </c>
      <c r="F781" s="24">
        <f t="shared" si="0"/>
        <v>151.86000000000001</v>
      </c>
      <c r="G781" s="26">
        <f t="shared" si="1"/>
        <v>939481.33</v>
      </c>
      <c r="H781" s="27" t="str">
        <f t="shared" si="2"/>
        <v/>
      </c>
      <c r="J781" s="73"/>
      <c r="K781" s="28"/>
      <c r="L781" s="79"/>
      <c r="M781" s="31"/>
    </row>
    <row r="782" spans="1:13" ht="14.25" customHeight="1">
      <c r="A782" s="32">
        <v>44741</v>
      </c>
      <c r="B782" s="22">
        <v>-5736.26</v>
      </c>
      <c r="C782" s="23" t="s">
        <v>4</v>
      </c>
      <c r="D782" s="24">
        <v>22346.07</v>
      </c>
      <c r="E782" s="25">
        <v>903317</v>
      </c>
      <c r="F782" s="24">
        <f t="shared" si="0"/>
        <v>149.63</v>
      </c>
      <c r="G782" s="26">
        <f t="shared" si="1"/>
        <v>925663.07</v>
      </c>
      <c r="H782" s="27" t="str">
        <f t="shared" si="2"/>
        <v/>
      </c>
      <c r="J782" s="73"/>
      <c r="K782" s="28"/>
      <c r="L782" s="79"/>
      <c r="M782" s="31"/>
    </row>
    <row r="783" spans="1:13" ht="14.25" customHeight="1">
      <c r="A783" s="32">
        <v>44742</v>
      </c>
      <c r="B783" s="22">
        <v>2457.96</v>
      </c>
      <c r="C783" s="23" t="s">
        <v>4</v>
      </c>
      <c r="D783" s="24">
        <v>3638.03</v>
      </c>
      <c r="E783" s="25">
        <v>903317</v>
      </c>
      <c r="F783" s="24">
        <f t="shared" si="0"/>
        <v>146.6</v>
      </c>
      <c r="G783" s="26">
        <f t="shared" si="1"/>
        <v>906955.03</v>
      </c>
      <c r="H783" s="27" t="str">
        <f t="shared" si="2"/>
        <v/>
      </c>
      <c r="J783" s="73"/>
      <c r="K783" s="28"/>
      <c r="L783" s="79"/>
      <c r="M783" s="31"/>
    </row>
    <row r="784" spans="1:13" ht="14.25" customHeight="1">
      <c r="A784" s="32">
        <v>44743</v>
      </c>
      <c r="B784" s="22">
        <v>-5697.69</v>
      </c>
      <c r="C784" s="23" t="s">
        <v>4</v>
      </c>
      <c r="D784" s="24">
        <v>17125.34</v>
      </c>
      <c r="E784" s="25">
        <v>903317</v>
      </c>
      <c r="F784" s="24">
        <f t="shared" si="0"/>
        <v>446.35</v>
      </c>
      <c r="G784" s="26">
        <f t="shared" si="1"/>
        <v>2761327.02</v>
      </c>
      <c r="H784" s="27" t="str">
        <f t="shared" si="2"/>
        <v/>
      </c>
      <c r="J784" s="73"/>
      <c r="K784" s="28"/>
      <c r="L784" s="79"/>
      <c r="M784" s="31"/>
    </row>
    <row r="785" spans="1:13" ht="14.25" customHeight="1">
      <c r="A785" s="32">
        <v>44746</v>
      </c>
      <c r="B785" s="22">
        <v>1151.27</v>
      </c>
      <c r="C785" s="23" t="s">
        <v>4</v>
      </c>
      <c r="D785" s="24">
        <v>18276.61</v>
      </c>
      <c r="E785" s="25">
        <v>903317</v>
      </c>
      <c r="F785" s="24">
        <f t="shared" si="0"/>
        <v>148.97</v>
      </c>
      <c r="G785" s="26">
        <f t="shared" si="1"/>
        <v>921593.61</v>
      </c>
      <c r="H785" s="27" t="str">
        <f t="shared" si="2"/>
        <v/>
      </c>
      <c r="J785" s="73"/>
      <c r="K785" s="28"/>
      <c r="L785" s="79"/>
      <c r="M785" s="31"/>
    </row>
    <row r="786" spans="1:13" ht="14.25" customHeight="1">
      <c r="A786" s="32">
        <v>44747</v>
      </c>
      <c r="B786" s="22">
        <v>-917.06</v>
      </c>
      <c r="C786" s="23" t="s">
        <v>4</v>
      </c>
      <c r="D786" s="24">
        <v>29340.560000000001</v>
      </c>
      <c r="E786" s="25">
        <v>903317</v>
      </c>
      <c r="F786" s="24">
        <f t="shared" si="0"/>
        <v>150.76</v>
      </c>
      <c r="G786" s="26">
        <f t="shared" si="1"/>
        <v>932657.56</v>
      </c>
      <c r="H786" s="27" t="str">
        <f t="shared" si="2"/>
        <v/>
      </c>
      <c r="J786" s="73"/>
      <c r="K786" s="28"/>
      <c r="L786" s="79"/>
      <c r="M786" s="31"/>
    </row>
    <row r="787" spans="1:13" ht="14.25" customHeight="1">
      <c r="A787" s="32">
        <v>44748</v>
      </c>
      <c r="B787" s="22">
        <v>119.03</v>
      </c>
      <c r="C787" s="23" t="s">
        <v>4</v>
      </c>
      <c r="D787" s="24">
        <v>29459.59</v>
      </c>
      <c r="E787" s="25">
        <v>903317</v>
      </c>
      <c r="F787" s="24">
        <f t="shared" si="0"/>
        <v>150.78</v>
      </c>
      <c r="G787" s="26">
        <f t="shared" si="1"/>
        <v>932776.59</v>
      </c>
      <c r="H787" s="27" t="str">
        <f t="shared" si="2"/>
        <v/>
      </c>
      <c r="J787" s="73"/>
      <c r="K787" s="28"/>
      <c r="L787" s="79"/>
      <c r="M787" s="31"/>
    </row>
    <row r="788" spans="1:13" ht="14.25" customHeight="1">
      <c r="A788" s="32">
        <v>44749</v>
      </c>
      <c r="B788" s="22">
        <v>-560.79999999999995</v>
      </c>
      <c r="C788" s="23" t="s">
        <v>4</v>
      </c>
      <c r="D788" s="24"/>
      <c r="E788" s="25"/>
      <c r="F788" s="24" t="str">
        <f t="shared" si="0"/>
        <v/>
      </c>
      <c r="G788" s="26" t="str">
        <f t="shared" si="1"/>
        <v/>
      </c>
      <c r="H788" s="27" t="str">
        <f t="shared" si="2"/>
        <v/>
      </c>
      <c r="J788" s="73"/>
      <c r="K788" s="28"/>
      <c r="L788" s="79"/>
      <c r="M788" s="31"/>
    </row>
    <row r="789" spans="1:13" ht="14.25" customHeight="1">
      <c r="A789" s="32">
        <v>44749</v>
      </c>
      <c r="B789" s="22">
        <v>147</v>
      </c>
      <c r="C789" s="23" t="s">
        <v>327</v>
      </c>
      <c r="D789" s="24"/>
      <c r="E789" s="25"/>
      <c r="F789" s="24" t="str">
        <f t="shared" si="0"/>
        <v/>
      </c>
      <c r="G789" s="26" t="str">
        <f t="shared" si="1"/>
        <v/>
      </c>
      <c r="H789" s="27" t="str">
        <f t="shared" si="2"/>
        <v>Positional</v>
      </c>
      <c r="J789" s="73"/>
      <c r="K789" s="28"/>
      <c r="L789" s="79"/>
      <c r="M789" s="31"/>
    </row>
    <row r="790" spans="1:13" ht="14.25" customHeight="1">
      <c r="A790" s="32">
        <v>44749</v>
      </c>
      <c r="B790" s="22">
        <v>-0.45</v>
      </c>
      <c r="C790" s="23" t="s">
        <v>16</v>
      </c>
      <c r="D790" s="24">
        <v>29668.400000000001</v>
      </c>
      <c r="E790" s="25">
        <v>902678</v>
      </c>
      <c r="F790" s="24">
        <f t="shared" si="0"/>
        <v>150.71</v>
      </c>
      <c r="G790" s="26">
        <f t="shared" si="1"/>
        <v>932346.4</v>
      </c>
      <c r="H790" s="27" t="str">
        <f t="shared" si="2"/>
        <v/>
      </c>
      <c r="J790" s="73"/>
      <c r="K790" s="28"/>
      <c r="L790" s="79"/>
      <c r="M790" s="31"/>
    </row>
    <row r="791" spans="1:13" ht="14.25" customHeight="1">
      <c r="A791" s="32">
        <v>44750</v>
      </c>
      <c r="B791" s="22">
        <v>367</v>
      </c>
      <c r="C791" s="23" t="s">
        <v>327</v>
      </c>
      <c r="D791" s="24"/>
      <c r="E791" s="25"/>
      <c r="F791" s="24" t="str">
        <f t="shared" si="0"/>
        <v/>
      </c>
      <c r="G791" s="26" t="str">
        <f t="shared" si="1"/>
        <v/>
      </c>
      <c r="H791" s="27" t="str">
        <f t="shared" si="2"/>
        <v>Positional</v>
      </c>
      <c r="J791" s="73"/>
      <c r="K791" s="28"/>
      <c r="L791" s="79"/>
      <c r="M791" s="31"/>
    </row>
    <row r="792" spans="1:13" ht="14.25" customHeight="1">
      <c r="A792" s="32">
        <v>44750</v>
      </c>
      <c r="B792" s="22">
        <v>-0.21</v>
      </c>
      <c r="C792" s="23" t="s">
        <v>16</v>
      </c>
      <c r="D792" s="24">
        <v>30617.26</v>
      </c>
      <c r="E792" s="25">
        <v>902080</v>
      </c>
      <c r="F792" s="24">
        <f t="shared" si="0"/>
        <v>452.29</v>
      </c>
      <c r="G792" s="26">
        <f t="shared" si="1"/>
        <v>2798091.7800000003</v>
      </c>
      <c r="H792" s="27" t="str">
        <f t="shared" si="2"/>
        <v/>
      </c>
      <c r="J792" s="73"/>
      <c r="K792" s="28"/>
      <c r="L792" s="79"/>
      <c r="M792" s="31"/>
    </row>
    <row r="793" spans="1:13" ht="14.25" customHeight="1">
      <c r="A793" s="32">
        <v>44753</v>
      </c>
      <c r="B793" s="22">
        <v>2310</v>
      </c>
      <c r="C793" s="23" t="s">
        <v>328</v>
      </c>
      <c r="D793" s="24"/>
      <c r="E793" s="25"/>
      <c r="F793" s="24" t="str">
        <f t="shared" si="0"/>
        <v/>
      </c>
      <c r="G793" s="26" t="str">
        <f t="shared" si="1"/>
        <v/>
      </c>
      <c r="H793" s="27" t="str">
        <f t="shared" si="2"/>
        <v>Positional</v>
      </c>
      <c r="J793" s="73"/>
      <c r="K793" s="28"/>
      <c r="L793" s="79"/>
      <c r="M793" s="31"/>
    </row>
    <row r="794" spans="1:13" ht="14.25" customHeight="1">
      <c r="A794" s="32">
        <v>44753</v>
      </c>
      <c r="B794" s="22">
        <v>167.87</v>
      </c>
      <c r="C794" s="23" t="s">
        <v>20</v>
      </c>
      <c r="D794" s="24">
        <v>30868.1</v>
      </c>
      <c r="E794" s="25">
        <v>876855</v>
      </c>
      <c r="F794" s="24">
        <f t="shared" si="0"/>
        <v>146.72999999999999</v>
      </c>
      <c r="G794" s="26">
        <f t="shared" si="1"/>
        <v>907723.1</v>
      </c>
      <c r="H794" s="27" t="str">
        <f t="shared" si="2"/>
        <v/>
      </c>
      <c r="J794" s="73"/>
      <c r="K794" s="28"/>
      <c r="L794" s="79"/>
      <c r="M794" s="31"/>
    </row>
    <row r="795" spans="1:13" ht="14.25" customHeight="1">
      <c r="A795" s="32">
        <v>44754</v>
      </c>
      <c r="B795" s="22">
        <v>346.07</v>
      </c>
      <c r="C795" s="23" t="s">
        <v>4</v>
      </c>
      <c r="D795" s="24">
        <v>58650.26</v>
      </c>
      <c r="E795" s="25">
        <v>876855</v>
      </c>
      <c r="F795" s="24">
        <f t="shared" si="0"/>
        <v>151.22</v>
      </c>
      <c r="G795" s="26">
        <f t="shared" si="1"/>
        <v>935505.26</v>
      </c>
      <c r="H795" s="27" t="str">
        <f t="shared" si="2"/>
        <v/>
      </c>
      <c r="J795" s="73"/>
      <c r="K795" s="28"/>
      <c r="L795" s="79"/>
      <c r="M795" s="31"/>
    </row>
    <row r="796" spans="1:13" ht="14.25" customHeight="1">
      <c r="A796" s="32">
        <v>44755</v>
      </c>
      <c r="B796" s="22">
        <v>467.54000000000815</v>
      </c>
      <c r="C796" s="23" t="s">
        <v>4</v>
      </c>
      <c r="D796" s="24">
        <v>11280.8</v>
      </c>
      <c r="E796" s="25">
        <v>876855</v>
      </c>
      <c r="F796" s="24">
        <f t="shared" si="0"/>
        <v>143.56</v>
      </c>
      <c r="G796" s="26">
        <f t="shared" si="1"/>
        <v>888135.8</v>
      </c>
      <c r="H796" s="27" t="str">
        <f t="shared" si="2"/>
        <v/>
      </c>
      <c r="J796" s="73"/>
      <c r="K796" s="28"/>
      <c r="L796" s="79"/>
      <c r="M796" s="31"/>
    </row>
    <row r="797" spans="1:13" ht="14.25" customHeight="1">
      <c r="A797" s="32">
        <v>44756</v>
      </c>
      <c r="B797" s="22">
        <v>-3205.11</v>
      </c>
      <c r="C797" s="23" t="s">
        <v>4</v>
      </c>
      <c r="D797" s="24"/>
      <c r="E797" s="25"/>
      <c r="F797" s="24" t="str">
        <f t="shared" si="0"/>
        <v/>
      </c>
      <c r="G797" s="26" t="str">
        <f t="shared" si="1"/>
        <v/>
      </c>
      <c r="H797" s="27" t="str">
        <f t="shared" si="2"/>
        <v/>
      </c>
      <c r="J797" s="73"/>
      <c r="K797" s="28"/>
      <c r="L797" s="79"/>
      <c r="M797" s="31"/>
    </row>
    <row r="798" spans="1:13" ht="14.25" customHeight="1">
      <c r="A798" s="32">
        <v>44756</v>
      </c>
      <c r="B798" s="22">
        <v>0.66</v>
      </c>
      <c r="C798" s="23" t="s">
        <v>16</v>
      </c>
      <c r="D798" s="24">
        <v>47002.36</v>
      </c>
      <c r="E798" s="25">
        <v>885766</v>
      </c>
      <c r="F798" s="24">
        <f t="shared" si="0"/>
        <v>150.78</v>
      </c>
      <c r="G798" s="26">
        <f t="shared" si="1"/>
        <v>932768.36</v>
      </c>
      <c r="H798" s="27" t="str">
        <f t="shared" si="2"/>
        <v/>
      </c>
      <c r="J798" s="73"/>
      <c r="K798" s="28"/>
      <c r="L798" s="79"/>
      <c r="M798" s="31"/>
    </row>
    <row r="799" spans="1:13" ht="14.25" customHeight="1">
      <c r="A799" s="32">
        <v>44757</v>
      </c>
      <c r="B799" s="22">
        <v>1571.35</v>
      </c>
      <c r="C799" s="23" t="s">
        <v>4</v>
      </c>
      <c r="D799" s="24">
        <v>29263.71</v>
      </c>
      <c r="E799" s="25">
        <v>885766</v>
      </c>
      <c r="F799" s="24">
        <f t="shared" si="0"/>
        <v>443.73</v>
      </c>
      <c r="G799" s="26">
        <f t="shared" si="1"/>
        <v>2745089.13</v>
      </c>
      <c r="H799" s="27" t="str">
        <f t="shared" si="2"/>
        <v/>
      </c>
      <c r="J799" s="73"/>
      <c r="K799" s="28"/>
      <c r="L799" s="79"/>
      <c r="M799" s="31"/>
    </row>
    <row r="800" spans="1:13" ht="14.25" customHeight="1">
      <c r="A800" s="32">
        <v>44760</v>
      </c>
      <c r="B800" s="22">
        <v>1118.71</v>
      </c>
      <c r="C800" s="23" t="s">
        <v>4</v>
      </c>
      <c r="D800" s="24">
        <v>28557.42</v>
      </c>
      <c r="E800" s="25">
        <v>885766</v>
      </c>
      <c r="F800" s="24">
        <f t="shared" si="0"/>
        <v>147.79</v>
      </c>
      <c r="G800" s="26">
        <f t="shared" si="1"/>
        <v>914323.42</v>
      </c>
      <c r="H800" s="27" t="str">
        <f t="shared" si="2"/>
        <v/>
      </c>
      <c r="J800" s="73"/>
      <c r="K800" s="28"/>
      <c r="L800" s="79"/>
      <c r="M800" s="31"/>
    </row>
    <row r="801" spans="1:13" ht="14.25" customHeight="1">
      <c r="A801" s="32">
        <v>44761</v>
      </c>
      <c r="B801" s="22">
        <v>1795.38</v>
      </c>
      <c r="C801" s="23" t="s">
        <v>4</v>
      </c>
      <c r="D801" s="24"/>
      <c r="E801" s="25"/>
      <c r="F801" s="24" t="str">
        <f t="shared" si="0"/>
        <v/>
      </c>
      <c r="G801" s="26" t="str">
        <f t="shared" si="1"/>
        <v/>
      </c>
      <c r="H801" s="27" t="str">
        <f t="shared" si="2"/>
        <v/>
      </c>
      <c r="J801" s="73"/>
      <c r="K801" s="28"/>
      <c r="L801" s="79"/>
      <c r="M801" s="31"/>
    </row>
    <row r="802" spans="1:13" ht="14.25" customHeight="1">
      <c r="A802" s="32">
        <v>44761</v>
      </c>
      <c r="B802" s="22">
        <v>84.29</v>
      </c>
      <c r="C802" s="23" t="s">
        <v>20</v>
      </c>
      <c r="D802" s="24">
        <v>27082.1</v>
      </c>
      <c r="E802" s="25">
        <v>885766</v>
      </c>
      <c r="F802" s="24">
        <f t="shared" si="0"/>
        <v>147.56</v>
      </c>
      <c r="G802" s="26">
        <f t="shared" si="1"/>
        <v>912848.1</v>
      </c>
      <c r="H802" s="27" t="str">
        <f t="shared" si="2"/>
        <v/>
      </c>
      <c r="J802" s="73"/>
      <c r="K802" s="28"/>
      <c r="L802" s="79"/>
      <c r="M802" s="31"/>
    </row>
    <row r="803" spans="1:13" ht="14.25" customHeight="1">
      <c r="A803" s="32">
        <v>44762</v>
      </c>
      <c r="B803" s="22">
        <v>-6874.01</v>
      </c>
      <c r="C803" s="23" t="s">
        <v>4</v>
      </c>
      <c r="D803" s="24"/>
      <c r="E803" s="25"/>
      <c r="F803" s="24" t="str">
        <f t="shared" si="0"/>
        <v/>
      </c>
      <c r="G803" s="26" t="str">
        <f t="shared" si="1"/>
        <v/>
      </c>
      <c r="H803" s="27" t="str">
        <f t="shared" si="2"/>
        <v/>
      </c>
      <c r="J803" s="73"/>
      <c r="K803" s="28"/>
      <c r="L803" s="79"/>
      <c r="M803" s="31"/>
    </row>
    <row r="804" spans="1:13" ht="14.25" customHeight="1">
      <c r="A804" s="32">
        <v>44762</v>
      </c>
      <c r="B804" s="22">
        <v>87.57</v>
      </c>
      <c r="C804" s="23" t="s">
        <v>20</v>
      </c>
      <c r="D804" s="24">
        <v>7053.65</v>
      </c>
      <c r="E804" s="25">
        <v>885766</v>
      </c>
      <c r="F804" s="24">
        <f t="shared" si="0"/>
        <v>144.32</v>
      </c>
      <c r="G804" s="26">
        <f t="shared" si="1"/>
        <v>892819.65</v>
      </c>
      <c r="H804" s="27" t="str">
        <f t="shared" si="2"/>
        <v/>
      </c>
      <c r="J804" s="73"/>
      <c r="K804" s="28"/>
      <c r="L804" s="79"/>
      <c r="M804" s="31"/>
    </row>
    <row r="805" spans="1:13" ht="14.25" customHeight="1">
      <c r="A805" s="32">
        <v>44763</v>
      </c>
      <c r="B805" s="22">
        <v>683</v>
      </c>
      <c r="C805" s="23" t="s">
        <v>329</v>
      </c>
      <c r="D805" s="24"/>
      <c r="E805" s="25"/>
      <c r="F805" s="24" t="str">
        <f t="shared" si="0"/>
        <v/>
      </c>
      <c r="G805" s="26" t="str">
        <f t="shared" si="1"/>
        <v/>
      </c>
      <c r="H805" s="27" t="str">
        <f t="shared" si="2"/>
        <v>Positional</v>
      </c>
      <c r="J805" s="73"/>
      <c r="K805" s="28"/>
      <c r="L805" s="79"/>
      <c r="M805" s="31"/>
    </row>
    <row r="806" spans="1:13" ht="14.25" customHeight="1">
      <c r="A806" s="32">
        <v>44763</v>
      </c>
      <c r="B806" s="22">
        <v>372.57</v>
      </c>
      <c r="C806" s="23" t="s">
        <v>4</v>
      </c>
      <c r="D806" s="24"/>
      <c r="E806" s="25"/>
      <c r="F806" s="24" t="str">
        <f t="shared" si="0"/>
        <v/>
      </c>
      <c r="G806" s="26" t="str">
        <f t="shared" si="1"/>
        <v/>
      </c>
      <c r="H806" s="27" t="str">
        <f t="shared" si="2"/>
        <v/>
      </c>
      <c r="J806" s="73"/>
      <c r="K806" s="28"/>
      <c r="L806" s="79"/>
      <c r="M806" s="31"/>
    </row>
    <row r="807" spans="1:13" ht="14.25" customHeight="1">
      <c r="A807" s="32">
        <v>44763</v>
      </c>
      <c r="B807" s="22">
        <v>-0.3</v>
      </c>
      <c r="C807" s="23" t="s">
        <v>16</v>
      </c>
      <c r="D807" s="24">
        <v>40940.99</v>
      </c>
      <c r="E807" s="25">
        <v>877758</v>
      </c>
      <c r="F807" s="24">
        <f t="shared" si="0"/>
        <v>148.5</v>
      </c>
      <c r="G807" s="26">
        <f t="shared" si="1"/>
        <v>918698.99</v>
      </c>
      <c r="H807" s="27" t="str">
        <f t="shared" si="2"/>
        <v/>
      </c>
      <c r="J807" s="73"/>
      <c r="K807" s="28"/>
      <c r="L807" s="79"/>
      <c r="M807" s="31"/>
    </row>
    <row r="808" spans="1:13" ht="14.25" customHeight="1">
      <c r="A808" s="32">
        <v>44764</v>
      </c>
      <c r="B808" s="22">
        <v>704</v>
      </c>
      <c r="C808" s="23" t="s">
        <v>330</v>
      </c>
      <c r="D808" s="24"/>
      <c r="E808" s="25"/>
      <c r="F808" s="24" t="str">
        <f t="shared" si="0"/>
        <v/>
      </c>
      <c r="G808" s="26" t="str">
        <f t="shared" si="1"/>
        <v/>
      </c>
      <c r="H808" s="27" t="str">
        <f t="shared" si="2"/>
        <v>Positional</v>
      </c>
      <c r="J808" s="73"/>
      <c r="K808" s="28"/>
      <c r="L808" s="79"/>
      <c r="M808" s="31"/>
    </row>
    <row r="809" spans="1:13" ht="14.25" customHeight="1">
      <c r="A809" s="32">
        <v>44764</v>
      </c>
      <c r="B809" s="22">
        <v>-828.2</v>
      </c>
      <c r="C809" s="23" t="s">
        <v>4</v>
      </c>
      <c r="D809" s="24"/>
      <c r="E809" s="25"/>
      <c r="F809" s="24" t="str">
        <f t="shared" si="0"/>
        <v/>
      </c>
      <c r="G809" s="26" t="str">
        <f t="shared" si="1"/>
        <v/>
      </c>
      <c r="H809" s="27" t="str">
        <f t="shared" si="2"/>
        <v/>
      </c>
      <c r="J809" s="73"/>
      <c r="K809" s="28"/>
      <c r="L809" s="79"/>
      <c r="M809" s="31"/>
    </row>
    <row r="810" spans="1:13" ht="14.25" customHeight="1">
      <c r="A810" s="32">
        <v>44764</v>
      </c>
      <c r="B810" s="22">
        <v>228.04</v>
      </c>
      <c r="C810" s="23" t="s">
        <v>20</v>
      </c>
      <c r="D810" s="24">
        <v>52262.9</v>
      </c>
      <c r="E810" s="25">
        <v>870550</v>
      </c>
      <c r="F810" s="24">
        <f t="shared" si="0"/>
        <v>447.5</v>
      </c>
      <c r="G810" s="26">
        <f t="shared" si="1"/>
        <v>2768438.7</v>
      </c>
      <c r="H810" s="27" t="str">
        <f t="shared" si="2"/>
        <v/>
      </c>
      <c r="J810" s="73"/>
      <c r="K810" s="28"/>
      <c r="L810" s="79"/>
      <c r="M810" s="31"/>
    </row>
    <row r="811" spans="1:13" ht="14.25" customHeight="1">
      <c r="A811" s="32">
        <v>44767</v>
      </c>
      <c r="B811" s="22">
        <v>-3886.18</v>
      </c>
      <c r="C811" s="23" t="s">
        <v>4</v>
      </c>
      <c r="D811" s="24"/>
      <c r="E811" s="25"/>
      <c r="F811" s="24" t="str">
        <f t="shared" si="0"/>
        <v/>
      </c>
      <c r="G811" s="26" t="str">
        <f t="shared" si="1"/>
        <v/>
      </c>
      <c r="H811" s="27" t="str">
        <f t="shared" si="2"/>
        <v/>
      </c>
      <c r="J811" s="73"/>
      <c r="K811" s="28"/>
      <c r="L811" s="79"/>
      <c r="M811" s="31"/>
    </row>
    <row r="812" spans="1:13" ht="14.25" customHeight="1">
      <c r="A812" s="32">
        <v>44767</v>
      </c>
      <c r="B812" s="22">
        <v>-0.23</v>
      </c>
      <c r="C812" s="23" t="s">
        <v>16</v>
      </c>
      <c r="D812" s="24">
        <v>44190.49</v>
      </c>
      <c r="E812" s="25">
        <v>877058</v>
      </c>
      <c r="F812" s="24">
        <f t="shared" si="0"/>
        <v>148.91</v>
      </c>
      <c r="G812" s="26">
        <f t="shared" si="1"/>
        <v>921248.49</v>
      </c>
      <c r="H812" s="27" t="str">
        <f t="shared" si="2"/>
        <v/>
      </c>
      <c r="J812" s="73"/>
      <c r="K812" s="28"/>
      <c r="L812" s="79"/>
      <c r="M812" s="31"/>
    </row>
    <row r="813" spans="1:13" ht="14.25" customHeight="1">
      <c r="A813" s="32">
        <v>44768</v>
      </c>
      <c r="B813" s="22">
        <v>-0.12</v>
      </c>
      <c r="C813" s="23" t="s">
        <v>16</v>
      </c>
      <c r="D813" s="24">
        <v>22870.39</v>
      </c>
      <c r="E813" s="25">
        <v>891767</v>
      </c>
      <c r="F813" s="24">
        <f t="shared" si="0"/>
        <v>147.85</v>
      </c>
      <c r="G813" s="26">
        <f t="shared" si="1"/>
        <v>914637.39</v>
      </c>
      <c r="H813" s="27" t="str">
        <f t="shared" si="2"/>
        <v/>
      </c>
      <c r="J813" s="73"/>
      <c r="K813" s="28"/>
      <c r="L813" s="79"/>
      <c r="M813" s="31"/>
    </row>
    <row r="814" spans="1:13" ht="14.25" customHeight="1">
      <c r="A814" s="32">
        <v>44769</v>
      </c>
      <c r="B814" s="22">
        <v>373</v>
      </c>
      <c r="C814" s="23" t="s">
        <v>283</v>
      </c>
      <c r="D814" s="24"/>
      <c r="E814" s="25"/>
      <c r="F814" s="24" t="str">
        <f t="shared" si="0"/>
        <v/>
      </c>
      <c r="G814" s="26" t="str">
        <f t="shared" si="1"/>
        <v/>
      </c>
      <c r="H814" s="27" t="str">
        <f t="shared" si="2"/>
        <v>Positional</v>
      </c>
      <c r="J814" s="73"/>
      <c r="K814" s="28"/>
      <c r="L814" s="79"/>
      <c r="M814" s="31"/>
    </row>
    <row r="815" spans="1:13" ht="14.25" customHeight="1">
      <c r="A815" s="32">
        <v>44769</v>
      </c>
      <c r="B815" s="22">
        <v>446</v>
      </c>
      <c r="C815" s="23" t="s">
        <v>274</v>
      </c>
      <c r="D815" s="24"/>
      <c r="E815" s="25"/>
      <c r="F815" s="24" t="str">
        <f t="shared" si="0"/>
        <v/>
      </c>
      <c r="G815" s="26" t="str">
        <f t="shared" si="1"/>
        <v/>
      </c>
      <c r="H815" s="27" t="str">
        <f t="shared" si="2"/>
        <v>Positional</v>
      </c>
      <c r="J815" s="73"/>
      <c r="K815" s="28"/>
      <c r="L815" s="79"/>
      <c r="M815" s="31"/>
    </row>
    <row r="816" spans="1:13" ht="14.25" customHeight="1">
      <c r="A816" s="32">
        <v>44769</v>
      </c>
      <c r="B816" s="22">
        <v>-6223.45</v>
      </c>
      <c r="C816" s="23" t="s">
        <v>4</v>
      </c>
      <c r="D816" s="24"/>
      <c r="E816" s="25"/>
      <c r="F816" s="24" t="str">
        <f t="shared" si="0"/>
        <v/>
      </c>
      <c r="G816" s="26" t="str">
        <f t="shared" si="1"/>
        <v/>
      </c>
      <c r="H816" s="27" t="str">
        <f t="shared" si="2"/>
        <v/>
      </c>
      <c r="J816" s="73"/>
      <c r="K816" s="28"/>
      <c r="L816" s="79"/>
      <c r="M816" s="31"/>
    </row>
    <row r="817" spans="1:13" ht="14.25" customHeight="1">
      <c r="A817" s="32">
        <v>44769</v>
      </c>
      <c r="B817" s="22">
        <v>1.46</v>
      </c>
      <c r="C817" s="23" t="s">
        <v>16</v>
      </c>
      <c r="D817" s="24">
        <v>31297.51</v>
      </c>
      <c r="E817" s="25">
        <v>894696</v>
      </c>
      <c r="F817" s="24">
        <f t="shared" si="0"/>
        <v>149.68</v>
      </c>
      <c r="G817" s="26">
        <f t="shared" si="1"/>
        <v>925993.51</v>
      </c>
      <c r="H817" s="27" t="str">
        <f t="shared" si="2"/>
        <v/>
      </c>
      <c r="J817" s="73"/>
      <c r="K817" s="28"/>
      <c r="L817" s="79"/>
      <c r="M817" s="31"/>
    </row>
    <row r="818" spans="1:13" ht="14.25" customHeight="1">
      <c r="A818" s="32">
        <v>44770</v>
      </c>
      <c r="B818" s="22">
        <v>2044.83</v>
      </c>
      <c r="C818" s="23" t="s">
        <v>4</v>
      </c>
      <c r="D818" s="24"/>
      <c r="E818" s="25"/>
      <c r="F818" s="24" t="str">
        <f t="shared" si="0"/>
        <v/>
      </c>
      <c r="G818" s="26" t="str">
        <f t="shared" si="1"/>
        <v/>
      </c>
      <c r="H818" s="27" t="str">
        <f t="shared" si="2"/>
        <v/>
      </c>
      <c r="J818" s="73"/>
      <c r="K818" s="28"/>
      <c r="L818" s="79"/>
      <c r="M818" s="31"/>
    </row>
    <row r="819" spans="1:13" ht="14.25" customHeight="1">
      <c r="A819" s="32">
        <v>44770</v>
      </c>
      <c r="B819" s="22">
        <v>125</v>
      </c>
      <c r="C819" s="23" t="s">
        <v>20</v>
      </c>
      <c r="D819" s="24"/>
      <c r="E819" s="25"/>
      <c r="F819" s="24" t="str">
        <f t="shared" si="0"/>
        <v/>
      </c>
      <c r="G819" s="26" t="str">
        <f t="shared" si="1"/>
        <v/>
      </c>
      <c r="H819" s="27" t="str">
        <f t="shared" si="2"/>
        <v/>
      </c>
      <c r="J819" s="73"/>
      <c r="K819" s="28"/>
      <c r="L819" s="79"/>
      <c r="M819" s="31"/>
    </row>
    <row r="820" spans="1:13" ht="14.25" customHeight="1">
      <c r="A820" s="32">
        <v>44770</v>
      </c>
      <c r="B820" s="22">
        <v>-1.07</v>
      </c>
      <c r="C820" s="23" t="s">
        <v>16</v>
      </c>
      <c r="D820" s="24">
        <v>29263.27</v>
      </c>
      <c r="E820" s="25">
        <v>898899</v>
      </c>
      <c r="F820" s="24">
        <f t="shared" si="0"/>
        <v>150.03</v>
      </c>
      <c r="G820" s="26">
        <f t="shared" si="1"/>
        <v>928162.27</v>
      </c>
      <c r="H820" s="27" t="str">
        <f t="shared" si="2"/>
        <v/>
      </c>
      <c r="J820" s="73"/>
      <c r="K820" s="28"/>
      <c r="L820" s="79"/>
      <c r="M820" s="31"/>
    </row>
    <row r="821" spans="1:13" ht="14.25" customHeight="1">
      <c r="A821" s="32">
        <v>44771</v>
      </c>
      <c r="B821" s="22">
        <v>0</v>
      </c>
      <c r="C821" s="23" t="s">
        <v>16</v>
      </c>
      <c r="D821" s="24">
        <v>1308.68</v>
      </c>
      <c r="E821" s="25">
        <v>898899</v>
      </c>
      <c r="F821" s="24">
        <f t="shared" si="0"/>
        <v>436.54</v>
      </c>
      <c r="G821" s="26">
        <f t="shared" si="1"/>
        <v>2700623.04</v>
      </c>
      <c r="H821" s="27" t="str">
        <f t="shared" si="2"/>
        <v/>
      </c>
      <c r="J821" s="73"/>
      <c r="K821" s="28"/>
      <c r="L821" s="79"/>
      <c r="M821" s="31"/>
    </row>
    <row r="822" spans="1:13" ht="14.25" customHeight="1">
      <c r="A822" s="32">
        <v>44774</v>
      </c>
      <c r="B822" s="22">
        <v>1275.96</v>
      </c>
      <c r="C822" s="23" t="s">
        <v>4</v>
      </c>
      <c r="D822" s="24">
        <v>30539.23</v>
      </c>
      <c r="E822" s="25">
        <v>898899</v>
      </c>
      <c r="F822" s="24">
        <f t="shared" si="0"/>
        <v>150.24</v>
      </c>
      <c r="G822" s="26">
        <f t="shared" si="1"/>
        <v>929438.23</v>
      </c>
      <c r="H822" s="27" t="str">
        <f t="shared" si="2"/>
        <v/>
      </c>
      <c r="J822" s="73"/>
      <c r="K822" s="28"/>
      <c r="L822" s="79"/>
      <c r="M822" s="31"/>
    </row>
    <row r="823" spans="1:13" ht="14.25" customHeight="1">
      <c r="A823" s="32">
        <v>44775</v>
      </c>
      <c r="B823" s="22">
        <v>539</v>
      </c>
      <c r="C823" s="23" t="s">
        <v>331</v>
      </c>
      <c r="D823" s="24"/>
      <c r="E823" s="25"/>
      <c r="F823" s="24" t="str">
        <f t="shared" si="0"/>
        <v/>
      </c>
      <c r="G823" s="26" t="str">
        <f t="shared" si="1"/>
        <v/>
      </c>
      <c r="H823" s="27" t="str">
        <f t="shared" si="2"/>
        <v>Positional</v>
      </c>
      <c r="J823" s="73"/>
      <c r="K823" s="28"/>
      <c r="L823" s="79"/>
      <c r="M823" s="31"/>
    </row>
    <row r="824" spans="1:13" ht="14.25" customHeight="1">
      <c r="A824" s="32">
        <v>44775</v>
      </c>
      <c r="B824" s="22">
        <v>499</v>
      </c>
      <c r="C824" s="23" t="s">
        <v>332</v>
      </c>
      <c r="D824" s="24"/>
      <c r="E824" s="25"/>
      <c r="F824" s="24" t="str">
        <f t="shared" si="0"/>
        <v/>
      </c>
      <c r="G824" s="26" t="str">
        <f t="shared" si="1"/>
        <v/>
      </c>
      <c r="H824" s="27" t="str">
        <f t="shared" si="2"/>
        <v>Positional</v>
      </c>
      <c r="J824" s="73"/>
      <c r="K824" s="28"/>
      <c r="L824" s="79"/>
      <c r="M824" s="31"/>
    </row>
    <row r="825" spans="1:13" ht="14.25" customHeight="1">
      <c r="A825" s="32">
        <v>44775</v>
      </c>
      <c r="B825" s="22">
        <v>382</v>
      </c>
      <c r="C825" s="23" t="s">
        <v>283</v>
      </c>
      <c r="D825" s="24"/>
      <c r="E825" s="25"/>
      <c r="F825" s="24" t="str">
        <f t="shared" si="0"/>
        <v/>
      </c>
      <c r="G825" s="26" t="str">
        <f t="shared" si="1"/>
        <v/>
      </c>
      <c r="H825" s="27" t="str">
        <f t="shared" si="2"/>
        <v>Positional</v>
      </c>
      <c r="J825" s="73"/>
      <c r="K825" s="28"/>
      <c r="L825" s="79"/>
      <c r="M825" s="31"/>
    </row>
    <row r="826" spans="1:13" ht="14.25" customHeight="1">
      <c r="A826" s="32">
        <v>44775</v>
      </c>
      <c r="B826" s="22">
        <v>921</v>
      </c>
      <c r="C826" s="23" t="s">
        <v>274</v>
      </c>
      <c r="D826" s="24"/>
      <c r="E826" s="25"/>
      <c r="F826" s="24" t="str">
        <f t="shared" si="0"/>
        <v/>
      </c>
      <c r="G826" s="26" t="str">
        <f t="shared" si="1"/>
        <v/>
      </c>
      <c r="H826" s="27" t="str">
        <f t="shared" si="2"/>
        <v>Positional</v>
      </c>
      <c r="J826" s="73"/>
      <c r="K826" s="28"/>
      <c r="L826" s="79"/>
      <c r="M826" s="31"/>
    </row>
    <row r="827" spans="1:13" ht="14.25" customHeight="1">
      <c r="A827" s="32">
        <v>44775</v>
      </c>
      <c r="B827" s="22">
        <v>-0.69</v>
      </c>
      <c r="C827" s="23" t="s">
        <v>16</v>
      </c>
      <c r="D827" s="24">
        <v>45405.82</v>
      </c>
      <c r="E827" s="25">
        <v>876309</v>
      </c>
      <c r="F827" s="24">
        <f t="shared" si="0"/>
        <v>148.99</v>
      </c>
      <c r="G827" s="26">
        <f t="shared" si="1"/>
        <v>921714.82</v>
      </c>
      <c r="H827" s="27" t="str">
        <f t="shared" si="2"/>
        <v/>
      </c>
      <c r="J827" s="73"/>
      <c r="K827" s="28"/>
      <c r="L827" s="79"/>
      <c r="M827" s="31"/>
    </row>
    <row r="828" spans="1:13" ht="14.25" customHeight="1">
      <c r="A828" s="32">
        <v>44776</v>
      </c>
      <c r="B828" s="22">
        <v>301</v>
      </c>
      <c r="C828" s="23" t="s">
        <v>333</v>
      </c>
      <c r="D828" s="24"/>
      <c r="E828" s="25"/>
      <c r="F828" s="24" t="str">
        <f t="shared" si="0"/>
        <v/>
      </c>
      <c r="G828" s="26" t="str">
        <f t="shared" si="1"/>
        <v/>
      </c>
      <c r="H828" s="27" t="str">
        <f t="shared" si="2"/>
        <v>Positional</v>
      </c>
      <c r="J828" s="73"/>
      <c r="K828" s="28"/>
      <c r="L828" s="79"/>
      <c r="M828" s="31"/>
    </row>
    <row r="829" spans="1:13" ht="14.25" customHeight="1">
      <c r="A829" s="32">
        <v>44776</v>
      </c>
      <c r="B829" s="22">
        <v>1366.8</v>
      </c>
      <c r="C829" s="23" t="s">
        <v>4</v>
      </c>
      <c r="D829" s="24"/>
      <c r="E829" s="25"/>
      <c r="F829" s="24" t="str">
        <f t="shared" si="0"/>
        <v/>
      </c>
      <c r="G829" s="26" t="str">
        <f t="shared" si="1"/>
        <v/>
      </c>
      <c r="H829" s="27" t="str">
        <f t="shared" si="2"/>
        <v/>
      </c>
      <c r="J829" s="73"/>
      <c r="K829" s="28"/>
      <c r="L829" s="79"/>
      <c r="M829" s="31"/>
    </row>
    <row r="830" spans="1:13" ht="14.25" customHeight="1">
      <c r="A830" s="32">
        <v>44776</v>
      </c>
      <c r="B830" s="22">
        <v>210.96</v>
      </c>
      <c r="C830" s="23" t="s">
        <v>20</v>
      </c>
      <c r="D830" s="24">
        <v>51213.65</v>
      </c>
      <c r="E830" s="25">
        <v>872364</v>
      </c>
      <c r="F830" s="24">
        <f t="shared" si="0"/>
        <v>149.29</v>
      </c>
      <c r="G830" s="26">
        <f t="shared" si="1"/>
        <v>923577.65</v>
      </c>
      <c r="H830" s="27" t="str">
        <f t="shared" si="2"/>
        <v/>
      </c>
      <c r="J830" s="73"/>
      <c r="K830" s="28"/>
      <c r="L830" s="79"/>
      <c r="M830" s="31"/>
    </row>
    <row r="831" spans="1:13" ht="14.25" customHeight="1">
      <c r="A831" s="32">
        <v>44777</v>
      </c>
      <c r="B831" s="22">
        <v>242.55</v>
      </c>
      <c r="C831" s="23" t="s">
        <v>20</v>
      </c>
      <c r="D831" s="24">
        <v>2652.47</v>
      </c>
      <c r="E831" s="25">
        <v>872364</v>
      </c>
      <c r="F831" s="24">
        <f t="shared" si="0"/>
        <v>141.44</v>
      </c>
      <c r="G831" s="26">
        <f t="shared" si="1"/>
        <v>875016.47</v>
      </c>
      <c r="H831" s="27" t="str">
        <f t="shared" si="2"/>
        <v/>
      </c>
      <c r="J831" s="73"/>
      <c r="K831" s="28"/>
      <c r="L831" s="79"/>
      <c r="M831" s="31"/>
    </row>
    <row r="832" spans="1:13" ht="14.25" customHeight="1">
      <c r="A832" s="32">
        <v>44778</v>
      </c>
      <c r="B832" s="22">
        <v>5677.63</v>
      </c>
      <c r="C832" s="23" t="s">
        <v>4</v>
      </c>
      <c r="D832" s="24">
        <v>19712.240000000002</v>
      </c>
      <c r="E832" s="25">
        <v>872364</v>
      </c>
      <c r="F832" s="24">
        <f t="shared" si="0"/>
        <v>432.6</v>
      </c>
      <c r="G832" s="26">
        <f t="shared" si="1"/>
        <v>2676228.7199999997</v>
      </c>
      <c r="H832" s="27" t="str">
        <f t="shared" si="2"/>
        <v/>
      </c>
      <c r="J832" s="73"/>
      <c r="K832" s="28"/>
      <c r="L832" s="79"/>
      <c r="M832" s="31"/>
    </row>
    <row r="833" spans="1:13" ht="14.25" customHeight="1">
      <c r="A833" s="32">
        <v>44781</v>
      </c>
      <c r="B833" s="22">
        <v>-84.83</v>
      </c>
      <c r="C833" s="23" t="s">
        <v>4</v>
      </c>
      <c r="D833" s="24">
        <v>19627.41</v>
      </c>
      <c r="E833" s="25">
        <v>872364</v>
      </c>
      <c r="F833" s="24">
        <f t="shared" si="0"/>
        <v>288.37</v>
      </c>
      <c r="G833" s="26">
        <f t="shared" si="1"/>
        <v>1783982.82</v>
      </c>
      <c r="H833" s="27" t="str">
        <f t="shared" si="2"/>
        <v/>
      </c>
      <c r="J833" s="73"/>
      <c r="K833" s="28"/>
      <c r="L833" s="79"/>
      <c r="M833" s="31"/>
    </row>
    <row r="834" spans="1:13" ht="14.25" customHeight="1">
      <c r="A834" s="32">
        <v>44783</v>
      </c>
      <c r="B834" s="22">
        <v>-113.93</v>
      </c>
      <c r="C834" s="23" t="s">
        <v>4</v>
      </c>
      <c r="D834" s="24">
        <v>18618.48</v>
      </c>
      <c r="E834" s="25">
        <v>872364</v>
      </c>
      <c r="F834" s="24">
        <f t="shared" si="0"/>
        <v>288.04000000000002</v>
      </c>
      <c r="G834" s="26">
        <f t="shared" si="1"/>
        <v>1781964.96</v>
      </c>
      <c r="H834" s="27" t="str">
        <f t="shared" si="2"/>
        <v/>
      </c>
      <c r="J834" s="73"/>
      <c r="K834" s="28"/>
      <c r="L834" s="79"/>
      <c r="M834" s="31"/>
    </row>
    <row r="835" spans="1:13" ht="14.25" customHeight="1">
      <c r="A835" s="32">
        <v>44785</v>
      </c>
      <c r="B835" s="22">
        <v>-62</v>
      </c>
      <c r="C835" s="23" t="s">
        <v>335</v>
      </c>
      <c r="D835" s="24"/>
      <c r="E835" s="25"/>
      <c r="F835" s="24" t="str">
        <f t="shared" si="0"/>
        <v/>
      </c>
      <c r="G835" s="26" t="str">
        <f t="shared" si="1"/>
        <v/>
      </c>
      <c r="H835" s="27" t="str">
        <f t="shared" si="2"/>
        <v>Positional</v>
      </c>
      <c r="J835" s="73"/>
      <c r="K835" s="28"/>
      <c r="L835" s="79"/>
      <c r="M835" s="31"/>
    </row>
    <row r="836" spans="1:13" ht="14.25" customHeight="1">
      <c r="A836" s="32">
        <v>44785</v>
      </c>
      <c r="B836" s="22">
        <v>620</v>
      </c>
      <c r="C836" s="23" t="s">
        <v>336</v>
      </c>
      <c r="D836" s="24"/>
      <c r="E836" s="25"/>
      <c r="F836" s="24" t="str">
        <f t="shared" si="0"/>
        <v/>
      </c>
      <c r="G836" s="26" t="str">
        <f t="shared" si="1"/>
        <v/>
      </c>
      <c r="H836" s="27" t="str">
        <f t="shared" si="2"/>
        <v>Positional</v>
      </c>
      <c r="J836" s="73"/>
      <c r="K836" s="28"/>
      <c r="L836" s="79"/>
      <c r="M836" s="31"/>
    </row>
    <row r="837" spans="1:13" ht="14.25" customHeight="1">
      <c r="A837" s="32">
        <v>44785</v>
      </c>
      <c r="B837" s="22">
        <v>184</v>
      </c>
      <c r="C837" s="23" t="s">
        <v>337</v>
      </c>
      <c r="D837" s="24"/>
      <c r="E837" s="25"/>
      <c r="F837" s="24" t="str">
        <f t="shared" si="0"/>
        <v/>
      </c>
      <c r="G837" s="26" t="str">
        <f t="shared" si="1"/>
        <v/>
      </c>
      <c r="H837" s="27" t="str">
        <f t="shared" si="2"/>
        <v>Positional</v>
      </c>
      <c r="J837" s="73"/>
      <c r="K837" s="28"/>
      <c r="L837" s="79"/>
      <c r="M837" s="31"/>
    </row>
    <row r="838" spans="1:13" ht="14.25" customHeight="1">
      <c r="A838" s="32">
        <v>44785</v>
      </c>
      <c r="B838" s="22">
        <v>90.53</v>
      </c>
      <c r="C838" s="23" t="s">
        <v>20</v>
      </c>
      <c r="D838" s="24">
        <v>38935.22</v>
      </c>
      <c r="E838" s="25">
        <v>852832</v>
      </c>
      <c r="F838" s="24">
        <f t="shared" si="0"/>
        <v>576.59</v>
      </c>
      <c r="G838" s="26">
        <f t="shared" si="1"/>
        <v>3567068.88</v>
      </c>
      <c r="H838" s="27" t="str">
        <f t="shared" si="2"/>
        <v/>
      </c>
      <c r="J838" s="73"/>
      <c r="K838" s="28"/>
      <c r="L838" s="79"/>
      <c r="M838" s="31"/>
    </row>
    <row r="839" spans="1:13" ht="14.25" customHeight="1">
      <c r="A839" s="32">
        <v>44789</v>
      </c>
      <c r="B839" s="22">
        <v>71.23</v>
      </c>
      <c r="C839" s="23" t="s">
        <v>20</v>
      </c>
      <c r="D839" s="24">
        <v>39006.449999999997</v>
      </c>
      <c r="E839" s="25">
        <v>852832</v>
      </c>
      <c r="F839" s="24">
        <f t="shared" si="0"/>
        <v>144.16</v>
      </c>
      <c r="G839" s="26">
        <f t="shared" si="1"/>
        <v>891838.45</v>
      </c>
      <c r="H839" s="27" t="str">
        <f t="shared" si="2"/>
        <v/>
      </c>
      <c r="J839" s="73"/>
      <c r="K839" s="28"/>
      <c r="L839" s="79"/>
      <c r="M839" s="31"/>
    </row>
    <row r="840" spans="1:13" ht="14.25" customHeight="1">
      <c r="A840" s="32">
        <v>44790</v>
      </c>
      <c r="B840" s="22">
        <v>839</v>
      </c>
      <c r="C840" s="23" t="s">
        <v>261</v>
      </c>
      <c r="D840" s="24"/>
      <c r="E840" s="25"/>
      <c r="F840" s="24" t="str">
        <f t="shared" si="0"/>
        <v/>
      </c>
      <c r="G840" s="26" t="str">
        <f t="shared" si="1"/>
        <v/>
      </c>
      <c r="H840" s="27" t="str">
        <f t="shared" si="2"/>
        <v>Positional</v>
      </c>
      <c r="J840" s="73"/>
      <c r="K840" s="28"/>
      <c r="L840" s="79"/>
      <c r="M840" s="31"/>
    </row>
    <row r="841" spans="1:13" ht="14.25" customHeight="1">
      <c r="A841" s="32">
        <v>44790</v>
      </c>
      <c r="B841" s="22">
        <v>259.57</v>
      </c>
      <c r="C841" s="23" t="s">
        <v>20</v>
      </c>
      <c r="D841" s="24"/>
      <c r="E841" s="25"/>
      <c r="F841" s="24" t="str">
        <f t="shared" si="0"/>
        <v/>
      </c>
      <c r="G841" s="26" t="str">
        <f t="shared" si="1"/>
        <v/>
      </c>
      <c r="H841" s="27" t="str">
        <f t="shared" si="2"/>
        <v/>
      </c>
      <c r="J841" s="73"/>
      <c r="K841" s="28"/>
      <c r="L841" s="79"/>
      <c r="M841" s="31"/>
    </row>
    <row r="842" spans="1:13" ht="14.25" customHeight="1">
      <c r="A842" s="32">
        <v>44790</v>
      </c>
      <c r="B842" s="22">
        <v>-14495.93</v>
      </c>
      <c r="C842" s="23" t="s">
        <v>4</v>
      </c>
      <c r="D842" s="24">
        <v>67523.16</v>
      </c>
      <c r="E842" s="25">
        <v>840195</v>
      </c>
      <c r="F842" s="24">
        <f t="shared" si="0"/>
        <v>146.72999999999999</v>
      </c>
      <c r="G842" s="26">
        <f t="shared" si="1"/>
        <v>907718.16</v>
      </c>
      <c r="H842" s="27" t="str">
        <f t="shared" si="2"/>
        <v/>
      </c>
      <c r="J842" s="73"/>
      <c r="K842" s="28"/>
      <c r="L842" s="79"/>
      <c r="M842" s="31"/>
    </row>
    <row r="843" spans="1:13" ht="14.25" customHeight="1">
      <c r="A843" s="32">
        <v>44791</v>
      </c>
      <c r="B843" s="22">
        <v>1012.93</v>
      </c>
      <c r="C843" s="23" t="s">
        <v>4</v>
      </c>
      <c r="D843" s="24">
        <v>58536.08</v>
      </c>
      <c r="E843" s="25">
        <v>840195</v>
      </c>
      <c r="F843" s="24">
        <f t="shared" si="0"/>
        <v>145.27000000000001</v>
      </c>
      <c r="G843" s="26">
        <f t="shared" si="1"/>
        <v>898731.08</v>
      </c>
      <c r="H843" s="27" t="str">
        <f t="shared" si="2"/>
        <v/>
      </c>
      <c r="J843" s="73"/>
      <c r="K843" s="28"/>
      <c r="L843" s="79"/>
      <c r="M843" s="31"/>
    </row>
    <row r="844" spans="1:13" ht="14.25" customHeight="1">
      <c r="A844" s="32">
        <v>44792</v>
      </c>
      <c r="B844" s="22">
        <v>-2369.7600000000002</v>
      </c>
      <c r="C844" s="23" t="s">
        <v>4</v>
      </c>
      <c r="D844" s="24"/>
      <c r="E844" s="25"/>
      <c r="F844" s="24" t="str">
        <f t="shared" si="0"/>
        <v/>
      </c>
      <c r="G844" s="26" t="str">
        <f t="shared" si="1"/>
        <v/>
      </c>
      <c r="H844" s="27" t="str">
        <f t="shared" si="2"/>
        <v/>
      </c>
      <c r="J844" s="73"/>
      <c r="K844" s="28"/>
      <c r="L844" s="79"/>
      <c r="M844" s="31"/>
    </row>
    <row r="845" spans="1:13" ht="14.25" customHeight="1">
      <c r="A845" s="32">
        <v>44792</v>
      </c>
      <c r="B845" s="22">
        <v>1159</v>
      </c>
      <c r="C845" s="34" t="s">
        <v>338</v>
      </c>
      <c r="D845" s="24"/>
      <c r="E845" s="25"/>
      <c r="F845" s="24" t="str">
        <f t="shared" si="0"/>
        <v/>
      </c>
      <c r="G845" s="26" t="str">
        <f t="shared" si="1"/>
        <v/>
      </c>
      <c r="H845" s="27" t="str">
        <f t="shared" si="2"/>
        <v>Positional</v>
      </c>
      <c r="J845" s="73"/>
      <c r="K845" s="28"/>
      <c r="L845" s="79"/>
      <c r="M845" s="31"/>
    </row>
    <row r="846" spans="1:13" ht="14.25" customHeight="1">
      <c r="A846" s="32">
        <v>44792</v>
      </c>
      <c r="B846" s="22">
        <v>1316</v>
      </c>
      <c r="C846" s="34" t="s">
        <v>389</v>
      </c>
      <c r="D846" s="24"/>
      <c r="E846" s="25"/>
      <c r="F846" s="24" t="str">
        <f t="shared" si="0"/>
        <v/>
      </c>
      <c r="G846" s="26" t="str">
        <f t="shared" si="1"/>
        <v/>
      </c>
      <c r="H846" s="27" t="str">
        <f t="shared" si="2"/>
        <v>Positional</v>
      </c>
      <c r="J846" s="73"/>
      <c r="K846" s="28"/>
      <c r="L846" s="79"/>
      <c r="M846" s="31"/>
    </row>
    <row r="847" spans="1:13" ht="14.25" customHeight="1">
      <c r="A847" s="32">
        <v>44792</v>
      </c>
      <c r="B847" s="22">
        <v>0.1</v>
      </c>
      <c r="C847" s="34" t="s">
        <v>16</v>
      </c>
      <c r="D847" s="24">
        <v>60224.38</v>
      </c>
      <c r="E847" s="25">
        <v>818990</v>
      </c>
      <c r="F847" s="24">
        <f t="shared" si="0"/>
        <v>426.36</v>
      </c>
      <c r="G847" s="26">
        <f t="shared" si="1"/>
        <v>2637643.14</v>
      </c>
      <c r="H847" s="27" t="str">
        <f t="shared" si="2"/>
        <v/>
      </c>
      <c r="J847" s="73"/>
      <c r="K847" s="28"/>
      <c r="L847" s="79"/>
      <c r="M847" s="31"/>
    </row>
    <row r="848" spans="1:13" ht="14.25" customHeight="1">
      <c r="A848" s="32">
        <v>44795</v>
      </c>
      <c r="B848" s="22">
        <v>100.54</v>
      </c>
      <c r="C848" s="23" t="s">
        <v>20</v>
      </c>
      <c r="D848" s="24">
        <v>6155.92</v>
      </c>
      <c r="E848" s="25">
        <v>873159</v>
      </c>
      <c r="F848" s="24">
        <f t="shared" si="0"/>
        <v>142.13999999999999</v>
      </c>
      <c r="G848" s="26">
        <f t="shared" si="1"/>
        <v>879314.92</v>
      </c>
      <c r="H848" s="27" t="str">
        <f t="shared" si="2"/>
        <v/>
      </c>
      <c r="J848" s="73"/>
      <c r="K848" s="28"/>
      <c r="L848" s="79"/>
      <c r="M848" s="31"/>
    </row>
    <row r="849" spans="1:13" ht="14.25" customHeight="1">
      <c r="A849" s="32">
        <v>44796</v>
      </c>
      <c r="B849" s="22">
        <v>431</v>
      </c>
      <c r="C849" s="23" t="s">
        <v>340</v>
      </c>
      <c r="D849" s="24"/>
      <c r="E849" s="25"/>
      <c r="F849" s="24" t="str">
        <f t="shared" si="0"/>
        <v/>
      </c>
      <c r="G849" s="26" t="str">
        <f t="shared" si="1"/>
        <v/>
      </c>
      <c r="H849" s="27" t="str">
        <f t="shared" si="2"/>
        <v>Positional</v>
      </c>
      <c r="J849" s="73"/>
      <c r="K849" s="28"/>
      <c r="L849" s="79"/>
      <c r="M849" s="31"/>
    </row>
    <row r="850" spans="1:13" ht="14.25" customHeight="1">
      <c r="A850" s="32">
        <v>44796</v>
      </c>
      <c r="B850" s="22">
        <v>303</v>
      </c>
      <c r="C850" s="23" t="s">
        <v>341</v>
      </c>
      <c r="D850" s="24"/>
      <c r="E850" s="25"/>
      <c r="F850" s="24" t="str">
        <f t="shared" si="0"/>
        <v/>
      </c>
      <c r="G850" s="26" t="str">
        <f t="shared" si="1"/>
        <v/>
      </c>
      <c r="H850" s="27" t="str">
        <f t="shared" si="2"/>
        <v>Positional</v>
      </c>
      <c r="J850" s="73"/>
      <c r="K850" s="28"/>
      <c r="L850" s="79"/>
      <c r="M850" s="31"/>
    </row>
    <row r="851" spans="1:13" ht="14.25" customHeight="1">
      <c r="A851" s="32">
        <v>44796</v>
      </c>
      <c r="B851" s="22">
        <v>180</v>
      </c>
      <c r="C851" s="23" t="s">
        <v>342</v>
      </c>
      <c r="D851" s="24"/>
      <c r="E851" s="25"/>
      <c r="F851" s="24" t="str">
        <f t="shared" si="0"/>
        <v/>
      </c>
      <c r="G851" s="26" t="str">
        <f t="shared" si="1"/>
        <v/>
      </c>
      <c r="H851" s="27" t="str">
        <f t="shared" si="2"/>
        <v>Positional</v>
      </c>
      <c r="J851" s="73"/>
      <c r="K851" s="28"/>
      <c r="L851" s="79"/>
      <c r="M851" s="31"/>
    </row>
    <row r="852" spans="1:13" ht="14.25" customHeight="1">
      <c r="A852" s="32">
        <v>44796</v>
      </c>
      <c r="B852" s="22">
        <v>-2.0299999999999998</v>
      </c>
      <c r="C852" s="23" t="s">
        <v>20</v>
      </c>
      <c r="D852" s="24"/>
      <c r="E852" s="25"/>
      <c r="F852" s="24" t="str">
        <f t="shared" si="0"/>
        <v/>
      </c>
      <c r="G852" s="26" t="str">
        <f t="shared" si="1"/>
        <v/>
      </c>
      <c r="H852" s="27" t="str">
        <f t="shared" si="2"/>
        <v/>
      </c>
      <c r="J852" s="73"/>
      <c r="K852" s="28"/>
      <c r="L852" s="79"/>
      <c r="M852" s="31"/>
    </row>
    <row r="853" spans="1:13" ht="14.25" customHeight="1">
      <c r="A853" s="32">
        <v>44796</v>
      </c>
      <c r="B853" s="22">
        <v>-3183.89</v>
      </c>
      <c r="C853" s="23" t="s">
        <v>4</v>
      </c>
      <c r="D853" s="24">
        <v>10664.92</v>
      </c>
      <c r="E853" s="25">
        <v>873406</v>
      </c>
      <c r="F853" s="24">
        <f t="shared" si="0"/>
        <v>142.9</v>
      </c>
      <c r="G853" s="26">
        <f t="shared" si="1"/>
        <v>884070.92</v>
      </c>
      <c r="H853" s="27" t="str">
        <f t="shared" si="2"/>
        <v/>
      </c>
      <c r="J853" s="73"/>
      <c r="K853" s="28"/>
      <c r="L853" s="79"/>
      <c r="M853" s="31"/>
    </row>
    <row r="854" spans="1:13" ht="14.25" customHeight="1">
      <c r="A854" s="32">
        <v>44797</v>
      </c>
      <c r="B854" s="22">
        <v>402</v>
      </c>
      <c r="C854" s="23" t="s">
        <v>341</v>
      </c>
      <c r="D854" s="24"/>
      <c r="E854" s="25"/>
      <c r="F854" s="24" t="str">
        <f t="shared" si="0"/>
        <v/>
      </c>
      <c r="G854" s="26" t="str">
        <f t="shared" si="1"/>
        <v/>
      </c>
      <c r="H854" s="27" t="str">
        <f t="shared" si="2"/>
        <v>Positional</v>
      </c>
      <c r="J854" s="73"/>
      <c r="K854" s="28"/>
      <c r="L854" s="79"/>
      <c r="M854" s="31"/>
    </row>
    <row r="855" spans="1:13" ht="14.25" customHeight="1">
      <c r="A855" s="32">
        <v>44797</v>
      </c>
      <c r="B855" s="22">
        <v>49</v>
      </c>
      <c r="C855" s="23" t="s">
        <v>343</v>
      </c>
      <c r="D855" s="24"/>
      <c r="E855" s="25"/>
      <c r="F855" s="24" t="str">
        <f t="shared" si="0"/>
        <v/>
      </c>
      <c r="G855" s="26" t="str">
        <f t="shared" si="1"/>
        <v/>
      </c>
      <c r="H855" s="27" t="str">
        <f t="shared" si="2"/>
        <v>Positional</v>
      </c>
      <c r="J855" s="73"/>
      <c r="K855" s="28"/>
      <c r="L855" s="79"/>
      <c r="M855" s="31"/>
    </row>
    <row r="856" spans="1:13" ht="14.25" customHeight="1">
      <c r="A856" s="32">
        <v>44797</v>
      </c>
      <c r="B856" s="22">
        <v>475</v>
      </c>
      <c r="C856" s="23" t="s">
        <v>340</v>
      </c>
      <c r="D856" s="24"/>
      <c r="E856" s="25"/>
      <c r="F856" s="24" t="str">
        <f t="shared" si="0"/>
        <v/>
      </c>
      <c r="G856" s="26" t="str">
        <f t="shared" si="1"/>
        <v/>
      </c>
      <c r="H856" s="27" t="str">
        <f t="shared" si="2"/>
        <v>Positional</v>
      </c>
      <c r="J856" s="73"/>
      <c r="K856" s="28"/>
      <c r="L856" s="79"/>
      <c r="M856" s="31"/>
    </row>
    <row r="857" spans="1:13" ht="14.25" customHeight="1">
      <c r="A857" s="32">
        <v>44797</v>
      </c>
      <c r="B857" s="22">
        <v>11</v>
      </c>
      <c r="C857" s="23" t="s">
        <v>344</v>
      </c>
      <c r="D857" s="24"/>
      <c r="E857" s="25"/>
      <c r="F857" s="24" t="str">
        <f t="shared" si="0"/>
        <v/>
      </c>
      <c r="G857" s="26" t="str">
        <f t="shared" si="1"/>
        <v/>
      </c>
      <c r="H857" s="27" t="str">
        <f t="shared" si="2"/>
        <v>Positional</v>
      </c>
      <c r="J857" s="73"/>
      <c r="K857" s="28"/>
      <c r="L857" s="79"/>
      <c r="M857" s="31"/>
    </row>
    <row r="858" spans="1:13" ht="14.25" customHeight="1">
      <c r="A858" s="32">
        <v>44797</v>
      </c>
      <c r="B858" s="22">
        <v>-0.28000000000000003</v>
      </c>
      <c r="C858" s="34" t="s">
        <v>16</v>
      </c>
      <c r="D858" s="24">
        <v>33808.92</v>
      </c>
      <c r="E858" s="25">
        <v>851135</v>
      </c>
      <c r="F858" s="24">
        <f t="shared" si="0"/>
        <v>143.05000000000001</v>
      </c>
      <c r="G858" s="26">
        <f t="shared" si="1"/>
        <v>884943.92</v>
      </c>
      <c r="H858" s="27" t="str">
        <f t="shared" si="2"/>
        <v/>
      </c>
      <c r="J858" s="73"/>
      <c r="K858" s="28"/>
      <c r="L858" s="79"/>
      <c r="M858" s="31"/>
    </row>
    <row r="859" spans="1:13" ht="14.25" customHeight="1">
      <c r="A859" s="32">
        <v>44798</v>
      </c>
      <c r="B859" s="22">
        <v>122</v>
      </c>
      <c r="C859" s="34" t="s">
        <v>345</v>
      </c>
      <c r="D859" s="24"/>
      <c r="E859" s="25"/>
      <c r="F859" s="24" t="str">
        <f t="shared" si="0"/>
        <v/>
      </c>
      <c r="G859" s="26" t="str">
        <f t="shared" si="1"/>
        <v/>
      </c>
      <c r="H859" s="27" t="str">
        <f t="shared" si="2"/>
        <v>Positional</v>
      </c>
      <c r="J859" s="73"/>
      <c r="K859" s="28"/>
      <c r="L859" s="79"/>
      <c r="M859" s="31"/>
    </row>
    <row r="860" spans="1:13" ht="14.25" customHeight="1">
      <c r="A860" s="32">
        <v>44798</v>
      </c>
      <c r="B860" s="22">
        <v>-0.16</v>
      </c>
      <c r="C860" s="34" t="s">
        <v>16</v>
      </c>
      <c r="D860" s="24">
        <v>27318.83</v>
      </c>
      <c r="E860" s="25">
        <v>847731</v>
      </c>
      <c r="F860" s="24">
        <f t="shared" si="0"/>
        <v>141.44999999999999</v>
      </c>
      <c r="G860" s="26">
        <f t="shared" si="1"/>
        <v>875049.83</v>
      </c>
      <c r="H860" s="27" t="str">
        <f t="shared" si="2"/>
        <v/>
      </c>
      <c r="J860" s="73"/>
      <c r="K860" s="28"/>
      <c r="L860" s="79"/>
      <c r="M860" s="31"/>
    </row>
    <row r="861" spans="1:13" ht="14.25" customHeight="1">
      <c r="A861" s="32">
        <v>44799</v>
      </c>
      <c r="B861" s="22">
        <v>1820.81</v>
      </c>
      <c r="C861" s="23" t="s">
        <v>4</v>
      </c>
      <c r="D861" s="24"/>
      <c r="E861" s="25"/>
      <c r="F861" s="24" t="str">
        <f t="shared" si="0"/>
        <v/>
      </c>
      <c r="G861" s="26" t="str">
        <f t="shared" si="1"/>
        <v/>
      </c>
      <c r="H861" s="27" t="str">
        <f t="shared" si="2"/>
        <v/>
      </c>
      <c r="J861" s="73"/>
      <c r="K861" s="28"/>
      <c r="L861" s="79"/>
      <c r="M861" s="31"/>
    </row>
    <row r="862" spans="1:13" ht="14.25" customHeight="1">
      <c r="A862" s="32">
        <v>44799</v>
      </c>
      <c r="B862" s="22">
        <v>-0.16</v>
      </c>
      <c r="C862" s="34" t="s">
        <v>16</v>
      </c>
      <c r="D862" s="24">
        <v>25660.48</v>
      </c>
      <c r="E862" s="25">
        <v>851210</v>
      </c>
      <c r="F862" s="24">
        <f t="shared" si="0"/>
        <v>425.22</v>
      </c>
      <c r="G862" s="26">
        <f t="shared" si="1"/>
        <v>2630611.44</v>
      </c>
      <c r="H862" s="27" t="str">
        <f t="shared" si="2"/>
        <v/>
      </c>
      <c r="J862" s="73"/>
      <c r="K862" s="28"/>
      <c r="L862" s="79"/>
      <c r="M862" s="31"/>
    </row>
    <row r="863" spans="1:13" ht="14.25" customHeight="1">
      <c r="A863" s="32">
        <v>44802</v>
      </c>
      <c r="B863" s="22">
        <v>369.82</v>
      </c>
      <c r="C863" s="23" t="s">
        <v>4</v>
      </c>
      <c r="D863" s="24"/>
      <c r="E863" s="25"/>
      <c r="F863" s="24" t="str">
        <f t="shared" si="0"/>
        <v/>
      </c>
      <c r="G863" s="26" t="str">
        <f t="shared" si="1"/>
        <v/>
      </c>
      <c r="H863" s="27" t="str">
        <f t="shared" si="2"/>
        <v/>
      </c>
      <c r="J863" s="73"/>
      <c r="K863" s="28"/>
      <c r="L863" s="79"/>
      <c r="M863" s="31"/>
    </row>
    <row r="864" spans="1:13" ht="14.25" customHeight="1">
      <c r="A864" s="32">
        <v>44802</v>
      </c>
      <c r="B864" s="22">
        <v>0.99</v>
      </c>
      <c r="C864" s="34" t="s">
        <v>16</v>
      </c>
      <c r="D864" s="24">
        <v>12657.29</v>
      </c>
      <c r="E864" s="25">
        <v>864584</v>
      </c>
      <c r="F864" s="24">
        <f t="shared" si="0"/>
        <v>141.80000000000001</v>
      </c>
      <c r="G864" s="26">
        <f t="shared" si="1"/>
        <v>877241.29</v>
      </c>
      <c r="H864" s="27" t="str">
        <f t="shared" si="2"/>
        <v/>
      </c>
      <c r="J864" s="73"/>
      <c r="K864" s="28"/>
      <c r="L864" s="79"/>
      <c r="M864" s="31"/>
    </row>
    <row r="865" spans="1:13" ht="14.25" customHeight="1">
      <c r="A865" s="32">
        <v>44803</v>
      </c>
      <c r="B865" s="22">
        <v>185</v>
      </c>
      <c r="C865" s="34" t="s">
        <v>346</v>
      </c>
      <c r="D865" s="24"/>
      <c r="E865" s="25"/>
      <c r="F865" s="24" t="str">
        <f t="shared" si="0"/>
        <v/>
      </c>
      <c r="G865" s="26" t="str">
        <f t="shared" si="1"/>
        <v/>
      </c>
      <c r="H865" s="27" t="str">
        <f t="shared" si="2"/>
        <v>Positional</v>
      </c>
      <c r="J865" s="73"/>
      <c r="K865" s="28"/>
      <c r="L865" s="79"/>
      <c r="M865" s="31"/>
    </row>
    <row r="866" spans="1:13" ht="14.25" customHeight="1">
      <c r="A866" s="32">
        <v>44803</v>
      </c>
      <c r="B866" s="22">
        <v>1.1499999999999999</v>
      </c>
      <c r="C866" s="34" t="s">
        <v>16</v>
      </c>
      <c r="D866" s="24">
        <v>2775.51</v>
      </c>
      <c r="E866" s="25">
        <v>874636</v>
      </c>
      <c r="F866" s="24">
        <f t="shared" si="0"/>
        <v>283.66000000000003</v>
      </c>
      <c r="G866" s="26">
        <f t="shared" si="1"/>
        <v>1754823.02</v>
      </c>
      <c r="H866" s="27" t="str">
        <f t="shared" si="2"/>
        <v/>
      </c>
      <c r="J866" s="73"/>
      <c r="K866" s="28"/>
      <c r="L866" s="79"/>
      <c r="M866" s="31"/>
    </row>
    <row r="867" spans="1:13" ht="14.25" customHeight="1">
      <c r="A867" s="32">
        <v>44805</v>
      </c>
      <c r="B867" s="22">
        <v>-1.17</v>
      </c>
      <c r="C867" s="34" t="s">
        <v>16</v>
      </c>
      <c r="D867" s="24">
        <v>5362.34</v>
      </c>
      <c r="E867" s="25">
        <v>947044</v>
      </c>
      <c r="F867" s="24">
        <f t="shared" si="0"/>
        <v>153.94999999999999</v>
      </c>
      <c r="G867" s="26">
        <f t="shared" si="1"/>
        <v>952406.34</v>
      </c>
      <c r="H867" s="27" t="str">
        <f t="shared" si="2"/>
        <v/>
      </c>
      <c r="J867" s="73"/>
      <c r="K867" s="28"/>
      <c r="L867" s="79"/>
      <c r="M867" s="31"/>
    </row>
    <row r="868" spans="1:13" ht="14.25" customHeight="1">
      <c r="A868" s="32">
        <v>44806</v>
      </c>
      <c r="B868" s="22">
        <v>70.31</v>
      </c>
      <c r="C868" s="34" t="s">
        <v>20</v>
      </c>
      <c r="D868" s="24">
        <v>2128.65</v>
      </c>
      <c r="E868" s="25">
        <v>950348</v>
      </c>
      <c r="F868" s="24">
        <f t="shared" si="0"/>
        <v>461.89</v>
      </c>
      <c r="G868" s="26">
        <f t="shared" si="1"/>
        <v>2857429.95</v>
      </c>
      <c r="H868" s="27" t="str">
        <f t="shared" si="2"/>
        <v/>
      </c>
      <c r="J868" s="73"/>
      <c r="K868" s="28"/>
      <c r="L868" s="79"/>
      <c r="M868" s="31"/>
    </row>
    <row r="869" spans="1:13" ht="14.25" customHeight="1">
      <c r="A869" s="32">
        <v>44809</v>
      </c>
      <c r="B869" s="22">
        <v>1450</v>
      </c>
      <c r="C869" s="34" t="s">
        <v>347</v>
      </c>
      <c r="D869" s="24"/>
      <c r="E869" s="25"/>
      <c r="F869" s="24" t="str">
        <f t="shared" si="0"/>
        <v/>
      </c>
      <c r="G869" s="26" t="str">
        <f t="shared" si="1"/>
        <v/>
      </c>
      <c r="H869" s="27" t="str">
        <f t="shared" si="2"/>
        <v>Positional</v>
      </c>
      <c r="J869" s="73"/>
      <c r="K869" s="28"/>
      <c r="L869" s="79"/>
      <c r="M869" s="31"/>
    </row>
    <row r="870" spans="1:13" ht="14.25" customHeight="1">
      <c r="A870" s="32">
        <v>44809</v>
      </c>
      <c r="B870" s="22">
        <v>-0.33</v>
      </c>
      <c r="C870" s="34" t="s">
        <v>16</v>
      </c>
      <c r="D870" s="24">
        <v>11702.39</v>
      </c>
      <c r="E870" s="25">
        <v>942208</v>
      </c>
      <c r="F870" s="24">
        <f t="shared" si="0"/>
        <v>154.19</v>
      </c>
      <c r="G870" s="26">
        <f t="shared" si="1"/>
        <v>953910.39</v>
      </c>
      <c r="H870" s="27" t="str">
        <f t="shared" si="2"/>
        <v/>
      </c>
      <c r="J870" s="73"/>
      <c r="K870" s="28"/>
      <c r="L870" s="79"/>
      <c r="M870" s="31"/>
    </row>
    <row r="871" spans="1:13" ht="14.25" customHeight="1">
      <c r="A871" s="32">
        <v>44810</v>
      </c>
      <c r="B871" s="22">
        <v>-17</v>
      </c>
      <c r="C871" s="34" t="s">
        <v>246</v>
      </c>
      <c r="D871" s="24"/>
      <c r="E871" s="25"/>
      <c r="F871" s="24" t="str">
        <f t="shared" si="0"/>
        <v/>
      </c>
      <c r="G871" s="26" t="str">
        <f t="shared" si="1"/>
        <v/>
      </c>
      <c r="H871" s="27" t="str">
        <f t="shared" si="2"/>
        <v>Positional</v>
      </c>
      <c r="J871" s="73"/>
      <c r="K871" s="28"/>
      <c r="L871" s="79"/>
      <c r="M871" s="31"/>
    </row>
    <row r="872" spans="1:13" ht="14.25" customHeight="1">
      <c r="A872" s="32">
        <v>44810</v>
      </c>
      <c r="B872" s="22">
        <v>0.6</v>
      </c>
      <c r="C872" s="34" t="s">
        <v>16</v>
      </c>
      <c r="D872" s="24">
        <v>10996.06</v>
      </c>
      <c r="E872" s="25">
        <v>942882</v>
      </c>
      <c r="F872" s="24">
        <f t="shared" si="0"/>
        <v>462.57</v>
      </c>
      <c r="G872" s="26">
        <f t="shared" si="1"/>
        <v>2861634.18</v>
      </c>
      <c r="H872" s="27" t="str">
        <f t="shared" si="2"/>
        <v/>
      </c>
      <c r="J872" s="73"/>
      <c r="K872" s="28"/>
      <c r="L872" s="79"/>
      <c r="M872" s="31"/>
    </row>
    <row r="873" spans="1:13" ht="14.25" customHeight="1">
      <c r="A873" s="32">
        <v>44813</v>
      </c>
      <c r="B873" s="22">
        <v>71.430000000000007</v>
      </c>
      <c r="C873" s="23" t="s">
        <v>4</v>
      </c>
      <c r="D873" s="24">
        <v>15067.49</v>
      </c>
      <c r="E873" s="25">
        <v>942882</v>
      </c>
      <c r="F873" s="24">
        <f t="shared" si="0"/>
        <v>619.39</v>
      </c>
      <c r="G873" s="26">
        <f t="shared" si="1"/>
        <v>3831797.96</v>
      </c>
      <c r="H873" s="27" t="str">
        <f t="shared" si="2"/>
        <v/>
      </c>
      <c r="J873" s="73"/>
      <c r="K873" s="28"/>
      <c r="L873" s="79"/>
      <c r="M873" s="31"/>
    </row>
    <row r="874" spans="1:13" ht="14.25" customHeight="1">
      <c r="A874" s="32">
        <v>44817</v>
      </c>
      <c r="B874" s="22">
        <v>4534</v>
      </c>
      <c r="C874" s="23" t="s">
        <v>108</v>
      </c>
      <c r="D874" s="24"/>
      <c r="E874" s="25"/>
      <c r="F874" s="24" t="str">
        <f t="shared" si="0"/>
        <v/>
      </c>
      <c r="G874" s="26" t="str">
        <f t="shared" si="1"/>
        <v/>
      </c>
      <c r="H874" s="27" t="str">
        <f t="shared" si="2"/>
        <v>Positional</v>
      </c>
      <c r="J874" s="73"/>
      <c r="K874" s="28"/>
      <c r="L874" s="79"/>
      <c r="M874" s="31"/>
    </row>
    <row r="875" spans="1:13" ht="14.25" customHeight="1">
      <c r="A875" s="32">
        <v>44817</v>
      </c>
      <c r="B875" s="22">
        <v>379</v>
      </c>
      <c r="C875" s="23" t="s">
        <v>348</v>
      </c>
      <c r="D875" s="24"/>
      <c r="E875" s="25"/>
      <c r="F875" s="24" t="str">
        <f t="shared" si="0"/>
        <v/>
      </c>
      <c r="G875" s="26" t="str">
        <f t="shared" si="1"/>
        <v/>
      </c>
      <c r="H875" s="27" t="str">
        <f t="shared" si="2"/>
        <v>Positional</v>
      </c>
      <c r="J875" s="73"/>
      <c r="K875" s="28"/>
      <c r="L875" s="79"/>
      <c r="M875" s="31"/>
    </row>
    <row r="876" spans="1:13" ht="14.25" customHeight="1">
      <c r="A876" s="32">
        <v>44817</v>
      </c>
      <c r="B876" s="22">
        <v>343</v>
      </c>
      <c r="C876" s="23" t="s">
        <v>349</v>
      </c>
      <c r="D876" s="24"/>
      <c r="E876" s="25"/>
      <c r="F876" s="24" t="str">
        <f t="shared" si="0"/>
        <v/>
      </c>
      <c r="G876" s="26" t="str">
        <f t="shared" si="1"/>
        <v/>
      </c>
      <c r="H876" s="27" t="str">
        <f t="shared" si="2"/>
        <v>Positional</v>
      </c>
      <c r="J876" s="73"/>
      <c r="K876" s="28"/>
      <c r="L876" s="79"/>
      <c r="M876" s="31"/>
    </row>
    <row r="877" spans="1:13" ht="14.25" customHeight="1">
      <c r="A877" s="32">
        <v>44817</v>
      </c>
      <c r="B877" s="22">
        <v>-0.36</v>
      </c>
      <c r="C877" s="34" t="s">
        <v>16</v>
      </c>
      <c r="D877" s="24">
        <v>36857.339999999997</v>
      </c>
      <c r="E877" s="25">
        <v>912300</v>
      </c>
      <c r="F877" s="24">
        <f t="shared" si="0"/>
        <v>153.43</v>
      </c>
      <c r="G877" s="26">
        <f t="shared" si="1"/>
        <v>949157.34</v>
      </c>
      <c r="H877" s="27" t="str">
        <f t="shared" si="2"/>
        <v/>
      </c>
      <c r="J877" s="73"/>
      <c r="K877" s="28"/>
      <c r="L877" s="79"/>
      <c r="M877" s="31"/>
    </row>
    <row r="878" spans="1:13" ht="14.25" customHeight="1">
      <c r="A878" s="32">
        <v>44818</v>
      </c>
      <c r="B878" s="22">
        <v>37</v>
      </c>
      <c r="C878" s="34" t="s">
        <v>350</v>
      </c>
      <c r="D878" s="24"/>
      <c r="E878" s="25"/>
      <c r="F878" s="24" t="str">
        <f t="shared" si="0"/>
        <v/>
      </c>
      <c r="G878" s="26" t="str">
        <f t="shared" si="1"/>
        <v/>
      </c>
      <c r="H878" s="27" t="str">
        <f t="shared" si="2"/>
        <v>Positional</v>
      </c>
      <c r="J878" s="73"/>
      <c r="K878" s="28"/>
      <c r="L878" s="79"/>
      <c r="M878" s="31"/>
    </row>
    <row r="879" spans="1:13" ht="14.25" customHeight="1">
      <c r="A879" s="32">
        <v>44818</v>
      </c>
      <c r="B879" s="22">
        <v>1239.77</v>
      </c>
      <c r="C879" s="34" t="s">
        <v>20</v>
      </c>
      <c r="D879" s="24">
        <v>19307.189999999999</v>
      </c>
      <c r="E879" s="25">
        <v>931111</v>
      </c>
      <c r="F879" s="24">
        <f t="shared" si="0"/>
        <v>768.15</v>
      </c>
      <c r="G879" s="26">
        <f t="shared" si="1"/>
        <v>4752090.9499999993</v>
      </c>
      <c r="H879" s="27" t="str">
        <f t="shared" si="2"/>
        <v/>
      </c>
      <c r="J879" s="73"/>
      <c r="K879" s="28"/>
      <c r="L879" s="79"/>
      <c r="M879" s="31"/>
    </row>
    <row r="880" spans="1:13" ht="14.25" customHeight="1">
      <c r="A880" s="32">
        <v>44823</v>
      </c>
      <c r="B880" s="22">
        <v>-5289.29</v>
      </c>
      <c r="C880" s="23" t="s">
        <v>4</v>
      </c>
      <c r="D880" s="24"/>
      <c r="E880" s="25"/>
      <c r="F880" s="24" t="str">
        <f t="shared" si="0"/>
        <v/>
      </c>
      <c r="G880" s="26" t="str">
        <f t="shared" si="1"/>
        <v/>
      </c>
      <c r="H880" s="27" t="str">
        <f t="shared" si="2"/>
        <v/>
      </c>
      <c r="J880" s="73"/>
      <c r="K880" s="28"/>
      <c r="L880" s="79"/>
      <c r="M880" s="31"/>
    </row>
    <row r="881" spans="1:13" ht="14.25" customHeight="1">
      <c r="A881" s="32">
        <v>44823</v>
      </c>
      <c r="B881" s="22">
        <v>477</v>
      </c>
      <c r="C881" s="23" t="s">
        <v>351</v>
      </c>
      <c r="D881" s="24"/>
      <c r="E881" s="25"/>
      <c r="F881" s="24" t="str">
        <f t="shared" si="0"/>
        <v/>
      </c>
      <c r="G881" s="26" t="str">
        <f t="shared" si="1"/>
        <v/>
      </c>
      <c r="H881" s="27" t="str">
        <f t="shared" si="2"/>
        <v>Positional</v>
      </c>
      <c r="J881" s="73"/>
      <c r="K881" s="28"/>
      <c r="L881" s="79"/>
      <c r="M881" s="31"/>
    </row>
    <row r="882" spans="1:13" ht="14.25" customHeight="1">
      <c r="A882" s="32">
        <v>44823</v>
      </c>
      <c r="B882" s="22">
        <v>1062</v>
      </c>
      <c r="C882" s="23" t="s">
        <v>352</v>
      </c>
      <c r="D882" s="24"/>
      <c r="E882" s="25"/>
      <c r="F882" s="24" t="str">
        <f t="shared" si="0"/>
        <v/>
      </c>
      <c r="G882" s="26" t="str">
        <f t="shared" si="1"/>
        <v/>
      </c>
      <c r="H882" s="27" t="str">
        <f t="shared" si="2"/>
        <v>Positional</v>
      </c>
      <c r="J882" s="73"/>
      <c r="K882" s="28"/>
      <c r="L882" s="79"/>
      <c r="M882" s="31"/>
    </row>
    <row r="883" spans="1:13" ht="14.25" customHeight="1">
      <c r="A883" s="32">
        <v>44823</v>
      </c>
      <c r="B883" s="22">
        <v>0.25</v>
      </c>
      <c r="C883" s="34" t="s">
        <v>16</v>
      </c>
      <c r="D883" s="24">
        <v>18673.38</v>
      </c>
      <c r="E883" s="25">
        <v>921750</v>
      </c>
      <c r="F883" s="24">
        <f t="shared" si="0"/>
        <v>152.01</v>
      </c>
      <c r="G883" s="26">
        <f t="shared" si="1"/>
        <v>940423.38</v>
      </c>
      <c r="H883" s="27" t="str">
        <f t="shared" si="2"/>
        <v/>
      </c>
      <c r="J883" s="73"/>
      <c r="K883" s="28"/>
      <c r="L883" s="79"/>
      <c r="M883" s="31"/>
    </row>
    <row r="884" spans="1:13" ht="14.25" customHeight="1">
      <c r="A884" s="32">
        <v>44824</v>
      </c>
      <c r="B884" s="22">
        <v>450</v>
      </c>
      <c r="C884" s="34" t="s">
        <v>266</v>
      </c>
      <c r="D884" s="24"/>
      <c r="E884" s="25"/>
      <c r="F884" s="24" t="str">
        <f t="shared" si="0"/>
        <v/>
      </c>
      <c r="G884" s="26" t="str">
        <f t="shared" si="1"/>
        <v/>
      </c>
      <c r="H884" s="27" t="str">
        <f t="shared" si="2"/>
        <v>Positional</v>
      </c>
      <c r="J884" s="73"/>
      <c r="K884" s="28"/>
      <c r="L884" s="79"/>
      <c r="M884" s="31"/>
    </row>
    <row r="885" spans="1:13" ht="14.25" customHeight="1">
      <c r="A885" s="32">
        <v>44824</v>
      </c>
      <c r="B885" s="22">
        <v>83.65</v>
      </c>
      <c r="C885" s="34" t="s">
        <v>20</v>
      </c>
      <c r="D885" s="24"/>
      <c r="E885" s="25"/>
      <c r="F885" s="24" t="str">
        <f t="shared" si="0"/>
        <v/>
      </c>
      <c r="G885" s="26" t="str">
        <f t="shared" si="1"/>
        <v/>
      </c>
      <c r="H885" s="27" t="str">
        <f t="shared" si="2"/>
        <v/>
      </c>
      <c r="J885" s="73"/>
      <c r="K885" s="28"/>
      <c r="L885" s="79"/>
      <c r="M885" s="31"/>
    </row>
    <row r="886" spans="1:13" ht="14.25" customHeight="1">
      <c r="A886" s="32">
        <v>44824</v>
      </c>
      <c r="B886" s="22">
        <v>1859.64</v>
      </c>
      <c r="C886" s="23" t="s">
        <v>4</v>
      </c>
      <c r="D886" s="24">
        <v>43452.75</v>
      </c>
      <c r="E886" s="25">
        <v>899348</v>
      </c>
      <c r="F886" s="24">
        <f t="shared" si="0"/>
        <v>152.4</v>
      </c>
      <c r="G886" s="26">
        <f t="shared" si="1"/>
        <v>942800.75</v>
      </c>
      <c r="H886" s="27" t="str">
        <f t="shared" si="2"/>
        <v/>
      </c>
      <c r="J886" s="73"/>
      <c r="K886" s="28"/>
      <c r="L886" s="79"/>
      <c r="M886" s="31"/>
    </row>
    <row r="887" spans="1:13" ht="14.25" customHeight="1">
      <c r="A887" s="32">
        <v>44825</v>
      </c>
      <c r="B887" s="22">
        <v>43.82</v>
      </c>
      <c r="C887" s="34" t="s">
        <v>20</v>
      </c>
      <c r="D887" s="24"/>
      <c r="E887" s="25"/>
      <c r="F887" s="24" t="str">
        <f t="shared" si="0"/>
        <v/>
      </c>
      <c r="G887" s="26" t="str">
        <f t="shared" si="1"/>
        <v/>
      </c>
      <c r="H887" s="27" t="str">
        <f t="shared" si="2"/>
        <v/>
      </c>
      <c r="J887" s="73"/>
      <c r="K887" s="28"/>
      <c r="L887" s="79"/>
      <c r="M887" s="31"/>
    </row>
    <row r="888" spans="1:13" ht="14.25" customHeight="1">
      <c r="A888" s="32">
        <v>44825</v>
      </c>
      <c r="B888" s="22">
        <v>2711.74</v>
      </c>
      <c r="C888" s="23" t="s">
        <v>4</v>
      </c>
      <c r="D888" s="24">
        <v>46208.31</v>
      </c>
      <c r="E888" s="25">
        <v>899348</v>
      </c>
      <c r="F888" s="24">
        <f t="shared" si="0"/>
        <v>152.84</v>
      </c>
      <c r="G888" s="26">
        <f t="shared" si="1"/>
        <v>945556.31</v>
      </c>
      <c r="H888" s="27" t="str">
        <f t="shared" si="2"/>
        <v/>
      </c>
      <c r="J888" s="73"/>
      <c r="K888" s="28"/>
      <c r="L888" s="79"/>
      <c r="M888" s="31"/>
    </row>
    <row r="889" spans="1:13" ht="14.25" customHeight="1">
      <c r="A889" s="32">
        <v>44826</v>
      </c>
      <c r="B889" s="22">
        <v>53.74</v>
      </c>
      <c r="C889" s="34" t="s">
        <v>20</v>
      </c>
      <c r="D889" s="24"/>
      <c r="E889" s="25"/>
      <c r="F889" s="24" t="str">
        <f t="shared" si="0"/>
        <v/>
      </c>
      <c r="G889" s="26" t="str">
        <f t="shared" si="1"/>
        <v/>
      </c>
      <c r="H889" s="27" t="str">
        <f t="shared" si="2"/>
        <v/>
      </c>
      <c r="J889" s="73"/>
      <c r="K889" s="28"/>
      <c r="L889" s="79"/>
      <c r="M889" s="31"/>
    </row>
    <row r="890" spans="1:13" ht="14.25" customHeight="1">
      <c r="A890" s="32">
        <v>44826</v>
      </c>
      <c r="B890" s="22">
        <v>-2947.93</v>
      </c>
      <c r="C890" s="23" t="s">
        <v>4</v>
      </c>
      <c r="D890" s="24">
        <v>43314.12</v>
      </c>
      <c r="E890" s="25">
        <v>899348</v>
      </c>
      <c r="F890" s="24">
        <f t="shared" si="0"/>
        <v>152.38</v>
      </c>
      <c r="G890" s="26">
        <f t="shared" si="1"/>
        <v>942662.12</v>
      </c>
      <c r="H890" s="27" t="str">
        <f t="shared" si="2"/>
        <v/>
      </c>
      <c r="J890" s="73"/>
      <c r="K890" s="28"/>
      <c r="L890" s="79"/>
      <c r="M890" s="31"/>
    </row>
    <row r="891" spans="1:13" ht="14.25" customHeight="1">
      <c r="A891" s="32">
        <v>44827</v>
      </c>
      <c r="B891" s="22">
        <v>0</v>
      </c>
      <c r="C891" s="34" t="s">
        <v>16</v>
      </c>
      <c r="D891" s="24">
        <v>3687.7</v>
      </c>
      <c r="E891" s="25">
        <v>899348</v>
      </c>
      <c r="F891" s="24">
        <f t="shared" si="0"/>
        <v>437.91</v>
      </c>
      <c r="G891" s="26">
        <f t="shared" si="1"/>
        <v>2709107.0999999996</v>
      </c>
      <c r="H891" s="27" t="str">
        <f t="shared" si="2"/>
        <v/>
      </c>
      <c r="J891" s="73"/>
      <c r="K891" s="28"/>
      <c r="L891" s="79"/>
      <c r="M891" s="31"/>
    </row>
    <row r="892" spans="1:13" ht="14.25" customHeight="1">
      <c r="A892" s="32">
        <v>44830</v>
      </c>
      <c r="B892" s="22">
        <v>1186.3499999999999</v>
      </c>
      <c r="C892" s="23" t="s">
        <v>4</v>
      </c>
      <c r="D892" s="24">
        <v>10347.049999999999</v>
      </c>
      <c r="E892" s="25">
        <v>899348</v>
      </c>
      <c r="F892" s="24">
        <f t="shared" si="0"/>
        <v>147.05000000000001</v>
      </c>
      <c r="G892" s="26">
        <f t="shared" si="1"/>
        <v>909695.05</v>
      </c>
      <c r="H892" s="27" t="str">
        <f t="shared" si="2"/>
        <v/>
      </c>
      <c r="J892" s="73"/>
      <c r="K892" s="28"/>
      <c r="L892" s="79"/>
      <c r="M892" s="31"/>
    </row>
    <row r="893" spans="1:13" ht="14.25" customHeight="1">
      <c r="A893" s="32">
        <v>44831</v>
      </c>
      <c r="B893" s="22">
        <v>-37427.82</v>
      </c>
      <c r="C893" s="23" t="s">
        <v>4</v>
      </c>
      <c r="D893" s="24">
        <v>4813.66</v>
      </c>
      <c r="E893" s="25">
        <v>899348</v>
      </c>
      <c r="F893" s="24">
        <f t="shared" si="0"/>
        <v>146.15</v>
      </c>
      <c r="G893" s="26">
        <f t="shared" si="1"/>
        <v>904161.66</v>
      </c>
      <c r="H893" s="27" t="str">
        <f t="shared" si="2"/>
        <v/>
      </c>
      <c r="J893" s="73"/>
      <c r="K893" s="28"/>
      <c r="L893" s="79"/>
      <c r="M893" s="31"/>
    </row>
    <row r="894" spans="1:13" ht="14.25" customHeight="1">
      <c r="A894" s="32">
        <v>44832</v>
      </c>
      <c r="B894" s="22">
        <v>-19878.72</v>
      </c>
      <c r="C894" s="23" t="s">
        <v>4</v>
      </c>
      <c r="D894" s="24">
        <v>7193.93</v>
      </c>
      <c r="E894" s="25">
        <v>899348</v>
      </c>
      <c r="F894" s="24">
        <f t="shared" si="0"/>
        <v>3956.5</v>
      </c>
      <c r="G894" s="26">
        <f t="shared" si="1"/>
        <v>24476632.110000003</v>
      </c>
      <c r="H894" s="27" t="str">
        <f t="shared" si="2"/>
        <v/>
      </c>
      <c r="J894" s="73"/>
      <c r="K894" s="28"/>
      <c r="L894" s="79"/>
      <c r="M894" s="31"/>
    </row>
    <row r="895" spans="1:13" ht="14.25" customHeight="1">
      <c r="A895" s="32">
        <v>44859</v>
      </c>
      <c r="B895" s="22">
        <v>395</v>
      </c>
      <c r="C895" s="23" t="s">
        <v>353</v>
      </c>
      <c r="D895" s="24"/>
      <c r="E895" s="25"/>
      <c r="F895" s="24" t="str">
        <f t="shared" si="0"/>
        <v/>
      </c>
      <c r="G895" s="26" t="str">
        <f t="shared" si="1"/>
        <v/>
      </c>
      <c r="H895" s="27" t="str">
        <f t="shared" si="2"/>
        <v>Positional</v>
      </c>
      <c r="J895" s="73"/>
      <c r="K895" s="28"/>
      <c r="L895" s="79"/>
      <c r="M895" s="31"/>
    </row>
    <row r="896" spans="1:13" ht="14.25" customHeight="1">
      <c r="A896" s="32">
        <v>44859</v>
      </c>
      <c r="B896" s="22">
        <v>-0.67</v>
      </c>
      <c r="C896" s="34" t="s">
        <v>16</v>
      </c>
      <c r="D896" s="24">
        <v>3682.41</v>
      </c>
      <c r="E896" s="25">
        <v>896044</v>
      </c>
      <c r="F896" s="24">
        <f t="shared" si="0"/>
        <v>872.61</v>
      </c>
      <c r="G896" s="26">
        <f t="shared" si="1"/>
        <v>5398358.46</v>
      </c>
      <c r="H896" s="27" t="str">
        <f t="shared" si="2"/>
        <v/>
      </c>
      <c r="J896" s="73"/>
      <c r="K896" s="28"/>
      <c r="L896" s="79"/>
      <c r="M896" s="31"/>
    </row>
    <row r="897" spans="1:13" ht="14.25" customHeight="1">
      <c r="A897" s="32">
        <v>44865</v>
      </c>
      <c r="B897" s="22">
        <v>1824</v>
      </c>
      <c r="C897" s="34" t="s">
        <v>355</v>
      </c>
      <c r="D897" s="24"/>
      <c r="E897" s="25"/>
      <c r="F897" s="24" t="str">
        <f t="shared" si="0"/>
        <v/>
      </c>
      <c r="G897" s="26" t="str">
        <f t="shared" si="1"/>
        <v/>
      </c>
      <c r="H897" s="27" t="str">
        <f t="shared" si="2"/>
        <v>Positional</v>
      </c>
      <c r="J897" s="73"/>
      <c r="K897" s="28"/>
      <c r="L897" s="79"/>
      <c r="M897" s="31"/>
    </row>
    <row r="898" spans="1:13" ht="14.25" customHeight="1">
      <c r="A898" s="32">
        <v>44865</v>
      </c>
      <c r="B898" s="22">
        <v>-0.69</v>
      </c>
      <c r="C898" s="34" t="s">
        <v>16</v>
      </c>
      <c r="D898" s="24">
        <v>43624.79</v>
      </c>
      <c r="E898" s="25">
        <v>857909</v>
      </c>
      <c r="F898" s="24">
        <f t="shared" si="0"/>
        <v>291.45</v>
      </c>
      <c r="G898" s="26">
        <f t="shared" si="1"/>
        <v>1803067.58</v>
      </c>
      <c r="H898" s="27" t="str">
        <f t="shared" si="2"/>
        <v/>
      </c>
      <c r="J898" s="73"/>
      <c r="K898" s="28"/>
      <c r="L898" s="79"/>
      <c r="M898" s="31"/>
    </row>
    <row r="899" spans="1:13" ht="14.25" customHeight="1">
      <c r="A899" s="32">
        <v>44867</v>
      </c>
      <c r="B899" s="22">
        <v>4812.17</v>
      </c>
      <c r="C899" s="23" t="s">
        <v>4</v>
      </c>
      <c r="D899" s="24">
        <v>48436.959999999999</v>
      </c>
      <c r="E899" s="25">
        <v>857909</v>
      </c>
      <c r="F899" s="24">
        <f t="shared" si="0"/>
        <v>146.51</v>
      </c>
      <c r="G899" s="26">
        <f t="shared" si="1"/>
        <v>906345.96</v>
      </c>
      <c r="H899" s="27" t="str">
        <f t="shared" si="2"/>
        <v/>
      </c>
      <c r="J899" s="73"/>
      <c r="K899" s="28"/>
      <c r="L899" s="79"/>
      <c r="M899" s="31"/>
    </row>
    <row r="900" spans="1:13" ht="14.25" customHeight="1">
      <c r="A900" s="32">
        <v>44868</v>
      </c>
      <c r="B900" s="22">
        <v>-4616.67</v>
      </c>
      <c r="C900" s="23" t="s">
        <v>4</v>
      </c>
      <c r="D900" s="24">
        <v>43820.28</v>
      </c>
      <c r="E900" s="25">
        <v>857909</v>
      </c>
      <c r="F900" s="24">
        <f t="shared" si="0"/>
        <v>145.76</v>
      </c>
      <c r="G900" s="26">
        <f t="shared" si="1"/>
        <v>901729.28000000003</v>
      </c>
      <c r="H900" s="27" t="str">
        <f t="shared" si="2"/>
        <v/>
      </c>
      <c r="J900" s="73"/>
      <c r="K900" s="28"/>
      <c r="L900" s="79"/>
      <c r="M900" s="31"/>
    </row>
    <row r="901" spans="1:13" ht="14.25" customHeight="1">
      <c r="A901" s="32">
        <v>44869</v>
      </c>
      <c r="B901" s="22">
        <v>-4583.5200000000004</v>
      </c>
      <c r="C901" s="23" t="s">
        <v>4</v>
      </c>
      <c r="D901" s="24">
        <v>39236.769999999997</v>
      </c>
      <c r="E901" s="25">
        <v>857909</v>
      </c>
      <c r="F901" s="24">
        <f t="shared" si="0"/>
        <v>435.05</v>
      </c>
      <c r="G901" s="26">
        <f t="shared" si="1"/>
        <v>2691437.31</v>
      </c>
      <c r="H901" s="27" t="str">
        <f t="shared" si="2"/>
        <v/>
      </c>
      <c r="J901" s="73"/>
      <c r="K901" s="28"/>
      <c r="L901" s="79"/>
      <c r="M901" s="31"/>
    </row>
    <row r="902" spans="1:13" ht="14.25" customHeight="1">
      <c r="A902" s="32">
        <v>44872</v>
      </c>
      <c r="B902" s="22">
        <v>-3.27</v>
      </c>
      <c r="C902" s="23" t="s">
        <v>4</v>
      </c>
      <c r="D902" s="24">
        <v>39233.5</v>
      </c>
      <c r="E902" s="25">
        <v>857909</v>
      </c>
      <c r="F902" s="24">
        <f t="shared" si="0"/>
        <v>290.04000000000002</v>
      </c>
      <c r="G902" s="26">
        <f t="shared" si="1"/>
        <v>1794285</v>
      </c>
      <c r="H902" s="27" t="str">
        <f t="shared" si="2"/>
        <v/>
      </c>
      <c r="J902" s="73"/>
      <c r="K902" s="28"/>
      <c r="L902" s="79"/>
      <c r="M902" s="31"/>
    </row>
    <row r="903" spans="1:13" ht="14.25" customHeight="1">
      <c r="A903" s="32">
        <v>44874</v>
      </c>
      <c r="B903" s="22">
        <v>1417.55</v>
      </c>
      <c r="C903" s="23" t="s">
        <v>4</v>
      </c>
      <c r="D903" s="24">
        <v>40651.050000000003</v>
      </c>
      <c r="E903" s="25">
        <v>857909</v>
      </c>
      <c r="F903" s="24">
        <f t="shared" si="0"/>
        <v>145.25</v>
      </c>
      <c r="G903" s="26">
        <f t="shared" si="1"/>
        <v>898560.05</v>
      </c>
      <c r="H903" s="27" t="str">
        <f t="shared" si="2"/>
        <v/>
      </c>
      <c r="J903" s="73"/>
      <c r="K903" s="28"/>
      <c r="L903" s="79"/>
      <c r="M903" s="31"/>
    </row>
    <row r="904" spans="1:13" ht="14.25" customHeight="1">
      <c r="A904" s="32">
        <v>44875</v>
      </c>
      <c r="B904" s="22">
        <v>2173.59</v>
      </c>
      <c r="C904" s="23" t="s">
        <v>4</v>
      </c>
      <c r="D904" s="24">
        <f>42824.64+14904</f>
        <v>57728.639999999999</v>
      </c>
      <c r="E904" s="25">
        <f>857909+14904</f>
        <v>872813</v>
      </c>
      <c r="F904" s="24">
        <f t="shared" si="0"/>
        <v>150.41999999999999</v>
      </c>
      <c r="G904" s="26">
        <f t="shared" si="1"/>
        <v>930541.64</v>
      </c>
      <c r="H904" s="27" t="str">
        <f t="shared" si="2"/>
        <v/>
      </c>
      <c r="J904" s="73"/>
      <c r="K904" s="28"/>
      <c r="L904" s="79"/>
      <c r="M904" s="31"/>
    </row>
    <row r="905" spans="1:13" ht="14.25" customHeight="1">
      <c r="A905" s="32">
        <v>44876</v>
      </c>
      <c r="B905" s="22">
        <v>6314</v>
      </c>
      <c r="C905" s="23" t="s">
        <v>115</v>
      </c>
      <c r="D905" s="24"/>
      <c r="E905" s="25"/>
      <c r="F905" s="24" t="str">
        <f t="shared" si="0"/>
        <v/>
      </c>
      <c r="G905" s="26" t="str">
        <f t="shared" si="1"/>
        <v/>
      </c>
      <c r="H905" s="27" t="str">
        <f t="shared" si="2"/>
        <v>Positional</v>
      </c>
      <c r="J905" s="73"/>
      <c r="K905" s="28"/>
      <c r="L905" s="79"/>
      <c r="M905" s="31"/>
    </row>
    <row r="906" spans="1:13" ht="14.25" customHeight="1">
      <c r="A906" s="32">
        <v>44876</v>
      </c>
      <c r="B906" s="22">
        <v>0.27</v>
      </c>
      <c r="C906" s="34" t="s">
        <v>16</v>
      </c>
      <c r="D906" s="24">
        <v>48908.98</v>
      </c>
      <c r="E906" s="25">
        <v>857909</v>
      </c>
      <c r="F906" s="24">
        <f t="shared" si="0"/>
        <v>439.74</v>
      </c>
      <c r="G906" s="26">
        <f t="shared" si="1"/>
        <v>2720453.94</v>
      </c>
      <c r="H906" s="27" t="str">
        <f t="shared" si="2"/>
        <v/>
      </c>
      <c r="J906" s="73"/>
      <c r="K906" s="28"/>
      <c r="L906" s="79"/>
      <c r="M906" s="31"/>
    </row>
    <row r="907" spans="1:13" ht="14.25" customHeight="1">
      <c r="A907" s="32">
        <v>44879</v>
      </c>
      <c r="B907" s="22">
        <v>1002</v>
      </c>
      <c r="C907" s="34" t="s">
        <v>357</v>
      </c>
      <c r="D907" s="24"/>
      <c r="E907" s="25"/>
      <c r="F907" s="24" t="str">
        <f t="shared" si="0"/>
        <v/>
      </c>
      <c r="G907" s="26" t="str">
        <f t="shared" si="1"/>
        <v/>
      </c>
      <c r="H907" s="27" t="str">
        <f t="shared" si="2"/>
        <v>Positional</v>
      </c>
      <c r="J907" s="73"/>
      <c r="K907" s="28"/>
      <c r="L907" s="79"/>
      <c r="M907" s="31"/>
    </row>
    <row r="908" spans="1:13" ht="14.25" customHeight="1">
      <c r="A908" s="32">
        <v>44879</v>
      </c>
      <c r="B908" s="22">
        <v>699</v>
      </c>
      <c r="C908" s="34" t="s">
        <v>358</v>
      </c>
      <c r="D908" s="24"/>
      <c r="E908" s="25"/>
      <c r="F908" s="24" t="str">
        <f t="shared" si="0"/>
        <v/>
      </c>
      <c r="G908" s="26" t="str">
        <f t="shared" si="1"/>
        <v/>
      </c>
      <c r="H908" s="27" t="str">
        <f t="shared" si="2"/>
        <v>Positional</v>
      </c>
      <c r="J908" s="73"/>
      <c r="K908" s="28"/>
      <c r="L908" s="79"/>
      <c r="M908" s="31"/>
    </row>
    <row r="909" spans="1:13" ht="14.25" customHeight="1">
      <c r="A909" s="32">
        <v>44879</v>
      </c>
      <c r="B909" s="22">
        <v>-0.66</v>
      </c>
      <c r="C909" s="34" t="s">
        <v>16</v>
      </c>
      <c r="D909" s="24">
        <v>65020.47</v>
      </c>
      <c r="E909" s="25">
        <v>843466</v>
      </c>
      <c r="F909" s="24">
        <f t="shared" si="0"/>
        <v>146.85</v>
      </c>
      <c r="G909" s="26">
        <f t="shared" si="1"/>
        <v>908486.47</v>
      </c>
      <c r="H909" s="27" t="str">
        <f t="shared" si="2"/>
        <v/>
      </c>
      <c r="J909" s="73"/>
      <c r="K909" s="28"/>
      <c r="L909" s="79"/>
      <c r="M909" s="31"/>
    </row>
    <row r="910" spans="1:13" ht="14.25" customHeight="1">
      <c r="A910" s="32">
        <v>44880</v>
      </c>
      <c r="B910" s="22">
        <v>62</v>
      </c>
      <c r="C910" s="34" t="s">
        <v>359</v>
      </c>
      <c r="D910" s="24"/>
      <c r="E910" s="25"/>
      <c r="F910" s="24" t="str">
        <f t="shared" si="0"/>
        <v/>
      </c>
      <c r="G910" s="26" t="str">
        <f t="shared" si="1"/>
        <v/>
      </c>
      <c r="H910" s="27" t="str">
        <f t="shared" si="2"/>
        <v>Positional</v>
      </c>
      <c r="J910" s="73"/>
      <c r="K910" s="28"/>
      <c r="L910" s="79"/>
      <c r="M910" s="31"/>
    </row>
    <row r="911" spans="1:13" ht="14.25" customHeight="1">
      <c r="A911" s="32">
        <v>44880</v>
      </c>
      <c r="B911" s="22">
        <v>749</v>
      </c>
      <c r="C911" s="34" t="s">
        <v>358</v>
      </c>
      <c r="D911" s="24"/>
      <c r="E911" s="25"/>
      <c r="F911" s="24" t="str">
        <f t="shared" si="0"/>
        <v/>
      </c>
      <c r="G911" s="26" t="str">
        <f t="shared" si="1"/>
        <v/>
      </c>
      <c r="H911" s="27" t="str">
        <f t="shared" si="2"/>
        <v>Positional</v>
      </c>
      <c r="J911" s="73"/>
      <c r="K911" s="28"/>
      <c r="L911" s="79"/>
      <c r="M911" s="31"/>
    </row>
    <row r="912" spans="1:13" ht="14.25" customHeight="1">
      <c r="A912" s="32">
        <v>44880</v>
      </c>
      <c r="B912" s="22">
        <v>0.43</v>
      </c>
      <c r="C912" s="34" t="s">
        <v>16</v>
      </c>
      <c r="D912" s="24">
        <v>44957.82</v>
      </c>
      <c r="E912" s="25">
        <v>828674</v>
      </c>
      <c r="F912" s="24">
        <f t="shared" si="0"/>
        <v>141.22</v>
      </c>
      <c r="G912" s="26">
        <f t="shared" si="1"/>
        <v>873631.82</v>
      </c>
      <c r="H912" s="27" t="str">
        <f t="shared" si="2"/>
        <v/>
      </c>
      <c r="J912" s="73"/>
      <c r="K912" s="28"/>
      <c r="L912" s="79"/>
      <c r="M912" s="31"/>
    </row>
    <row r="913" spans="1:13" ht="14.25" customHeight="1">
      <c r="A913" s="32">
        <v>44881</v>
      </c>
      <c r="B913" s="22">
        <v>-12975.39</v>
      </c>
      <c r="C913" s="23" t="s">
        <v>4</v>
      </c>
      <c r="D913" s="24">
        <v>57616.65</v>
      </c>
      <c r="E913" s="25">
        <v>828674</v>
      </c>
      <c r="F913" s="24">
        <f t="shared" si="0"/>
        <v>143.26</v>
      </c>
      <c r="G913" s="26">
        <f t="shared" si="1"/>
        <v>886290.65</v>
      </c>
      <c r="H913" s="27" t="str">
        <f t="shared" si="2"/>
        <v/>
      </c>
      <c r="J913" s="73"/>
      <c r="K913" s="28"/>
      <c r="L913" s="79"/>
      <c r="M913" s="31"/>
    </row>
    <row r="914" spans="1:13" ht="14.25" customHeight="1">
      <c r="A914" s="32">
        <v>44882</v>
      </c>
      <c r="B914" s="22">
        <v>-2596.3200000000002</v>
      </c>
      <c r="C914" s="23" t="s">
        <v>4</v>
      </c>
      <c r="D914" s="24">
        <v>55020.33</v>
      </c>
      <c r="E914" s="25">
        <v>828674</v>
      </c>
      <c r="F914" s="24">
        <f t="shared" si="0"/>
        <v>142.84</v>
      </c>
      <c r="G914" s="26">
        <f t="shared" si="1"/>
        <v>883694.33</v>
      </c>
      <c r="H914" s="27" t="str">
        <f t="shared" si="2"/>
        <v/>
      </c>
      <c r="J914" s="73"/>
      <c r="K914" s="28"/>
      <c r="L914" s="79"/>
      <c r="M914" s="31"/>
    </row>
    <row r="915" spans="1:13" ht="14.25" customHeight="1">
      <c r="A915" s="32">
        <v>44883</v>
      </c>
      <c r="B915" s="22">
        <v>100.29</v>
      </c>
      <c r="C915" s="23" t="s">
        <v>4</v>
      </c>
      <c r="D915" s="24">
        <v>55120.62</v>
      </c>
      <c r="E915" s="25">
        <v>828674</v>
      </c>
      <c r="F915" s="24">
        <f t="shared" si="0"/>
        <v>142.86000000000001</v>
      </c>
      <c r="G915" s="26">
        <f t="shared" si="1"/>
        <v>883794.62</v>
      </c>
      <c r="H915" s="27" t="str">
        <f t="shared" si="2"/>
        <v/>
      </c>
      <c r="J915" s="73"/>
      <c r="K915" s="28"/>
      <c r="L915" s="79"/>
      <c r="M915" s="31"/>
    </row>
    <row r="916" spans="1:13" ht="14.25" customHeight="1">
      <c r="A916" s="32">
        <v>44884</v>
      </c>
      <c r="B916" s="22">
        <v>0</v>
      </c>
      <c r="C916" s="34" t="s">
        <v>16</v>
      </c>
      <c r="D916" s="24"/>
      <c r="E916" s="25">
        <v>843326</v>
      </c>
      <c r="F916" s="24">
        <f t="shared" si="0"/>
        <v>545.27</v>
      </c>
      <c r="G916" s="26">
        <f t="shared" si="1"/>
        <v>3373304</v>
      </c>
      <c r="H916" s="27" t="str">
        <f t="shared" si="2"/>
        <v/>
      </c>
      <c r="J916" s="73"/>
      <c r="K916" s="28"/>
      <c r="L916" s="79"/>
      <c r="M916" s="31"/>
    </row>
    <row r="917" spans="1:13" ht="14.25" customHeight="1">
      <c r="A917" s="32">
        <v>44888</v>
      </c>
      <c r="B917" s="22">
        <v>368.21</v>
      </c>
      <c r="C917" s="23" t="s">
        <v>4</v>
      </c>
      <c r="D917" s="24"/>
      <c r="E917" s="25"/>
      <c r="F917" s="24" t="str">
        <f t="shared" si="0"/>
        <v/>
      </c>
      <c r="G917" s="26" t="str">
        <f t="shared" si="1"/>
        <v/>
      </c>
      <c r="H917" s="27" t="str">
        <f t="shared" si="2"/>
        <v/>
      </c>
      <c r="J917" s="73"/>
      <c r="K917" s="28"/>
      <c r="L917" s="79"/>
      <c r="M917" s="31"/>
    </row>
    <row r="918" spans="1:13" ht="14.25" customHeight="1">
      <c r="A918" s="32">
        <v>44888</v>
      </c>
      <c r="B918" s="22">
        <v>241</v>
      </c>
      <c r="C918" s="23" t="s">
        <v>20</v>
      </c>
      <c r="D918" s="24">
        <v>55729.83</v>
      </c>
      <c r="E918" s="25">
        <v>843326</v>
      </c>
      <c r="F918" s="24">
        <f t="shared" si="0"/>
        <v>145.33000000000001</v>
      </c>
      <c r="G918" s="26">
        <f t="shared" si="1"/>
        <v>899055.83</v>
      </c>
      <c r="H918" s="27" t="str">
        <f t="shared" si="2"/>
        <v/>
      </c>
      <c r="J918" s="73"/>
      <c r="K918" s="28"/>
      <c r="L918" s="79"/>
      <c r="M918" s="31"/>
    </row>
    <row r="919" spans="1:13" ht="14.25" customHeight="1">
      <c r="A919" s="32">
        <v>44889</v>
      </c>
      <c r="B919" s="22">
        <v>976</v>
      </c>
      <c r="C919" s="23" t="s">
        <v>360</v>
      </c>
      <c r="D919" s="24"/>
      <c r="E919" s="25"/>
      <c r="F919" s="24" t="str">
        <f t="shared" si="0"/>
        <v/>
      </c>
      <c r="G919" s="26" t="str">
        <f t="shared" si="1"/>
        <v/>
      </c>
      <c r="H919" s="27" t="str">
        <f t="shared" si="2"/>
        <v>Positional</v>
      </c>
      <c r="J919" s="73"/>
      <c r="K919" s="28"/>
      <c r="L919" s="79"/>
      <c r="M919" s="31"/>
    </row>
    <row r="920" spans="1:13" ht="14.25" customHeight="1">
      <c r="A920" s="32">
        <v>44889</v>
      </c>
      <c r="B920" s="22">
        <v>446</v>
      </c>
      <c r="C920" s="23" t="s">
        <v>248</v>
      </c>
      <c r="D920" s="24"/>
      <c r="E920" s="25"/>
      <c r="F920" s="24" t="str">
        <f t="shared" si="0"/>
        <v/>
      </c>
      <c r="G920" s="26" t="str">
        <f t="shared" si="1"/>
        <v/>
      </c>
      <c r="H920" s="27" t="str">
        <f t="shared" si="2"/>
        <v>Positional</v>
      </c>
      <c r="J920" s="73"/>
      <c r="K920" s="28"/>
      <c r="L920" s="79"/>
      <c r="M920" s="31"/>
    </row>
    <row r="921" spans="1:13" ht="14.25" customHeight="1">
      <c r="A921" s="32">
        <v>44889</v>
      </c>
      <c r="B921" s="22">
        <v>2430</v>
      </c>
      <c r="C921" s="23" t="s">
        <v>118</v>
      </c>
      <c r="D921" s="24"/>
      <c r="E921" s="25"/>
      <c r="F921" s="24" t="str">
        <f t="shared" si="0"/>
        <v/>
      </c>
      <c r="G921" s="26" t="str">
        <f t="shared" si="1"/>
        <v/>
      </c>
      <c r="H921" s="27" t="str">
        <f t="shared" si="2"/>
        <v>Positional</v>
      </c>
      <c r="J921" s="73"/>
      <c r="K921" s="28"/>
      <c r="L921" s="79"/>
      <c r="M921" s="31"/>
    </row>
    <row r="922" spans="1:13" ht="14.25" customHeight="1">
      <c r="A922" s="32">
        <v>44889</v>
      </c>
      <c r="B922" s="22">
        <v>0.66</v>
      </c>
      <c r="C922" s="34" t="s">
        <v>16</v>
      </c>
      <c r="D922" s="24">
        <v>90805.7</v>
      </c>
      <c r="E922" s="25">
        <v>812055</v>
      </c>
      <c r="F922" s="24">
        <f t="shared" si="0"/>
        <v>145.94</v>
      </c>
      <c r="G922" s="26">
        <f t="shared" si="1"/>
        <v>902860.7</v>
      </c>
      <c r="H922" s="27" t="str">
        <f t="shared" si="2"/>
        <v/>
      </c>
      <c r="J922" s="73"/>
      <c r="K922" s="28"/>
      <c r="L922" s="79"/>
      <c r="M922" s="31"/>
    </row>
    <row r="923" spans="1:13" ht="14.25" customHeight="1">
      <c r="A923" s="32">
        <v>44890</v>
      </c>
      <c r="B923" s="22">
        <v>762.34</v>
      </c>
      <c r="C923" s="23" t="s">
        <v>4</v>
      </c>
      <c r="D923" s="24"/>
      <c r="E923" s="25"/>
      <c r="F923" s="24" t="str">
        <f t="shared" si="0"/>
        <v/>
      </c>
      <c r="G923" s="26" t="str">
        <f t="shared" si="1"/>
        <v/>
      </c>
      <c r="H923" s="27" t="str">
        <f t="shared" si="2"/>
        <v/>
      </c>
      <c r="J923" s="73"/>
      <c r="K923" s="28"/>
      <c r="L923" s="79"/>
      <c r="M923" s="31"/>
    </row>
    <row r="924" spans="1:13" ht="14.25" customHeight="1">
      <c r="A924" s="32">
        <v>44890</v>
      </c>
      <c r="B924" s="22">
        <v>240.35</v>
      </c>
      <c r="C924" s="23" t="s">
        <v>20</v>
      </c>
      <c r="D924" s="24"/>
      <c r="E924" s="25"/>
      <c r="F924" s="24" t="str">
        <f t="shared" si="0"/>
        <v/>
      </c>
      <c r="G924" s="26" t="str">
        <f t="shared" si="1"/>
        <v/>
      </c>
      <c r="H924" s="27" t="str">
        <f t="shared" si="2"/>
        <v/>
      </c>
      <c r="J924" s="73"/>
      <c r="K924" s="28"/>
      <c r="L924" s="79"/>
      <c r="M924" s="31"/>
    </row>
    <row r="925" spans="1:13" ht="14.25" customHeight="1">
      <c r="A925" s="32">
        <v>44890</v>
      </c>
      <c r="B925" s="22">
        <v>127</v>
      </c>
      <c r="C925" s="34" t="s">
        <v>361</v>
      </c>
      <c r="D925" s="24">
        <v>72083.45</v>
      </c>
      <c r="E925" s="25">
        <v>831891</v>
      </c>
      <c r="F925" s="24">
        <f t="shared" si="0"/>
        <v>438.37</v>
      </c>
      <c r="G925" s="26">
        <f t="shared" si="1"/>
        <v>2711923.3499999996</v>
      </c>
      <c r="H925" s="27" t="str">
        <f t="shared" si="2"/>
        <v>Positional</v>
      </c>
      <c r="J925" s="73"/>
      <c r="K925" s="28"/>
      <c r="L925" s="79"/>
      <c r="M925" s="31"/>
    </row>
    <row r="926" spans="1:13" ht="14.25" customHeight="1">
      <c r="A926" s="32">
        <v>44893</v>
      </c>
      <c r="B926" s="22">
        <v>166.58</v>
      </c>
      <c r="C926" s="23" t="s">
        <v>4</v>
      </c>
      <c r="D926" s="24">
        <v>72250.03</v>
      </c>
      <c r="E926" s="25">
        <v>831891</v>
      </c>
      <c r="F926" s="24">
        <f t="shared" si="0"/>
        <v>146.15</v>
      </c>
      <c r="G926" s="26">
        <f t="shared" si="1"/>
        <v>904141.03</v>
      </c>
      <c r="H926" s="27" t="str">
        <f t="shared" si="2"/>
        <v/>
      </c>
      <c r="J926" s="73"/>
      <c r="K926" s="28"/>
      <c r="L926" s="79"/>
      <c r="M926" s="31"/>
    </row>
    <row r="927" spans="1:13" ht="14.25" customHeight="1">
      <c r="A927" s="32">
        <v>44894</v>
      </c>
      <c r="B927" s="22">
        <v>2747.75</v>
      </c>
      <c r="C927" s="23" t="s">
        <v>4</v>
      </c>
      <c r="D927" s="24"/>
      <c r="E927" s="25"/>
      <c r="F927" s="24" t="str">
        <f t="shared" si="0"/>
        <v/>
      </c>
      <c r="G927" s="26" t="str">
        <f t="shared" si="1"/>
        <v/>
      </c>
      <c r="H927" s="27" t="str">
        <f t="shared" si="2"/>
        <v/>
      </c>
      <c r="J927" s="73"/>
      <c r="K927" s="28"/>
      <c r="L927" s="79"/>
      <c r="M927" s="31"/>
    </row>
    <row r="928" spans="1:13" ht="14.25" customHeight="1">
      <c r="A928" s="32">
        <v>44894</v>
      </c>
      <c r="B928" s="22">
        <v>190.79</v>
      </c>
      <c r="C928" s="23" t="s">
        <v>20</v>
      </c>
      <c r="D928" s="24"/>
      <c r="E928" s="25">
        <v>831891</v>
      </c>
      <c r="F928" s="24">
        <f t="shared" si="0"/>
        <v>134.47</v>
      </c>
      <c r="G928" s="26">
        <f t="shared" si="1"/>
        <v>831891</v>
      </c>
      <c r="H928" s="27" t="str">
        <f t="shared" si="2"/>
        <v/>
      </c>
      <c r="J928" s="73"/>
      <c r="K928" s="28"/>
      <c r="L928" s="79"/>
      <c r="M928" s="31"/>
    </row>
    <row r="929" spans="1:13" ht="14.25" customHeight="1">
      <c r="A929" s="32">
        <v>44895</v>
      </c>
      <c r="B929" s="22">
        <v>482.42</v>
      </c>
      <c r="C929" s="23" t="s">
        <v>4</v>
      </c>
      <c r="D929" s="24">
        <v>20670.98</v>
      </c>
      <c r="E929" s="25">
        <v>831891</v>
      </c>
      <c r="F929" s="24">
        <f t="shared" si="0"/>
        <v>137.81</v>
      </c>
      <c r="G929" s="26">
        <f t="shared" si="1"/>
        <v>852561.98</v>
      </c>
      <c r="H929" s="27" t="str">
        <f t="shared" si="2"/>
        <v/>
      </c>
      <c r="J929" s="73"/>
      <c r="K929" s="28"/>
      <c r="L929" s="79"/>
      <c r="M929" s="31"/>
    </row>
    <row r="930" spans="1:13" ht="14.25" customHeight="1">
      <c r="A930" s="32">
        <v>44896</v>
      </c>
      <c r="B930" s="22">
        <v>76</v>
      </c>
      <c r="C930" s="23" t="s">
        <v>362</v>
      </c>
      <c r="D930" s="24"/>
      <c r="E930" s="25"/>
      <c r="F930" s="24" t="str">
        <f t="shared" si="0"/>
        <v/>
      </c>
      <c r="G930" s="26" t="str">
        <f t="shared" si="1"/>
        <v/>
      </c>
      <c r="H930" s="27" t="str">
        <f t="shared" si="2"/>
        <v>Positional</v>
      </c>
      <c r="J930" s="73"/>
      <c r="K930" s="28"/>
      <c r="L930" s="79"/>
      <c r="M930" s="31"/>
    </row>
    <row r="931" spans="1:13" ht="14.25" customHeight="1">
      <c r="A931" s="32">
        <v>44896</v>
      </c>
      <c r="B931" s="22">
        <v>992.19</v>
      </c>
      <c r="C931" s="23" t="s">
        <v>4</v>
      </c>
      <c r="D931" s="24"/>
      <c r="E931" s="25"/>
      <c r="F931" s="24" t="str">
        <f t="shared" si="0"/>
        <v/>
      </c>
      <c r="G931" s="26" t="str">
        <f t="shared" si="1"/>
        <v/>
      </c>
      <c r="H931" s="27" t="str">
        <f t="shared" si="2"/>
        <v/>
      </c>
      <c r="J931" s="73"/>
      <c r="K931" s="28"/>
      <c r="L931" s="79"/>
      <c r="M931" s="31"/>
    </row>
    <row r="932" spans="1:13" ht="14.25" customHeight="1">
      <c r="A932" s="32">
        <v>44896</v>
      </c>
      <c r="B932" s="22">
        <v>0.24</v>
      </c>
      <c r="C932" s="34" t="s">
        <v>16</v>
      </c>
      <c r="D932" s="24">
        <v>7104.48</v>
      </c>
      <c r="E932" s="25">
        <v>826510</v>
      </c>
      <c r="F932" s="24">
        <f t="shared" si="0"/>
        <v>134.75</v>
      </c>
      <c r="G932" s="26">
        <f t="shared" si="1"/>
        <v>833614.48</v>
      </c>
      <c r="H932" s="27" t="str">
        <f t="shared" si="2"/>
        <v/>
      </c>
      <c r="J932" s="73"/>
      <c r="K932" s="28"/>
      <c r="L932" s="79"/>
      <c r="M932" s="31"/>
    </row>
    <row r="933" spans="1:13" ht="14.25" customHeight="1">
      <c r="A933" s="32">
        <v>44897</v>
      </c>
      <c r="B933" s="22">
        <v>1228</v>
      </c>
      <c r="C933" s="34" t="s">
        <v>363</v>
      </c>
      <c r="D933" s="24"/>
      <c r="E933" s="25"/>
      <c r="F933" s="24" t="str">
        <f t="shared" si="0"/>
        <v/>
      </c>
      <c r="G933" s="26" t="str">
        <f t="shared" si="1"/>
        <v/>
      </c>
      <c r="H933" s="27" t="str">
        <f t="shared" si="2"/>
        <v>Positional</v>
      </c>
      <c r="J933" s="73"/>
      <c r="K933" s="28"/>
      <c r="L933" s="79"/>
      <c r="M933" s="31"/>
    </row>
    <row r="934" spans="1:13" ht="14.25" customHeight="1">
      <c r="A934" s="32">
        <v>44897</v>
      </c>
      <c r="B934" s="22">
        <v>0.52</v>
      </c>
      <c r="C934" s="34" t="s">
        <v>16</v>
      </c>
      <c r="D934" s="24">
        <v>17478.07</v>
      </c>
      <c r="E934" s="25">
        <v>817349</v>
      </c>
      <c r="F934" s="24">
        <f t="shared" si="0"/>
        <v>404.83</v>
      </c>
      <c r="G934" s="26">
        <f t="shared" si="1"/>
        <v>2504481.21</v>
      </c>
      <c r="H934" s="27" t="str">
        <f t="shared" si="2"/>
        <v/>
      </c>
      <c r="J934" s="73"/>
      <c r="K934" s="28"/>
      <c r="L934" s="79"/>
      <c r="M934" s="31"/>
    </row>
    <row r="935" spans="1:13" ht="14.25" customHeight="1">
      <c r="A935" s="32">
        <v>44900</v>
      </c>
      <c r="B935" s="22">
        <v>181.29</v>
      </c>
      <c r="C935" s="23" t="s">
        <v>4</v>
      </c>
      <c r="D935" s="24">
        <v>10659.36</v>
      </c>
      <c r="E935" s="25">
        <v>817349</v>
      </c>
      <c r="F935" s="24">
        <f t="shared" si="0"/>
        <v>133.84</v>
      </c>
      <c r="G935" s="26">
        <f t="shared" si="1"/>
        <v>828008.36</v>
      </c>
      <c r="H935" s="27" t="str">
        <f t="shared" si="2"/>
        <v/>
      </c>
      <c r="J935" s="73"/>
      <c r="K935" s="28"/>
      <c r="L935" s="79"/>
      <c r="M935" s="31"/>
    </row>
    <row r="936" spans="1:13" ht="14.25" customHeight="1">
      <c r="A936" s="32">
        <v>44901</v>
      </c>
      <c r="B936" s="22">
        <v>103</v>
      </c>
      <c r="C936" s="23" t="s">
        <v>364</v>
      </c>
      <c r="D936" s="24"/>
      <c r="E936" s="25"/>
      <c r="F936" s="24" t="str">
        <f t="shared" si="0"/>
        <v/>
      </c>
      <c r="G936" s="26" t="str">
        <f t="shared" si="1"/>
        <v/>
      </c>
      <c r="H936" s="27" t="str">
        <f t="shared" si="2"/>
        <v>Positional</v>
      </c>
      <c r="J936" s="73"/>
      <c r="K936" s="28"/>
      <c r="L936" s="79"/>
      <c r="M936" s="31"/>
    </row>
    <row r="937" spans="1:13" ht="14.25" customHeight="1">
      <c r="A937" s="32">
        <v>44901</v>
      </c>
      <c r="B937" s="22">
        <v>-0.05</v>
      </c>
      <c r="C937" s="34" t="s">
        <v>16</v>
      </c>
      <c r="D937" s="24">
        <v>11667.39</v>
      </c>
      <c r="E937" s="25">
        <v>816428</v>
      </c>
      <c r="F937" s="24">
        <f t="shared" si="0"/>
        <v>133.86000000000001</v>
      </c>
      <c r="G937" s="26">
        <f t="shared" si="1"/>
        <v>828095.39</v>
      </c>
      <c r="H937" s="27" t="str">
        <f t="shared" si="2"/>
        <v/>
      </c>
      <c r="J937" s="73"/>
      <c r="K937" s="28"/>
      <c r="L937" s="79"/>
      <c r="M937" s="31"/>
    </row>
    <row r="938" spans="1:13" ht="14.25" customHeight="1">
      <c r="A938" s="32">
        <v>44902</v>
      </c>
      <c r="B938" s="22">
        <v>0</v>
      </c>
      <c r="C938" s="34" t="s">
        <v>16</v>
      </c>
      <c r="D938" s="24">
        <v>1667.39</v>
      </c>
      <c r="E938" s="25">
        <v>816428</v>
      </c>
      <c r="F938" s="24">
        <f t="shared" si="0"/>
        <v>132.24</v>
      </c>
      <c r="G938" s="26">
        <f t="shared" si="1"/>
        <v>818095.39</v>
      </c>
      <c r="H938" s="27" t="str">
        <f t="shared" si="2"/>
        <v/>
      </c>
      <c r="J938" s="73"/>
      <c r="K938" s="28"/>
      <c r="L938" s="79"/>
      <c r="M938" s="31"/>
    </row>
    <row r="939" spans="1:13" ht="14.25" customHeight="1">
      <c r="A939" s="32">
        <v>44903</v>
      </c>
      <c r="B939" s="22">
        <v>0.23</v>
      </c>
      <c r="C939" s="34" t="s">
        <v>16</v>
      </c>
      <c r="D939" s="24">
        <v>7807.69</v>
      </c>
      <c r="E939" s="25">
        <f>816428-6156</f>
        <v>810272</v>
      </c>
      <c r="F939" s="24">
        <f t="shared" si="0"/>
        <v>132.24</v>
      </c>
      <c r="G939" s="26">
        <f t="shared" si="1"/>
        <v>818079.69</v>
      </c>
      <c r="H939" s="27" t="str">
        <f t="shared" si="2"/>
        <v/>
      </c>
      <c r="J939" s="73"/>
      <c r="K939" s="28"/>
      <c r="L939" s="79"/>
      <c r="M939" s="31"/>
    </row>
    <row r="940" spans="1:13" ht="14.25" customHeight="1">
      <c r="A940" s="32">
        <v>44904</v>
      </c>
      <c r="B940" s="22">
        <v>99</v>
      </c>
      <c r="C940" s="34" t="s">
        <v>365</v>
      </c>
      <c r="D940" s="24"/>
      <c r="E940" s="25"/>
      <c r="F940" s="24" t="str">
        <f t="shared" si="0"/>
        <v/>
      </c>
      <c r="G940" s="26" t="str">
        <f t="shared" si="1"/>
        <v/>
      </c>
      <c r="H940" s="27" t="str">
        <f t="shared" si="2"/>
        <v>Positional</v>
      </c>
      <c r="J940" s="73"/>
      <c r="K940" s="28"/>
      <c r="L940" s="79"/>
      <c r="M940" s="31"/>
    </row>
    <row r="941" spans="1:13" ht="14.25" customHeight="1">
      <c r="A941" s="32">
        <v>44904</v>
      </c>
      <c r="B941" s="22">
        <v>-0.27</v>
      </c>
      <c r="C941" s="34" t="s">
        <v>16</v>
      </c>
      <c r="D941" s="24">
        <v>1750.42</v>
      </c>
      <c r="E941" s="25">
        <v>816428</v>
      </c>
      <c r="F941" s="24">
        <f t="shared" si="0"/>
        <v>396.76</v>
      </c>
      <c r="G941" s="26">
        <f t="shared" si="1"/>
        <v>2454535.2600000002</v>
      </c>
      <c r="H941" s="27" t="str">
        <f t="shared" si="2"/>
        <v/>
      </c>
      <c r="J941" s="73"/>
      <c r="K941" s="28"/>
      <c r="L941" s="79"/>
      <c r="M941" s="31"/>
    </row>
    <row r="942" spans="1:13" ht="14.25" customHeight="1">
      <c r="A942" s="32">
        <v>44907</v>
      </c>
      <c r="B942" s="22">
        <v>225</v>
      </c>
      <c r="C942" s="34" t="s">
        <v>366</v>
      </c>
      <c r="D942" s="24"/>
      <c r="E942" s="25"/>
      <c r="F942" s="24" t="str">
        <f t="shared" si="0"/>
        <v/>
      </c>
      <c r="G942" s="26" t="str">
        <f t="shared" si="1"/>
        <v/>
      </c>
      <c r="H942" s="27" t="str">
        <f t="shared" si="2"/>
        <v>Positional</v>
      </c>
      <c r="J942" s="73"/>
      <c r="K942" s="28"/>
      <c r="L942" s="79"/>
      <c r="M942" s="31"/>
    </row>
    <row r="943" spans="1:13" ht="14.25" customHeight="1">
      <c r="A943" s="32">
        <v>44907</v>
      </c>
      <c r="B943" s="22">
        <v>231</v>
      </c>
      <c r="C943" s="34" t="s">
        <v>367</v>
      </c>
      <c r="D943" s="24"/>
      <c r="E943" s="25"/>
      <c r="F943" s="24" t="str">
        <f t="shared" si="0"/>
        <v/>
      </c>
      <c r="G943" s="26" t="str">
        <f t="shared" si="1"/>
        <v/>
      </c>
      <c r="H943" s="27" t="str">
        <f t="shared" si="2"/>
        <v>Positional</v>
      </c>
      <c r="J943" s="73"/>
      <c r="K943" s="28"/>
      <c r="L943" s="79"/>
      <c r="M943" s="31"/>
    </row>
    <row r="944" spans="1:13" ht="14.25" customHeight="1">
      <c r="A944" s="32">
        <v>44907</v>
      </c>
      <c r="B944" s="22">
        <v>-0.49</v>
      </c>
      <c r="C944" s="34" t="s">
        <v>16</v>
      </c>
      <c r="D944" s="24">
        <v>14390.07</v>
      </c>
      <c r="E944" s="25">
        <v>804212</v>
      </c>
      <c r="F944" s="24">
        <f t="shared" si="0"/>
        <v>264.64</v>
      </c>
      <c r="G944" s="26">
        <f t="shared" si="1"/>
        <v>1637204.14</v>
      </c>
      <c r="H944" s="27" t="str">
        <f t="shared" si="2"/>
        <v/>
      </c>
      <c r="J944" s="73"/>
      <c r="K944" s="28"/>
      <c r="L944" s="79"/>
      <c r="M944" s="31"/>
    </row>
    <row r="945" spans="1:13" ht="14.25" customHeight="1">
      <c r="A945" s="32">
        <v>44909</v>
      </c>
      <c r="B945" s="22">
        <v>145</v>
      </c>
      <c r="C945" s="34" t="s">
        <v>368</v>
      </c>
      <c r="D945" s="24"/>
      <c r="E945" s="25"/>
      <c r="F945" s="24" t="str">
        <f t="shared" si="0"/>
        <v/>
      </c>
      <c r="G945" s="26" t="str">
        <f t="shared" si="1"/>
        <v/>
      </c>
      <c r="H945" s="27" t="str">
        <f t="shared" si="2"/>
        <v>Positional</v>
      </c>
      <c r="J945" s="73"/>
      <c r="K945" s="28"/>
      <c r="L945" s="79"/>
      <c r="M945" s="31"/>
    </row>
    <row r="946" spans="1:13" ht="14.25" customHeight="1">
      <c r="A946" s="32">
        <v>44909</v>
      </c>
      <c r="B946" s="22">
        <v>-0.76</v>
      </c>
      <c r="C946" s="34" t="s">
        <v>16</v>
      </c>
      <c r="D946" s="24">
        <v>30817.88</v>
      </c>
      <c r="E946" s="25">
        <v>787824</v>
      </c>
      <c r="F946" s="24">
        <f t="shared" si="0"/>
        <v>132.33000000000001</v>
      </c>
      <c r="G946" s="26">
        <f t="shared" si="1"/>
        <v>818641.88</v>
      </c>
      <c r="H946" s="27" t="str">
        <f t="shared" si="2"/>
        <v/>
      </c>
      <c r="J946" s="73"/>
      <c r="K946" s="28"/>
      <c r="L946" s="79"/>
      <c r="M946" s="31"/>
    </row>
    <row r="947" spans="1:13" ht="14.25" customHeight="1">
      <c r="A947" s="32">
        <v>44910</v>
      </c>
      <c r="B947" s="22">
        <v>0</v>
      </c>
      <c r="C947" s="34" t="s">
        <v>16</v>
      </c>
      <c r="D947" s="24">
        <v>16817.88</v>
      </c>
      <c r="E947" s="25">
        <v>787824</v>
      </c>
      <c r="F947" s="24">
        <f t="shared" si="0"/>
        <v>650.33000000000004</v>
      </c>
      <c r="G947" s="26">
        <f t="shared" si="1"/>
        <v>4023209.4</v>
      </c>
      <c r="H947" s="27" t="str">
        <f t="shared" si="2"/>
        <v/>
      </c>
      <c r="J947" s="73"/>
      <c r="K947" s="28"/>
      <c r="L947" s="79"/>
      <c r="M947" s="31"/>
    </row>
    <row r="948" spans="1:13" ht="14.25" customHeight="1">
      <c r="A948" s="32">
        <v>44915</v>
      </c>
      <c r="B948" s="22">
        <v>29.38</v>
      </c>
      <c r="C948" s="34" t="s">
        <v>20</v>
      </c>
      <c r="D948" s="24">
        <v>1847.25</v>
      </c>
      <c r="E948" s="25">
        <f>787824+14994</f>
        <v>802818</v>
      </c>
      <c r="F948" s="24">
        <f t="shared" si="0"/>
        <v>910.48</v>
      </c>
      <c r="G948" s="26">
        <f t="shared" si="1"/>
        <v>5632656.75</v>
      </c>
      <c r="H948" s="27" t="str">
        <f t="shared" si="2"/>
        <v/>
      </c>
      <c r="J948" s="73"/>
      <c r="K948" s="28"/>
      <c r="L948" s="79"/>
      <c r="M948" s="31"/>
    </row>
    <row r="949" spans="1:13" ht="14.25" customHeight="1">
      <c r="A949" s="32">
        <v>44922</v>
      </c>
      <c r="B949" s="22">
        <v>0</v>
      </c>
      <c r="C949" s="34" t="s">
        <v>16</v>
      </c>
      <c r="D949" s="24">
        <v>1847.25</v>
      </c>
      <c r="E949" s="25">
        <v>817638</v>
      </c>
      <c r="F949" s="24">
        <f t="shared" si="0"/>
        <v>397.39</v>
      </c>
      <c r="G949" s="26">
        <f t="shared" si="1"/>
        <v>2458455.75</v>
      </c>
      <c r="H949" s="27" t="str">
        <f t="shared" si="2"/>
        <v/>
      </c>
      <c r="J949" s="73"/>
      <c r="K949" s="28"/>
      <c r="L949" s="79"/>
      <c r="M949" s="31"/>
    </row>
    <row r="950" spans="1:13" ht="14.25" customHeight="1">
      <c r="A950" s="32">
        <v>44925</v>
      </c>
      <c r="B950" s="22">
        <v>-0.27</v>
      </c>
      <c r="C950" s="34" t="s">
        <v>16</v>
      </c>
      <c r="D950" s="24">
        <v>7950.06</v>
      </c>
      <c r="E950" s="25">
        <v>817638</v>
      </c>
      <c r="F950" s="24">
        <f t="shared" si="0"/>
        <v>400.35</v>
      </c>
      <c r="G950" s="26">
        <f t="shared" si="1"/>
        <v>2476764.1800000002</v>
      </c>
      <c r="H950" s="27" t="str">
        <f t="shared" si="2"/>
        <v/>
      </c>
      <c r="J950" s="73"/>
      <c r="K950" s="28"/>
      <c r="L950" s="79"/>
      <c r="M950" s="31"/>
    </row>
    <row r="951" spans="1:13" ht="14.25" customHeight="1">
      <c r="A951" s="32">
        <v>44928</v>
      </c>
      <c r="B951" s="22">
        <v>24.72</v>
      </c>
      <c r="C951" s="34" t="s">
        <v>20</v>
      </c>
      <c r="D951" s="24"/>
      <c r="E951" s="25"/>
      <c r="F951" s="24" t="str">
        <f t="shared" si="0"/>
        <v/>
      </c>
      <c r="G951" s="26" t="str">
        <f t="shared" si="1"/>
        <v/>
      </c>
      <c r="H951" s="27" t="str">
        <f t="shared" si="2"/>
        <v/>
      </c>
      <c r="J951" s="73"/>
      <c r="K951" s="28"/>
      <c r="L951" s="79"/>
      <c r="M951" s="31"/>
    </row>
    <row r="952" spans="1:13" ht="14.25" customHeight="1">
      <c r="A952" s="32">
        <v>44928</v>
      </c>
      <c r="B952" s="22">
        <v>0</v>
      </c>
      <c r="C952" s="34" t="s">
        <v>16</v>
      </c>
      <c r="D952" s="24">
        <v>4182.84</v>
      </c>
      <c r="E952" s="25">
        <v>827957</v>
      </c>
      <c r="F952" s="24">
        <f t="shared" si="0"/>
        <v>269.02</v>
      </c>
      <c r="G952" s="26">
        <f t="shared" si="1"/>
        <v>1664279.68</v>
      </c>
      <c r="H952" s="27" t="str">
        <f t="shared" si="2"/>
        <v/>
      </c>
      <c r="J952" s="73"/>
      <c r="K952" s="28"/>
      <c r="L952" s="79"/>
      <c r="M952" s="31"/>
    </row>
    <row r="953" spans="1:13" ht="14.25" customHeight="1">
      <c r="A953" s="32">
        <v>44930</v>
      </c>
      <c r="B953" s="22">
        <v>47</v>
      </c>
      <c r="C953" s="34" t="s">
        <v>277</v>
      </c>
      <c r="D953" s="24"/>
      <c r="E953" s="25"/>
      <c r="F953" s="24" t="str">
        <f t="shared" si="0"/>
        <v/>
      </c>
      <c r="G953" s="26" t="str">
        <f t="shared" si="1"/>
        <v/>
      </c>
      <c r="H953" s="27" t="str">
        <f t="shared" si="2"/>
        <v>Positional</v>
      </c>
      <c r="J953" s="73"/>
      <c r="K953" s="28"/>
      <c r="L953" s="79"/>
      <c r="M953" s="31"/>
    </row>
    <row r="954" spans="1:13" ht="14.25" customHeight="1">
      <c r="A954" s="32">
        <v>44930</v>
      </c>
      <c r="B954" s="22">
        <v>0.39</v>
      </c>
      <c r="C954" s="34" t="s">
        <v>16</v>
      </c>
      <c r="D954" s="24">
        <v>2033.23</v>
      </c>
      <c r="E954" s="25">
        <v>827957</v>
      </c>
      <c r="F954" s="24">
        <f t="shared" si="0"/>
        <v>402.49</v>
      </c>
      <c r="G954" s="26">
        <f t="shared" si="1"/>
        <v>2489970.69</v>
      </c>
      <c r="H954" s="27" t="str">
        <f t="shared" si="2"/>
        <v/>
      </c>
      <c r="J954" s="73"/>
      <c r="K954" s="28"/>
      <c r="L954" s="79"/>
      <c r="M954" s="31"/>
    </row>
    <row r="955" spans="1:13" ht="14.25" customHeight="1">
      <c r="A955" s="32">
        <v>44933</v>
      </c>
      <c r="B955" s="22">
        <v>0</v>
      </c>
      <c r="C955" s="34" t="s">
        <v>16</v>
      </c>
      <c r="D955" s="24">
        <v>0</v>
      </c>
      <c r="E955" s="25">
        <v>827957</v>
      </c>
      <c r="F955" s="24">
        <f t="shared" si="0"/>
        <v>133.83000000000001</v>
      </c>
      <c r="G955" s="26">
        <f t="shared" si="1"/>
        <v>827957</v>
      </c>
      <c r="H955" s="27" t="str">
        <f t="shared" si="2"/>
        <v/>
      </c>
      <c r="J955" s="73"/>
      <c r="K955" s="28"/>
      <c r="L955" s="79"/>
      <c r="M955" s="31"/>
    </row>
    <row r="956" spans="1:13" ht="14.25" customHeight="1">
      <c r="A956" s="32">
        <v>44934</v>
      </c>
      <c r="B956" s="22">
        <v>0</v>
      </c>
      <c r="C956" s="34" t="s">
        <v>16</v>
      </c>
      <c r="D956" s="24">
        <v>2033</v>
      </c>
      <c r="E956" s="25">
        <v>827957</v>
      </c>
      <c r="F956" s="24">
        <f t="shared" si="0"/>
        <v>670.81</v>
      </c>
      <c r="G956" s="26">
        <f t="shared" si="1"/>
        <v>4149950</v>
      </c>
      <c r="H956" s="27" t="str">
        <f t="shared" si="2"/>
        <v/>
      </c>
      <c r="J956" s="73"/>
      <c r="K956" s="28"/>
      <c r="L956" s="79"/>
      <c r="M956" s="31"/>
    </row>
    <row r="957" spans="1:13" ht="14.25" customHeight="1">
      <c r="A957" s="32">
        <v>44939</v>
      </c>
      <c r="B957" s="22">
        <v>538</v>
      </c>
      <c r="C957" s="34" t="s">
        <v>390</v>
      </c>
      <c r="D957" s="24"/>
      <c r="E957" s="25"/>
      <c r="F957" s="24" t="str">
        <f t="shared" si="0"/>
        <v/>
      </c>
      <c r="G957" s="26" t="str">
        <f t="shared" si="1"/>
        <v/>
      </c>
      <c r="H957" s="27" t="str">
        <f t="shared" si="2"/>
        <v>Positional</v>
      </c>
      <c r="J957" s="73"/>
      <c r="K957" s="28"/>
      <c r="L957" s="79"/>
      <c r="M957" s="31"/>
    </row>
    <row r="958" spans="1:13" ht="14.25" customHeight="1">
      <c r="A958" s="32">
        <v>44939</v>
      </c>
      <c r="B958" s="22">
        <v>-1.1000000000000001</v>
      </c>
      <c r="C958" s="34" t="s">
        <v>16</v>
      </c>
      <c r="D958" s="24">
        <v>59974.98</v>
      </c>
      <c r="E958" s="25">
        <v>817638</v>
      </c>
      <c r="F958" s="24">
        <f t="shared" si="0"/>
        <v>425.58</v>
      </c>
      <c r="G958" s="26">
        <f t="shared" si="1"/>
        <v>2632838.94</v>
      </c>
      <c r="H958" s="27" t="str">
        <f t="shared" si="2"/>
        <v/>
      </c>
      <c r="J958" s="73"/>
      <c r="K958" s="28"/>
      <c r="L958" s="79"/>
      <c r="M958" s="31"/>
    </row>
    <row r="959" spans="1:13" ht="14.25" customHeight="1">
      <c r="A959" s="32">
        <v>44942</v>
      </c>
      <c r="B959" s="22">
        <v>18</v>
      </c>
      <c r="C959" s="34" t="s">
        <v>120</v>
      </c>
      <c r="D959" s="24"/>
      <c r="E959" s="25"/>
      <c r="F959" s="24" t="str">
        <f t="shared" si="0"/>
        <v/>
      </c>
      <c r="G959" s="26" t="str">
        <f t="shared" si="1"/>
        <v/>
      </c>
      <c r="H959" s="27" t="str">
        <f t="shared" si="2"/>
        <v>Positional</v>
      </c>
      <c r="J959" s="73"/>
      <c r="K959" s="28"/>
      <c r="L959" s="79"/>
      <c r="M959" s="31"/>
    </row>
    <row r="960" spans="1:13" ht="14.25" customHeight="1">
      <c r="A960" s="32">
        <v>44942</v>
      </c>
      <c r="B960" s="22">
        <v>0.08</v>
      </c>
      <c r="C960" s="34" t="s">
        <v>16</v>
      </c>
      <c r="D960" s="24">
        <v>74971.13</v>
      </c>
      <c r="E960" s="25">
        <v>802644</v>
      </c>
      <c r="F960" s="24">
        <f t="shared" si="0"/>
        <v>141.86000000000001</v>
      </c>
      <c r="G960" s="26">
        <f t="shared" si="1"/>
        <v>877615.13</v>
      </c>
      <c r="H960" s="27" t="str">
        <f t="shared" si="2"/>
        <v/>
      </c>
      <c r="J960" s="73"/>
      <c r="K960" s="28"/>
      <c r="L960" s="79"/>
      <c r="M960" s="31"/>
    </row>
    <row r="961" spans="1:13" ht="14.25" customHeight="1">
      <c r="A961" s="32">
        <v>44943</v>
      </c>
      <c r="B961" s="22">
        <v>80</v>
      </c>
      <c r="C961" s="34" t="s">
        <v>20</v>
      </c>
      <c r="D961" s="24"/>
      <c r="E961" s="25"/>
      <c r="F961" s="24" t="str">
        <f t="shared" si="0"/>
        <v/>
      </c>
      <c r="G961" s="26" t="str">
        <f t="shared" si="1"/>
        <v/>
      </c>
      <c r="H961" s="27" t="str">
        <f t="shared" si="2"/>
        <v/>
      </c>
      <c r="J961" s="73"/>
      <c r="K961" s="28"/>
      <c r="L961" s="79"/>
      <c r="M961" s="31"/>
    </row>
    <row r="962" spans="1:13" ht="14.25" customHeight="1">
      <c r="A962" s="32">
        <v>44943</v>
      </c>
      <c r="B962" s="22">
        <f>117+180</f>
        <v>297</v>
      </c>
      <c r="C962" s="34" t="s">
        <v>372</v>
      </c>
      <c r="D962" s="24"/>
      <c r="E962" s="25"/>
      <c r="F962" s="24" t="str">
        <f t="shared" si="0"/>
        <v/>
      </c>
      <c r="G962" s="26" t="str">
        <f t="shared" si="1"/>
        <v/>
      </c>
      <c r="H962" s="27" t="str">
        <f t="shared" si="2"/>
        <v>Positional</v>
      </c>
      <c r="J962" s="73"/>
      <c r="K962" s="28"/>
      <c r="L962" s="79"/>
      <c r="M962" s="31"/>
    </row>
    <row r="963" spans="1:13" ht="14.25" customHeight="1">
      <c r="A963" s="32">
        <v>44943</v>
      </c>
      <c r="B963" s="22">
        <v>-2.33</v>
      </c>
      <c r="C963" s="34" t="s">
        <v>16</v>
      </c>
      <c r="D963" s="24">
        <v>31657.87</v>
      </c>
      <c r="E963" s="25">
        <v>846316</v>
      </c>
      <c r="F963" s="24">
        <f t="shared" si="0"/>
        <v>141.91999999999999</v>
      </c>
      <c r="G963" s="26">
        <f t="shared" si="1"/>
        <v>877973.87</v>
      </c>
      <c r="H963" s="27" t="str">
        <f t="shared" si="2"/>
        <v/>
      </c>
      <c r="J963" s="73"/>
      <c r="K963" s="28"/>
      <c r="L963" s="79"/>
      <c r="M963" s="31"/>
    </row>
    <row r="964" spans="1:13" ht="14.25" customHeight="1">
      <c r="A964" s="32">
        <v>44944</v>
      </c>
      <c r="B964" s="22">
        <v>-0.97</v>
      </c>
      <c r="C964" s="34" t="s">
        <v>16</v>
      </c>
      <c r="D964" s="24">
        <v>40306.97</v>
      </c>
      <c r="E964" s="25">
        <v>853424</v>
      </c>
      <c r="F964" s="24">
        <f t="shared" si="0"/>
        <v>288.93</v>
      </c>
      <c r="G964" s="26">
        <f t="shared" si="1"/>
        <v>1787461.94</v>
      </c>
      <c r="H964" s="27" t="str">
        <f t="shared" si="2"/>
        <v/>
      </c>
      <c r="J964" s="73"/>
      <c r="K964" s="28"/>
      <c r="L964" s="79"/>
      <c r="M964" s="31"/>
    </row>
    <row r="965" spans="1:13" ht="14.25" customHeight="1">
      <c r="A965" s="32">
        <v>44946</v>
      </c>
      <c r="B965" s="22">
        <v>288</v>
      </c>
      <c r="C965" s="34" t="s">
        <v>374</v>
      </c>
      <c r="D965" s="24"/>
      <c r="E965" s="25"/>
      <c r="F965" s="24" t="str">
        <f t="shared" si="0"/>
        <v/>
      </c>
      <c r="G965" s="26" t="str">
        <f t="shared" si="1"/>
        <v/>
      </c>
      <c r="H965" s="27" t="str">
        <f t="shared" si="2"/>
        <v>Positional</v>
      </c>
      <c r="J965" s="73"/>
      <c r="K965" s="28"/>
      <c r="L965" s="79"/>
      <c r="M965" s="31"/>
    </row>
    <row r="966" spans="1:13" ht="14.25" customHeight="1">
      <c r="A966" s="32">
        <v>44946</v>
      </c>
      <c r="B966" s="22">
        <v>-0.27</v>
      </c>
      <c r="C966" s="34" t="s">
        <v>16</v>
      </c>
      <c r="D966" s="24">
        <v>46294.78</v>
      </c>
      <c r="E966" s="25">
        <v>847708</v>
      </c>
      <c r="F966" s="24">
        <f t="shared" si="0"/>
        <v>433.53</v>
      </c>
      <c r="G966" s="26">
        <f t="shared" si="1"/>
        <v>2682008.34</v>
      </c>
      <c r="H966" s="27" t="str">
        <f t="shared" si="2"/>
        <v/>
      </c>
      <c r="J966" s="73"/>
      <c r="K966" s="28"/>
      <c r="L966" s="79"/>
      <c r="M966" s="31"/>
    </row>
    <row r="967" spans="1:13" ht="14.25" customHeight="1">
      <c r="A967" s="32">
        <v>44949</v>
      </c>
      <c r="B967" s="22">
        <v>236</v>
      </c>
      <c r="C967" s="34" t="s">
        <v>373</v>
      </c>
      <c r="D967" s="24"/>
      <c r="E967" s="25"/>
      <c r="F967" s="24" t="str">
        <f t="shared" si="0"/>
        <v/>
      </c>
      <c r="G967" s="26" t="str">
        <f t="shared" si="1"/>
        <v/>
      </c>
      <c r="H967" s="27" t="str">
        <f t="shared" si="2"/>
        <v>Positional</v>
      </c>
      <c r="J967" s="73"/>
      <c r="K967" s="28"/>
      <c r="L967" s="79"/>
      <c r="M967" s="31"/>
    </row>
    <row r="968" spans="1:13" ht="14.25" customHeight="1">
      <c r="A968" s="32">
        <v>44949</v>
      </c>
      <c r="B968" s="22">
        <v>663</v>
      </c>
      <c r="C968" s="34" t="s">
        <v>375</v>
      </c>
      <c r="D968" s="24"/>
      <c r="E968" s="25"/>
      <c r="F968" s="24" t="str">
        <f t="shared" si="0"/>
        <v/>
      </c>
      <c r="G968" s="26" t="str">
        <f t="shared" si="1"/>
        <v/>
      </c>
      <c r="H968" s="27" t="str">
        <f t="shared" si="2"/>
        <v>Positional</v>
      </c>
      <c r="J968" s="73"/>
      <c r="K968" s="28"/>
      <c r="L968" s="79"/>
      <c r="M968" s="31"/>
    </row>
    <row r="969" spans="1:13" ht="14.25" customHeight="1">
      <c r="A969" s="32">
        <v>44949</v>
      </c>
      <c r="B969" s="22">
        <v>-0.15</v>
      </c>
      <c r="C969" s="34" t="s">
        <v>16</v>
      </c>
      <c r="D969" s="24">
        <v>44157.69</v>
      </c>
      <c r="E969" s="25">
        <v>834954</v>
      </c>
      <c r="F969" s="24">
        <f t="shared" si="0"/>
        <v>142.1</v>
      </c>
      <c r="G969" s="26">
        <f t="shared" si="1"/>
        <v>879111.69</v>
      </c>
      <c r="H969" s="27" t="str">
        <f t="shared" si="2"/>
        <v/>
      </c>
      <c r="J969" s="73"/>
      <c r="K969" s="28"/>
      <c r="L969" s="79"/>
      <c r="M969" s="31"/>
    </row>
    <row r="970" spans="1:13" ht="14.25" customHeight="1">
      <c r="A970" s="32">
        <v>44950</v>
      </c>
      <c r="B970" s="22">
        <v>397</v>
      </c>
      <c r="C970" s="34" t="s">
        <v>376</v>
      </c>
      <c r="D970" s="24"/>
      <c r="E970" s="25"/>
      <c r="F970" s="24" t="str">
        <f t="shared" si="0"/>
        <v/>
      </c>
      <c r="G970" s="26" t="str">
        <f t="shared" si="1"/>
        <v/>
      </c>
      <c r="H970" s="27" t="str">
        <f t="shared" si="2"/>
        <v>Positional</v>
      </c>
      <c r="J970" s="73"/>
      <c r="K970" s="28"/>
      <c r="L970" s="79"/>
      <c r="M970" s="31"/>
    </row>
    <row r="971" spans="1:13" ht="14.25" customHeight="1">
      <c r="A971" s="32">
        <v>44950</v>
      </c>
      <c r="B971" s="22">
        <v>312</v>
      </c>
      <c r="C971" s="34" t="s">
        <v>293</v>
      </c>
      <c r="D971" s="24"/>
      <c r="E971" s="25"/>
      <c r="F971" s="24" t="str">
        <f t="shared" si="0"/>
        <v/>
      </c>
      <c r="G971" s="26" t="str">
        <f t="shared" si="1"/>
        <v/>
      </c>
      <c r="H971" s="27" t="str">
        <f t="shared" si="2"/>
        <v>Positional</v>
      </c>
      <c r="J971" s="73"/>
      <c r="K971" s="28"/>
      <c r="L971" s="79"/>
      <c r="M971" s="31"/>
    </row>
    <row r="972" spans="1:13" ht="14.25" customHeight="1">
      <c r="A972" s="32">
        <v>44950</v>
      </c>
      <c r="B972" s="22">
        <v>-0.28999999999999998</v>
      </c>
      <c r="C972" s="34" t="s">
        <v>16</v>
      </c>
      <c r="D972" s="24">
        <v>14418.47</v>
      </c>
      <c r="E972" s="25">
        <v>818284</v>
      </c>
      <c r="F972" s="24">
        <f t="shared" si="0"/>
        <v>403.8</v>
      </c>
      <c r="G972" s="26">
        <f t="shared" si="1"/>
        <v>2498107.41</v>
      </c>
      <c r="H972" s="27" t="str">
        <f t="shared" si="2"/>
        <v/>
      </c>
      <c r="J972" s="73"/>
      <c r="K972" s="28"/>
      <c r="L972" s="79"/>
      <c r="M972" s="31"/>
    </row>
    <row r="973" spans="1:13" ht="14.25" customHeight="1">
      <c r="A973" s="32">
        <v>44953</v>
      </c>
      <c r="B973" s="22">
        <v>62</v>
      </c>
      <c r="C973" s="34" t="s">
        <v>365</v>
      </c>
      <c r="D973" s="24"/>
      <c r="E973" s="25"/>
      <c r="F973" s="24" t="str">
        <f t="shared" si="0"/>
        <v/>
      </c>
      <c r="G973" s="26" t="str">
        <f t="shared" si="1"/>
        <v/>
      </c>
      <c r="H973" s="27" t="str">
        <f t="shared" si="2"/>
        <v>Positional</v>
      </c>
      <c r="J973" s="73"/>
      <c r="K973" s="28"/>
      <c r="L973" s="79"/>
      <c r="M973" s="31"/>
    </row>
    <row r="974" spans="1:13" ht="14.25" customHeight="1">
      <c r="A974" s="32">
        <v>44953</v>
      </c>
      <c r="B974" s="22">
        <v>-0.4</v>
      </c>
      <c r="C974" s="34" t="s">
        <v>16</v>
      </c>
      <c r="D974" s="24">
        <v>4366.07</v>
      </c>
      <c r="E974" s="25">
        <v>822279</v>
      </c>
      <c r="F974" s="24">
        <f t="shared" si="0"/>
        <v>400.87</v>
      </c>
      <c r="G974" s="26">
        <f t="shared" si="1"/>
        <v>2479935.21</v>
      </c>
      <c r="H974" s="27" t="str">
        <f t="shared" si="2"/>
        <v/>
      </c>
      <c r="J974" s="73"/>
      <c r="K974" s="28"/>
      <c r="L974" s="79"/>
      <c r="M974" s="31"/>
    </row>
    <row r="975" spans="1:13" ht="14.25" customHeight="1">
      <c r="A975" s="32">
        <v>44956</v>
      </c>
      <c r="B975" s="22">
        <v>28</v>
      </c>
      <c r="C975" s="34" t="s">
        <v>144</v>
      </c>
      <c r="D975" s="24"/>
      <c r="E975" s="25"/>
      <c r="F975" s="24" t="str">
        <f t="shared" si="0"/>
        <v/>
      </c>
      <c r="G975" s="26" t="str">
        <f t="shared" si="1"/>
        <v/>
      </c>
      <c r="H975" s="27" t="str">
        <f t="shared" si="2"/>
        <v>Positional</v>
      </c>
      <c r="J975" s="73"/>
      <c r="K975" s="28"/>
      <c r="L975" s="79"/>
      <c r="M975" s="31"/>
    </row>
    <row r="976" spans="1:13" ht="14.25" customHeight="1">
      <c r="A976" s="32">
        <v>44956</v>
      </c>
      <c r="B976" s="22">
        <v>0.35</v>
      </c>
      <c r="C976" s="34" t="s">
        <v>16</v>
      </c>
      <c r="D976" s="24">
        <v>48.41</v>
      </c>
      <c r="E976" s="25">
        <v>822279</v>
      </c>
      <c r="F976" s="24">
        <f t="shared" si="0"/>
        <v>930.47</v>
      </c>
      <c r="G976" s="26">
        <f t="shared" si="1"/>
        <v>5756291.8700000001</v>
      </c>
      <c r="H976" s="27" t="str">
        <f t="shared" si="2"/>
        <v/>
      </c>
      <c r="J976" s="73"/>
      <c r="K976" s="28"/>
      <c r="L976" s="79"/>
      <c r="M976" s="31"/>
    </row>
    <row r="977" spans="1:13" ht="14.25" customHeight="1">
      <c r="A977" s="32">
        <v>44963</v>
      </c>
      <c r="B977" s="22">
        <v>0.41</v>
      </c>
      <c r="C977" s="34" t="s">
        <v>16</v>
      </c>
      <c r="D977" s="24">
        <v>221.82</v>
      </c>
      <c r="E977" s="25">
        <v>824106</v>
      </c>
      <c r="F977" s="24">
        <f t="shared" si="0"/>
        <v>3730.93</v>
      </c>
      <c r="G977" s="26">
        <f t="shared" si="1"/>
        <v>23081178.959999997</v>
      </c>
      <c r="H977" s="27" t="str">
        <f t="shared" si="2"/>
        <v/>
      </c>
      <c r="J977" s="73"/>
      <c r="K977" s="28"/>
      <c r="L977" s="79"/>
      <c r="M977" s="31"/>
    </row>
    <row r="978" spans="1:13" ht="14.25" customHeight="1">
      <c r="A978" s="32">
        <v>44991</v>
      </c>
      <c r="B978" s="22">
        <v>-0.72</v>
      </c>
      <c r="C978" s="34" t="s">
        <v>16</v>
      </c>
      <c r="D978" s="24">
        <v>4876.16</v>
      </c>
      <c r="E978" s="25">
        <v>824106</v>
      </c>
      <c r="F978" s="24">
        <f t="shared" si="0"/>
        <v>268</v>
      </c>
      <c r="G978" s="26">
        <f t="shared" si="1"/>
        <v>1657964.32</v>
      </c>
      <c r="H978" s="27" t="str">
        <f t="shared" si="2"/>
        <v/>
      </c>
      <c r="J978" s="73"/>
      <c r="K978" s="28"/>
      <c r="L978" s="79"/>
      <c r="M978" s="31"/>
    </row>
    <row r="979" spans="1:13" ht="14.25" customHeight="1">
      <c r="A979" s="32">
        <v>44993</v>
      </c>
      <c r="B979" s="22">
        <v>-0.26</v>
      </c>
      <c r="C979" s="34" t="s">
        <v>16</v>
      </c>
      <c r="D979" s="24">
        <v>10422.969999999999</v>
      </c>
      <c r="E979" s="25">
        <v>824106</v>
      </c>
      <c r="F979" s="24">
        <f t="shared" si="0"/>
        <v>134.9</v>
      </c>
      <c r="G979" s="26">
        <f t="shared" si="1"/>
        <v>834528.97</v>
      </c>
      <c r="H979" s="27" t="str">
        <f t="shared" si="2"/>
        <v/>
      </c>
      <c r="J979" s="73"/>
      <c r="K979" s="28"/>
      <c r="L979" s="79"/>
      <c r="M979" s="31"/>
    </row>
    <row r="980" spans="1:13" ht="14.25" customHeight="1">
      <c r="A980" s="32">
        <v>44994</v>
      </c>
      <c r="B980" s="22">
        <v>56</v>
      </c>
      <c r="C980" s="34" t="s">
        <v>378</v>
      </c>
      <c r="D980" s="24"/>
      <c r="E980" s="25"/>
      <c r="F980" s="24" t="str">
        <f t="shared" si="0"/>
        <v/>
      </c>
      <c r="G980" s="26" t="str">
        <f t="shared" si="1"/>
        <v/>
      </c>
      <c r="H980" s="27" t="str">
        <f t="shared" si="2"/>
        <v>Positional</v>
      </c>
      <c r="J980" s="73"/>
      <c r="K980" s="28"/>
      <c r="L980" s="79"/>
      <c r="M980" s="31"/>
    </row>
    <row r="981" spans="1:13" ht="14.25" customHeight="1">
      <c r="A981" s="32">
        <v>44994</v>
      </c>
      <c r="B981" s="22">
        <v>-0.24</v>
      </c>
      <c r="C981" s="34" t="s">
        <v>16</v>
      </c>
      <c r="D981" s="24">
        <v>4915.7299999999996</v>
      </c>
      <c r="E981" s="25">
        <v>824106</v>
      </c>
      <c r="F981" s="24">
        <f t="shared" si="0"/>
        <v>536.03</v>
      </c>
      <c r="G981" s="26">
        <f t="shared" si="1"/>
        <v>3316086.92</v>
      </c>
      <c r="H981" s="27" t="str">
        <f t="shared" si="2"/>
        <v/>
      </c>
      <c r="J981" s="73"/>
      <c r="K981" s="28"/>
      <c r="L981" s="79"/>
      <c r="M981" s="31"/>
    </row>
    <row r="982" spans="1:13" ht="14.25" customHeight="1">
      <c r="A982" s="32">
        <v>44998</v>
      </c>
      <c r="B982" s="22">
        <v>-6.92</v>
      </c>
      <c r="C982" s="34" t="s">
        <v>20</v>
      </c>
      <c r="D982" s="24">
        <v>4908.8100000000004</v>
      </c>
      <c r="E982" s="25">
        <v>824106</v>
      </c>
      <c r="F982" s="24">
        <f t="shared" si="0"/>
        <v>268.01</v>
      </c>
      <c r="G982" s="26">
        <f t="shared" si="1"/>
        <v>1658029.62</v>
      </c>
      <c r="H982" s="27" t="str">
        <f t="shared" si="2"/>
        <v/>
      </c>
      <c r="J982" s="73"/>
      <c r="K982" s="28"/>
      <c r="L982" s="79"/>
      <c r="M982" s="31"/>
    </row>
    <row r="983" spans="1:13" ht="14.25" customHeight="1">
      <c r="A983" s="32">
        <v>45000</v>
      </c>
      <c r="B983" s="22">
        <v>-22</v>
      </c>
      <c r="C983" s="34" t="s">
        <v>377</v>
      </c>
      <c r="D983" s="24"/>
      <c r="E983" s="25"/>
      <c r="F983" s="24" t="str">
        <f t="shared" si="0"/>
        <v/>
      </c>
      <c r="G983" s="26" t="str">
        <f t="shared" si="1"/>
        <v/>
      </c>
      <c r="H983" s="27" t="str">
        <f t="shared" si="2"/>
        <v>Positional</v>
      </c>
      <c r="J983" s="73"/>
      <c r="K983" s="28"/>
      <c r="L983" s="79"/>
      <c r="M983" s="31"/>
    </row>
    <row r="984" spans="1:13" ht="14.25" customHeight="1">
      <c r="A984" s="32">
        <v>45000</v>
      </c>
      <c r="B984" s="22">
        <v>-0.21</v>
      </c>
      <c r="C984" s="34" t="s">
        <v>16</v>
      </c>
      <c r="D984" s="24">
        <v>215.6</v>
      </c>
      <c r="E984" s="25">
        <v>824106</v>
      </c>
      <c r="F984" s="24">
        <f t="shared" si="0"/>
        <v>932.73</v>
      </c>
      <c r="G984" s="26">
        <f t="shared" si="1"/>
        <v>5770251.2000000002</v>
      </c>
      <c r="H984" s="27" t="str">
        <f t="shared" si="2"/>
        <v/>
      </c>
      <c r="J984" s="73"/>
      <c r="K984" s="28"/>
      <c r="L984" s="79"/>
      <c r="M984" s="31"/>
    </row>
    <row r="985" spans="1:13" ht="14.25" customHeight="1">
      <c r="A985" s="32">
        <v>45007</v>
      </c>
      <c r="B985" s="22">
        <v>-0.02</v>
      </c>
      <c r="C985" s="34" t="s">
        <v>16</v>
      </c>
      <c r="D985" s="24">
        <v>7.58</v>
      </c>
      <c r="E985" s="25">
        <v>824314</v>
      </c>
      <c r="F985" s="24">
        <f t="shared" si="0"/>
        <v>932.73</v>
      </c>
      <c r="G985" s="26">
        <f t="shared" si="1"/>
        <v>5770251.0599999996</v>
      </c>
      <c r="H985" s="27" t="str">
        <f t="shared" si="2"/>
        <v/>
      </c>
      <c r="J985" s="73"/>
      <c r="K985" s="28"/>
      <c r="L985" s="79"/>
      <c r="M985" s="31"/>
    </row>
    <row r="986" spans="1:13" ht="14.25" customHeight="1">
      <c r="A986" s="32">
        <v>45014</v>
      </c>
      <c r="B986" s="22">
        <v>0</v>
      </c>
      <c r="C986" s="34" t="s">
        <v>16</v>
      </c>
      <c r="D986" s="24">
        <v>-80.92</v>
      </c>
      <c r="E986" s="25">
        <v>824314</v>
      </c>
      <c r="F986" s="24">
        <f t="shared" si="0"/>
        <v>133.22999999999999</v>
      </c>
      <c r="G986" s="26">
        <f t="shared" si="1"/>
        <v>824233.08</v>
      </c>
      <c r="H986" s="27" t="str">
        <f t="shared" si="2"/>
        <v/>
      </c>
      <c r="J986" s="73"/>
      <c r="K986" s="28"/>
      <c r="L986" s="79"/>
      <c r="M986" s="31"/>
    </row>
    <row r="987" spans="1:13" ht="14.25" customHeight="1">
      <c r="A987" s="32">
        <v>45015</v>
      </c>
      <c r="B987" s="22">
        <v>0</v>
      </c>
      <c r="C987" s="34" t="s">
        <v>16</v>
      </c>
      <c r="D987" s="24">
        <v>-169.42</v>
      </c>
      <c r="E987" s="25">
        <v>824314</v>
      </c>
      <c r="F987" s="24">
        <f t="shared" si="0"/>
        <v>666.09</v>
      </c>
      <c r="G987" s="26">
        <f t="shared" si="1"/>
        <v>4120722.9</v>
      </c>
      <c r="H987" s="27" t="str">
        <f t="shared" si="2"/>
        <v/>
      </c>
      <c r="J987" s="73"/>
      <c r="K987" s="28"/>
      <c r="L987" s="79"/>
      <c r="M987" s="31"/>
    </row>
    <row r="988" spans="1:13" ht="14.25" customHeight="1">
      <c r="A988" s="32">
        <v>45020</v>
      </c>
      <c r="B988" s="22">
        <v>0</v>
      </c>
      <c r="C988" s="34" t="s">
        <v>16</v>
      </c>
      <c r="D988" s="24">
        <v>330.58</v>
      </c>
      <c r="E988" s="25">
        <v>824314</v>
      </c>
      <c r="F988" s="24">
        <f t="shared" si="0"/>
        <v>266.60000000000002</v>
      </c>
      <c r="G988" s="26">
        <f t="shared" si="1"/>
        <v>1649289.16</v>
      </c>
      <c r="H988" s="27" t="str">
        <f t="shared" si="2"/>
        <v/>
      </c>
      <c r="J988" s="73"/>
      <c r="K988" s="28"/>
      <c r="L988" s="79"/>
      <c r="M988" s="31"/>
    </row>
    <row r="989" spans="1:13" ht="14.25" customHeight="1">
      <c r="A989" s="32">
        <v>45022</v>
      </c>
      <c r="B989" s="22">
        <v>0</v>
      </c>
      <c r="C989" s="34" t="s">
        <v>16</v>
      </c>
      <c r="D989" s="24">
        <v>0</v>
      </c>
      <c r="E989" s="25">
        <v>824314</v>
      </c>
      <c r="F989" s="24">
        <f t="shared" si="0"/>
        <v>133.25</v>
      </c>
      <c r="G989" s="26">
        <f t="shared" si="1"/>
        <v>824314</v>
      </c>
      <c r="H989" s="27" t="str">
        <f t="shared" si="2"/>
        <v/>
      </c>
      <c r="J989" s="73"/>
      <c r="K989" s="28"/>
      <c r="L989" s="79"/>
      <c r="M989" s="31"/>
    </row>
    <row r="990" spans="1:13" ht="14.25" customHeight="1">
      <c r="A990" s="32">
        <v>45023</v>
      </c>
      <c r="B990" s="22">
        <v>0</v>
      </c>
      <c r="C990" s="34" t="s">
        <v>16</v>
      </c>
      <c r="D990" s="24">
        <v>500</v>
      </c>
      <c r="E990" s="25">
        <v>824314</v>
      </c>
      <c r="F990" s="24">
        <f t="shared" si="0"/>
        <v>666.63</v>
      </c>
      <c r="G990" s="26">
        <f t="shared" si="1"/>
        <v>4124070</v>
      </c>
      <c r="H990" s="27" t="str">
        <f t="shared" si="2"/>
        <v/>
      </c>
      <c r="J990" s="73"/>
      <c r="K990" s="28"/>
      <c r="L990" s="79"/>
      <c r="M990" s="31"/>
    </row>
    <row r="991" spans="1:13" ht="14.25" customHeight="1">
      <c r="A991" s="32">
        <v>45028</v>
      </c>
      <c r="B991" s="22">
        <v>232</v>
      </c>
      <c r="C991" s="34" t="s">
        <v>382</v>
      </c>
      <c r="D991" s="24"/>
      <c r="E991" s="25"/>
      <c r="F991" s="24" t="str">
        <f t="shared" si="0"/>
        <v/>
      </c>
      <c r="G991" s="26" t="str">
        <f t="shared" si="1"/>
        <v/>
      </c>
      <c r="H991" s="27" t="str">
        <f t="shared" si="2"/>
        <v>Positional</v>
      </c>
      <c r="J991" s="73"/>
      <c r="K991" s="28"/>
      <c r="L991" s="79"/>
      <c r="M991" s="31"/>
    </row>
    <row r="992" spans="1:13" ht="14.25" customHeight="1">
      <c r="A992" s="32">
        <v>45028</v>
      </c>
      <c r="B992" s="22">
        <v>228</v>
      </c>
      <c r="C992" s="34" t="s">
        <v>383</v>
      </c>
      <c r="D992" s="24"/>
      <c r="E992" s="25"/>
      <c r="F992" s="24" t="str">
        <f t="shared" si="0"/>
        <v/>
      </c>
      <c r="G992" s="26" t="str">
        <f t="shared" si="1"/>
        <v/>
      </c>
      <c r="H992" s="27" t="str">
        <f t="shared" si="2"/>
        <v>Positional</v>
      </c>
      <c r="J992" s="73"/>
      <c r="K992" s="28"/>
      <c r="L992" s="79"/>
      <c r="M992" s="31"/>
    </row>
    <row r="993" spans="1:14" ht="14.25" customHeight="1">
      <c r="A993" s="32">
        <v>45028</v>
      </c>
      <c r="B993" s="22">
        <v>0.11</v>
      </c>
      <c r="C993" s="34" t="s">
        <v>16</v>
      </c>
      <c r="D993" s="24">
        <v>10770.24</v>
      </c>
      <c r="E993" s="25">
        <v>814472</v>
      </c>
      <c r="F993" s="24">
        <f t="shared" si="0"/>
        <v>133.4</v>
      </c>
      <c r="G993" s="26">
        <f t="shared" si="1"/>
        <v>825242.24</v>
      </c>
      <c r="H993" s="27" t="str">
        <f t="shared" si="2"/>
        <v/>
      </c>
      <c r="J993" s="73"/>
      <c r="K993" s="28"/>
      <c r="L993" s="79"/>
      <c r="M993" s="31"/>
    </row>
    <row r="994" spans="1:14" ht="14.25" customHeight="1">
      <c r="A994" s="32">
        <v>45029</v>
      </c>
      <c r="B994" s="22">
        <v>0.27</v>
      </c>
      <c r="C994" s="34" t="s">
        <v>16</v>
      </c>
      <c r="D994" s="24">
        <v>5396.51</v>
      </c>
      <c r="E994" s="25">
        <v>819846</v>
      </c>
      <c r="F994" s="24">
        <f t="shared" si="0"/>
        <v>1467.35</v>
      </c>
      <c r="G994" s="26">
        <f t="shared" si="1"/>
        <v>9077667.6099999994</v>
      </c>
      <c r="H994" s="27" t="str">
        <f t="shared" si="2"/>
        <v/>
      </c>
      <c r="J994" s="73"/>
      <c r="K994" s="28"/>
      <c r="L994" s="79"/>
      <c r="M994" s="31"/>
    </row>
    <row r="995" spans="1:14" ht="14.25" customHeight="1">
      <c r="A995" s="32">
        <v>45040</v>
      </c>
      <c r="B995" s="22">
        <v>163</v>
      </c>
      <c r="C995" s="34" t="s">
        <v>384</v>
      </c>
      <c r="D995" s="24"/>
      <c r="E995" s="25"/>
      <c r="F995" s="24" t="str">
        <f t="shared" si="0"/>
        <v/>
      </c>
      <c r="G995" s="26" t="str">
        <f t="shared" si="1"/>
        <v/>
      </c>
      <c r="H995" s="27" t="str">
        <f t="shared" si="2"/>
        <v>Positional</v>
      </c>
      <c r="J995" s="73"/>
      <c r="K995" s="28"/>
      <c r="L995" s="79"/>
      <c r="M995" s="31"/>
    </row>
    <row r="996" spans="1:14" ht="14.25" customHeight="1">
      <c r="A996" s="32">
        <v>45040</v>
      </c>
      <c r="B996" s="22">
        <v>12.55</v>
      </c>
      <c r="C996" s="34" t="s">
        <v>20</v>
      </c>
      <c r="D996" s="24">
        <v>8297.14</v>
      </c>
      <c r="E996" s="25">
        <v>817105</v>
      </c>
      <c r="F996" s="24">
        <f t="shared" si="0"/>
        <v>133.41999999999999</v>
      </c>
      <c r="G996" s="26">
        <f t="shared" si="1"/>
        <v>825402.14</v>
      </c>
      <c r="H996" s="27" t="str">
        <f t="shared" si="2"/>
        <v/>
      </c>
      <c r="J996" s="73"/>
      <c r="K996" s="28"/>
      <c r="L996" s="79"/>
      <c r="M996" s="31"/>
    </row>
    <row r="997" spans="1:14" ht="14.25" customHeight="1">
      <c r="A997" s="32">
        <v>45041</v>
      </c>
      <c r="B997" s="22">
        <v>216</v>
      </c>
      <c r="C997" s="34" t="s">
        <v>385</v>
      </c>
      <c r="D997" s="24"/>
      <c r="E997" s="25"/>
      <c r="F997" s="24" t="str">
        <f t="shared" si="0"/>
        <v/>
      </c>
      <c r="G997" s="26" t="str">
        <f t="shared" si="1"/>
        <v/>
      </c>
      <c r="H997" s="27" t="str">
        <f t="shared" si="2"/>
        <v>Positional</v>
      </c>
      <c r="J997" s="73"/>
      <c r="K997" s="28"/>
      <c r="L997" s="79"/>
      <c r="M997" s="31"/>
    </row>
    <row r="998" spans="1:14" ht="14.25" customHeight="1">
      <c r="A998" s="32">
        <v>45041</v>
      </c>
      <c r="B998" s="22">
        <f>0.41-0.1</f>
        <v>0.30999999999999994</v>
      </c>
      <c r="C998" s="34" t="s">
        <v>16</v>
      </c>
      <c r="D998" s="24">
        <v>10324.11</v>
      </c>
      <c r="E998" s="25">
        <f>815278-159</f>
        <v>815119</v>
      </c>
      <c r="F998" s="24">
        <f t="shared" si="0"/>
        <v>133.43</v>
      </c>
      <c r="G998" s="26">
        <f t="shared" si="1"/>
        <v>825443.11</v>
      </c>
      <c r="H998" s="27" t="str">
        <f t="shared" si="2"/>
        <v/>
      </c>
      <c r="J998" s="73"/>
      <c r="K998" s="28"/>
      <c r="L998" s="79"/>
      <c r="M998" s="31"/>
    </row>
    <row r="999" spans="1:14" ht="14.25" customHeight="1">
      <c r="A999" s="32">
        <v>45042</v>
      </c>
      <c r="B999" s="22">
        <v>139</v>
      </c>
      <c r="C999" s="34" t="s">
        <v>378</v>
      </c>
      <c r="D999" s="24"/>
      <c r="E999" s="25"/>
      <c r="F999" s="24" t="str">
        <f t="shared" si="0"/>
        <v/>
      </c>
      <c r="G999" s="26" t="str">
        <f t="shared" si="1"/>
        <v/>
      </c>
      <c r="H999" s="27" t="str">
        <f t="shared" si="2"/>
        <v>Positional</v>
      </c>
      <c r="J999" s="73"/>
      <c r="K999" s="28"/>
      <c r="L999" s="79"/>
      <c r="M999" s="31"/>
    </row>
    <row r="1000" spans="1:14" ht="14.25" customHeight="1">
      <c r="A1000" s="32">
        <v>45042</v>
      </c>
      <c r="B1000" s="22">
        <v>-0.49</v>
      </c>
      <c r="C1000" s="34" t="s">
        <v>16</v>
      </c>
      <c r="D1000" s="24">
        <v>15820.7</v>
      </c>
      <c r="E1000" s="25">
        <v>809745</v>
      </c>
      <c r="F1000" s="24">
        <f t="shared" si="0"/>
        <v>133.44999999999999</v>
      </c>
      <c r="G1000" s="26">
        <f t="shared" si="1"/>
        <v>825565.7</v>
      </c>
      <c r="H1000" s="27" t="str">
        <f t="shared" si="2"/>
        <v/>
      </c>
      <c r="J1000" s="73"/>
      <c r="K1000" s="28"/>
      <c r="L1000" s="79"/>
      <c r="M1000" s="31"/>
    </row>
    <row r="1001" spans="1:14" ht="14.25" customHeight="1">
      <c r="A1001" s="32">
        <v>45043</v>
      </c>
      <c r="B1001" s="22">
        <v>138.51</v>
      </c>
      <c r="C1001" s="34" t="s">
        <v>20</v>
      </c>
      <c r="D1001" s="24">
        <v>15959.21</v>
      </c>
      <c r="E1001" s="25">
        <v>809745</v>
      </c>
      <c r="F1001" s="24">
        <f t="shared" si="0"/>
        <v>133.47</v>
      </c>
      <c r="G1001" s="26">
        <f t="shared" si="1"/>
        <v>825704.21</v>
      </c>
      <c r="H1001" s="27" t="str">
        <f t="shared" si="2"/>
        <v/>
      </c>
      <c r="J1001" s="73"/>
      <c r="K1001" s="28"/>
      <c r="L1001" s="79"/>
      <c r="M1001" s="31"/>
    </row>
    <row r="1002" spans="1:14" ht="14.25" customHeight="1">
      <c r="A1002" s="32">
        <v>45044</v>
      </c>
      <c r="B1002" s="22">
        <v>185</v>
      </c>
      <c r="C1002" s="34" t="s">
        <v>20</v>
      </c>
      <c r="D1002" s="24">
        <v>16144.2</v>
      </c>
      <c r="E1002" s="25">
        <v>809745</v>
      </c>
      <c r="F1002" s="24">
        <f t="shared" si="0"/>
        <v>534</v>
      </c>
      <c r="G1002" s="26">
        <f t="shared" si="1"/>
        <v>3303556.8</v>
      </c>
      <c r="H1002" s="27" t="str">
        <f t="shared" si="2"/>
        <v/>
      </c>
      <c r="J1002" s="73"/>
      <c r="K1002" s="28"/>
      <c r="L1002" s="79"/>
      <c r="M1002" s="31"/>
    </row>
    <row r="1003" spans="1:14" ht="14.25" customHeight="1">
      <c r="A1003" s="81">
        <v>45048</v>
      </c>
      <c r="B1003" s="82">
        <v>41.31</v>
      </c>
      <c r="C1003" s="34" t="s">
        <v>20</v>
      </c>
      <c r="D1003" s="83">
        <v>16185.51</v>
      </c>
      <c r="E1003" s="25">
        <v>809745</v>
      </c>
      <c r="F1003" s="24">
        <f t="shared" si="0"/>
        <v>133.51</v>
      </c>
      <c r="G1003" s="26">
        <f t="shared" si="1"/>
        <v>825930.51</v>
      </c>
      <c r="H1003" s="27" t="str">
        <f t="shared" si="2"/>
        <v/>
      </c>
      <c r="J1003" s="73"/>
      <c r="K1003" s="28"/>
      <c r="L1003" s="79"/>
      <c r="M1003" s="31"/>
    </row>
    <row r="1004" spans="1:14" ht="14.25" customHeight="1">
      <c r="A1004" s="81">
        <v>45049</v>
      </c>
      <c r="B1004" s="22">
        <v>256</v>
      </c>
      <c r="C1004" s="34" t="s">
        <v>135</v>
      </c>
      <c r="D1004" s="24"/>
      <c r="E1004" s="25">
        <v>801485</v>
      </c>
      <c r="F1004" s="24">
        <f t="shared" si="0"/>
        <v>129.56</v>
      </c>
      <c r="G1004" s="26">
        <f t="shared" si="1"/>
        <v>801485</v>
      </c>
      <c r="H1004" s="27" t="str">
        <f t="shared" si="2"/>
        <v>Positional</v>
      </c>
      <c r="J1004" s="73"/>
      <c r="K1004" s="28"/>
      <c r="L1004" s="79"/>
      <c r="M1004" s="31"/>
    </row>
    <row r="1005" spans="1:14" ht="14.25" customHeight="1">
      <c r="A1005" s="81">
        <v>45050</v>
      </c>
      <c r="B1005" s="22"/>
      <c r="C1005" s="23"/>
      <c r="D1005" s="24"/>
      <c r="E1005" s="25"/>
      <c r="F1005" s="24" t="str">
        <f t="shared" si="0"/>
        <v/>
      </c>
      <c r="G1005" s="26" t="str">
        <f t="shared" si="1"/>
        <v/>
      </c>
      <c r="H1005" s="27" t="str">
        <f t="shared" si="2"/>
        <v/>
      </c>
      <c r="J1005" s="73"/>
      <c r="K1005" s="28"/>
      <c r="L1005" s="79"/>
      <c r="M1005" s="31"/>
    </row>
    <row r="1006" spans="1:14" ht="14.25" customHeight="1">
      <c r="A1006" s="35" t="s">
        <v>391</v>
      </c>
      <c r="B1006" s="36">
        <f>ROUND(SUM(B236:B1005),2)</f>
        <v>-154322.07999999999</v>
      </c>
      <c r="C1006" s="23"/>
      <c r="D1006" s="24"/>
      <c r="E1006" s="25"/>
      <c r="F1006" s="37">
        <f>ROUND(SUM(F236:F1005),2)</f>
        <v>80410.13</v>
      </c>
      <c r="G1006" s="26"/>
      <c r="H1006" s="27" t="str">
        <f>IF(AND(C1006&lt;&gt;"",C1006&lt;&gt;"R/O Adjustment",C1006&lt;&gt;"IntraDay",C1006&lt;&gt;"F&amp;O"),"Positional","")</f>
        <v/>
      </c>
      <c r="J1006" s="28"/>
      <c r="K1006" s="31" t="s">
        <v>18</v>
      </c>
      <c r="L1006" s="84">
        <f>ROUND(SUM(L236:L1005),2)</f>
        <v>6063.24</v>
      </c>
      <c r="M1006" s="31"/>
    </row>
    <row r="1007" spans="1:14" ht="5.25" customHeight="1">
      <c r="B1007" s="39"/>
      <c r="C1007" s="40"/>
      <c r="D1007" s="39"/>
      <c r="E1007" s="41"/>
      <c r="G1007" s="42"/>
      <c r="H1007" s="40"/>
    </row>
    <row r="1008" spans="1:14" ht="15.75" customHeight="1">
      <c r="A1008" s="43" t="s">
        <v>19</v>
      </c>
      <c r="B1008" s="44">
        <f>ROUND(SUMIF(H236:H1005,A1008,B236:B1005),2)</f>
        <v>126342.92</v>
      </c>
      <c r="D1008" s="45">
        <f>D1010-C232</f>
        <v>16185.51</v>
      </c>
      <c r="E1008" s="25">
        <f>Holding!J$82</f>
        <v>801485</v>
      </c>
      <c r="F1008" s="85">
        <f t="array" ref="F1008">E1008-LOOKUP(2,1/(E1:E1007&lt;&gt;""),E1:E1007)</f>
        <v>0</v>
      </c>
      <c r="J1008" s="86" t="s">
        <v>23</v>
      </c>
      <c r="K1008" s="87" t="s">
        <v>20</v>
      </c>
      <c r="L1008" s="87" t="s">
        <v>4</v>
      </c>
      <c r="M1008" s="87" t="s">
        <v>19</v>
      </c>
      <c r="N1008" s="87" t="s">
        <v>24</v>
      </c>
    </row>
    <row r="1009" spans="1:14" ht="15" customHeight="1">
      <c r="A1009" s="43" t="s">
        <v>20</v>
      </c>
      <c r="B1009" s="44">
        <f>ROUND(SUMIF(C236:C1005,A1009,B236:B1005),2)</f>
        <v>11300.14</v>
      </c>
      <c r="C1009" s="43" t="s">
        <v>21</v>
      </c>
      <c r="D1009" s="47">
        <f>B232+B1006-B1021-L1006</f>
        <v>24685.580000000067</v>
      </c>
      <c r="J1009" s="88">
        <v>44136</v>
      </c>
      <c r="K1009" s="89">
        <v>0</v>
      </c>
      <c r="L1009" s="89">
        <v>0</v>
      </c>
      <c r="M1009" s="89">
        <v>3460.83</v>
      </c>
      <c r="N1009" s="89">
        <f t="shared" ref="N1009:N1037" si="3">SUM(K1009:M1009)</f>
        <v>3460.83</v>
      </c>
    </row>
    <row r="1010" spans="1:14" ht="15" customHeight="1">
      <c r="A1010" s="43" t="s">
        <v>4</v>
      </c>
      <c r="B1010" s="48">
        <f>ROUND(SUMIF(C236:C1005,A1010,B236:B1005),2)</f>
        <v>-291958.27</v>
      </c>
      <c r="C1010" s="43" t="s">
        <v>392</v>
      </c>
      <c r="D1010" s="83">
        <v>16185.51</v>
      </c>
      <c r="F1010" s="43" t="s">
        <v>22</v>
      </c>
      <c r="G1010" s="48">
        <f>ROUND(SUMIFS(B236:B1005,C236:C1005,A1010,B236:B1005, "&gt;0"),2)</f>
        <v>101624.03</v>
      </c>
      <c r="H1010" s="49">
        <f>COUNTIFS(B236:B1005,"&gt;0",C236:C1005,A1010)</f>
        <v>57</v>
      </c>
      <c r="J1010" s="52">
        <v>44228</v>
      </c>
      <c r="K1010" s="53">
        <v>1823.52</v>
      </c>
      <c r="L1010" s="53">
        <v>0</v>
      </c>
      <c r="M1010" s="53">
        <v>-17022.02</v>
      </c>
      <c r="N1010" s="53">
        <f t="shared" si="3"/>
        <v>-15198.5</v>
      </c>
    </row>
    <row r="1011" spans="1:14" ht="15" customHeight="1">
      <c r="A1011" s="43" t="s">
        <v>16</v>
      </c>
      <c r="B1011" s="54">
        <f>ROUND(SUMIF(C236:C1005,A1011,B236:B1005),2)</f>
        <v>-6.87</v>
      </c>
      <c r="C1011" s="55" t="s">
        <v>393</v>
      </c>
      <c r="D1011" s="56">
        <f>D1010-D1009</f>
        <v>-8500.070000000067</v>
      </c>
      <c r="E1011" s="56">
        <v>-7.2759576141834259E-12</v>
      </c>
      <c r="F1011" s="43" t="s">
        <v>26</v>
      </c>
      <c r="G1011" s="48">
        <f>ROUND(SUMIFS(B236:B1005,C236:C1005,A1010,B236:B1005, "&lt;0"),2)</f>
        <v>-393582.3</v>
      </c>
      <c r="H1011" s="49">
        <f>COUNTIFS(B236:B1005,"&lt;0",C236:C1005,A1010)</f>
        <v>47</v>
      </c>
      <c r="J1011" s="57">
        <v>44256</v>
      </c>
      <c r="K1011" s="46">
        <v>-2673.56</v>
      </c>
      <c r="L1011" s="46">
        <v>0</v>
      </c>
      <c r="M1011" s="46">
        <v>0</v>
      </c>
      <c r="N1011" s="46">
        <f t="shared" si="3"/>
        <v>-2673.56</v>
      </c>
    </row>
    <row r="1012" spans="1:14" ht="15.75" customHeight="1">
      <c r="A1012" s="43" t="s">
        <v>28</v>
      </c>
      <c r="B1012" s="58">
        <f>SUM(B1008:B1011)</f>
        <v>-154322.08000000002</v>
      </c>
      <c r="J1012" s="52">
        <v>44287</v>
      </c>
      <c r="K1012" s="53">
        <v>-6105.45</v>
      </c>
      <c r="L1012" s="53">
        <v>0</v>
      </c>
      <c r="M1012" s="53">
        <v>2683.46</v>
      </c>
      <c r="N1012" s="53">
        <f t="shared" si="3"/>
        <v>-3421.99</v>
      </c>
    </row>
    <row r="1013" spans="1:14" ht="15.75" customHeight="1">
      <c r="J1013" s="57">
        <v>44317</v>
      </c>
      <c r="K1013" s="46">
        <v>937.15</v>
      </c>
      <c r="L1013" s="46">
        <v>0</v>
      </c>
      <c r="M1013" s="46">
        <v>566.71</v>
      </c>
      <c r="N1013" s="46">
        <f t="shared" si="3"/>
        <v>1503.8600000000001</v>
      </c>
    </row>
    <row r="1014" spans="1:14" ht="15.75" customHeight="1">
      <c r="A1014" s="90">
        <v>45047</v>
      </c>
      <c r="B1014" s="90">
        <v>45077</v>
      </c>
      <c r="C1014" s="43" t="s">
        <v>19</v>
      </c>
      <c r="D1014" s="44">
        <f>Holding!T566</f>
        <v>126342.91999999998</v>
      </c>
      <c r="J1014" s="52">
        <v>44348</v>
      </c>
      <c r="K1014" s="53">
        <v>3399.82</v>
      </c>
      <c r="L1014" s="53">
        <v>0</v>
      </c>
      <c r="M1014" s="53">
        <v>21681.66</v>
      </c>
      <c r="N1014" s="53">
        <f t="shared" si="3"/>
        <v>25081.48</v>
      </c>
    </row>
    <row r="1015" spans="1:14" ht="15.75" customHeight="1">
      <c r="A1015" s="63" t="s">
        <v>20</v>
      </c>
      <c r="B1015" s="64">
        <f>ROUND(SUMIFS(B236:B1005,C236:C1005,A1015,A236:A1005,"&gt;="&amp;A1014,A236:A1005,"&lt;="&amp;B1014),2)</f>
        <v>41.31</v>
      </c>
      <c r="C1015" s="55" t="s">
        <v>30</v>
      </c>
      <c r="D1015" s="65">
        <f>D1014-B1008</f>
        <v>0</v>
      </c>
      <c r="J1015" s="57">
        <v>44378</v>
      </c>
      <c r="K1015" s="46">
        <v>227.67</v>
      </c>
      <c r="L1015" s="46">
        <v>0</v>
      </c>
      <c r="M1015" s="46">
        <v>2090.61</v>
      </c>
      <c r="N1015" s="46">
        <f t="shared" si="3"/>
        <v>2318.2800000000002</v>
      </c>
    </row>
    <row r="1016" spans="1:14" ht="15.75" customHeight="1">
      <c r="A1016" s="63" t="s">
        <v>19</v>
      </c>
      <c r="B1016" s="64">
        <f>ROUND(SUMIFS(B236:B1005,H236:H1005,A1016,A236:A1005,"&gt;="&amp;A1014,A236:A1005,"&lt;="&amp;B1014),2)</f>
        <v>256</v>
      </c>
      <c r="C1016" s="43" t="s">
        <v>20</v>
      </c>
      <c r="D1016" s="66">
        <f>Trade!Z1794</f>
        <v>11300.139999999998</v>
      </c>
      <c r="J1016" s="52">
        <v>44409</v>
      </c>
      <c r="K1016" s="53">
        <v>-118.91</v>
      </c>
      <c r="L1016" s="53">
        <v>0</v>
      </c>
      <c r="M1016" s="53">
        <v>849.03</v>
      </c>
      <c r="N1016" s="53">
        <f t="shared" si="3"/>
        <v>730.12</v>
      </c>
    </row>
    <row r="1017" spans="1:14" ht="15.75" customHeight="1">
      <c r="A1017" s="63" t="s">
        <v>4</v>
      </c>
      <c r="B1017" s="67">
        <f>ROUND(SUMIFS(B236:B1005,C236:C1005,A1017,A236:A1005,"&gt;="&amp;A1014,A236:A1005,"&lt;="&amp;B1014),2)</f>
        <v>0</v>
      </c>
      <c r="C1017" s="55" t="s">
        <v>30</v>
      </c>
      <c r="D1017" s="65">
        <f>D1016-B1009</f>
        <v>0</v>
      </c>
      <c r="E1017" s="49">
        <f>ROUND(COUNTIFS(B236:B1005,"&gt;0",C236:C1005,A1017,A236:A1005,"&gt;="&amp;A1014,A236:A1005,"&lt;="&amp;B1014),2)</f>
        <v>0</v>
      </c>
      <c r="F1017" s="48">
        <f>ROUND(SUMIFS(B236:B1005,C236:C1005,A1010,B236:B1005,"&gt;0",A236:A1005,"&gt;="&amp;A1014,A236:A1005,"&lt;="&amp;B1014),2)</f>
        <v>0</v>
      </c>
      <c r="G1017" s="48" t="e">
        <f t="shared" ref="G1017:G1018" si="4">F1017/E1017</f>
        <v>#DIV/0!</v>
      </c>
      <c r="J1017" s="57">
        <v>44440</v>
      </c>
      <c r="K1017" s="46">
        <v>-2951.12</v>
      </c>
      <c r="L1017" s="46">
        <v>0</v>
      </c>
      <c r="M1017" s="46">
        <v>6045.71</v>
      </c>
      <c r="N1017" s="46">
        <f t="shared" si="3"/>
        <v>3094.59</v>
      </c>
    </row>
    <row r="1018" spans="1:14" ht="15.75" customHeight="1">
      <c r="A1018" s="63" t="s">
        <v>16</v>
      </c>
      <c r="B1018" s="64">
        <f>ROUND(SUMIFS(B236:B1005,C236:C1005,A1018,A236:A1005,"&gt;="&amp;A1014,A236:A1005,"&lt;="&amp;B1014),2)</f>
        <v>0</v>
      </c>
      <c r="C1018" s="43" t="s">
        <v>4</v>
      </c>
      <c r="D1018" s="44">
        <f>Trade!Z1795</f>
        <v>-291958.26999999996</v>
      </c>
      <c r="E1018" s="49">
        <f>ROUND(COUNTIFS(B236:B1005,"&lt;0",C236:C1005,A1017,A236:A1005,"&gt;="&amp;A1014,A236:A1005,"&lt;="&amp;B1014),2)</f>
        <v>0</v>
      </c>
      <c r="F1018" s="48">
        <f>ROUND(SUMIFS(B236:B1005,C236:C1005,A1010,B236:B1005,"&lt;0",A236:A1005,"&gt;="&amp;A1014,A236:A1005,"&lt;="&amp;B1014),2)</f>
        <v>0</v>
      </c>
      <c r="G1018" s="48" t="e">
        <f t="shared" si="4"/>
        <v>#DIV/0!</v>
      </c>
      <c r="J1018" s="52">
        <v>44470</v>
      </c>
      <c r="K1018" s="53">
        <v>2566.8000000000002</v>
      </c>
      <c r="L1018" s="53">
        <v>0</v>
      </c>
      <c r="M1018" s="53">
        <v>4507.32</v>
      </c>
      <c r="N1018" s="53">
        <f t="shared" si="3"/>
        <v>7074.12</v>
      </c>
    </row>
    <row r="1019" spans="1:14" ht="15.75" customHeight="1">
      <c r="A1019" s="63" t="s">
        <v>32</v>
      </c>
      <c r="B1019" s="68">
        <f>SUM(B1015:B1018)</f>
        <v>297.31</v>
      </c>
      <c r="C1019" s="55" t="s">
        <v>30</v>
      </c>
      <c r="D1019" s="65">
        <f>D1018-B1010</f>
        <v>0</v>
      </c>
      <c r="J1019" s="57">
        <v>44501</v>
      </c>
      <c r="K1019" s="46">
        <v>727.98</v>
      </c>
      <c r="L1019" s="46">
        <v>-2057.9299999999998</v>
      </c>
      <c r="M1019" s="46">
        <v>5252</v>
      </c>
      <c r="N1019" s="46">
        <f t="shared" si="3"/>
        <v>3922.05</v>
      </c>
    </row>
    <row r="1020" spans="1:14" ht="15.75" customHeight="1">
      <c r="J1020" s="52">
        <v>44531</v>
      </c>
      <c r="K1020" s="53">
        <v>1050.52</v>
      </c>
      <c r="L1020" s="53">
        <v>0</v>
      </c>
      <c r="M1020" s="53">
        <v>-6339</v>
      </c>
      <c r="N1020" s="53">
        <f t="shared" si="3"/>
        <v>-5288.48</v>
      </c>
    </row>
    <row r="1021" spans="1:14" ht="15.75" customHeight="1">
      <c r="A1021" s="43" t="s">
        <v>394</v>
      </c>
      <c r="B1021" s="47">
        <f>Holding!J$82</f>
        <v>801485</v>
      </c>
      <c r="C1021" s="43" t="s">
        <v>395</v>
      </c>
      <c r="D1021" s="44">
        <f>B1012+Dhan!B26+Kotak!B101</f>
        <v>-198469.23000000004</v>
      </c>
      <c r="J1021" s="57">
        <v>44562</v>
      </c>
      <c r="K1021" s="46">
        <f>3887.33-0.05</f>
        <v>3887.2799999999997</v>
      </c>
      <c r="L1021" s="46">
        <v>889.33</v>
      </c>
      <c r="M1021" s="46">
        <f>4874-3</f>
        <v>4871</v>
      </c>
      <c r="N1021" s="46">
        <f t="shared" si="3"/>
        <v>9647.61</v>
      </c>
    </row>
    <row r="1022" spans="1:14" ht="15.75" customHeight="1">
      <c r="A1022" s="43" t="s">
        <v>396</v>
      </c>
      <c r="B1022" s="47">
        <f>D1008</f>
        <v>16185.51</v>
      </c>
      <c r="C1022" s="43" t="s">
        <v>397</v>
      </c>
      <c r="D1022" s="91">
        <f>L1006+Kotak!L$95</f>
        <v>6060.76</v>
      </c>
      <c r="J1022" s="52">
        <v>44593</v>
      </c>
      <c r="K1022" s="53">
        <v>718.67</v>
      </c>
      <c r="L1022" s="53">
        <v>-28014.87</v>
      </c>
      <c r="M1022" s="53">
        <v>2456</v>
      </c>
      <c r="N1022" s="53">
        <f t="shared" si="3"/>
        <v>-24840.2</v>
      </c>
    </row>
    <row r="1023" spans="1:14" ht="15.75" customHeight="1">
      <c r="A1023" s="43" t="s">
        <v>398</v>
      </c>
      <c r="B1023" s="47">
        <f>Kotak!D97</f>
        <v>2974.89</v>
      </c>
      <c r="C1023" s="43" t="s">
        <v>399</v>
      </c>
      <c r="D1023" s="47">
        <f>Trade!AC1797+Trade!AD1797</f>
        <v>10800</v>
      </c>
      <c r="J1023" s="57">
        <v>44621</v>
      </c>
      <c r="K1023" s="46">
        <v>536.70000000000005</v>
      </c>
      <c r="L1023" s="46">
        <v>-8513.2800000000007</v>
      </c>
      <c r="M1023" s="46">
        <v>9500</v>
      </c>
      <c r="N1023" s="46">
        <f t="shared" si="3"/>
        <v>1523.4199999999992</v>
      </c>
    </row>
    <row r="1024" spans="1:14" ht="15.75" customHeight="1">
      <c r="A1024" s="43" t="s">
        <v>400</v>
      </c>
      <c r="B1024" s="47">
        <f>Dhan!D22</f>
        <v>0</v>
      </c>
      <c r="C1024" s="43" t="s">
        <v>401</v>
      </c>
      <c r="D1024" s="92">
        <f>F1006+Dhan!F20+Kotak!F95</f>
        <v>80610.41</v>
      </c>
      <c r="J1024" s="52">
        <v>44652</v>
      </c>
      <c r="K1024" s="53">
        <v>572.73</v>
      </c>
      <c r="L1024" s="53">
        <v>-50672.82</v>
      </c>
      <c r="M1024" s="53">
        <v>19768</v>
      </c>
      <c r="N1024" s="53">
        <f t="shared" si="3"/>
        <v>-30332.089999999997</v>
      </c>
    </row>
    <row r="1025" spans="1:14" ht="15.75" customHeight="1">
      <c r="A1025" s="43" t="s">
        <v>402</v>
      </c>
      <c r="B1025" s="47">
        <f>B232</f>
        <v>986555.9</v>
      </c>
      <c r="C1025" s="43" t="s">
        <v>403</v>
      </c>
      <c r="D1025" s="47">
        <f>Kotak!E$101</f>
        <v>-0.70000000000081852</v>
      </c>
      <c r="J1025" s="57">
        <v>44682</v>
      </c>
      <c r="K1025" s="46">
        <v>1374.93</v>
      </c>
      <c r="L1025" s="46">
        <v>-69618.960000000006</v>
      </c>
      <c r="M1025" s="46">
        <v>16401</v>
      </c>
      <c r="N1025" s="46">
        <f t="shared" si="3"/>
        <v>-51843.030000000013</v>
      </c>
    </row>
    <row r="1026" spans="1:14" ht="15.75" customHeight="1">
      <c r="A1026" s="43" t="s">
        <v>404</v>
      </c>
      <c r="B1026" s="47">
        <f>Dhan!B9</f>
        <v>20120.259999999998</v>
      </c>
      <c r="C1026" s="43" t="s">
        <v>405</v>
      </c>
      <c r="D1026" s="93"/>
      <c r="J1026" s="52">
        <v>44713</v>
      </c>
      <c r="K1026" s="53">
        <v>988.41</v>
      </c>
      <c r="L1026" s="53">
        <v>-35754.21</v>
      </c>
      <c r="M1026" s="53">
        <v>5688</v>
      </c>
      <c r="N1026" s="53">
        <f t="shared" si="3"/>
        <v>-29077.799999999996</v>
      </c>
    </row>
    <row r="1027" spans="1:14" ht="15.75" customHeight="1">
      <c r="A1027" s="43" t="s">
        <v>406</v>
      </c>
      <c r="B1027" s="47">
        <f>Kotak!B15</f>
        <v>27000</v>
      </c>
      <c r="J1027" s="57">
        <v>44743</v>
      </c>
      <c r="K1027" s="46">
        <f>692.51</f>
        <v>692.51</v>
      </c>
      <c r="L1027" s="46">
        <v>-19205.75</v>
      </c>
      <c r="M1027" s="46">
        <v>5030</v>
      </c>
      <c r="N1027" s="46">
        <f t="shared" si="3"/>
        <v>-13483.240000000002</v>
      </c>
    </row>
    <row r="1028" spans="1:14" ht="15.75" customHeight="1">
      <c r="A1028" s="43" t="s">
        <v>407</v>
      </c>
      <c r="B1028" s="47">
        <f>Trade!AC1797+Trade!AD1797</f>
        <v>10800</v>
      </c>
      <c r="C1028" s="43"/>
      <c r="D1028" s="47"/>
      <c r="J1028" s="52">
        <v>44774</v>
      </c>
      <c r="K1028" s="53">
        <v>974.3</v>
      </c>
      <c r="L1028" s="53">
        <v>-28844.649999999998</v>
      </c>
      <c r="M1028" s="53">
        <v>8856</v>
      </c>
      <c r="N1028" s="53">
        <f t="shared" si="3"/>
        <v>-19014.349999999999</v>
      </c>
    </row>
    <row r="1029" spans="1:14" ht="15.75" customHeight="1">
      <c r="A1029" s="55" t="s">
        <v>408</v>
      </c>
      <c r="B1029" s="94">
        <f>SUM(B1021:B1024)-SUM(B1025:B1028)</f>
        <v>-223830.76</v>
      </c>
      <c r="C1029" s="55" t="s">
        <v>409</v>
      </c>
      <c r="D1029" s="94">
        <f>D1021-SUM(D1022:D1024)</f>
        <v>-295940.40000000002</v>
      </c>
      <c r="J1029" s="57">
        <v>44805</v>
      </c>
      <c r="K1029" s="46">
        <v>1490.28</v>
      </c>
      <c r="L1029" s="46">
        <v>-59714.6</v>
      </c>
      <c r="M1029" s="46">
        <v>8715</v>
      </c>
      <c r="N1029" s="46">
        <f t="shared" si="3"/>
        <v>-49509.32</v>
      </c>
    </row>
    <row r="1030" spans="1:14" ht="15.75" customHeight="1">
      <c r="A1030" s="43" t="s">
        <v>28</v>
      </c>
      <c r="B1030" s="44">
        <f>D1021-D1022-D1023+D1025</f>
        <v>-215330.69000000006</v>
      </c>
      <c r="J1030" s="52">
        <v>44835</v>
      </c>
      <c r="K1030" s="53">
        <v>-1.36</v>
      </c>
      <c r="L1030" s="53">
        <v>0</v>
      </c>
      <c r="M1030" s="53">
        <v>2219</v>
      </c>
      <c r="N1030" s="53">
        <f t="shared" si="3"/>
        <v>2217.64</v>
      </c>
    </row>
    <row r="1031" spans="1:14" ht="15.75" customHeight="1">
      <c r="A1031" s="43" t="s">
        <v>410</v>
      </c>
      <c r="B1031" s="95">
        <v>6044.8300000000008</v>
      </c>
      <c r="C1031" s="43" t="s">
        <v>411</v>
      </c>
      <c r="D1031" s="94">
        <v>-295824.25</v>
      </c>
      <c r="J1031" s="57">
        <v>44866</v>
      </c>
      <c r="K1031" s="46">
        <v>672.84</v>
      </c>
      <c r="L1031" s="46">
        <v>-11744.27</v>
      </c>
      <c r="M1031" s="46">
        <v>12805</v>
      </c>
      <c r="N1031" s="46">
        <f t="shared" si="3"/>
        <v>1733.5699999999997</v>
      </c>
    </row>
    <row r="1032" spans="1:14" ht="15.75" customHeight="1">
      <c r="A1032" s="43" t="s">
        <v>412</v>
      </c>
      <c r="B1032" s="93">
        <f>B1031-D1022</f>
        <v>-15.929999999999382</v>
      </c>
      <c r="C1032" s="43" t="s">
        <v>413</v>
      </c>
      <c r="D1032" s="47">
        <f>D1029-(D1031-B1032-B1034)</f>
        <v>265.45000000001164</v>
      </c>
      <c r="J1032" s="52">
        <v>44896</v>
      </c>
      <c r="K1032" s="53">
        <v>28.53</v>
      </c>
      <c r="L1032" s="53">
        <v>-10555.27</v>
      </c>
      <c r="M1032" s="53">
        <v>2107</v>
      </c>
      <c r="N1032" s="53">
        <f t="shared" si="3"/>
        <v>-8419.74</v>
      </c>
    </row>
    <row r="1033" spans="1:14" ht="15.75" customHeight="1">
      <c r="A1033" s="43" t="s">
        <v>414</v>
      </c>
      <c r="B1033" s="96">
        <v>80212.87999999999</v>
      </c>
      <c r="C1033" s="43" t="s">
        <v>415</v>
      </c>
      <c r="D1033" s="93">
        <f>D1032-B1032-B1034</f>
        <v>-116.15000000000236</v>
      </c>
      <c r="J1033" s="57">
        <v>44927</v>
      </c>
      <c r="K1033" s="46">
        <v>100.03</v>
      </c>
      <c r="L1033" s="46">
        <v>-9719.7900000000009</v>
      </c>
      <c r="M1033" s="46">
        <v>2886</v>
      </c>
      <c r="N1033" s="46">
        <f t="shared" si="3"/>
        <v>-6733.76</v>
      </c>
    </row>
    <row r="1034" spans="1:14" ht="15.75" customHeight="1">
      <c r="A1034" s="43" t="s">
        <v>412</v>
      </c>
      <c r="B1034" s="93">
        <f>D1024-B1033</f>
        <v>397.53000000001339</v>
      </c>
      <c r="J1034" s="52">
        <v>44958</v>
      </c>
      <c r="K1034" s="53">
        <v>0.41</v>
      </c>
      <c r="L1034" s="53">
        <v>-2890.93</v>
      </c>
      <c r="M1034" s="53">
        <v>0</v>
      </c>
      <c r="N1034" s="53">
        <f t="shared" si="3"/>
        <v>-2890.52</v>
      </c>
    </row>
    <row r="1035" spans="1:14" ht="15.75" customHeight="1">
      <c r="J1035" s="57">
        <v>44986</v>
      </c>
      <c r="K1035" s="46">
        <v>-8.3699999999999992</v>
      </c>
      <c r="L1035" s="46">
        <v>855.49</v>
      </c>
      <c r="M1035" s="46">
        <v>34</v>
      </c>
      <c r="N1035" s="46">
        <f t="shared" si="3"/>
        <v>881.12</v>
      </c>
    </row>
    <row r="1036" spans="1:14" ht="15.75" customHeight="1">
      <c r="A1036" s="43"/>
      <c r="J1036" s="52">
        <v>45017</v>
      </c>
      <c r="K1036" s="53">
        <v>336.26</v>
      </c>
      <c r="L1036" s="53">
        <v>-542.91</v>
      </c>
      <c r="M1036" s="53">
        <v>978</v>
      </c>
      <c r="N1036" s="53">
        <f t="shared" si="3"/>
        <v>771.35</v>
      </c>
    </row>
    <row r="1037" spans="1:14" ht="15.75" customHeight="1">
      <c r="J1037" s="57">
        <v>45047</v>
      </c>
      <c r="K1037" s="46">
        <f>B$1015+B$1018</f>
        <v>41.31</v>
      </c>
      <c r="L1037" s="46">
        <f>B$1017+Dhan!B$33+Kotak!B$108</f>
        <v>0</v>
      </c>
      <c r="M1037" s="46">
        <f>B$1016</f>
        <v>256</v>
      </c>
      <c r="N1037" s="46">
        <f t="shared" si="3"/>
        <v>297.31</v>
      </c>
    </row>
    <row r="1038" spans="1:14" ht="15.75" customHeight="1">
      <c r="J1038" s="57"/>
      <c r="K1038" s="46"/>
      <c r="L1038" s="46"/>
      <c r="M1038" s="46"/>
      <c r="N1038" s="46"/>
    </row>
    <row r="1039" spans="1:14" ht="15.75" customHeight="1">
      <c r="J1039" s="61" t="s">
        <v>18</v>
      </c>
      <c r="K1039" s="62">
        <f>SUM(K1009:K1038)+3.39</f>
        <v>11293.27</v>
      </c>
      <c r="L1039" s="62">
        <f>SUM(L1009:L1038)</f>
        <v>-336105.42</v>
      </c>
      <c r="M1039" s="62">
        <f>SUM(M1009:M1038)-3.39</f>
        <v>126342.92</v>
      </c>
      <c r="N1039" s="62">
        <f>SUM(N1009:N1038)</f>
        <v>-198469.22999999998</v>
      </c>
    </row>
    <row r="1040" spans="1:14" ht="15.75" customHeight="1">
      <c r="J1040" s="97" t="s">
        <v>416</v>
      </c>
      <c r="K1040" s="46">
        <f>B1009+B1011</f>
        <v>11293.269999999999</v>
      </c>
      <c r="L1040" s="46">
        <f>B1010</f>
        <v>-291958.27</v>
      </c>
      <c r="M1040" s="46">
        <f>B1008</f>
        <v>126342.92</v>
      </c>
    </row>
    <row r="1041" spans="2:14" ht="15.75" customHeight="1">
      <c r="J1041" s="97" t="s">
        <v>417</v>
      </c>
      <c r="K1041" s="46">
        <v>0</v>
      </c>
      <c r="L1041" s="46">
        <f>Dhan!B24</f>
        <v>-20120.259999999998</v>
      </c>
      <c r="M1041" s="46">
        <v>0</v>
      </c>
    </row>
    <row r="1042" spans="2:14" ht="15.75" customHeight="1">
      <c r="J1042" s="97" t="s">
        <v>418</v>
      </c>
      <c r="K1042" s="42">
        <v>0</v>
      </c>
      <c r="L1042" s="42">
        <f>Kotak!B99</f>
        <v>-24026.89</v>
      </c>
      <c r="M1042" s="46">
        <v>0</v>
      </c>
    </row>
    <row r="1043" spans="2:14" ht="15.75" customHeight="1">
      <c r="J1043" s="98"/>
      <c r="K1043" s="62">
        <f t="shared" ref="K1043:M1043" si="5">SUM(K1040:K1042)</f>
        <v>11293.269999999999</v>
      </c>
      <c r="L1043" s="62">
        <f t="shared" si="5"/>
        <v>-336105.42000000004</v>
      </c>
      <c r="M1043" s="62">
        <f t="shared" si="5"/>
        <v>126342.92</v>
      </c>
      <c r="N1043" s="62">
        <f>IF(SUM(K1043:M1043)=N1039,N1039,"Error")</f>
        <v>-198469.22999999998</v>
      </c>
    </row>
    <row r="1044" spans="2:14" ht="15.75" customHeight="1">
      <c r="B1044" s="39"/>
      <c r="C1044" s="40"/>
      <c r="D1044" s="39"/>
      <c r="J1044" s="86" t="s">
        <v>23</v>
      </c>
      <c r="K1044" s="87" t="s">
        <v>20</v>
      </c>
      <c r="L1044" s="87" t="s">
        <v>4</v>
      </c>
      <c r="M1044" s="87" t="s">
        <v>19</v>
      </c>
      <c r="N1044" s="87" t="s">
        <v>24</v>
      </c>
    </row>
    <row r="1045" spans="2:14" ht="15.75" customHeight="1">
      <c r="B1045" s="39"/>
      <c r="C1045" s="40"/>
      <c r="D1045" s="39"/>
      <c r="F1045" s="69"/>
      <c r="G1045" s="70"/>
      <c r="I1045" s="69"/>
    </row>
    <row r="1046" spans="2:14" ht="15.75" customHeight="1">
      <c r="B1046" s="39"/>
      <c r="C1046" s="40"/>
      <c r="D1046" s="39"/>
      <c r="F1046" s="69"/>
      <c r="G1046" s="70"/>
      <c r="I1046" s="46"/>
      <c r="J1046" s="46"/>
      <c r="K1046" s="46"/>
    </row>
    <row r="1047" spans="2:14" ht="15.75" customHeight="1">
      <c r="B1047" s="39"/>
      <c r="C1047" s="40"/>
      <c r="D1047" s="39"/>
    </row>
    <row r="1048" spans="2:14" ht="15.75" customHeight="1">
      <c r="B1048" s="39"/>
      <c r="C1048" s="40"/>
      <c r="D1048" s="39"/>
      <c r="F1048" s="69"/>
      <c r="G1048" s="70"/>
      <c r="I1048" s="69"/>
      <c r="J1048" s="46"/>
      <c r="K1048" s="46"/>
    </row>
    <row r="1049" spans="2:14" ht="15.75" customHeight="1">
      <c r="B1049" s="39"/>
      <c r="C1049" s="40"/>
      <c r="D1049" s="39"/>
      <c r="F1049" s="69"/>
      <c r="G1049" s="70"/>
      <c r="I1049" s="46"/>
      <c r="J1049" s="46"/>
      <c r="K1049" s="46"/>
    </row>
    <row r="1050" spans="2:14" ht="15.75" customHeight="1">
      <c r="B1050" s="39"/>
      <c r="C1050" s="40"/>
      <c r="D1050" s="39"/>
    </row>
    <row r="1051" spans="2:14" ht="15.75" customHeight="1">
      <c r="B1051" s="39"/>
      <c r="C1051" s="40"/>
      <c r="D1051" s="39"/>
      <c r="F1051" s="69"/>
      <c r="G1051" s="70"/>
      <c r="I1051" s="69"/>
      <c r="J1051" s="46"/>
      <c r="K1051" s="46"/>
    </row>
    <row r="1052" spans="2:14" ht="15.75" customHeight="1">
      <c r="B1052" s="39"/>
      <c r="C1052" s="40"/>
      <c r="D1052" s="39"/>
      <c r="F1052" s="99"/>
      <c r="G1052" s="70"/>
      <c r="I1052" s="100"/>
      <c r="J1052" s="46"/>
      <c r="K1052" s="46"/>
    </row>
    <row r="1053" spans="2:14" ht="15.75" customHeight="1">
      <c r="B1053" s="39"/>
      <c r="C1053" s="40"/>
      <c r="D1053" s="39"/>
      <c r="E1053" s="41"/>
    </row>
    <row r="1054" spans="2:14" ht="15.75" customHeight="1">
      <c r="B1054" s="39"/>
      <c r="C1054" s="40"/>
      <c r="D1054" s="39"/>
      <c r="E1054" s="41"/>
      <c r="G1054" s="42"/>
      <c r="H1054" s="40"/>
    </row>
    <row r="1055" spans="2:14" ht="15.75" customHeight="1">
      <c r="B1055" s="39"/>
      <c r="C1055" s="40"/>
      <c r="D1055" s="39"/>
      <c r="E1055" s="41"/>
      <c r="G1055" s="42"/>
      <c r="H1055" s="40"/>
    </row>
    <row r="1056" spans="2:14" ht="15.75" customHeight="1">
      <c r="B1056" s="39"/>
      <c r="C1056" s="40"/>
      <c r="D1056" s="39"/>
      <c r="E1056" s="41"/>
      <c r="G1056" s="42"/>
      <c r="H1056" s="40"/>
    </row>
    <row r="1057" spans="2:8" ht="15.75" customHeight="1">
      <c r="B1057" s="39"/>
      <c r="C1057" s="40"/>
      <c r="D1057" s="39"/>
      <c r="E1057" s="41"/>
      <c r="G1057" s="42"/>
      <c r="H1057" s="40"/>
    </row>
    <row r="1058" spans="2:8" ht="15.75" customHeight="1">
      <c r="B1058" s="39"/>
      <c r="C1058" s="40"/>
      <c r="D1058" s="39"/>
      <c r="E1058" s="41"/>
      <c r="G1058" s="42"/>
      <c r="H1058" s="40"/>
    </row>
  </sheetData>
  <dataValidations count="1">
    <dataValidation type="custom" allowBlank="1" showDropDown="1" sqref="A150:A231 A778:A1005">
      <formula1>OR(NOT(ISERROR(DATEVALUE(A150))), AND(ISNUMBER(A150), LEFT(CELL("format", A150))="D"))</formula1>
    </dataValidation>
  </dataValidations>
  <hyperlinks>
    <hyperlink ref="M482" r:id="rId1"/>
  </hyperlinks>
  <pageMargins left="0.7" right="0.7" top="0.75" bottom="0.75" header="0" footer="0"/>
  <pageSetup orientation="landscape"/>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rgb="FF8EAADB"/>
  </sheetPr>
  <dimension ref="A1:N131"/>
  <sheetViews>
    <sheetView workbookViewId="0"/>
  </sheetViews>
  <sheetFormatPr baseColWidth="10" defaultColWidth="14.42578125" defaultRowHeight="15" customHeight="1"/>
  <cols>
    <col min="1" max="1" width="9.28515625" customWidth="1"/>
    <col min="2" max="2" width="10.7109375" customWidth="1"/>
    <col min="3" max="3" width="11.42578125" customWidth="1"/>
    <col min="4" max="4" width="11.7109375" customWidth="1"/>
    <col min="5" max="5" width="7.140625" customWidth="1"/>
    <col min="6" max="6" width="9.5703125" customWidth="1"/>
    <col min="7" max="7" width="11.140625" customWidth="1"/>
    <col min="8" max="8" width="3.140625" customWidth="1"/>
    <col min="9" max="9" width="1.85546875" customWidth="1"/>
    <col min="10" max="11" width="9.5703125" customWidth="1"/>
    <col min="12" max="12" width="10" customWidth="1"/>
    <col min="13" max="13" width="10.7109375" customWidth="1"/>
    <col min="14" max="14" width="10" customWidth="1"/>
    <col min="15" max="15" width="10.28515625" customWidth="1"/>
    <col min="16" max="16" width="8.7109375" customWidth="1"/>
  </cols>
  <sheetData>
    <row r="1" spans="1:8" ht="15" customHeight="1">
      <c r="A1" s="1" t="s">
        <v>0</v>
      </c>
      <c r="B1" s="2" t="s">
        <v>1</v>
      </c>
      <c r="C1" s="3" t="s">
        <v>2</v>
      </c>
      <c r="H1" s="4"/>
    </row>
    <row r="2" spans="1:8" ht="14.25" customHeight="1">
      <c r="A2" s="5">
        <v>44897</v>
      </c>
      <c r="B2" s="8">
        <v>20000</v>
      </c>
      <c r="C2" s="7" t="s">
        <v>3</v>
      </c>
      <c r="D2" s="9"/>
      <c r="E2" s="7"/>
      <c r="H2" s="4"/>
    </row>
    <row r="3" spans="1:8" ht="14.25" customHeight="1">
      <c r="A3" s="5">
        <v>44898</v>
      </c>
      <c r="B3" s="8">
        <v>-20000</v>
      </c>
      <c r="C3" s="7" t="s">
        <v>7</v>
      </c>
      <c r="D3" s="9"/>
      <c r="E3" s="7"/>
      <c r="H3" s="4"/>
    </row>
    <row r="4" spans="1:8" ht="14.25" customHeight="1">
      <c r="A4" s="5">
        <v>44901</v>
      </c>
      <c r="B4" s="8">
        <v>7000</v>
      </c>
      <c r="C4" s="7" t="s">
        <v>3</v>
      </c>
      <c r="D4" s="9"/>
      <c r="E4" s="7"/>
      <c r="H4" s="4"/>
    </row>
    <row r="5" spans="1:8" ht="14.25" customHeight="1">
      <c r="A5" s="5">
        <v>44902</v>
      </c>
      <c r="B5" s="8">
        <v>20000</v>
      </c>
      <c r="C5" s="7" t="s">
        <v>3</v>
      </c>
      <c r="D5" s="9"/>
      <c r="E5" s="7"/>
      <c r="H5" s="4"/>
    </row>
    <row r="6" spans="1:8" ht="14.25" customHeight="1">
      <c r="A6" s="5">
        <v>44904</v>
      </c>
      <c r="B6" s="8"/>
      <c r="C6" s="7" t="s">
        <v>4</v>
      </c>
      <c r="D6" s="7" t="s">
        <v>419</v>
      </c>
      <c r="E6" s="7"/>
      <c r="H6" s="4"/>
    </row>
    <row r="7" spans="1:8" ht="14.25" customHeight="1">
      <c r="A7" s="5">
        <v>44904</v>
      </c>
      <c r="B7" s="8"/>
      <c r="C7" s="7" t="s">
        <v>4</v>
      </c>
      <c r="D7" s="7" t="s">
        <v>420</v>
      </c>
      <c r="E7" s="7"/>
      <c r="H7" s="4"/>
    </row>
    <row r="8" spans="1:8" ht="14.25" customHeight="1">
      <c r="A8" s="5">
        <v>44916</v>
      </c>
      <c r="B8" s="8"/>
      <c r="C8" s="7" t="s">
        <v>4</v>
      </c>
      <c r="D8" s="7" t="s">
        <v>421</v>
      </c>
      <c r="E8" s="7"/>
      <c r="H8" s="4"/>
    </row>
    <row r="9" spans="1:8" ht="14.25" customHeight="1">
      <c r="A9" s="5">
        <v>44923</v>
      </c>
      <c r="B9" s="8"/>
      <c r="C9" s="7" t="s">
        <v>4</v>
      </c>
      <c r="D9" s="7" t="s">
        <v>422</v>
      </c>
      <c r="E9" s="7"/>
      <c r="H9" s="4"/>
    </row>
    <row r="10" spans="1:8" ht="14.25" customHeight="1">
      <c r="A10" s="5">
        <v>44932</v>
      </c>
      <c r="B10" s="8"/>
      <c r="C10" s="7" t="s">
        <v>4</v>
      </c>
      <c r="D10" s="7" t="s">
        <v>423</v>
      </c>
      <c r="E10" s="7"/>
      <c r="H10" s="4"/>
    </row>
    <row r="11" spans="1:8" ht="14.25" customHeight="1">
      <c r="A11" s="5">
        <v>44942</v>
      </c>
      <c r="B11" s="8"/>
      <c r="C11" s="7" t="s">
        <v>4</v>
      </c>
      <c r="D11" s="7" t="s">
        <v>424</v>
      </c>
      <c r="E11" s="7"/>
      <c r="H11" s="4"/>
    </row>
    <row r="12" spans="1:8" ht="14.25" customHeight="1">
      <c r="A12" s="5">
        <v>44950</v>
      </c>
      <c r="B12" s="8"/>
      <c r="C12" s="7" t="s">
        <v>4</v>
      </c>
      <c r="D12" s="7" t="s">
        <v>425</v>
      </c>
      <c r="E12" s="7"/>
      <c r="H12" s="4"/>
    </row>
    <row r="13" spans="1:8" ht="14.25" customHeight="1">
      <c r="A13" s="5">
        <v>45007</v>
      </c>
      <c r="B13" s="8"/>
      <c r="C13" s="7" t="s">
        <v>4</v>
      </c>
      <c r="D13" s="7" t="s">
        <v>426</v>
      </c>
      <c r="E13" s="7"/>
      <c r="H13" s="4"/>
    </row>
    <row r="14" spans="1:8" ht="14.25" customHeight="1">
      <c r="A14" s="5"/>
      <c r="B14" s="8"/>
      <c r="C14" s="7"/>
      <c r="D14" s="7"/>
      <c r="E14" s="7"/>
      <c r="H14" s="4"/>
    </row>
    <row r="15" spans="1:8" ht="14.25" customHeight="1">
      <c r="A15" s="10" t="s">
        <v>8</v>
      </c>
      <c r="B15" s="11">
        <f>ROUND(SUM(B2:B14),2)</f>
        <v>27000</v>
      </c>
      <c r="C15" s="12">
        <f>SUMIF(C2:C14,"F&amp;O",B2:B14)</f>
        <v>0</v>
      </c>
      <c r="H15" s="4"/>
    </row>
    <row r="16" spans="1:8" ht="3.75" customHeight="1"/>
    <row r="17" spans="1:13" ht="14.25" customHeight="1">
      <c r="F17" s="13">
        <f>5.4%+0.5%</f>
        <v>5.9000000000000004E-2</v>
      </c>
    </row>
    <row r="18" spans="1:13" ht="3.75" customHeight="1"/>
    <row r="19" spans="1:13" ht="14.25" customHeight="1">
      <c r="A19" s="14" t="s">
        <v>0</v>
      </c>
      <c r="B19" s="15" t="s">
        <v>9</v>
      </c>
      <c r="C19" s="14" t="s">
        <v>2</v>
      </c>
      <c r="D19" s="16" t="s">
        <v>427</v>
      </c>
      <c r="E19" s="16" t="s">
        <v>11</v>
      </c>
      <c r="F19" s="16" t="s">
        <v>12</v>
      </c>
      <c r="G19" s="16" t="s">
        <v>13</v>
      </c>
      <c r="H19" s="17"/>
      <c r="J19" s="18" t="s">
        <v>0</v>
      </c>
      <c r="K19" s="19" t="s">
        <v>14</v>
      </c>
      <c r="L19" s="20" t="s">
        <v>15</v>
      </c>
      <c r="M19" s="1" t="s">
        <v>2</v>
      </c>
    </row>
    <row r="20" spans="1:13" ht="14.25" customHeight="1">
      <c r="A20" s="32">
        <v>44897</v>
      </c>
      <c r="B20" s="22">
        <v>0</v>
      </c>
      <c r="C20" s="34" t="s">
        <v>16</v>
      </c>
      <c r="D20" s="24">
        <v>20000</v>
      </c>
      <c r="E20" s="25"/>
      <c r="F20" s="24">
        <f t="shared" ref="F20:F94" si="0">IF(G20="","", ROUND(G20*F$17/365,2))</f>
        <v>3.23</v>
      </c>
      <c r="G20" s="26">
        <f t="shared" ref="G20:G93" si="1">IF(AND(D20="",E20=""),"",(A21-A20)*(D20+E20))</f>
        <v>20000</v>
      </c>
      <c r="H20" s="27" t="str">
        <f t="shared" ref="H20:H94" si="2">IF(OR(C20="",C20="R/O Adjustment",C20="IntraDay",C20="F&amp;O"),"","Positional")</f>
        <v/>
      </c>
      <c r="J20" s="73">
        <v>44953</v>
      </c>
      <c r="K20" s="101" t="s">
        <v>428</v>
      </c>
      <c r="L20" s="33">
        <v>-2.48</v>
      </c>
      <c r="M20" s="31" t="s">
        <v>429</v>
      </c>
    </row>
    <row r="21" spans="1:13" ht="14.25" customHeight="1">
      <c r="A21" s="32">
        <v>44898</v>
      </c>
      <c r="B21" s="22">
        <v>0</v>
      </c>
      <c r="C21" s="34" t="s">
        <v>16</v>
      </c>
      <c r="D21" s="24">
        <v>0</v>
      </c>
      <c r="E21" s="25"/>
      <c r="F21" s="24">
        <f t="shared" si="0"/>
        <v>0</v>
      </c>
      <c r="G21" s="26">
        <f t="shared" si="1"/>
        <v>0</v>
      </c>
      <c r="H21" s="27" t="str">
        <f t="shared" si="2"/>
        <v/>
      </c>
      <c r="J21" s="73"/>
      <c r="K21" s="102"/>
      <c r="L21" s="33"/>
      <c r="M21" s="31"/>
    </row>
    <row r="22" spans="1:13" ht="14.25" customHeight="1">
      <c r="A22" s="32">
        <v>44901</v>
      </c>
      <c r="B22" s="22">
        <v>0</v>
      </c>
      <c r="C22" s="34" t="s">
        <v>16</v>
      </c>
      <c r="D22" s="24">
        <v>7000</v>
      </c>
      <c r="E22" s="25"/>
      <c r="F22" s="24">
        <f t="shared" si="0"/>
        <v>1.1299999999999999</v>
      </c>
      <c r="G22" s="26">
        <f t="shared" si="1"/>
        <v>7000</v>
      </c>
      <c r="H22" s="27" t="str">
        <f t="shared" si="2"/>
        <v/>
      </c>
      <c r="J22" s="73"/>
      <c r="K22" s="102"/>
      <c r="L22" s="33"/>
      <c r="M22" s="31"/>
    </row>
    <row r="23" spans="1:13" ht="14.25" customHeight="1">
      <c r="A23" s="32">
        <v>44902</v>
      </c>
      <c r="B23" s="22">
        <v>1772.58</v>
      </c>
      <c r="C23" s="23" t="s">
        <v>4</v>
      </c>
      <c r="D23" s="24">
        <v>28772.57</v>
      </c>
      <c r="E23" s="25"/>
      <c r="F23" s="24">
        <f t="shared" si="0"/>
        <v>4.6500000000000004</v>
      </c>
      <c r="G23" s="26">
        <f t="shared" si="1"/>
        <v>28772.57</v>
      </c>
      <c r="H23" s="27" t="str">
        <f t="shared" si="2"/>
        <v/>
      </c>
      <c r="J23" s="73"/>
      <c r="K23" s="102"/>
      <c r="L23" s="33"/>
      <c r="M23" s="31"/>
    </row>
    <row r="24" spans="1:13" ht="14.25" customHeight="1">
      <c r="A24" s="32">
        <v>44903</v>
      </c>
      <c r="B24" s="22">
        <v>2357.0100000000002</v>
      </c>
      <c r="C24" s="23" t="s">
        <v>4</v>
      </c>
      <c r="D24" s="24">
        <v>31129.57</v>
      </c>
      <c r="E24" s="25"/>
      <c r="F24" s="24">
        <f t="shared" si="0"/>
        <v>5.03</v>
      </c>
      <c r="G24" s="26">
        <f t="shared" si="1"/>
        <v>31129.57</v>
      </c>
      <c r="H24" s="27" t="str">
        <f t="shared" si="2"/>
        <v/>
      </c>
      <c r="J24" s="73"/>
      <c r="K24" s="102"/>
      <c r="L24" s="33"/>
      <c r="M24" s="31"/>
    </row>
    <row r="25" spans="1:13" ht="14.25" customHeight="1">
      <c r="A25" s="32">
        <v>44904</v>
      </c>
      <c r="B25" s="22">
        <v>0</v>
      </c>
      <c r="C25" s="34" t="s">
        <v>16</v>
      </c>
      <c r="D25" s="24">
        <v>31129.57</v>
      </c>
      <c r="E25" s="25"/>
      <c r="F25" s="24">
        <f t="shared" si="0"/>
        <v>20.13</v>
      </c>
      <c r="G25" s="26">
        <f t="shared" si="1"/>
        <v>124518.28</v>
      </c>
      <c r="H25" s="27" t="str">
        <f t="shared" si="2"/>
        <v/>
      </c>
      <c r="J25" s="73"/>
      <c r="K25" s="102"/>
      <c r="L25" s="33"/>
      <c r="M25" s="31"/>
    </row>
    <row r="26" spans="1:13" ht="14.25" customHeight="1">
      <c r="A26" s="32">
        <v>44908</v>
      </c>
      <c r="B26" s="22">
        <v>-11524.06</v>
      </c>
      <c r="C26" s="23" t="s">
        <v>4</v>
      </c>
      <c r="D26" s="24">
        <v>19605.509999999998</v>
      </c>
      <c r="E26" s="25"/>
      <c r="F26" s="24">
        <f t="shared" si="0"/>
        <v>6.34</v>
      </c>
      <c r="G26" s="26">
        <f t="shared" si="1"/>
        <v>39211.019999999997</v>
      </c>
      <c r="H26" s="27" t="str">
        <f t="shared" si="2"/>
        <v/>
      </c>
      <c r="J26" s="73"/>
      <c r="K26" s="102"/>
      <c r="L26" s="33"/>
      <c r="M26" s="31"/>
    </row>
    <row r="27" spans="1:13" ht="14.25" customHeight="1">
      <c r="A27" s="32">
        <v>44910</v>
      </c>
      <c r="B27" s="22">
        <v>2100.13</v>
      </c>
      <c r="C27" s="23" t="s">
        <v>4</v>
      </c>
      <c r="D27" s="24">
        <v>21705.63</v>
      </c>
      <c r="E27" s="25"/>
      <c r="F27" s="24">
        <f t="shared" si="0"/>
        <v>3.51</v>
      </c>
      <c r="G27" s="26">
        <f t="shared" si="1"/>
        <v>21705.63</v>
      </c>
      <c r="H27" s="27" t="str">
        <f t="shared" si="2"/>
        <v/>
      </c>
      <c r="J27" s="73"/>
      <c r="K27" s="102"/>
      <c r="L27" s="33"/>
      <c r="M27" s="31"/>
    </row>
    <row r="28" spans="1:13" ht="14.25" customHeight="1">
      <c r="A28" s="32">
        <v>44911</v>
      </c>
      <c r="B28" s="22">
        <v>3947.81</v>
      </c>
      <c r="C28" s="23" t="s">
        <v>4</v>
      </c>
      <c r="D28" s="24">
        <v>25653.43</v>
      </c>
      <c r="E28" s="25"/>
      <c r="F28" s="24">
        <f t="shared" si="0"/>
        <v>12.44</v>
      </c>
      <c r="G28" s="26">
        <f t="shared" si="1"/>
        <v>76960.290000000008</v>
      </c>
      <c r="H28" s="27" t="str">
        <f t="shared" si="2"/>
        <v/>
      </c>
      <c r="J28" s="73"/>
      <c r="K28" s="102"/>
      <c r="L28" s="33"/>
      <c r="M28" s="31"/>
    </row>
    <row r="29" spans="1:13" ht="14.25" customHeight="1">
      <c r="A29" s="32">
        <v>44914</v>
      </c>
      <c r="B29" s="22">
        <v>-4378.8999999999996</v>
      </c>
      <c r="C29" s="23" t="s">
        <v>4</v>
      </c>
      <c r="D29" s="24">
        <v>21274.52</v>
      </c>
      <c r="E29" s="25"/>
      <c r="F29" s="24">
        <f t="shared" si="0"/>
        <v>3.44</v>
      </c>
      <c r="G29" s="26">
        <f t="shared" si="1"/>
        <v>21274.52</v>
      </c>
      <c r="H29" s="27" t="str">
        <f t="shared" si="2"/>
        <v/>
      </c>
      <c r="J29" s="73"/>
      <c r="K29" s="102"/>
      <c r="L29" s="33"/>
      <c r="M29" s="31"/>
    </row>
    <row r="30" spans="1:13" ht="14.25" customHeight="1">
      <c r="A30" s="32">
        <v>44915</v>
      </c>
      <c r="B30" s="22">
        <v>582.85</v>
      </c>
      <c r="C30" s="23" t="s">
        <v>4</v>
      </c>
      <c r="D30" s="24">
        <v>21857.360000000001</v>
      </c>
      <c r="E30" s="25"/>
      <c r="F30" s="24">
        <f t="shared" si="0"/>
        <v>3.53</v>
      </c>
      <c r="G30" s="26">
        <f t="shared" si="1"/>
        <v>21857.360000000001</v>
      </c>
      <c r="H30" s="27" t="str">
        <f t="shared" si="2"/>
        <v/>
      </c>
      <c r="J30" s="73"/>
      <c r="K30" s="102"/>
      <c r="L30" s="33"/>
      <c r="M30" s="31"/>
    </row>
    <row r="31" spans="1:13" ht="14.25" customHeight="1">
      <c r="A31" s="32">
        <v>44916</v>
      </c>
      <c r="B31" s="22">
        <v>0</v>
      </c>
      <c r="C31" s="23" t="s">
        <v>16</v>
      </c>
      <c r="D31" s="24">
        <v>21857.360000000001</v>
      </c>
      <c r="E31" s="25"/>
      <c r="F31" s="24">
        <f t="shared" si="0"/>
        <v>3.53</v>
      </c>
      <c r="G31" s="26">
        <f t="shared" si="1"/>
        <v>21857.360000000001</v>
      </c>
      <c r="H31" s="27" t="str">
        <f t="shared" si="2"/>
        <v/>
      </c>
      <c r="J31" s="73"/>
      <c r="K31" s="102"/>
      <c r="L31" s="33"/>
      <c r="M31" s="31"/>
    </row>
    <row r="32" spans="1:13" ht="14.25" customHeight="1">
      <c r="A32" s="32">
        <v>44917</v>
      </c>
      <c r="B32" s="22">
        <v>-9580.27</v>
      </c>
      <c r="C32" s="23" t="s">
        <v>4</v>
      </c>
      <c r="D32" s="24">
        <v>12277.09</v>
      </c>
      <c r="E32" s="25"/>
      <c r="F32" s="24">
        <f t="shared" si="0"/>
        <v>1.98</v>
      </c>
      <c r="G32" s="26">
        <f t="shared" si="1"/>
        <v>12277.09</v>
      </c>
      <c r="H32" s="27" t="str">
        <f t="shared" si="2"/>
        <v/>
      </c>
      <c r="J32" s="73"/>
      <c r="K32" s="102"/>
      <c r="L32" s="33"/>
      <c r="M32" s="31"/>
    </row>
    <row r="33" spans="1:13" ht="14.25" customHeight="1">
      <c r="A33" s="32">
        <v>44918</v>
      </c>
      <c r="B33" s="22">
        <v>3509.24</v>
      </c>
      <c r="C33" s="23" t="s">
        <v>4</v>
      </c>
      <c r="D33" s="24">
        <v>15786.31</v>
      </c>
      <c r="E33" s="25"/>
      <c r="F33" s="24">
        <f t="shared" si="0"/>
        <v>7.66</v>
      </c>
      <c r="G33" s="26">
        <f t="shared" si="1"/>
        <v>47358.93</v>
      </c>
      <c r="H33" s="27" t="str">
        <f t="shared" si="2"/>
        <v/>
      </c>
      <c r="J33" s="73"/>
      <c r="K33" s="102"/>
      <c r="L33" s="33"/>
      <c r="M33" s="31"/>
    </row>
    <row r="34" spans="1:13" ht="14.25" customHeight="1">
      <c r="A34" s="32">
        <v>44921</v>
      </c>
      <c r="B34" s="22">
        <v>838.75</v>
      </c>
      <c r="C34" s="23" t="s">
        <v>4</v>
      </c>
      <c r="D34" s="24">
        <v>16625.05</v>
      </c>
      <c r="E34" s="25"/>
      <c r="F34" s="24">
        <f t="shared" si="0"/>
        <v>2.69</v>
      </c>
      <c r="G34" s="26">
        <f t="shared" si="1"/>
        <v>16625.05</v>
      </c>
      <c r="H34" s="27" t="str">
        <f t="shared" si="2"/>
        <v/>
      </c>
      <c r="J34" s="73"/>
      <c r="K34" s="102"/>
      <c r="L34" s="33"/>
      <c r="M34" s="31"/>
    </row>
    <row r="35" spans="1:13" ht="14.25" customHeight="1">
      <c r="A35" s="32">
        <v>44922</v>
      </c>
      <c r="B35" s="22">
        <v>1195.9100000000001</v>
      </c>
      <c r="C35" s="23" t="s">
        <v>4</v>
      </c>
      <c r="D35" s="24">
        <v>17820.95</v>
      </c>
      <c r="E35" s="25"/>
      <c r="F35" s="24">
        <f t="shared" si="0"/>
        <v>2.88</v>
      </c>
      <c r="G35" s="26">
        <f t="shared" si="1"/>
        <v>17820.95</v>
      </c>
      <c r="H35" s="27" t="str">
        <f t="shared" si="2"/>
        <v/>
      </c>
      <c r="J35" s="73"/>
      <c r="K35" s="102"/>
      <c r="L35" s="33"/>
      <c r="M35" s="31"/>
    </row>
    <row r="36" spans="1:13" ht="14.25" customHeight="1">
      <c r="A36" s="32">
        <v>44923</v>
      </c>
      <c r="B36" s="22">
        <v>0</v>
      </c>
      <c r="C36" s="23" t="s">
        <v>16</v>
      </c>
      <c r="D36" s="24">
        <v>17820.949999999997</v>
      </c>
      <c r="E36" s="25"/>
      <c r="F36" s="24">
        <f t="shared" si="0"/>
        <v>2.88</v>
      </c>
      <c r="G36" s="26">
        <f t="shared" si="1"/>
        <v>17820.949999999997</v>
      </c>
      <c r="H36" s="27" t="str">
        <f t="shared" si="2"/>
        <v/>
      </c>
      <c r="J36" s="73"/>
      <c r="K36" s="102"/>
      <c r="L36" s="33"/>
      <c r="M36" s="31"/>
    </row>
    <row r="37" spans="1:13" ht="14.25" customHeight="1">
      <c r="A37" s="32">
        <v>44924</v>
      </c>
      <c r="B37" s="22">
        <v>-2549.8000000000002</v>
      </c>
      <c r="C37" s="23" t="s">
        <v>4</v>
      </c>
      <c r="D37" s="24">
        <v>15271.15</v>
      </c>
      <c r="E37" s="25"/>
      <c r="F37" s="24">
        <f t="shared" si="0"/>
        <v>14.81</v>
      </c>
      <c r="G37" s="26">
        <f t="shared" si="1"/>
        <v>91626.9</v>
      </c>
      <c r="H37" s="27" t="str">
        <f t="shared" si="2"/>
        <v/>
      </c>
      <c r="J37" s="73"/>
      <c r="K37" s="102"/>
      <c r="L37" s="33"/>
      <c r="M37" s="31"/>
    </row>
    <row r="38" spans="1:13" ht="14.25" customHeight="1">
      <c r="A38" s="32">
        <v>44930</v>
      </c>
      <c r="B38" s="22">
        <v>-3307.52</v>
      </c>
      <c r="C38" s="23" t="s">
        <v>4</v>
      </c>
      <c r="D38" s="24">
        <v>11963.62</v>
      </c>
      <c r="E38" s="25"/>
      <c r="F38" s="24">
        <f t="shared" si="0"/>
        <v>1.93</v>
      </c>
      <c r="G38" s="26">
        <f t="shared" si="1"/>
        <v>11963.62</v>
      </c>
      <c r="H38" s="27" t="str">
        <f t="shared" si="2"/>
        <v/>
      </c>
      <c r="J38" s="73"/>
      <c r="K38" s="102"/>
      <c r="L38" s="33"/>
      <c r="M38" s="31"/>
    </row>
    <row r="39" spans="1:13" ht="14.25" customHeight="1">
      <c r="A39" s="32">
        <v>44931</v>
      </c>
      <c r="B39" s="22">
        <v>-1095.72</v>
      </c>
      <c r="C39" s="23" t="s">
        <v>4</v>
      </c>
      <c r="D39" s="24">
        <v>10867.89</v>
      </c>
      <c r="E39" s="25"/>
      <c r="F39" s="24">
        <f t="shared" si="0"/>
        <v>1.76</v>
      </c>
      <c r="G39" s="26">
        <f t="shared" si="1"/>
        <v>10867.89</v>
      </c>
      <c r="H39" s="27" t="str">
        <f t="shared" si="2"/>
        <v/>
      </c>
      <c r="J39" s="73"/>
      <c r="K39" s="102"/>
      <c r="L39" s="33"/>
      <c r="M39" s="31"/>
    </row>
    <row r="40" spans="1:13" ht="14.25" customHeight="1">
      <c r="A40" s="32">
        <v>44932</v>
      </c>
      <c r="B40" s="22">
        <v>284.37</v>
      </c>
      <c r="C40" s="23" t="s">
        <v>4</v>
      </c>
      <c r="D40" s="24">
        <v>11152.25</v>
      </c>
      <c r="E40" s="25"/>
      <c r="F40" s="24">
        <f t="shared" si="0"/>
        <v>5.41</v>
      </c>
      <c r="G40" s="26">
        <f t="shared" si="1"/>
        <v>33456.75</v>
      </c>
      <c r="H40" s="27" t="str">
        <f t="shared" si="2"/>
        <v/>
      </c>
      <c r="J40" s="73"/>
      <c r="K40" s="102"/>
      <c r="L40" s="33"/>
      <c r="M40" s="31"/>
    </row>
    <row r="41" spans="1:13" ht="14.25" customHeight="1">
      <c r="A41" s="32">
        <v>44935</v>
      </c>
      <c r="B41" s="22">
        <v>1243.3399999999999</v>
      </c>
      <c r="C41" s="23" t="s">
        <v>4</v>
      </c>
      <c r="D41" s="24">
        <v>12395.57</v>
      </c>
      <c r="E41" s="25"/>
      <c r="F41" s="24">
        <f t="shared" si="0"/>
        <v>2</v>
      </c>
      <c r="G41" s="26">
        <f t="shared" si="1"/>
        <v>12395.57</v>
      </c>
      <c r="H41" s="27" t="str">
        <f t="shared" si="2"/>
        <v/>
      </c>
      <c r="J41" s="73"/>
      <c r="K41" s="102"/>
      <c r="L41" s="33"/>
      <c r="M41" s="31"/>
    </row>
    <row r="42" spans="1:13" ht="14.25" customHeight="1">
      <c r="A42" s="32">
        <v>44936</v>
      </c>
      <c r="B42" s="22">
        <v>-194.94</v>
      </c>
      <c r="C42" s="23" t="s">
        <v>4</v>
      </c>
      <c r="D42" s="24">
        <v>12200.61</v>
      </c>
      <c r="E42" s="25"/>
      <c r="F42" s="24">
        <f t="shared" si="0"/>
        <v>1.97</v>
      </c>
      <c r="G42" s="26">
        <f t="shared" si="1"/>
        <v>12200.61</v>
      </c>
      <c r="H42" s="27" t="str">
        <f t="shared" si="2"/>
        <v/>
      </c>
      <c r="J42" s="73"/>
      <c r="K42" s="102"/>
      <c r="L42" s="33"/>
      <c r="M42" s="31"/>
    </row>
    <row r="43" spans="1:13" ht="14.25" customHeight="1">
      <c r="A43" s="32">
        <v>44937</v>
      </c>
      <c r="B43" s="22">
        <v>2981.47</v>
      </c>
      <c r="C43" s="23" t="s">
        <v>4</v>
      </c>
      <c r="D43" s="24">
        <v>15182.07</v>
      </c>
      <c r="E43" s="25"/>
      <c r="F43" s="24">
        <f t="shared" si="0"/>
        <v>2.4500000000000002</v>
      </c>
      <c r="G43" s="26">
        <f t="shared" si="1"/>
        <v>15182.07</v>
      </c>
      <c r="H43" s="27" t="str">
        <f t="shared" si="2"/>
        <v/>
      </c>
      <c r="J43" s="73"/>
      <c r="K43" s="102"/>
      <c r="L43" s="33"/>
      <c r="M43" s="31"/>
    </row>
    <row r="44" spans="1:13" ht="14.25" customHeight="1">
      <c r="A44" s="32">
        <v>44938</v>
      </c>
      <c r="B44" s="22">
        <v>-4760.05</v>
      </c>
      <c r="C44" s="23" t="s">
        <v>4</v>
      </c>
      <c r="D44" s="24">
        <v>10422.01</v>
      </c>
      <c r="E44" s="25"/>
      <c r="F44" s="24">
        <f t="shared" si="0"/>
        <v>1.68</v>
      </c>
      <c r="G44" s="26">
        <f t="shared" si="1"/>
        <v>10422.01</v>
      </c>
      <c r="H44" s="27" t="str">
        <f t="shared" si="2"/>
        <v/>
      </c>
      <c r="J44" s="73"/>
      <c r="K44" s="102"/>
      <c r="L44" s="33"/>
      <c r="M44" s="31"/>
    </row>
    <row r="45" spans="1:13" ht="14.25" customHeight="1">
      <c r="A45" s="32">
        <v>44939</v>
      </c>
      <c r="B45" s="22">
        <v>395.48</v>
      </c>
      <c r="C45" s="23" t="s">
        <v>4</v>
      </c>
      <c r="D45" s="24">
        <v>10817.48</v>
      </c>
      <c r="E45" s="25"/>
      <c r="F45" s="24">
        <f t="shared" si="0"/>
        <v>5.25</v>
      </c>
      <c r="G45" s="26">
        <f t="shared" si="1"/>
        <v>32452.44</v>
      </c>
      <c r="H45" s="27" t="str">
        <f t="shared" si="2"/>
        <v/>
      </c>
      <c r="J45" s="73"/>
      <c r="K45" s="102"/>
      <c r="L45" s="33"/>
      <c r="M45" s="31"/>
    </row>
    <row r="46" spans="1:13" ht="14.25" customHeight="1">
      <c r="A46" s="32">
        <v>44942</v>
      </c>
      <c r="B46" s="22">
        <v>0</v>
      </c>
      <c r="C46" s="23" t="s">
        <v>16</v>
      </c>
      <c r="D46" s="24">
        <v>10817.48</v>
      </c>
      <c r="E46" s="25"/>
      <c r="F46" s="24">
        <f t="shared" si="0"/>
        <v>1.75</v>
      </c>
      <c r="G46" s="26">
        <f t="shared" si="1"/>
        <v>10817.48</v>
      </c>
      <c r="H46" s="27" t="str">
        <f t="shared" si="2"/>
        <v/>
      </c>
      <c r="J46" s="73"/>
      <c r="K46" s="102"/>
      <c r="L46" s="33"/>
      <c r="M46" s="31"/>
    </row>
    <row r="47" spans="1:13" ht="14.25" customHeight="1">
      <c r="A47" s="32">
        <v>44943</v>
      </c>
      <c r="B47" s="22">
        <v>1174.73</v>
      </c>
      <c r="C47" s="23" t="s">
        <v>4</v>
      </c>
      <c r="D47" s="24">
        <v>11992.2</v>
      </c>
      <c r="E47" s="25"/>
      <c r="F47" s="24">
        <f t="shared" si="0"/>
        <v>1.94</v>
      </c>
      <c r="G47" s="26">
        <f t="shared" si="1"/>
        <v>11992.2</v>
      </c>
      <c r="H47" s="27" t="str">
        <f t="shared" si="2"/>
        <v/>
      </c>
      <c r="J47" s="73"/>
      <c r="K47" s="102"/>
      <c r="L47" s="33"/>
      <c r="M47" s="31"/>
    </row>
    <row r="48" spans="1:13" ht="14.25" customHeight="1">
      <c r="A48" s="32">
        <v>44944</v>
      </c>
      <c r="B48" s="22">
        <v>2812.84</v>
      </c>
      <c r="C48" s="23" t="s">
        <v>4</v>
      </c>
      <c r="D48" s="24">
        <v>14805.02</v>
      </c>
      <c r="E48" s="25"/>
      <c r="F48" s="24">
        <f t="shared" si="0"/>
        <v>2.39</v>
      </c>
      <c r="G48" s="26">
        <f t="shared" si="1"/>
        <v>14805.02</v>
      </c>
      <c r="H48" s="27" t="str">
        <f t="shared" si="2"/>
        <v/>
      </c>
      <c r="J48" s="73"/>
      <c r="K48" s="102"/>
      <c r="L48" s="33"/>
      <c r="M48" s="31"/>
    </row>
    <row r="49" spans="1:13" ht="14.25" customHeight="1">
      <c r="A49" s="32">
        <v>44945</v>
      </c>
      <c r="B49" s="22">
        <v>-64.58</v>
      </c>
      <c r="C49" s="23" t="s">
        <v>4</v>
      </c>
      <c r="D49" s="24">
        <v>14740.42</v>
      </c>
      <c r="E49" s="25"/>
      <c r="F49" s="24">
        <f t="shared" si="0"/>
        <v>2.38</v>
      </c>
      <c r="G49" s="26">
        <f t="shared" si="1"/>
        <v>14740.42</v>
      </c>
      <c r="H49" s="27" t="str">
        <f t="shared" si="2"/>
        <v/>
      </c>
      <c r="J49" s="73"/>
      <c r="K49" s="102"/>
      <c r="L49" s="33"/>
      <c r="M49" s="31"/>
    </row>
    <row r="50" spans="1:13" ht="14.25" customHeight="1">
      <c r="A50" s="32">
        <v>44946</v>
      </c>
      <c r="B50" s="22">
        <v>2590.9</v>
      </c>
      <c r="C50" s="23" t="s">
        <v>4</v>
      </c>
      <c r="D50" s="24">
        <v>17331.3</v>
      </c>
      <c r="E50" s="25"/>
      <c r="F50" s="24">
        <f t="shared" si="0"/>
        <v>8.4</v>
      </c>
      <c r="G50" s="26">
        <f t="shared" si="1"/>
        <v>51993.899999999994</v>
      </c>
      <c r="H50" s="27" t="str">
        <f t="shared" si="2"/>
        <v/>
      </c>
      <c r="J50" s="73"/>
      <c r="K50" s="102"/>
      <c r="L50" s="33"/>
      <c r="M50" s="31"/>
    </row>
    <row r="51" spans="1:13" ht="14.25" customHeight="1">
      <c r="A51" s="32">
        <v>44949</v>
      </c>
      <c r="B51" s="22">
        <v>103.1</v>
      </c>
      <c r="C51" s="23" t="s">
        <v>4</v>
      </c>
      <c r="D51" s="24">
        <v>17434.39</v>
      </c>
      <c r="E51" s="25"/>
      <c r="F51" s="24">
        <f t="shared" si="0"/>
        <v>2.82</v>
      </c>
      <c r="G51" s="26">
        <f t="shared" si="1"/>
        <v>17434.39</v>
      </c>
      <c r="H51" s="27" t="str">
        <f t="shared" si="2"/>
        <v/>
      </c>
      <c r="J51" s="73"/>
      <c r="K51" s="102"/>
      <c r="L51" s="33"/>
      <c r="M51" s="31"/>
    </row>
    <row r="52" spans="1:13" ht="14.25" customHeight="1">
      <c r="A52" s="32">
        <v>44950</v>
      </c>
      <c r="B52" s="22">
        <v>661.62</v>
      </c>
      <c r="C52" s="23" t="s">
        <v>4</v>
      </c>
      <c r="D52" s="24">
        <v>18096</v>
      </c>
      <c r="E52" s="25"/>
      <c r="F52" s="24">
        <f t="shared" si="0"/>
        <v>2.93</v>
      </c>
      <c r="G52" s="26">
        <f t="shared" si="1"/>
        <v>18096</v>
      </c>
      <c r="H52" s="27" t="str">
        <f t="shared" si="2"/>
        <v/>
      </c>
      <c r="J52" s="73"/>
      <c r="K52" s="102"/>
      <c r="L52" s="33"/>
      <c r="M52" s="31"/>
    </row>
    <row r="53" spans="1:13" ht="14.25" customHeight="1">
      <c r="A53" s="32">
        <v>44951</v>
      </c>
      <c r="B53" s="22">
        <v>-10329.02</v>
      </c>
      <c r="C53" s="23" t="s">
        <v>4</v>
      </c>
      <c r="D53" s="24">
        <v>7766.98</v>
      </c>
      <c r="E53" s="25"/>
      <c r="F53" s="24">
        <f t="shared" si="0"/>
        <v>2.5099999999999998</v>
      </c>
      <c r="G53" s="26">
        <f t="shared" si="1"/>
        <v>15533.96</v>
      </c>
      <c r="H53" s="27" t="str">
        <f t="shared" si="2"/>
        <v/>
      </c>
      <c r="J53" s="73"/>
      <c r="K53" s="102"/>
      <c r="L53" s="33"/>
      <c r="M53" s="31"/>
    </row>
    <row r="54" spans="1:13" ht="14.25" customHeight="1">
      <c r="A54" s="32">
        <v>44953</v>
      </c>
      <c r="B54" s="22">
        <v>-1506.85</v>
      </c>
      <c r="C54" s="23" t="s">
        <v>4</v>
      </c>
      <c r="D54" s="24">
        <v>6262.6</v>
      </c>
      <c r="E54" s="25"/>
      <c r="F54" s="24">
        <f t="shared" si="0"/>
        <v>3.04</v>
      </c>
      <c r="G54" s="26">
        <f t="shared" si="1"/>
        <v>18787.800000000003</v>
      </c>
      <c r="H54" s="27" t="str">
        <f t="shared" si="2"/>
        <v/>
      </c>
      <c r="J54" s="73"/>
      <c r="K54" s="102"/>
      <c r="L54" s="33"/>
      <c r="M54" s="31"/>
    </row>
    <row r="55" spans="1:13" ht="14.25" customHeight="1">
      <c r="A55" s="32">
        <v>44956</v>
      </c>
      <c r="B55" s="22">
        <v>-904.57</v>
      </c>
      <c r="C55" s="23" t="s">
        <v>4</v>
      </c>
      <c r="D55" s="24">
        <v>5358.02</v>
      </c>
      <c r="E55" s="25"/>
      <c r="F55" s="24">
        <f t="shared" si="0"/>
        <v>0.87</v>
      </c>
      <c r="G55" s="26">
        <f t="shared" si="1"/>
        <v>5358.02</v>
      </c>
      <c r="H55" s="27" t="str">
        <f t="shared" si="2"/>
        <v/>
      </c>
      <c r="J55" s="73"/>
      <c r="K55" s="102"/>
      <c r="L55" s="33"/>
      <c r="M55" s="31"/>
    </row>
    <row r="56" spans="1:13" ht="14.25" customHeight="1">
      <c r="A56" s="32">
        <v>44957</v>
      </c>
      <c r="B56" s="22">
        <v>195.61</v>
      </c>
      <c r="C56" s="23" t="s">
        <v>4</v>
      </c>
      <c r="D56" s="24">
        <v>5553.62</v>
      </c>
      <c r="E56" s="25"/>
      <c r="F56" s="24">
        <f t="shared" si="0"/>
        <v>0.9</v>
      </c>
      <c r="G56" s="26">
        <f t="shared" si="1"/>
        <v>5553.62</v>
      </c>
      <c r="H56" s="27" t="str">
        <f t="shared" si="2"/>
        <v/>
      </c>
      <c r="J56" s="73"/>
      <c r="K56" s="102"/>
      <c r="L56" s="33"/>
      <c r="M56" s="31"/>
    </row>
    <row r="57" spans="1:13" ht="14.25" customHeight="1">
      <c r="A57" s="32">
        <v>44958</v>
      </c>
      <c r="B57" s="22">
        <v>-314.83999999999997</v>
      </c>
      <c r="C57" s="23" t="s">
        <v>4</v>
      </c>
      <c r="D57" s="24">
        <v>5238.7700000000004</v>
      </c>
      <c r="E57" s="25"/>
      <c r="F57" s="24">
        <f t="shared" si="0"/>
        <v>0.85</v>
      </c>
      <c r="G57" s="26">
        <f t="shared" si="1"/>
        <v>5238.7700000000004</v>
      </c>
      <c r="H57" s="27" t="str">
        <f t="shared" si="2"/>
        <v/>
      </c>
      <c r="J57" s="73"/>
      <c r="K57" s="102"/>
      <c r="L57" s="33"/>
      <c r="M57" s="31"/>
    </row>
    <row r="58" spans="1:13" ht="14.25" customHeight="1">
      <c r="A58" s="32">
        <v>44959</v>
      </c>
      <c r="B58" s="22">
        <v>-1142.96</v>
      </c>
      <c r="C58" s="23" t="s">
        <v>4</v>
      </c>
      <c r="D58" s="24">
        <v>4095.8</v>
      </c>
      <c r="E58" s="25"/>
      <c r="F58" s="24">
        <f t="shared" si="0"/>
        <v>0.66</v>
      </c>
      <c r="G58" s="26">
        <f t="shared" si="1"/>
        <v>4095.8</v>
      </c>
      <c r="H58" s="27" t="str">
        <f t="shared" si="2"/>
        <v/>
      </c>
      <c r="J58" s="73"/>
      <c r="K58" s="102"/>
      <c r="L58" s="33"/>
      <c r="M58" s="31"/>
    </row>
    <row r="59" spans="1:13" ht="14.25" customHeight="1">
      <c r="A59" s="32">
        <v>44960</v>
      </c>
      <c r="B59" s="22">
        <v>247.28</v>
      </c>
      <c r="C59" s="23" t="s">
        <v>4</v>
      </c>
      <c r="D59" s="24">
        <v>4343.07</v>
      </c>
      <c r="E59" s="25"/>
      <c r="F59" s="24">
        <f t="shared" si="0"/>
        <v>2.11</v>
      </c>
      <c r="G59" s="26">
        <f t="shared" si="1"/>
        <v>13029.21</v>
      </c>
      <c r="H59" s="27" t="str">
        <f t="shared" si="2"/>
        <v/>
      </c>
      <c r="J59" s="73"/>
      <c r="K59" s="102"/>
      <c r="L59" s="33"/>
      <c r="M59" s="31"/>
    </row>
    <row r="60" spans="1:13" ht="14.25" customHeight="1">
      <c r="A60" s="32">
        <v>44963</v>
      </c>
      <c r="B60" s="22">
        <v>-92.56</v>
      </c>
      <c r="C60" s="23" t="s">
        <v>4</v>
      </c>
      <c r="D60" s="24">
        <v>4250.5</v>
      </c>
      <c r="E60" s="25"/>
      <c r="F60" s="24">
        <f t="shared" si="0"/>
        <v>0.69</v>
      </c>
      <c r="G60" s="26">
        <f t="shared" si="1"/>
        <v>4250.5</v>
      </c>
      <c r="H60" s="27" t="str">
        <f t="shared" si="2"/>
        <v/>
      </c>
      <c r="J60" s="73"/>
      <c r="K60" s="102"/>
      <c r="L60" s="33"/>
      <c r="M60" s="31"/>
    </row>
    <row r="61" spans="1:13" ht="14.25" customHeight="1">
      <c r="A61" s="32">
        <v>44964</v>
      </c>
      <c r="B61" s="22">
        <v>-1089.1400000000001</v>
      </c>
      <c r="C61" s="23" t="s">
        <v>4</v>
      </c>
      <c r="D61" s="24">
        <v>3161.35</v>
      </c>
      <c r="E61" s="25"/>
      <c r="F61" s="24">
        <f t="shared" si="0"/>
        <v>0.51</v>
      </c>
      <c r="G61" s="26">
        <f t="shared" si="1"/>
        <v>3161.35</v>
      </c>
      <c r="H61" s="27" t="str">
        <f t="shared" si="2"/>
        <v/>
      </c>
      <c r="J61" s="73"/>
      <c r="K61" s="102"/>
      <c r="L61" s="33"/>
      <c r="M61" s="31"/>
    </row>
    <row r="62" spans="1:13" ht="14.25" customHeight="1">
      <c r="A62" s="32">
        <v>44965</v>
      </c>
      <c r="B62" s="22">
        <v>-1303.44</v>
      </c>
      <c r="C62" s="23" t="s">
        <v>4</v>
      </c>
      <c r="D62" s="24">
        <v>1857.9</v>
      </c>
      <c r="E62" s="25"/>
      <c r="F62" s="24">
        <f t="shared" si="0"/>
        <v>1.5</v>
      </c>
      <c r="G62" s="26">
        <f t="shared" si="1"/>
        <v>9289.5</v>
      </c>
      <c r="H62" s="27" t="str">
        <f t="shared" si="2"/>
        <v/>
      </c>
      <c r="J62" s="73"/>
      <c r="K62" s="102"/>
      <c r="L62" s="33"/>
      <c r="M62" s="31"/>
    </row>
    <row r="63" spans="1:13" ht="14.25" customHeight="1">
      <c r="A63" s="32">
        <v>44970</v>
      </c>
      <c r="B63" s="22">
        <v>72.73</v>
      </c>
      <c r="C63" s="23" t="s">
        <v>4</v>
      </c>
      <c r="D63" s="24">
        <v>1930.62</v>
      </c>
      <c r="E63" s="25"/>
      <c r="F63" s="24">
        <f t="shared" si="0"/>
        <v>0.31</v>
      </c>
      <c r="G63" s="26">
        <f t="shared" si="1"/>
        <v>1930.62</v>
      </c>
      <c r="H63" s="27" t="str">
        <f t="shared" si="2"/>
        <v/>
      </c>
      <c r="J63" s="73"/>
      <c r="K63" s="102"/>
      <c r="L63" s="33"/>
      <c r="M63" s="31"/>
    </row>
    <row r="64" spans="1:13" ht="14.25" customHeight="1">
      <c r="A64" s="32">
        <v>44971</v>
      </c>
      <c r="B64" s="22">
        <v>272.7</v>
      </c>
      <c r="C64" s="23" t="s">
        <v>4</v>
      </c>
      <c r="D64" s="24">
        <v>2203.31</v>
      </c>
      <c r="E64" s="25"/>
      <c r="F64" s="24">
        <f t="shared" si="0"/>
        <v>0.36</v>
      </c>
      <c r="G64" s="26">
        <f t="shared" si="1"/>
        <v>2203.31</v>
      </c>
      <c r="H64" s="27" t="str">
        <f t="shared" si="2"/>
        <v/>
      </c>
      <c r="J64" s="73"/>
      <c r="K64" s="102"/>
      <c r="L64" s="33"/>
      <c r="M64" s="31"/>
    </row>
    <row r="65" spans="1:13" ht="14.25" customHeight="1">
      <c r="A65" s="32">
        <v>44972</v>
      </c>
      <c r="B65" s="22">
        <v>1456.26</v>
      </c>
      <c r="C65" s="23" t="s">
        <v>4</v>
      </c>
      <c r="D65" s="24">
        <v>3659.55</v>
      </c>
      <c r="E65" s="25"/>
      <c r="F65" s="24">
        <f t="shared" si="0"/>
        <v>0.59</v>
      </c>
      <c r="G65" s="26">
        <f t="shared" si="1"/>
        <v>3659.55</v>
      </c>
      <c r="H65" s="27" t="str">
        <f t="shared" si="2"/>
        <v/>
      </c>
      <c r="J65" s="73"/>
      <c r="K65" s="102"/>
      <c r="L65" s="33"/>
      <c r="M65" s="31"/>
    </row>
    <row r="66" spans="1:13" ht="14.25" customHeight="1">
      <c r="A66" s="32">
        <v>44973</v>
      </c>
      <c r="B66" s="22">
        <v>-428.8</v>
      </c>
      <c r="C66" s="23" t="s">
        <v>4</v>
      </c>
      <c r="D66" s="24">
        <v>3230.74</v>
      </c>
      <c r="E66" s="25"/>
      <c r="F66" s="24">
        <f t="shared" si="0"/>
        <v>2.09</v>
      </c>
      <c r="G66" s="26">
        <f t="shared" si="1"/>
        <v>12922.96</v>
      </c>
      <c r="H66" s="27" t="str">
        <f t="shared" si="2"/>
        <v/>
      </c>
      <c r="J66" s="73"/>
      <c r="K66" s="102"/>
      <c r="L66" s="33"/>
      <c r="M66" s="31"/>
    </row>
    <row r="67" spans="1:13" ht="14.25" customHeight="1">
      <c r="A67" s="32">
        <v>44977</v>
      </c>
      <c r="B67" s="22">
        <v>-1003.82</v>
      </c>
      <c r="C67" s="23" t="s">
        <v>4</v>
      </c>
      <c r="D67" s="24">
        <v>2226.91</v>
      </c>
      <c r="E67" s="25"/>
      <c r="F67" s="24">
        <f t="shared" si="0"/>
        <v>0.36</v>
      </c>
      <c r="G67" s="26">
        <f t="shared" si="1"/>
        <v>2226.91</v>
      </c>
      <c r="H67" s="27" t="str">
        <f t="shared" si="2"/>
        <v/>
      </c>
      <c r="J67" s="73"/>
      <c r="K67" s="102"/>
      <c r="L67" s="33"/>
      <c r="M67" s="31"/>
    </row>
    <row r="68" spans="1:13" ht="14.25" customHeight="1">
      <c r="A68" s="32">
        <v>44978</v>
      </c>
      <c r="B68" s="22">
        <v>35.14</v>
      </c>
      <c r="C68" s="23" t="s">
        <v>4</v>
      </c>
      <c r="D68" s="24">
        <v>2262.04</v>
      </c>
      <c r="E68" s="25"/>
      <c r="F68" s="24">
        <f t="shared" si="0"/>
        <v>0.37</v>
      </c>
      <c r="G68" s="26">
        <f t="shared" si="1"/>
        <v>2262.04</v>
      </c>
      <c r="H68" s="27" t="str">
        <f t="shared" si="2"/>
        <v/>
      </c>
      <c r="J68" s="73"/>
      <c r="K68" s="102"/>
      <c r="L68" s="33"/>
      <c r="M68" s="31"/>
    </row>
    <row r="69" spans="1:13" ht="14.25" customHeight="1">
      <c r="A69" s="32">
        <v>44979</v>
      </c>
      <c r="B69" s="22">
        <v>-55.07</v>
      </c>
      <c r="C69" s="23" t="s">
        <v>4</v>
      </c>
      <c r="D69" s="24">
        <v>2206.96</v>
      </c>
      <c r="E69" s="25"/>
      <c r="F69" s="24">
        <f t="shared" si="0"/>
        <v>0.71</v>
      </c>
      <c r="G69" s="26">
        <f t="shared" si="1"/>
        <v>4413.92</v>
      </c>
      <c r="H69" s="27" t="str">
        <f t="shared" si="2"/>
        <v/>
      </c>
      <c r="J69" s="73"/>
      <c r="K69" s="102"/>
      <c r="L69" s="33"/>
      <c r="M69" s="31"/>
    </row>
    <row r="70" spans="1:13" ht="14.25" customHeight="1">
      <c r="A70" s="32">
        <v>44981</v>
      </c>
      <c r="B70" s="22">
        <v>206.66</v>
      </c>
      <c r="C70" s="23" t="s">
        <v>4</v>
      </c>
      <c r="D70" s="24">
        <v>2413.63</v>
      </c>
      <c r="E70" s="25"/>
      <c r="F70" s="24">
        <f t="shared" si="0"/>
        <v>1.17</v>
      </c>
      <c r="G70" s="26">
        <f t="shared" si="1"/>
        <v>7240.89</v>
      </c>
      <c r="H70" s="27" t="str">
        <f t="shared" si="2"/>
        <v/>
      </c>
      <c r="J70" s="73"/>
      <c r="K70" s="102"/>
      <c r="L70" s="33"/>
      <c r="M70" s="31"/>
    </row>
    <row r="71" spans="1:13" ht="14.25" customHeight="1">
      <c r="A71" s="32">
        <v>44984</v>
      </c>
      <c r="B71" s="22">
        <v>403.76</v>
      </c>
      <c r="C71" s="23" t="s">
        <v>4</v>
      </c>
      <c r="D71" s="24">
        <v>2817.38</v>
      </c>
      <c r="E71" s="25"/>
      <c r="F71" s="24">
        <f t="shared" si="0"/>
        <v>0.46</v>
      </c>
      <c r="G71" s="26">
        <f t="shared" si="1"/>
        <v>2817.38</v>
      </c>
      <c r="H71" s="27" t="str">
        <f t="shared" si="2"/>
        <v/>
      </c>
      <c r="J71" s="73"/>
      <c r="K71" s="102"/>
      <c r="L71" s="33"/>
      <c r="M71" s="31"/>
    </row>
    <row r="72" spans="1:13" ht="14.25" customHeight="1">
      <c r="A72" s="32">
        <v>44985</v>
      </c>
      <c r="B72" s="22">
        <v>-154.83000000000001</v>
      </c>
      <c r="C72" s="23" t="s">
        <v>4</v>
      </c>
      <c r="D72" s="24">
        <v>2662.54</v>
      </c>
      <c r="E72" s="25"/>
      <c r="F72" s="24">
        <f t="shared" si="0"/>
        <v>0.43</v>
      </c>
      <c r="G72" s="26">
        <f t="shared" si="1"/>
        <v>2662.54</v>
      </c>
      <c r="H72" s="27" t="str">
        <f t="shared" si="2"/>
        <v/>
      </c>
      <c r="J72" s="73"/>
      <c r="K72" s="102"/>
      <c r="L72" s="33"/>
      <c r="M72" s="31"/>
    </row>
    <row r="73" spans="1:13" ht="14.25" customHeight="1">
      <c r="A73" s="32">
        <v>44986</v>
      </c>
      <c r="B73" s="22">
        <v>-125.48</v>
      </c>
      <c r="C73" s="23" t="s">
        <v>4</v>
      </c>
      <c r="D73" s="24">
        <v>2537.0500000000002</v>
      </c>
      <c r="E73" s="25"/>
      <c r="F73" s="24">
        <f t="shared" si="0"/>
        <v>0.41</v>
      </c>
      <c r="G73" s="26">
        <f t="shared" si="1"/>
        <v>2537.0500000000002</v>
      </c>
      <c r="H73" s="27" t="str">
        <f t="shared" si="2"/>
        <v/>
      </c>
      <c r="J73" s="73"/>
      <c r="K73" s="102"/>
      <c r="L73" s="33"/>
      <c r="M73" s="31"/>
    </row>
    <row r="74" spans="1:13" ht="14.25" customHeight="1">
      <c r="A74" s="32">
        <v>44987</v>
      </c>
      <c r="B74" s="22">
        <v>-90.21</v>
      </c>
      <c r="C74" s="23" t="s">
        <v>4</v>
      </c>
      <c r="D74" s="24">
        <v>2446.83</v>
      </c>
      <c r="E74" s="25"/>
      <c r="F74" s="24">
        <f t="shared" si="0"/>
        <v>2.37</v>
      </c>
      <c r="G74" s="26">
        <f t="shared" si="1"/>
        <v>14680.98</v>
      </c>
      <c r="H74" s="27" t="str">
        <f t="shared" si="2"/>
        <v/>
      </c>
      <c r="J74" s="73"/>
      <c r="K74" s="102"/>
      <c r="L74" s="33"/>
      <c r="M74" s="31"/>
    </row>
    <row r="75" spans="1:13" ht="14.25" customHeight="1">
      <c r="A75" s="32">
        <v>44993</v>
      </c>
      <c r="B75" s="22">
        <v>19.79</v>
      </c>
      <c r="C75" s="23" t="s">
        <v>4</v>
      </c>
      <c r="D75" s="24">
        <v>2466.61</v>
      </c>
      <c r="E75" s="25"/>
      <c r="F75" s="24">
        <f t="shared" si="0"/>
        <v>0.8</v>
      </c>
      <c r="G75" s="26">
        <f t="shared" si="1"/>
        <v>4933.22</v>
      </c>
      <c r="H75" s="27" t="str">
        <f t="shared" si="2"/>
        <v/>
      </c>
      <c r="J75" s="73"/>
      <c r="K75" s="102"/>
      <c r="L75" s="33"/>
      <c r="M75" s="31"/>
    </row>
    <row r="76" spans="1:13" ht="14.25" customHeight="1">
      <c r="A76" s="32">
        <v>44995</v>
      </c>
      <c r="B76" s="22">
        <v>191.94</v>
      </c>
      <c r="C76" s="23" t="s">
        <v>4</v>
      </c>
      <c r="D76" s="24">
        <v>2658.54</v>
      </c>
      <c r="E76" s="25"/>
      <c r="F76" s="24">
        <f t="shared" si="0"/>
        <v>1.72</v>
      </c>
      <c r="G76" s="26">
        <f t="shared" si="1"/>
        <v>10634.16</v>
      </c>
      <c r="H76" s="27" t="str">
        <f t="shared" si="2"/>
        <v/>
      </c>
      <c r="J76" s="73"/>
      <c r="K76" s="102"/>
      <c r="L76" s="33"/>
      <c r="M76" s="31"/>
    </row>
    <row r="77" spans="1:13" ht="14.25" customHeight="1">
      <c r="A77" s="32">
        <v>44999</v>
      </c>
      <c r="B77" s="22">
        <v>-10.4</v>
      </c>
      <c r="C77" s="23" t="s">
        <v>4</v>
      </c>
      <c r="D77" s="24">
        <v>2648.13</v>
      </c>
      <c r="E77" s="25"/>
      <c r="F77" s="24">
        <f t="shared" si="0"/>
        <v>0.43</v>
      </c>
      <c r="G77" s="26">
        <f t="shared" si="1"/>
        <v>2648.13</v>
      </c>
      <c r="H77" s="27" t="str">
        <f t="shared" si="2"/>
        <v/>
      </c>
      <c r="J77" s="73"/>
      <c r="K77" s="102"/>
      <c r="L77" s="33"/>
      <c r="M77" s="31"/>
    </row>
    <row r="78" spans="1:13" ht="14.25" customHeight="1">
      <c r="A78" s="32">
        <v>45000</v>
      </c>
      <c r="B78" s="22">
        <v>1328.98</v>
      </c>
      <c r="C78" s="23" t="s">
        <v>4</v>
      </c>
      <c r="D78" s="24">
        <v>3977.07</v>
      </c>
      <c r="E78" s="25"/>
      <c r="F78" s="24">
        <f t="shared" si="0"/>
        <v>0.64</v>
      </c>
      <c r="G78" s="26">
        <f t="shared" si="1"/>
        <v>3977.07</v>
      </c>
      <c r="H78" s="27" t="str">
        <f t="shared" si="2"/>
        <v/>
      </c>
      <c r="J78" s="73"/>
      <c r="K78" s="102"/>
      <c r="L78" s="33"/>
      <c r="M78" s="31"/>
    </row>
    <row r="79" spans="1:13" ht="14.25" customHeight="1">
      <c r="A79" s="32">
        <v>45001</v>
      </c>
      <c r="B79" s="22">
        <v>-373.28</v>
      </c>
      <c r="C79" s="23" t="s">
        <v>4</v>
      </c>
      <c r="D79" s="24">
        <v>3603.77</v>
      </c>
      <c r="E79" s="25"/>
      <c r="F79" s="24">
        <f t="shared" si="0"/>
        <v>0.57999999999999996</v>
      </c>
      <c r="G79" s="26">
        <f t="shared" si="1"/>
        <v>3603.77</v>
      </c>
      <c r="H79" s="27" t="str">
        <f t="shared" si="2"/>
        <v/>
      </c>
      <c r="J79" s="73"/>
      <c r="K79" s="102"/>
      <c r="L79" s="33"/>
      <c r="M79" s="31"/>
    </row>
    <row r="80" spans="1:13" ht="14.25" customHeight="1">
      <c r="A80" s="32">
        <v>45002</v>
      </c>
      <c r="B80" s="22">
        <v>328.79</v>
      </c>
      <c r="C80" s="23" t="s">
        <v>4</v>
      </c>
      <c r="D80" s="24">
        <v>3932.55</v>
      </c>
      <c r="E80" s="25"/>
      <c r="F80" s="24">
        <f t="shared" si="0"/>
        <v>1.91</v>
      </c>
      <c r="G80" s="26">
        <f t="shared" si="1"/>
        <v>11797.650000000001</v>
      </c>
      <c r="H80" s="27" t="str">
        <f t="shared" si="2"/>
        <v/>
      </c>
      <c r="J80" s="73"/>
      <c r="K80" s="102"/>
      <c r="L80" s="33"/>
      <c r="M80" s="31"/>
    </row>
    <row r="81" spans="1:13" ht="14.25" customHeight="1">
      <c r="A81" s="32">
        <v>45005</v>
      </c>
      <c r="B81" s="22">
        <v>-160.6</v>
      </c>
      <c r="C81" s="23" t="s">
        <v>4</v>
      </c>
      <c r="D81" s="24">
        <v>3771.94</v>
      </c>
      <c r="E81" s="25"/>
      <c r="F81" s="24">
        <f t="shared" si="0"/>
        <v>0.61</v>
      </c>
      <c r="G81" s="26">
        <f t="shared" si="1"/>
        <v>3771.94</v>
      </c>
      <c r="H81" s="27" t="str">
        <f t="shared" si="2"/>
        <v/>
      </c>
      <c r="J81" s="73"/>
      <c r="K81" s="102"/>
      <c r="L81" s="33"/>
      <c r="M81" s="31"/>
    </row>
    <row r="82" spans="1:13" ht="14.25" customHeight="1">
      <c r="A82" s="32">
        <v>45006</v>
      </c>
      <c r="B82" s="22">
        <v>54.53</v>
      </c>
      <c r="C82" s="23" t="s">
        <v>4</v>
      </c>
      <c r="D82" s="24">
        <v>3826.46</v>
      </c>
      <c r="E82" s="25"/>
      <c r="F82" s="24">
        <f t="shared" si="0"/>
        <v>0.62</v>
      </c>
      <c r="G82" s="26">
        <f t="shared" si="1"/>
        <v>3826.46</v>
      </c>
      <c r="H82" s="27" t="str">
        <f t="shared" si="2"/>
        <v/>
      </c>
      <c r="J82" s="73"/>
      <c r="K82" s="102"/>
      <c r="L82" s="33"/>
      <c r="M82" s="31"/>
    </row>
    <row r="83" spans="1:13" ht="14.25" customHeight="1">
      <c r="A83" s="32">
        <v>45007</v>
      </c>
      <c r="B83" s="22">
        <v>0</v>
      </c>
      <c r="C83" s="23" t="s">
        <v>16</v>
      </c>
      <c r="D83" s="24">
        <v>3826.46</v>
      </c>
      <c r="E83" s="25"/>
      <c r="F83" s="24">
        <f t="shared" si="0"/>
        <v>0.62</v>
      </c>
      <c r="G83" s="26">
        <f t="shared" si="1"/>
        <v>3826.46</v>
      </c>
      <c r="H83" s="27" t="str">
        <f t="shared" si="2"/>
        <v/>
      </c>
      <c r="J83" s="73"/>
      <c r="K83" s="102"/>
      <c r="L83" s="33"/>
      <c r="M83" s="31"/>
    </row>
    <row r="84" spans="1:13" ht="14.25" customHeight="1">
      <c r="A84" s="32">
        <v>45008</v>
      </c>
      <c r="B84" s="22">
        <v>-289.69</v>
      </c>
      <c r="C84" s="23" t="s">
        <v>4</v>
      </c>
      <c r="D84" s="24">
        <v>3536.77</v>
      </c>
      <c r="E84" s="25"/>
      <c r="F84" s="24">
        <f t="shared" si="0"/>
        <v>2.86</v>
      </c>
      <c r="G84" s="26">
        <f t="shared" si="1"/>
        <v>17683.849999999999</v>
      </c>
      <c r="H84" s="27" t="str">
        <f t="shared" si="2"/>
        <v/>
      </c>
      <c r="J84" s="73"/>
      <c r="K84" s="102"/>
      <c r="L84" s="33"/>
      <c r="M84" s="31"/>
    </row>
    <row r="85" spans="1:13" ht="14.25" customHeight="1">
      <c r="A85" s="32">
        <v>45013</v>
      </c>
      <c r="B85" s="22">
        <v>-0.19</v>
      </c>
      <c r="C85" s="23" t="s">
        <v>4</v>
      </c>
      <c r="D85" s="24">
        <v>3536.57</v>
      </c>
      <c r="E85" s="25"/>
      <c r="F85" s="24">
        <f t="shared" si="0"/>
        <v>0.56999999999999995</v>
      </c>
      <c r="G85" s="26">
        <f t="shared" si="1"/>
        <v>3536.57</v>
      </c>
      <c r="H85" s="27" t="str">
        <f t="shared" si="2"/>
        <v/>
      </c>
      <c r="J85" s="73"/>
      <c r="K85" s="102"/>
      <c r="L85" s="33"/>
      <c r="M85" s="31"/>
    </row>
    <row r="86" spans="1:13" ht="14.25" customHeight="1">
      <c r="A86" s="32">
        <v>45014</v>
      </c>
      <c r="B86" s="22">
        <v>-5.25</v>
      </c>
      <c r="C86" s="23" t="s">
        <v>4</v>
      </c>
      <c r="D86" s="24">
        <v>3531.31</v>
      </c>
      <c r="E86" s="25"/>
      <c r="F86" s="24">
        <f t="shared" si="0"/>
        <v>1.1399999999999999</v>
      </c>
      <c r="G86" s="26">
        <f t="shared" si="1"/>
        <v>7062.62</v>
      </c>
      <c r="H86" s="27" t="str">
        <f t="shared" si="2"/>
        <v/>
      </c>
      <c r="J86" s="73"/>
      <c r="K86" s="102"/>
      <c r="L86" s="33"/>
      <c r="M86" s="31"/>
    </row>
    <row r="87" spans="1:13" ht="14.25" customHeight="1">
      <c r="A87" s="32">
        <v>45016</v>
      </c>
      <c r="B87" s="22">
        <v>-13.44</v>
      </c>
      <c r="C87" s="23" t="s">
        <v>4</v>
      </c>
      <c r="D87" s="24">
        <v>3517.86</v>
      </c>
      <c r="E87" s="25"/>
      <c r="F87" s="24">
        <f t="shared" si="0"/>
        <v>3.41</v>
      </c>
      <c r="G87" s="26">
        <f t="shared" si="1"/>
        <v>21107.16</v>
      </c>
      <c r="H87" s="27" t="str">
        <f t="shared" si="2"/>
        <v/>
      </c>
      <c r="J87" s="73"/>
      <c r="K87" s="102"/>
      <c r="L87" s="33"/>
      <c r="M87" s="31"/>
    </row>
    <row r="88" spans="1:13" ht="14.25" customHeight="1">
      <c r="A88" s="32">
        <v>45022</v>
      </c>
      <c r="B88" s="22">
        <v>28.66</v>
      </c>
      <c r="C88" s="23" t="s">
        <v>4</v>
      </c>
      <c r="D88" s="24">
        <v>3546.51</v>
      </c>
      <c r="E88" s="25"/>
      <c r="F88" s="24">
        <f t="shared" si="0"/>
        <v>2.87</v>
      </c>
      <c r="G88" s="26">
        <f t="shared" si="1"/>
        <v>17732.550000000003</v>
      </c>
      <c r="H88" s="27" t="str">
        <f t="shared" si="2"/>
        <v/>
      </c>
      <c r="J88" s="73"/>
      <c r="K88" s="102"/>
      <c r="L88" s="33"/>
      <c r="M88" s="31"/>
    </row>
    <row r="89" spans="1:13" ht="14.25" customHeight="1">
      <c r="A89" s="32">
        <v>45027</v>
      </c>
      <c r="B89" s="22">
        <v>74.48</v>
      </c>
      <c r="C89" s="23" t="s">
        <v>4</v>
      </c>
      <c r="D89" s="24">
        <v>3620.98</v>
      </c>
      <c r="E89" s="25"/>
      <c r="F89" s="24">
        <f t="shared" si="0"/>
        <v>0.59</v>
      </c>
      <c r="G89" s="26">
        <f t="shared" si="1"/>
        <v>3620.98</v>
      </c>
      <c r="H89" s="27" t="str">
        <f t="shared" si="2"/>
        <v/>
      </c>
      <c r="J89" s="73"/>
      <c r="K89" s="102"/>
      <c r="L89" s="33"/>
      <c r="M89" s="31"/>
    </row>
    <row r="90" spans="1:13" ht="14.25" customHeight="1">
      <c r="A90" s="32">
        <v>45028</v>
      </c>
      <c r="B90" s="22">
        <v>27.11</v>
      </c>
      <c r="C90" s="23" t="s">
        <v>4</v>
      </c>
      <c r="D90" s="24">
        <v>3648.08</v>
      </c>
      <c r="E90" s="25"/>
      <c r="F90" s="24">
        <f t="shared" si="0"/>
        <v>0.59</v>
      </c>
      <c r="G90" s="26">
        <f t="shared" si="1"/>
        <v>3648.08</v>
      </c>
      <c r="H90" s="27" t="str">
        <f t="shared" si="2"/>
        <v/>
      </c>
      <c r="J90" s="73"/>
      <c r="K90" s="102"/>
      <c r="L90" s="33"/>
      <c r="M90" s="31"/>
    </row>
    <row r="91" spans="1:13" ht="14.25" customHeight="1">
      <c r="A91" s="32">
        <v>45029</v>
      </c>
      <c r="B91" s="22">
        <v>-728.35</v>
      </c>
      <c r="C91" s="23" t="s">
        <v>4</v>
      </c>
      <c r="D91" s="24">
        <v>2919.72</v>
      </c>
      <c r="E91" s="25"/>
      <c r="F91" s="24">
        <f t="shared" si="0"/>
        <v>5.19</v>
      </c>
      <c r="G91" s="26">
        <f t="shared" si="1"/>
        <v>32116.92</v>
      </c>
      <c r="H91" s="27" t="str">
        <f t="shared" si="2"/>
        <v/>
      </c>
      <c r="J91" s="73"/>
      <c r="K91" s="102"/>
      <c r="L91" s="33"/>
      <c r="M91" s="31"/>
    </row>
    <row r="92" spans="1:13" ht="14.25" customHeight="1">
      <c r="A92" s="32">
        <v>45040</v>
      </c>
      <c r="B92" s="22">
        <v>93.04</v>
      </c>
      <c r="C92" s="23" t="s">
        <v>4</v>
      </c>
      <c r="D92" s="24">
        <v>3012.75</v>
      </c>
      <c r="E92" s="25"/>
      <c r="F92" s="24">
        <f t="shared" si="0"/>
        <v>1.95</v>
      </c>
      <c r="G92" s="26">
        <f t="shared" si="1"/>
        <v>12051</v>
      </c>
      <c r="H92" s="27" t="str">
        <f t="shared" si="2"/>
        <v/>
      </c>
      <c r="J92" s="73"/>
      <c r="K92" s="102"/>
      <c r="L92" s="33"/>
      <c r="M92" s="31"/>
    </row>
    <row r="93" spans="1:13" ht="14.25" customHeight="1">
      <c r="A93" s="32">
        <v>45044</v>
      </c>
      <c r="B93" s="22">
        <v>-37.85</v>
      </c>
      <c r="C93" s="23" t="s">
        <v>4</v>
      </c>
      <c r="D93" s="24">
        <v>2974.89</v>
      </c>
      <c r="E93" s="25"/>
      <c r="F93" s="24">
        <f t="shared" si="0"/>
        <v>2.4</v>
      </c>
      <c r="G93" s="26">
        <f t="shared" si="1"/>
        <v>14874.449999999999</v>
      </c>
      <c r="H93" s="27" t="str">
        <f t="shared" si="2"/>
        <v/>
      </c>
      <c r="J93" s="73"/>
      <c r="K93" s="102"/>
      <c r="L93" s="33"/>
      <c r="M93" s="31"/>
    </row>
    <row r="94" spans="1:13" ht="14.25" customHeight="1">
      <c r="A94" s="81">
        <v>45049</v>
      </c>
      <c r="B94" s="22"/>
      <c r="C94" s="23"/>
      <c r="D94" s="24"/>
      <c r="E94" s="25"/>
      <c r="F94" s="24" t="str">
        <f t="shared" si="0"/>
        <v/>
      </c>
      <c r="G94" s="26" t="str">
        <f>IF(AND(D94="",E94=""),"",(#REF!-A94)*(D94+E94))</f>
        <v/>
      </c>
      <c r="H94" s="27" t="str">
        <f t="shared" si="2"/>
        <v/>
      </c>
      <c r="J94" s="73"/>
      <c r="K94" s="102"/>
      <c r="L94" s="33"/>
      <c r="M94" s="31"/>
    </row>
    <row r="95" spans="1:13" ht="14.25" customHeight="1">
      <c r="A95" s="35" t="s">
        <v>430</v>
      </c>
      <c r="B95" s="36">
        <f>ROUND(SUM(B20:B94),2)</f>
        <v>-24026.89</v>
      </c>
      <c r="C95" s="23"/>
      <c r="D95" s="24"/>
      <c r="E95" s="25"/>
      <c r="F95" s="37">
        <f>ROUND(SUM(F20:F94),2)</f>
        <v>197.69</v>
      </c>
      <c r="G95" s="26"/>
      <c r="H95" s="27" t="str">
        <f>IF(AND(C95&lt;&gt;"",C95&lt;&gt;"R/O Adjustment",C95&lt;&gt;"IntraDay",C95&lt;&gt;"F&amp;O"),"Positional","")</f>
        <v/>
      </c>
      <c r="J95" s="28"/>
      <c r="K95" s="101" t="s">
        <v>18</v>
      </c>
      <c r="L95" s="38">
        <f>ROUND(SUM(L20:L94),2)</f>
        <v>-2.48</v>
      </c>
      <c r="M95" s="31"/>
    </row>
    <row r="96" spans="1:13" ht="3.75" customHeight="1">
      <c r="B96" s="39"/>
      <c r="C96" s="40"/>
      <c r="D96" s="39"/>
      <c r="E96" s="41"/>
      <c r="G96" s="42"/>
      <c r="H96" s="40"/>
    </row>
    <row r="97" spans="1:14" ht="15.75" customHeight="1">
      <c r="A97" s="43" t="s">
        <v>19</v>
      </c>
      <c r="B97" s="44">
        <f>ROUND(SUMIF(H20:H94,A97,B20:B94),2)</f>
        <v>0</v>
      </c>
      <c r="D97" s="45">
        <f>D99-C15</f>
        <v>2974.89</v>
      </c>
      <c r="E97" s="25">
        <f>B$113</f>
        <v>0</v>
      </c>
      <c r="J97" s="42"/>
      <c r="K97" s="46"/>
    </row>
    <row r="98" spans="1:14" ht="15" customHeight="1">
      <c r="A98" s="43" t="s">
        <v>20</v>
      </c>
      <c r="B98" s="44">
        <f>ROUND(SUMIF(C20:C94,A98,B20:B94),2)</f>
        <v>0</v>
      </c>
      <c r="C98" s="43" t="s">
        <v>21</v>
      </c>
      <c r="D98" s="47">
        <f>B15+B95-L95+E98</f>
        <v>2974.9900000000007</v>
      </c>
      <c r="E98" s="47">
        <f>-0.2-0.1-0.2-0.1</f>
        <v>-0.6</v>
      </c>
      <c r="F98" s="43" t="s">
        <v>22</v>
      </c>
      <c r="G98" s="48">
        <f>ROUND(SUMIFS(B20:B94,C20:C94,A99,B20:B94, "&gt;0"),2)</f>
        <v>33589.589999999997</v>
      </c>
      <c r="H98" s="49">
        <f>COUNTIFS(B20:B94,"&gt;0",C20:C94,A99)</f>
        <v>34</v>
      </c>
      <c r="J98" s="50" t="s">
        <v>23</v>
      </c>
      <c r="K98" s="51" t="s">
        <v>20</v>
      </c>
      <c r="L98" s="51" t="s">
        <v>4</v>
      </c>
      <c r="M98" s="51" t="s">
        <v>19</v>
      </c>
      <c r="N98" s="51" t="s">
        <v>24</v>
      </c>
    </row>
    <row r="99" spans="1:14" ht="15" customHeight="1">
      <c r="A99" s="43" t="s">
        <v>4</v>
      </c>
      <c r="B99" s="48">
        <f>ROUND(SUMIF(C20:C94,A99,B20:B94),2)</f>
        <v>-24026.89</v>
      </c>
      <c r="C99" s="43" t="s">
        <v>431</v>
      </c>
      <c r="D99" s="24">
        <v>2974.89</v>
      </c>
      <c r="F99" s="43" t="s">
        <v>26</v>
      </c>
      <c r="G99" s="48">
        <f>ROUND(SUMIFS(B20:B94,C20:C94,A99,B20:B94, "&lt;0"),2)</f>
        <v>-57616.480000000003</v>
      </c>
      <c r="H99" s="49">
        <f>COUNTIFS(B20:B94,"&lt;0",C20:C94,A99)</f>
        <v>32</v>
      </c>
      <c r="J99" s="52">
        <v>44896</v>
      </c>
      <c r="K99" s="53">
        <v>0</v>
      </c>
      <c r="L99" s="53">
        <v>-11728.75</v>
      </c>
      <c r="M99" s="53">
        <v>0</v>
      </c>
      <c r="N99" s="53">
        <f t="shared" ref="N99:N103" si="3">SUM(K99:M99)</f>
        <v>-11728.75</v>
      </c>
    </row>
    <row r="100" spans="1:14" ht="15" customHeight="1">
      <c r="A100" s="43" t="s">
        <v>16</v>
      </c>
      <c r="B100" s="54">
        <f>ROUND(SUMIF(C20:C94,A100,B20:B94),2)</f>
        <v>0</v>
      </c>
      <c r="C100" s="55" t="s">
        <v>432</v>
      </c>
      <c r="D100" s="56">
        <f>D99-D98</f>
        <v>-0.10000000000081855</v>
      </c>
      <c r="E100" s="56">
        <v>-0.10000000000081855</v>
      </c>
      <c r="J100" s="57">
        <v>44927</v>
      </c>
      <c r="K100" s="46">
        <v>0</v>
      </c>
      <c r="L100" s="46">
        <v>-9719.7900000000009</v>
      </c>
      <c r="M100" s="46">
        <v>0</v>
      </c>
      <c r="N100" s="46">
        <f t="shared" si="3"/>
        <v>-9719.7900000000009</v>
      </c>
    </row>
    <row r="101" spans="1:14" ht="15.75" customHeight="1">
      <c r="A101" s="43" t="s">
        <v>28</v>
      </c>
      <c r="B101" s="58">
        <f>SUM(B97:B100)</f>
        <v>-24026.89</v>
      </c>
      <c r="E101" s="47">
        <f>E98+E100</f>
        <v>-0.70000000000081852</v>
      </c>
      <c r="J101" s="52">
        <v>44958</v>
      </c>
      <c r="K101" s="53">
        <v>0</v>
      </c>
      <c r="L101" s="53">
        <v>-2890.93</v>
      </c>
      <c r="M101" s="53">
        <v>0</v>
      </c>
      <c r="N101" s="53">
        <f t="shared" si="3"/>
        <v>-2890.93</v>
      </c>
    </row>
    <row r="102" spans="1:14" ht="15.75" customHeight="1">
      <c r="A102" s="43"/>
      <c r="B102" s="54"/>
      <c r="J102" s="57">
        <v>44986</v>
      </c>
      <c r="K102" s="46">
        <v>0</v>
      </c>
      <c r="L102" s="46">
        <v>855.49</v>
      </c>
      <c r="M102" s="46">
        <v>0</v>
      </c>
      <c r="N102" s="46">
        <f t="shared" si="3"/>
        <v>855.49</v>
      </c>
    </row>
    <row r="103" spans="1:14" ht="15.75" customHeight="1">
      <c r="A103" s="60">
        <f>Zerodha!A1014</f>
        <v>45047</v>
      </c>
      <c r="B103" s="60">
        <f>Zerodha!B1014</f>
        <v>45077</v>
      </c>
      <c r="C103" s="43" t="s">
        <v>433</v>
      </c>
      <c r="D103" s="44"/>
      <c r="J103" s="52">
        <v>45017</v>
      </c>
      <c r="K103" s="53">
        <v>0</v>
      </c>
      <c r="L103" s="53">
        <v>-542.91</v>
      </c>
      <c r="M103" s="53">
        <v>0</v>
      </c>
      <c r="N103" s="53">
        <f t="shared" si="3"/>
        <v>-542.91</v>
      </c>
    </row>
    <row r="104" spans="1:14" ht="15.75" customHeight="1">
      <c r="A104" s="63" t="s">
        <v>20</v>
      </c>
      <c r="B104" s="64">
        <f>ROUND(SUMIFS(B20:B94,C20:C94,A104,A20:A94,"&gt;="&amp;A103,A20:A94,"&lt;="&amp;B103)+B107,2)</f>
        <v>0</v>
      </c>
      <c r="C104" s="55" t="s">
        <v>30</v>
      </c>
      <c r="D104" s="65">
        <f>D103-B97</f>
        <v>0</v>
      </c>
      <c r="J104" s="57">
        <v>45047</v>
      </c>
      <c r="K104" s="46"/>
      <c r="L104" s="46">
        <f>B$108</f>
        <v>0</v>
      </c>
      <c r="M104" s="46"/>
      <c r="N104" s="46"/>
    </row>
    <row r="105" spans="1:14" ht="15.75" customHeight="1">
      <c r="A105" s="63" t="s">
        <v>19</v>
      </c>
      <c r="B105" s="64">
        <f>ROUND(SUMIFS(B20:B94,H20:H94,A105,A20:A94,"&gt;="&amp;A103,A20:A94,"&lt;="&amp;B103),2)</f>
        <v>0</v>
      </c>
      <c r="C105" s="43" t="s">
        <v>434</v>
      </c>
      <c r="D105" s="66"/>
      <c r="J105" s="42"/>
      <c r="K105" s="46"/>
    </row>
    <row r="106" spans="1:14" ht="15.75" customHeight="1">
      <c r="A106" s="63" t="s">
        <v>4</v>
      </c>
      <c r="B106" s="67">
        <f>ROUND(SUMIFS(B20:B94,C20:C94,A106,A20:A94,"&gt;="&amp;A103,A20:A94,"&lt;="&amp;B103),2)</f>
        <v>0</v>
      </c>
      <c r="C106" s="55" t="s">
        <v>30</v>
      </c>
      <c r="D106" s="65">
        <f>D105-B98</f>
        <v>0</v>
      </c>
      <c r="E106" s="49">
        <f>ROUND(COUNTIFS(B20:B94,"&gt;0",C20:C94,A106,A20:A94,"&gt;="&amp;A103,A20:A94,"&lt;="&amp;B103),2)</f>
        <v>0</v>
      </c>
      <c r="F106" s="48">
        <f>ROUND(SUMIFS(B20:B94,C20:C94,A99,B20:B94,"&gt;0",A20:A94,"&gt;="&amp;A103,A20:A94,"&lt;="&amp;B103),2)</f>
        <v>0</v>
      </c>
      <c r="G106" s="48" t="e">
        <f t="shared" ref="G106:G107" si="4">F106/E106</f>
        <v>#DIV/0!</v>
      </c>
      <c r="J106" s="61" t="s">
        <v>18</v>
      </c>
      <c r="K106" s="62">
        <f t="shared" ref="K106:M106" si="5">SUM(K99:K105)</f>
        <v>0</v>
      </c>
      <c r="L106" s="62">
        <f t="shared" si="5"/>
        <v>-24026.89</v>
      </c>
      <c r="M106" s="62">
        <f t="shared" si="5"/>
        <v>0</v>
      </c>
      <c r="N106" s="62">
        <f>IF(SUM(N99:N105)=B101,B101,"Error")</f>
        <v>-24026.89</v>
      </c>
    </row>
    <row r="107" spans="1:14" ht="15.75" customHeight="1">
      <c r="A107" s="63" t="s">
        <v>16</v>
      </c>
      <c r="B107" s="64">
        <f>ROUND(SUMIFS(B20:B94,C20:C94,A107,A20:A94,"&gt;="&amp;A103,A20:A94,"&lt;="&amp;B103),2)</f>
        <v>0</v>
      </c>
      <c r="C107" s="43" t="s">
        <v>4</v>
      </c>
      <c r="D107" s="44">
        <f>Trade!Z1797</f>
        <v>-24026.889999999989</v>
      </c>
      <c r="E107" s="49">
        <f>ROUND(COUNTIFS(B20:B94,"&lt;0",C20:C94,A106,A20:A94,"&gt;="&amp;A103,A20:A94,"&lt;="&amp;B103),2)</f>
        <v>0</v>
      </c>
      <c r="F107" s="48">
        <f>ROUND(SUMIFS(B20:B94,C20:C94,A99,B20:B94,"&lt;0",A20:A94,"&gt;="&amp;A103,A20:A94,"&lt;="&amp;B103),2)</f>
        <v>0</v>
      </c>
      <c r="G107" s="48" t="e">
        <f t="shared" si="4"/>
        <v>#DIV/0!</v>
      </c>
      <c r="J107" s="42"/>
      <c r="K107" s="46"/>
    </row>
    <row r="108" spans="1:14" ht="15.75" customHeight="1">
      <c r="A108" s="63" t="s">
        <v>32</v>
      </c>
      <c r="B108" s="68">
        <f>SUM(B104:B106)</f>
        <v>0</v>
      </c>
      <c r="C108" s="55" t="s">
        <v>30</v>
      </c>
      <c r="D108" s="65">
        <f>D107-B99</f>
        <v>0</v>
      </c>
      <c r="J108" s="42"/>
      <c r="K108" s="46"/>
    </row>
    <row r="109" spans="1:14" ht="15.75" customHeight="1">
      <c r="J109" s="42"/>
      <c r="K109" s="46"/>
    </row>
    <row r="110" spans="1:14" ht="15.75" customHeight="1">
      <c r="J110" s="42"/>
      <c r="K110" s="46"/>
    </row>
    <row r="111" spans="1:14" ht="15.75" customHeight="1">
      <c r="J111" s="42"/>
      <c r="K111" s="46"/>
    </row>
    <row r="112" spans="1:14" ht="15.75" customHeight="1">
      <c r="J112" s="42"/>
      <c r="K112" s="46"/>
    </row>
    <row r="113" spans="2:11" ht="15.75" customHeight="1">
      <c r="J113" s="42"/>
      <c r="K113" s="46"/>
    </row>
    <row r="114" spans="2:11" ht="15.75" customHeight="1">
      <c r="J114" s="42"/>
      <c r="K114" s="46"/>
    </row>
    <row r="115" spans="2:11" ht="15.75" customHeight="1">
      <c r="J115" s="42"/>
      <c r="K115" s="46"/>
    </row>
    <row r="116" spans="2:11" ht="15.75" customHeight="1">
      <c r="J116" s="42"/>
      <c r="K116" s="46"/>
    </row>
    <row r="117" spans="2:11" ht="15.75" customHeight="1">
      <c r="J117" s="42"/>
      <c r="K117" s="46"/>
    </row>
    <row r="118" spans="2:11" ht="15.75" customHeight="1">
      <c r="J118" s="42"/>
      <c r="K118" s="46"/>
    </row>
    <row r="119" spans="2:11" ht="15.75" customHeight="1">
      <c r="J119" s="42"/>
      <c r="K119" s="46"/>
    </row>
    <row r="120" spans="2:11" ht="15.75" customHeight="1">
      <c r="J120" s="42"/>
      <c r="K120" s="46"/>
    </row>
    <row r="121" spans="2:11" ht="15.75" customHeight="1">
      <c r="J121" s="42"/>
      <c r="K121" s="46"/>
    </row>
    <row r="122" spans="2:11" ht="15.75" customHeight="1">
      <c r="J122" s="42"/>
      <c r="K122" s="46"/>
    </row>
    <row r="123" spans="2:11" ht="15.75" customHeight="1">
      <c r="J123" s="42"/>
      <c r="K123" s="46"/>
    </row>
    <row r="124" spans="2:11" ht="15.75" customHeight="1">
      <c r="B124" s="39"/>
      <c r="J124" s="42"/>
      <c r="K124" s="46"/>
    </row>
    <row r="125" spans="2:11" ht="15.75" customHeight="1">
      <c r="B125" s="39"/>
      <c r="J125" s="42"/>
      <c r="K125" s="46"/>
    </row>
    <row r="126" spans="2:11" ht="15.75" customHeight="1">
      <c r="B126" s="39"/>
      <c r="C126" s="40"/>
      <c r="D126" s="39"/>
      <c r="J126" s="42"/>
      <c r="K126" s="46"/>
    </row>
    <row r="127" spans="2:11" ht="15.75" customHeight="1">
      <c r="B127" s="39"/>
      <c r="C127" s="40"/>
      <c r="D127" s="39"/>
      <c r="F127" s="69"/>
      <c r="G127" s="70"/>
      <c r="I127" s="69"/>
      <c r="J127" s="46"/>
      <c r="K127" s="46"/>
    </row>
    <row r="128" spans="2:11" ht="15.75" customHeight="1">
      <c r="B128" s="39"/>
      <c r="C128" s="40"/>
      <c r="D128" s="39"/>
      <c r="F128" s="69"/>
      <c r="G128" s="70"/>
      <c r="I128" s="46"/>
      <c r="J128" s="46"/>
      <c r="K128" s="46"/>
    </row>
    <row r="129" spans="2:11" ht="15.75" customHeight="1">
      <c r="B129" s="39"/>
      <c r="C129" s="40"/>
      <c r="D129" s="39"/>
    </row>
    <row r="130" spans="2:11" ht="15.75" customHeight="1">
      <c r="B130" s="39"/>
      <c r="C130" s="40"/>
      <c r="D130" s="39"/>
      <c r="F130" s="69"/>
      <c r="G130" s="70"/>
      <c r="I130" s="69"/>
      <c r="J130" s="46"/>
      <c r="K130" s="46"/>
    </row>
    <row r="131" spans="2:11" ht="15.75" customHeight="1">
      <c r="B131" s="39"/>
      <c r="C131" s="40"/>
      <c r="D131" s="39"/>
      <c r="F131" s="69"/>
      <c r="G131" s="70"/>
      <c r="I131" s="46"/>
      <c r="J131" s="46"/>
      <c r="K131" s="46"/>
    </row>
  </sheetData>
  <dataValidations count="1">
    <dataValidation type="custom" allowBlank="1" showDropDown="1" sqref="A2:A14 A20:A94">
      <formula1>OR(NOT(ISERROR(DATEVALUE(A2))), AND(ISNUMBER(A2), LEFT(CELL("format", A2))="D"))</formula1>
    </dataValidation>
  </dataValidation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L1000"/>
  <sheetViews>
    <sheetView workbookViewId="0"/>
  </sheetViews>
  <sheetFormatPr baseColWidth="10" defaultColWidth="14.42578125" defaultRowHeight="15" customHeight="1"/>
  <cols>
    <col min="1" max="1" width="13.5703125" customWidth="1"/>
    <col min="2" max="26" width="8.7109375" customWidth="1"/>
  </cols>
  <sheetData>
    <row r="1" spans="1:12" ht="14.25" customHeight="1">
      <c r="A1" s="40" t="s">
        <v>435</v>
      </c>
      <c r="B1" s="40"/>
      <c r="C1" s="40"/>
      <c r="L1" s="40"/>
    </row>
    <row r="2" spans="1:12" ht="14.25" customHeight="1">
      <c r="A2" s="40" t="str">
        <f ca="1">IFERROR(__xludf.DUMMYFUNCTION("sort(unique(Trade!E2:E1788))"),"A2ZINFRA")</f>
        <v>A2ZINFRA</v>
      </c>
      <c r="C2" s="40"/>
    </row>
    <row r="3" spans="1:12" ht="14.25" customHeight="1">
      <c r="A3" s="40" t="str">
        <f ca="1">IFERROR(__xludf.DUMMYFUNCTION("""COMPUTED_VALUE"""),"AARTIIND")</f>
        <v>AARTIIND</v>
      </c>
    </row>
    <row r="4" spans="1:12" ht="14.25" customHeight="1">
      <c r="A4" s="40" t="str">
        <f ca="1">IFERROR(__xludf.DUMMYFUNCTION("""COMPUTED_VALUE"""),"ABB")</f>
        <v>ABB</v>
      </c>
    </row>
    <row r="5" spans="1:12" ht="14.25" customHeight="1">
      <c r="A5" s="40" t="str">
        <f ca="1">IFERROR(__xludf.DUMMYFUNCTION("""COMPUTED_VALUE"""),"ABCAPITAL")</f>
        <v>ABCAPITAL</v>
      </c>
    </row>
    <row r="6" spans="1:12" ht="14.25" customHeight="1">
      <c r="A6" s="40" t="str">
        <f ca="1">IFERROR(__xludf.DUMMYFUNCTION("""COMPUTED_VALUE"""),"ABSLAMC")</f>
        <v>ABSLAMC</v>
      </c>
    </row>
    <row r="7" spans="1:12" ht="14.25" customHeight="1">
      <c r="A7" s="40" t="str">
        <f ca="1">IFERROR(__xludf.DUMMYFUNCTION("""COMPUTED_VALUE"""),"ACC")</f>
        <v>ACC</v>
      </c>
    </row>
    <row r="8" spans="1:12" ht="14.25" customHeight="1">
      <c r="A8" s="40" t="str">
        <f ca="1">IFERROR(__xludf.DUMMYFUNCTION("""COMPUTED_VALUE"""),"ACI")</f>
        <v>ACI</v>
      </c>
    </row>
    <row r="9" spans="1:12" ht="14.25" customHeight="1">
      <c r="A9" s="40" t="str">
        <f ca="1">IFERROR(__xludf.DUMMYFUNCTION("""COMPUTED_VALUE"""),"ADANIENT")</f>
        <v>ADANIENT</v>
      </c>
    </row>
    <row r="10" spans="1:12" ht="14.25" customHeight="1">
      <c r="A10" s="40" t="str">
        <f ca="1">IFERROR(__xludf.DUMMYFUNCTION("""COMPUTED_VALUE"""),"ADANIPORTS")</f>
        <v>ADANIPORTS</v>
      </c>
    </row>
    <row r="11" spans="1:12" ht="14.25" customHeight="1">
      <c r="A11" s="40" t="str">
        <f ca="1">IFERROR(__xludf.DUMMYFUNCTION("""COMPUTED_VALUE"""),"ADANIPOWER")</f>
        <v>ADANIPOWER</v>
      </c>
    </row>
    <row r="12" spans="1:12" ht="14.25" customHeight="1">
      <c r="A12" s="40" t="str">
        <f ca="1">IFERROR(__xludf.DUMMYFUNCTION("""COMPUTED_VALUE"""),"ADVENZYMES")</f>
        <v>ADVENZYMES</v>
      </c>
    </row>
    <row r="13" spans="1:12" ht="14.25" customHeight="1">
      <c r="A13" s="40" t="str">
        <f ca="1">IFERROR(__xludf.DUMMYFUNCTION("""COMPUTED_VALUE"""),"AMBUJACEM")</f>
        <v>AMBUJACEM</v>
      </c>
    </row>
    <row r="14" spans="1:12" ht="14.25" customHeight="1">
      <c r="A14" s="40" t="str">
        <f ca="1">IFERROR(__xludf.DUMMYFUNCTION("""COMPUTED_VALUE"""),"ANGELBRKG")</f>
        <v>ANGELBRKG</v>
      </c>
    </row>
    <row r="15" spans="1:12" ht="14.25" customHeight="1">
      <c r="A15" s="40" t="str">
        <f ca="1">IFERROR(__xludf.DUMMYFUNCTION("""COMPUTED_VALUE"""),"APOLLOHOSP")</f>
        <v>APOLLOHOSP</v>
      </c>
    </row>
    <row r="16" spans="1:12" ht="14.25" customHeight="1">
      <c r="A16" s="40" t="str">
        <f ca="1">IFERROR(__xludf.DUMMYFUNCTION("""COMPUTED_VALUE"""),"APOLLOTYRE")</f>
        <v>APOLLOTYRE</v>
      </c>
    </row>
    <row r="17" spans="1:1" ht="14.25" customHeight="1">
      <c r="A17" s="103" t="str">
        <f ca="1">IFERROR(__xludf.DUMMYFUNCTION("""COMPUTED_VALUE"""),"APTECHT")</f>
        <v>APTECHT</v>
      </c>
    </row>
    <row r="18" spans="1:1" ht="14.25" customHeight="1">
      <c r="A18" s="40" t="str">
        <f ca="1">IFERROR(__xludf.DUMMYFUNCTION("""COMPUTED_VALUE"""),"ARVIND")</f>
        <v>ARVIND</v>
      </c>
    </row>
    <row r="19" spans="1:1" ht="14.25" customHeight="1">
      <c r="A19" s="40" t="str">
        <f ca="1">IFERROR(__xludf.DUMMYFUNCTION("""COMPUTED_VALUE"""),"ASHOKA")</f>
        <v>ASHOKA</v>
      </c>
    </row>
    <row r="20" spans="1:1" ht="14.25" customHeight="1">
      <c r="A20" s="40" t="str">
        <f ca="1">IFERROR(__xludf.DUMMYFUNCTION("""COMPUTED_VALUE"""),"ASHOKLEY")</f>
        <v>ASHOKLEY</v>
      </c>
    </row>
    <row r="21" spans="1:1" ht="14.25" customHeight="1">
      <c r="A21" s="40" t="str">
        <f ca="1">IFERROR(__xludf.DUMMYFUNCTION("""COMPUTED_VALUE"""),"ASIANPAINT")</f>
        <v>ASIANPAINT</v>
      </c>
    </row>
    <row r="22" spans="1:1" ht="14.25" customHeight="1">
      <c r="A22" s="40" t="str">
        <f ca="1">IFERROR(__xludf.DUMMYFUNCTION("""COMPUTED_VALUE"""),"AUBANK")</f>
        <v>AUBANK</v>
      </c>
    </row>
    <row r="23" spans="1:1" ht="14.25" customHeight="1">
      <c r="A23" s="40" t="str">
        <f ca="1">IFERROR(__xludf.DUMMYFUNCTION("""COMPUTED_VALUE"""),"AUROPHARMA")</f>
        <v>AUROPHARMA</v>
      </c>
    </row>
    <row r="24" spans="1:1" ht="14.25" customHeight="1">
      <c r="A24" s="40" t="str">
        <f ca="1">IFERROR(__xludf.DUMMYFUNCTION("""COMPUTED_VALUE"""),"AVADHSUGAR")</f>
        <v>AVADHSUGAR</v>
      </c>
    </row>
    <row r="25" spans="1:1" ht="14.25" customHeight="1">
      <c r="A25" s="40" t="str">
        <f ca="1">IFERROR(__xludf.DUMMYFUNCTION("""COMPUTED_VALUE"""),"AXISBANK")</f>
        <v>AXISBANK</v>
      </c>
    </row>
    <row r="26" spans="1:1" ht="14.25" customHeight="1">
      <c r="A26" s="40" t="str">
        <f ca="1">IFERROR(__xludf.DUMMYFUNCTION("""COMPUTED_VALUE"""),"BAJAJCON")</f>
        <v>BAJAJCON</v>
      </c>
    </row>
    <row r="27" spans="1:1" ht="14.25" customHeight="1">
      <c r="A27" s="40" t="str">
        <f ca="1">IFERROR(__xludf.DUMMYFUNCTION("""COMPUTED_VALUE"""),"BAJAJFINSV")</f>
        <v>BAJAJFINSV</v>
      </c>
    </row>
    <row r="28" spans="1:1" ht="14.25" customHeight="1">
      <c r="A28" s="40" t="str">
        <f ca="1">IFERROR(__xludf.DUMMYFUNCTION("""COMPUTED_VALUE"""),"BAJAJHIND")</f>
        <v>BAJAJHIND</v>
      </c>
    </row>
    <row r="29" spans="1:1" ht="14.25" customHeight="1">
      <c r="A29" s="40" t="str">
        <f ca="1">IFERROR(__xludf.DUMMYFUNCTION("""COMPUTED_VALUE"""),"BAJFINANCE")</f>
        <v>BAJFINANCE</v>
      </c>
    </row>
    <row r="30" spans="1:1" ht="14.25" customHeight="1">
      <c r="A30" s="40" t="str">
        <f ca="1">IFERROR(__xludf.DUMMYFUNCTION("""COMPUTED_VALUE"""),"BANDHANBNK")</f>
        <v>BANDHANBNK</v>
      </c>
    </row>
    <row r="31" spans="1:1" ht="14.25" customHeight="1">
      <c r="A31" s="40" t="str">
        <f ca="1">IFERROR(__xludf.DUMMYFUNCTION("""COMPUTED_VALUE"""),"BANKBARODA")</f>
        <v>BANKBARODA</v>
      </c>
    </row>
    <row r="32" spans="1:1" ht="14.25" customHeight="1">
      <c r="A32" s="40" t="str">
        <f ca="1">IFERROR(__xludf.DUMMYFUNCTION("""COMPUTED_VALUE"""),"BANKNIFTY")</f>
        <v>BANKNIFTY</v>
      </c>
    </row>
    <row r="33" spans="1:1" ht="14.25" customHeight="1">
      <c r="A33" s="40" t="str">
        <f ca="1">IFERROR(__xludf.DUMMYFUNCTION("""COMPUTED_VALUE"""),"BATAINDIA")</f>
        <v>BATAINDIA</v>
      </c>
    </row>
    <row r="34" spans="1:1" ht="14.25" customHeight="1">
      <c r="A34" s="40" t="str">
        <f ca="1">IFERROR(__xludf.DUMMYFUNCTION("""COMPUTED_VALUE"""),"BECTORFOOD")</f>
        <v>BECTORFOOD</v>
      </c>
    </row>
    <row r="35" spans="1:1" ht="14.25" customHeight="1">
      <c r="A35" s="40" t="str">
        <f ca="1">IFERROR(__xludf.DUMMYFUNCTION("""COMPUTED_VALUE"""),"BEL")</f>
        <v>BEL</v>
      </c>
    </row>
    <row r="36" spans="1:1" ht="14.25" customHeight="1">
      <c r="A36" s="40" t="str">
        <f ca="1">IFERROR(__xludf.DUMMYFUNCTION("""COMPUTED_VALUE"""),"BHARATFORG")</f>
        <v>BHARATFORG</v>
      </c>
    </row>
    <row r="37" spans="1:1" ht="14.25" customHeight="1">
      <c r="A37" s="40" t="str">
        <f ca="1">IFERROR(__xludf.DUMMYFUNCTION("""COMPUTED_VALUE"""),"BHARTIARTL")</f>
        <v>BHARTIARTL</v>
      </c>
    </row>
    <row r="38" spans="1:1" ht="14.25" customHeight="1">
      <c r="A38" s="40" t="str">
        <f ca="1">IFERROR(__xludf.DUMMYFUNCTION("""COMPUTED_VALUE"""),"BHEL")</f>
        <v>BHEL</v>
      </c>
    </row>
    <row r="39" spans="1:1" ht="14.25" customHeight="1">
      <c r="A39" s="40" t="str">
        <f ca="1">IFERROR(__xludf.DUMMYFUNCTION("""COMPUTED_VALUE"""),"BIOCON")</f>
        <v>BIOCON</v>
      </c>
    </row>
    <row r="40" spans="1:1" ht="14.25" customHeight="1">
      <c r="A40" s="40" t="str">
        <f ca="1">IFERROR(__xludf.DUMMYFUNCTION("""COMPUTED_VALUE"""),"BPCL")</f>
        <v>BPCL</v>
      </c>
    </row>
    <row r="41" spans="1:1" ht="14.25" customHeight="1">
      <c r="A41" s="40" t="str">
        <f ca="1">IFERROR(__xludf.DUMMYFUNCTION("""COMPUTED_VALUE"""),"BRNL")</f>
        <v>BRNL</v>
      </c>
    </row>
    <row r="42" spans="1:1" ht="14.25" customHeight="1">
      <c r="A42" s="40" t="str">
        <f ca="1">IFERROR(__xludf.DUMMYFUNCTION("""COMPUTED_VALUE"""),"BSOFT")</f>
        <v>BSOFT</v>
      </c>
    </row>
    <row r="43" spans="1:1" ht="14.25" customHeight="1">
      <c r="A43" s="40" t="str">
        <f ca="1">IFERROR(__xludf.DUMMYFUNCTION("""COMPUTED_VALUE"""),"BURGERKING")</f>
        <v>BURGERKING</v>
      </c>
    </row>
    <row r="44" spans="1:1" ht="14.25" customHeight="1">
      <c r="A44" s="40" t="str">
        <f ca="1">IFERROR(__xludf.DUMMYFUNCTION("""COMPUTED_VALUE"""),"CADILAHC")</f>
        <v>CADILAHC</v>
      </c>
    </row>
    <row r="45" spans="1:1" ht="14.25" customHeight="1">
      <c r="A45" s="40" t="str">
        <f ca="1">IFERROR(__xludf.DUMMYFUNCTION("""COMPUTED_VALUE"""),"CAMPUS ACTIV")</f>
        <v>CAMPUS ACTIV</v>
      </c>
    </row>
    <row r="46" spans="1:1" ht="14.25" customHeight="1">
      <c r="A46" s="40" t="str">
        <f ca="1">IFERROR(__xludf.DUMMYFUNCTION("""COMPUTED_VALUE"""),"CAMS")</f>
        <v>CAMS</v>
      </c>
    </row>
    <row r="47" spans="1:1" ht="14.25" customHeight="1">
      <c r="A47" s="40" t="str">
        <f ca="1">IFERROR(__xludf.DUMMYFUNCTION("""COMPUTED_VALUE"""),"CANBK")</f>
        <v>CANBK</v>
      </c>
    </row>
    <row r="48" spans="1:1" ht="14.25" customHeight="1">
      <c r="A48" s="40" t="str">
        <f ca="1">IFERROR(__xludf.DUMMYFUNCTION("""COMPUTED_VALUE"""),"CANFINHOME")</f>
        <v>CANFINHOME</v>
      </c>
    </row>
    <row r="49" spans="1:1" ht="14.25" customHeight="1">
      <c r="A49" s="40" t="str">
        <f ca="1">IFERROR(__xludf.DUMMYFUNCTION("""COMPUTED_VALUE"""),"CAPLIPOINT")</f>
        <v>CAPLIPOINT</v>
      </c>
    </row>
    <row r="50" spans="1:1" ht="14.25" customHeight="1">
      <c r="A50" s="40" t="str">
        <f ca="1">IFERROR(__xludf.DUMMYFUNCTION("""COMPUTED_VALUE"""),"CARBORUNIN")</f>
        <v>CARBORUNIN</v>
      </c>
    </row>
    <row r="51" spans="1:1" ht="14.25" customHeight="1">
      <c r="A51" s="40" t="str">
        <f ca="1">IFERROR(__xludf.DUMMYFUNCTION("""COMPUTED_VALUE"""),"CARBORUNIV")</f>
        <v>CARBORUNIV</v>
      </c>
    </row>
    <row r="52" spans="1:1" ht="14.25" customHeight="1">
      <c r="A52" s="40" t="str">
        <f ca="1">IFERROR(__xludf.DUMMYFUNCTION("""COMPUTED_VALUE"""),"CDSL")</f>
        <v>CDSL</v>
      </c>
    </row>
    <row r="53" spans="1:1" ht="14.25" customHeight="1">
      <c r="A53" s="40" t="str">
        <f ca="1">IFERROR(__xludf.DUMMYFUNCTION("""COMPUTED_VALUE"""),"CGPOWER")</f>
        <v>CGPOWER</v>
      </c>
    </row>
    <row r="54" spans="1:1" ht="14.25" customHeight="1">
      <c r="A54" s="40" t="str">
        <f ca="1">IFERROR(__xludf.DUMMYFUNCTION("""COMPUTED_VALUE"""),"CHOLAFIN")</f>
        <v>CHOLAFIN</v>
      </c>
    </row>
    <row r="55" spans="1:1" ht="14.25" customHeight="1">
      <c r="A55" s="40" t="str">
        <f ca="1">IFERROR(__xludf.DUMMYFUNCTION("""COMPUTED_VALUE"""),"CIPLA")</f>
        <v>CIPLA</v>
      </c>
    </row>
    <row r="56" spans="1:1" ht="14.25" customHeight="1">
      <c r="A56" s="40" t="str">
        <f ca="1">IFERROR(__xludf.DUMMYFUNCTION("""COMPUTED_VALUE"""),"COALINDIA")</f>
        <v>COALINDIA</v>
      </c>
    </row>
    <row r="57" spans="1:1" ht="14.25" customHeight="1">
      <c r="A57" s="40" t="str">
        <f ca="1">IFERROR(__xludf.DUMMYFUNCTION("""COMPUTED_VALUE"""),"CONCOR")</f>
        <v>CONCOR</v>
      </c>
    </row>
    <row r="58" spans="1:1" ht="14.25" customHeight="1">
      <c r="A58" s="40" t="str">
        <f ca="1">IFERROR(__xludf.DUMMYFUNCTION("""COMPUTED_VALUE"""),"CONTROLPR")</f>
        <v>CONTROLPR</v>
      </c>
    </row>
    <row r="59" spans="1:1" ht="14.25" customHeight="1">
      <c r="A59" s="40" t="str">
        <f ca="1">IFERROR(__xludf.DUMMYFUNCTION("""COMPUTED_VALUE"""),"COROMANDEL")</f>
        <v>COROMANDEL</v>
      </c>
    </row>
    <row r="60" spans="1:1" ht="14.25" customHeight="1">
      <c r="A60" s="40" t="str">
        <f ca="1">IFERROR(__xludf.DUMMYFUNCTION("""COMPUTED_VALUE"""),"CREDITACC")</f>
        <v>CREDITACC</v>
      </c>
    </row>
    <row r="61" spans="1:1" ht="14.25" customHeight="1">
      <c r="A61" s="40" t="str">
        <f ca="1">IFERROR(__xludf.DUMMYFUNCTION("""COMPUTED_VALUE"""),"CROMPTON")</f>
        <v>CROMPTON</v>
      </c>
    </row>
    <row r="62" spans="1:1" ht="14.25" customHeight="1">
      <c r="A62" s="40" t="str">
        <f ca="1">IFERROR(__xludf.DUMMYFUNCTION("""COMPUTED_VALUE"""),"CUMMINSIND")</f>
        <v>CUMMINSIND</v>
      </c>
    </row>
    <row r="63" spans="1:1" ht="14.25" customHeight="1">
      <c r="A63" s="40" t="str">
        <f ca="1">IFERROR(__xludf.DUMMYFUNCTION("""COMPUTED_VALUE"""),"CYBERTECH")</f>
        <v>CYBERTECH</v>
      </c>
    </row>
    <row r="64" spans="1:1" ht="14.25" customHeight="1">
      <c r="A64" s="40" t="str">
        <f ca="1">IFERROR(__xludf.DUMMYFUNCTION("""COMPUTED_VALUE"""),"CYIENT")</f>
        <v>CYIENT</v>
      </c>
    </row>
    <row r="65" spans="1:1" ht="14.25" customHeight="1">
      <c r="A65" s="40" t="str">
        <f ca="1">IFERROR(__xludf.DUMMYFUNCTION("""COMPUTED_VALUE"""),"DABUR")</f>
        <v>DABUR</v>
      </c>
    </row>
    <row r="66" spans="1:1" ht="14.25" customHeight="1">
      <c r="A66" s="40" t="str">
        <f ca="1">IFERROR(__xludf.DUMMYFUNCTION("""COMPUTED_VALUE"""),"DCBBANK")</f>
        <v>DCBBANK</v>
      </c>
    </row>
    <row r="67" spans="1:1" ht="14.25" customHeight="1">
      <c r="A67" s="40" t="str">
        <f ca="1">IFERROR(__xludf.DUMMYFUNCTION("""COMPUTED_VALUE"""),"DCMSHRIRAM")</f>
        <v>DCMSHRIRAM</v>
      </c>
    </row>
    <row r="68" spans="1:1" ht="14.25" customHeight="1">
      <c r="A68" s="40" t="str">
        <f ca="1">IFERROR(__xludf.DUMMYFUNCTION("""COMPUTED_VALUE"""),"DCMSRMIND")</f>
        <v>DCMSRMIND</v>
      </c>
    </row>
    <row r="69" spans="1:1" ht="14.25" customHeight="1">
      <c r="A69" s="40" t="str">
        <f ca="1">IFERROR(__xludf.DUMMYFUNCTION("""COMPUTED_VALUE"""),"DCXINDIA")</f>
        <v>DCXINDIA</v>
      </c>
    </row>
    <row r="70" spans="1:1" ht="14.25" customHeight="1">
      <c r="A70" s="40" t="str">
        <f ca="1">IFERROR(__xludf.DUMMYFUNCTION("""COMPUTED_VALUE"""),"DEVYANI")</f>
        <v>DEVYANI</v>
      </c>
    </row>
    <row r="71" spans="1:1" ht="14.25" customHeight="1">
      <c r="A71" s="40" t="str">
        <f ca="1">IFERROR(__xludf.DUMMYFUNCTION("""COMPUTED_VALUE"""),"DISHTV")</f>
        <v>DISHTV</v>
      </c>
    </row>
    <row r="72" spans="1:1" ht="14.25" customHeight="1">
      <c r="A72" s="40" t="str">
        <f ca="1">IFERROR(__xludf.DUMMYFUNCTION("""COMPUTED_VALUE"""),"DIXON")</f>
        <v>DIXON</v>
      </c>
    </row>
    <row r="73" spans="1:1" ht="14.25" customHeight="1">
      <c r="A73" s="40" t="str">
        <f ca="1">IFERROR(__xludf.DUMMYFUNCTION("""COMPUTED_VALUE"""),"DLF")</f>
        <v>DLF</v>
      </c>
    </row>
    <row r="74" spans="1:1" ht="14.25" customHeight="1">
      <c r="A74" s="103" t="str">
        <f ca="1">IFERROR(__xludf.DUMMYFUNCTION("""COMPUTED_VALUE"""),"DODLA")</f>
        <v>DODLA</v>
      </c>
    </row>
    <row r="75" spans="1:1" ht="14.25" customHeight="1">
      <c r="A75" s="40" t="str">
        <f ca="1">IFERROR(__xludf.DUMMYFUNCTION("""COMPUTED_VALUE"""),"DREAMFOLKS")</f>
        <v>DREAMFOLKS</v>
      </c>
    </row>
    <row r="76" spans="1:1" ht="14.25" customHeight="1">
      <c r="A76" s="40" t="str">
        <f ca="1">IFERROR(__xludf.DUMMYFUNCTION("""COMPUTED_VALUE"""),"DWARKESH")</f>
        <v>DWARKESH</v>
      </c>
    </row>
    <row r="77" spans="1:1" ht="14.25" customHeight="1">
      <c r="A77" s="40" t="str">
        <f ca="1">IFERROR(__xludf.DUMMYFUNCTION("""COMPUTED_VALUE"""),"EASEMYTRIP")</f>
        <v>EASEMYTRIP</v>
      </c>
    </row>
    <row r="78" spans="1:1" ht="14.25" customHeight="1">
      <c r="A78" s="40" t="str">
        <f ca="1">IFERROR(__xludf.DUMMYFUNCTION("""COMPUTED_VALUE"""),"EIDPARRY")</f>
        <v>EIDPARRY</v>
      </c>
    </row>
    <row r="79" spans="1:1" ht="14.25" customHeight="1">
      <c r="A79" s="40" t="str">
        <f ca="1">IFERROR(__xludf.DUMMYFUNCTION("""COMPUTED_VALUE"""),"ELDERPHARM")</f>
        <v>ELDERPHARM</v>
      </c>
    </row>
    <row r="80" spans="1:1" ht="14.25" customHeight="1">
      <c r="A80" s="40" t="str">
        <f ca="1">IFERROR(__xludf.DUMMYFUNCTION("""COMPUTED_VALUE"""),"ELGIEQUIP")</f>
        <v>ELGIEQUIP</v>
      </c>
    </row>
    <row r="81" spans="1:1" ht="14.25" customHeight="1">
      <c r="A81" s="40" t="str">
        <f ca="1">IFERROR(__xludf.DUMMYFUNCTION("""COMPUTED_VALUE"""),"ENDURANCE")</f>
        <v>ENDURANCE</v>
      </c>
    </row>
    <row r="82" spans="1:1" ht="14.25" customHeight="1">
      <c r="A82" s="40" t="str">
        <f ca="1">IFERROR(__xludf.DUMMYFUNCTION("""COMPUTED_VALUE"""),"ESCORTS")</f>
        <v>ESCORTS</v>
      </c>
    </row>
    <row r="83" spans="1:1" ht="14.25" customHeight="1">
      <c r="A83" s="40" t="str">
        <f ca="1">IFERROR(__xludf.DUMMYFUNCTION("""COMPUTED_VALUE"""),"EXCELINDUS")</f>
        <v>EXCELINDUS</v>
      </c>
    </row>
    <row r="84" spans="1:1" ht="14.25" customHeight="1">
      <c r="A84" s="40" t="str">
        <f ca="1">IFERROR(__xludf.DUMMYFUNCTION("""COMPUTED_VALUE"""),"EXIDEIND")</f>
        <v>EXIDEIND</v>
      </c>
    </row>
    <row r="85" spans="1:1" ht="14.25" customHeight="1">
      <c r="A85" s="40" t="str">
        <f ca="1">IFERROR(__xludf.DUMMYFUNCTION("""COMPUTED_VALUE"""),"FDC")</f>
        <v>FDC</v>
      </c>
    </row>
    <row r="86" spans="1:1" ht="14.25" customHeight="1">
      <c r="A86" s="40" t="str">
        <f ca="1">IFERROR(__xludf.DUMMYFUNCTION("""COMPUTED_VALUE"""),"FEDERALBNK")</f>
        <v>FEDERALBNK</v>
      </c>
    </row>
    <row r="87" spans="1:1" ht="14.25" customHeight="1">
      <c r="A87" s="40" t="str">
        <f ca="1">IFERROR(__xludf.DUMMYFUNCTION("""COMPUTED_VALUE"""),"FINEORG")</f>
        <v>FINEORG</v>
      </c>
    </row>
    <row r="88" spans="1:1" ht="14.25" customHeight="1">
      <c r="A88" s="40" t="str">
        <f ca="1">IFERROR(__xludf.DUMMYFUNCTION("""COMPUTED_VALUE"""),"FSL")</f>
        <v>FSL</v>
      </c>
    </row>
    <row r="89" spans="1:1" ht="14.25" customHeight="1">
      <c r="A89" s="40" t="str">
        <f ca="1">IFERROR(__xludf.DUMMYFUNCTION("""COMPUTED_VALUE"""),"GAIL")</f>
        <v>GAIL</v>
      </c>
    </row>
    <row r="90" spans="1:1" ht="14.25" customHeight="1">
      <c r="A90" s="40" t="str">
        <f ca="1">IFERROR(__xludf.DUMMYFUNCTION("""COMPUTED_VALUE"""),"GARFIBRES")</f>
        <v>GARFIBRES</v>
      </c>
    </row>
    <row r="91" spans="1:1" ht="14.25" customHeight="1">
      <c r="A91" s="40" t="str">
        <f ca="1">IFERROR(__xludf.DUMMYFUNCTION("""COMPUTED_VALUE"""),"GDL")</f>
        <v>GDL</v>
      </c>
    </row>
    <row r="92" spans="1:1" ht="14.25" customHeight="1">
      <c r="A92" s="40" t="str">
        <f ca="1">IFERROR(__xludf.DUMMYFUNCTION("""COMPUTED_VALUE"""),"GENUSPOWER")</f>
        <v>GENUSPOWER</v>
      </c>
    </row>
    <row r="93" spans="1:1" ht="14.25" customHeight="1">
      <c r="A93" s="40" t="str">
        <f ca="1">IFERROR(__xludf.DUMMYFUNCTION("""COMPUTED_VALUE"""),"GHCL")</f>
        <v>GHCL</v>
      </c>
    </row>
    <row r="94" spans="1:1" ht="14.25" customHeight="1">
      <c r="A94" s="40" t="str">
        <f ca="1">IFERROR(__xludf.DUMMYFUNCTION("""COMPUTED_VALUE"""),"GICHSGFIN")</f>
        <v>GICHSGFIN</v>
      </c>
    </row>
    <row r="95" spans="1:1" ht="14.25" customHeight="1">
      <c r="A95" s="40" t="str">
        <f ca="1">IFERROR(__xludf.DUMMYFUNCTION("""COMPUTED_VALUE"""),"GLAND")</f>
        <v>GLAND</v>
      </c>
    </row>
    <row r="96" spans="1:1" ht="14.25" customHeight="1">
      <c r="A96" s="40" t="str">
        <f ca="1">IFERROR(__xludf.DUMMYFUNCTION("""COMPUTED_VALUE"""),"GODREJAGRO")</f>
        <v>GODREJAGRO</v>
      </c>
    </row>
    <row r="97" spans="1:1" ht="14.25" customHeight="1">
      <c r="A97" s="40" t="str">
        <f ca="1">IFERROR(__xludf.DUMMYFUNCTION("""COMPUTED_VALUE"""),"GODREJCP")</f>
        <v>GODREJCP</v>
      </c>
    </row>
    <row r="98" spans="1:1" ht="14.25" customHeight="1">
      <c r="A98" s="40" t="str">
        <f ca="1">IFERROR(__xludf.DUMMYFUNCTION("""COMPUTED_VALUE"""),"GPIL")</f>
        <v>GPIL</v>
      </c>
    </row>
    <row r="99" spans="1:1" ht="14.25" customHeight="1">
      <c r="A99" s="40" t="str">
        <f ca="1">IFERROR(__xludf.DUMMYFUNCTION("""COMPUTED_VALUE"""),"GRAPHITE")</f>
        <v>GRAPHITE</v>
      </c>
    </row>
    <row r="100" spans="1:1" ht="14.25" customHeight="1">
      <c r="A100" s="40" t="str">
        <f ca="1">IFERROR(__xludf.DUMMYFUNCTION("""COMPUTED_VALUE"""),"GRASIM")</f>
        <v>GRASIM</v>
      </c>
    </row>
    <row r="101" spans="1:1" ht="14.25" customHeight="1">
      <c r="A101" s="103" t="str">
        <f ca="1">IFERROR(__xludf.DUMMYFUNCTION("""COMPUTED_VALUE"""),"GREAVESCOT")</f>
        <v>GREAVESCOT</v>
      </c>
    </row>
    <row r="102" spans="1:1" ht="14.25" customHeight="1">
      <c r="A102" s="40" t="str">
        <f ca="1">IFERROR(__xludf.DUMMYFUNCTION("""COMPUTED_VALUE"""),"GUJAPOLLO")</f>
        <v>GUJAPOLLO</v>
      </c>
    </row>
    <row r="103" spans="1:1" ht="14.25" customHeight="1">
      <c r="A103" s="40" t="str">
        <f ca="1">IFERROR(__xludf.DUMMYFUNCTION("""COMPUTED_VALUE"""),"GVKPIL")</f>
        <v>GVKPIL</v>
      </c>
    </row>
    <row r="104" spans="1:1" ht="14.25" customHeight="1">
      <c r="A104" s="40" t="str">
        <f ca="1">IFERROR(__xludf.DUMMYFUNCTION("""COMPUTED_VALUE"""),"HAVELLS")</f>
        <v>HAVELLS</v>
      </c>
    </row>
    <row r="105" spans="1:1" ht="14.25" customHeight="1">
      <c r="A105" s="40" t="str">
        <f ca="1">IFERROR(__xludf.DUMMYFUNCTION("""COMPUTED_VALUE"""),"HBLPOWER")</f>
        <v>HBLPOWER</v>
      </c>
    </row>
    <row r="106" spans="1:1" ht="14.25" customHeight="1">
      <c r="A106" s="40" t="str">
        <f ca="1">IFERROR(__xludf.DUMMYFUNCTION("""COMPUTED_VALUE"""),"HCLTECH")</f>
        <v>HCLTECH</v>
      </c>
    </row>
    <row r="107" spans="1:1" ht="14.25" customHeight="1">
      <c r="A107" s="40" t="str">
        <f ca="1">IFERROR(__xludf.DUMMYFUNCTION("""COMPUTED_VALUE"""),"HDFC")</f>
        <v>HDFC</v>
      </c>
    </row>
    <row r="108" spans="1:1" ht="14.25" customHeight="1">
      <c r="A108" s="40" t="str">
        <f ca="1">IFERROR(__xludf.DUMMYFUNCTION("""COMPUTED_VALUE"""),"HDFCBANK")</f>
        <v>HDFCBANK</v>
      </c>
    </row>
    <row r="109" spans="1:1" ht="14.25" customHeight="1">
      <c r="A109" s="40" t="str">
        <f ca="1">IFERROR(__xludf.DUMMYFUNCTION("""COMPUTED_VALUE"""),"HEG")</f>
        <v>HEG</v>
      </c>
    </row>
    <row r="110" spans="1:1" ht="14.25" customHeight="1">
      <c r="A110" s="40" t="str">
        <f ca="1">IFERROR(__xludf.DUMMYFUNCTION("""COMPUTED_VALUE"""),"HEROMOTOCO")</f>
        <v>HEROMOTOCO</v>
      </c>
    </row>
    <row r="111" spans="1:1" ht="14.25" customHeight="1">
      <c r="A111" s="40" t="str">
        <f ca="1">IFERROR(__xludf.DUMMYFUNCTION("""COMPUTED_VALUE"""),"HINDALCO")</f>
        <v>HINDALCO</v>
      </c>
    </row>
    <row r="112" spans="1:1" ht="14.25" customHeight="1">
      <c r="A112" s="40" t="str">
        <f ca="1">IFERROR(__xludf.DUMMYFUNCTION("""COMPUTED_VALUE"""),"HINDPETRO")</f>
        <v>HINDPETRO</v>
      </c>
    </row>
    <row r="113" spans="1:1" ht="14.25" customHeight="1">
      <c r="A113" s="40" t="str">
        <f ca="1">IFERROR(__xludf.DUMMYFUNCTION("""COMPUTED_VALUE"""),"HINDUNILVR")</f>
        <v>HINDUNILVR</v>
      </c>
    </row>
    <row r="114" spans="1:1" ht="14.25" customHeight="1">
      <c r="A114" s="40" t="str">
        <f ca="1">IFERROR(__xludf.DUMMYFUNCTION("""COMPUTED_VALUE"""),"IBREALEST")</f>
        <v>IBREALEST</v>
      </c>
    </row>
    <row r="115" spans="1:1" ht="14.25" customHeight="1">
      <c r="A115" s="40" t="str">
        <f ca="1">IFERROR(__xludf.DUMMYFUNCTION("""COMPUTED_VALUE"""),"IBULHSGFIN")</f>
        <v>IBULHSGFIN</v>
      </c>
    </row>
    <row r="116" spans="1:1" ht="14.25" customHeight="1">
      <c r="A116" s="40" t="str">
        <f ca="1">IFERROR(__xludf.DUMMYFUNCTION("""COMPUTED_VALUE"""),"ICICI")</f>
        <v>ICICI</v>
      </c>
    </row>
    <row r="117" spans="1:1" ht="14.25" customHeight="1">
      <c r="A117" s="40" t="str">
        <f ca="1">IFERROR(__xludf.DUMMYFUNCTION("""COMPUTED_VALUE"""),"ICICIBANK")</f>
        <v>ICICIBANK</v>
      </c>
    </row>
    <row r="118" spans="1:1" ht="14.25" customHeight="1">
      <c r="A118" s="40" t="str">
        <f ca="1">IFERROR(__xludf.DUMMYFUNCTION("""COMPUTED_VALUE"""),"IDEA")</f>
        <v>IDEA</v>
      </c>
    </row>
    <row r="119" spans="1:1" ht="14.25" customHeight="1">
      <c r="A119" s="40" t="str">
        <f ca="1">IFERROR(__xludf.DUMMYFUNCTION("""COMPUTED_VALUE"""),"IDFC")</f>
        <v>IDFC</v>
      </c>
    </row>
    <row r="120" spans="1:1" ht="14.25" customHeight="1">
      <c r="A120" s="40" t="str">
        <f ca="1">IFERROR(__xludf.DUMMYFUNCTION("""COMPUTED_VALUE"""),"IDFCFIRSTB")</f>
        <v>IDFCFIRSTB</v>
      </c>
    </row>
    <row r="121" spans="1:1" ht="14.25" customHeight="1">
      <c r="A121" s="40" t="str">
        <f ca="1">IFERROR(__xludf.DUMMYFUNCTION("""COMPUTED_VALUE"""),"IEX")</f>
        <v>IEX</v>
      </c>
    </row>
    <row r="122" spans="1:1" ht="14.25" customHeight="1">
      <c r="A122" s="40" t="str">
        <f ca="1">IFERROR(__xludf.DUMMYFUNCTION("""COMPUTED_VALUE"""),"IGL")</f>
        <v>IGL</v>
      </c>
    </row>
    <row r="123" spans="1:1" ht="14.25" customHeight="1">
      <c r="A123" s="40" t="str">
        <f ca="1">IFERROR(__xludf.DUMMYFUNCTION("""COMPUTED_VALUE"""),"INDHOTEL")</f>
        <v>INDHOTEL</v>
      </c>
    </row>
    <row r="124" spans="1:1" ht="14.25" customHeight="1">
      <c r="A124" s="40" t="str">
        <f ca="1">IFERROR(__xludf.DUMMYFUNCTION("""COMPUTED_VALUE"""),"INDIACEM")</f>
        <v>INDIACEM</v>
      </c>
    </row>
    <row r="125" spans="1:1" ht="14.25" customHeight="1">
      <c r="A125" s="40" t="str">
        <f ca="1">IFERROR(__xludf.DUMMYFUNCTION("""COMPUTED_VALUE"""),"INDIGO")</f>
        <v>INDIGO</v>
      </c>
    </row>
    <row r="126" spans="1:1" ht="14.25" customHeight="1">
      <c r="A126" s="40" t="str">
        <f ca="1">IFERROR(__xludf.DUMMYFUNCTION("""COMPUTED_VALUE"""),"INDIGOPNTS")</f>
        <v>INDIGOPNTS</v>
      </c>
    </row>
    <row r="127" spans="1:1" ht="14.25" customHeight="1">
      <c r="A127" s="40" t="str">
        <f ca="1">IFERROR(__xludf.DUMMYFUNCTION("""COMPUTED_VALUE"""),"INDSUCR")</f>
        <v>INDSUCR</v>
      </c>
    </row>
    <row r="128" spans="1:1" ht="14.25" customHeight="1">
      <c r="A128" s="40" t="str">
        <f ca="1">IFERROR(__xludf.DUMMYFUNCTION("""COMPUTED_VALUE"""),"INDUSINDBK")</f>
        <v>INDUSINDBK</v>
      </c>
    </row>
    <row r="129" spans="1:1" ht="14.25" customHeight="1">
      <c r="A129" s="40" t="str">
        <f ca="1">IFERROR(__xludf.DUMMYFUNCTION("""COMPUTED_VALUE"""),"INDUSTOWER")</f>
        <v>INDUSTOWER</v>
      </c>
    </row>
    <row r="130" spans="1:1" ht="14.25" customHeight="1">
      <c r="A130" s="40" t="str">
        <f ca="1">IFERROR(__xludf.DUMMYFUNCTION("""COMPUTED_VALUE"""),"INEOSSTYRO")</f>
        <v>INEOSSTYRO</v>
      </c>
    </row>
    <row r="131" spans="1:1" ht="14.25" customHeight="1">
      <c r="A131" s="40" t="str">
        <f ca="1">IFERROR(__xludf.DUMMYFUNCTION("""COMPUTED_VALUE"""),"INFY")</f>
        <v>INFY</v>
      </c>
    </row>
    <row r="132" spans="1:1" ht="14.25" customHeight="1">
      <c r="A132" s="40" t="str">
        <f ca="1">IFERROR(__xludf.DUMMYFUNCTION("""COMPUTED_VALUE"""),"INSECTICID")</f>
        <v>INSECTICID</v>
      </c>
    </row>
    <row r="133" spans="1:1" ht="14.25" customHeight="1">
      <c r="A133" s="40" t="str">
        <f ca="1">IFERROR(__xludf.DUMMYFUNCTION("""COMPUTED_VALUE"""),"INTELLECT")</f>
        <v>INTELLECT</v>
      </c>
    </row>
    <row r="134" spans="1:1" ht="14.25" customHeight="1">
      <c r="A134" s="40" t="str">
        <f ca="1">IFERROR(__xludf.DUMMYFUNCTION("""COMPUTED_VALUE"""),"IOB")</f>
        <v>IOB</v>
      </c>
    </row>
    <row r="135" spans="1:1" ht="14.25" customHeight="1">
      <c r="A135" s="40" t="str">
        <f ca="1">IFERROR(__xludf.DUMMYFUNCTION("""COMPUTED_VALUE"""),"IOC")</f>
        <v>IOC</v>
      </c>
    </row>
    <row r="136" spans="1:1" ht="14.25" customHeight="1">
      <c r="A136" s="40" t="str">
        <f ca="1">IFERROR(__xludf.DUMMYFUNCTION("""COMPUTED_VALUE"""),"IOLCP")</f>
        <v>IOLCP</v>
      </c>
    </row>
    <row r="137" spans="1:1" ht="14.25" customHeight="1">
      <c r="A137" s="40" t="str">
        <f ca="1">IFERROR(__xludf.DUMMYFUNCTION("""COMPUTED_VALUE"""),"IRCTC")</f>
        <v>IRCTC</v>
      </c>
    </row>
    <row r="138" spans="1:1" ht="14.25" customHeight="1">
      <c r="A138" s="40" t="str">
        <f ca="1">IFERROR(__xludf.DUMMYFUNCTION("""COMPUTED_VALUE"""),"IRFC")</f>
        <v>IRFC</v>
      </c>
    </row>
    <row r="139" spans="1:1" ht="14.25" customHeight="1">
      <c r="A139" s="40" t="str">
        <f ca="1">IFERROR(__xludf.DUMMYFUNCTION("""COMPUTED_VALUE"""),"ISEC")</f>
        <v>ISEC</v>
      </c>
    </row>
    <row r="140" spans="1:1" ht="14.25" customHeight="1">
      <c r="A140" s="40" t="str">
        <f ca="1">IFERROR(__xludf.DUMMYFUNCTION("""COMPUTED_VALUE"""),"ITC")</f>
        <v>ITC</v>
      </c>
    </row>
    <row r="141" spans="1:1" ht="14.25" customHeight="1">
      <c r="A141" s="40" t="str">
        <f ca="1">IFERROR(__xludf.DUMMYFUNCTION("""COMPUTED_VALUE"""),"ITC ")</f>
        <v xml:space="preserve">ITC </v>
      </c>
    </row>
    <row r="142" spans="1:1" ht="14.25" customHeight="1">
      <c r="A142" s="103" t="str">
        <f ca="1">IFERROR(__xludf.DUMMYFUNCTION("""COMPUTED_VALUE"""),"ITDCEM")</f>
        <v>ITDCEM</v>
      </c>
    </row>
    <row r="143" spans="1:1" ht="14.25" customHeight="1">
      <c r="A143" s="40" t="str">
        <f ca="1">IFERROR(__xludf.DUMMYFUNCTION("""COMPUTED_VALUE"""),"ITI")</f>
        <v>ITI</v>
      </c>
    </row>
    <row r="144" spans="1:1" ht="14.25" customHeight="1">
      <c r="A144" s="40" t="str">
        <f ca="1">IFERROR(__xludf.DUMMYFUNCTION("""COMPUTED_VALUE"""),"JINDALSTEL")</f>
        <v>JINDALSTEL</v>
      </c>
    </row>
    <row r="145" spans="1:1" ht="14.25" customHeight="1">
      <c r="A145" s="103" t="str">
        <f ca="1">IFERROR(__xludf.DUMMYFUNCTION("""COMPUTED_VALUE"""),"JPASSOCIAT")</f>
        <v>JPASSOCIAT</v>
      </c>
    </row>
    <row r="146" spans="1:1" ht="14.25" customHeight="1">
      <c r="A146" s="40" t="str">
        <f ca="1">IFERROR(__xludf.DUMMYFUNCTION("""COMPUTED_VALUE"""),"JPPOWER")</f>
        <v>JPPOWER</v>
      </c>
    </row>
    <row r="147" spans="1:1" ht="14.25" customHeight="1">
      <c r="A147" s="103" t="str">
        <f ca="1">IFERROR(__xludf.DUMMYFUNCTION("""COMPUTED_VALUE"""),"JSL")</f>
        <v>JSL</v>
      </c>
    </row>
    <row r="148" spans="1:1" ht="14.25" customHeight="1">
      <c r="A148" s="40" t="str">
        <f ca="1">IFERROR(__xludf.DUMMYFUNCTION("""COMPUTED_VALUE"""),"JSWSTEEL")</f>
        <v>JSWSTEEL</v>
      </c>
    </row>
    <row r="149" spans="1:1" ht="14.25" customHeight="1">
      <c r="A149" s="40" t="str">
        <f ca="1">IFERROR(__xludf.DUMMYFUNCTION("""COMPUTED_VALUE"""),"JUBLFOOD")</f>
        <v>JUBLFOOD</v>
      </c>
    </row>
    <row r="150" spans="1:1" ht="14.25" customHeight="1">
      <c r="A150" s="40" t="str">
        <f ca="1">IFERROR(__xludf.DUMMYFUNCTION("""COMPUTED_VALUE"""),"JUBLPHARMA")</f>
        <v>JUBLPHARMA</v>
      </c>
    </row>
    <row r="151" spans="1:1" ht="14.25" customHeight="1">
      <c r="A151" s="40" t="str">
        <f ca="1">IFERROR(__xludf.DUMMYFUNCTION("""COMPUTED_VALUE"""),"JUSTDIAL")</f>
        <v>JUSTDIAL</v>
      </c>
    </row>
    <row r="152" spans="1:1" ht="14.25" customHeight="1">
      <c r="A152" s="40" t="str">
        <f ca="1">IFERROR(__xludf.DUMMYFUNCTION("""COMPUTED_VALUE"""),"KEI")</f>
        <v>KEI</v>
      </c>
    </row>
    <row r="153" spans="1:1" ht="14.25" customHeight="1">
      <c r="A153" s="103" t="str">
        <f ca="1">IFERROR(__xludf.DUMMYFUNCTION("""COMPUTED_VALUE"""),"KNRCON")</f>
        <v>KNRCON</v>
      </c>
    </row>
    <row r="154" spans="1:1" ht="14.25" customHeight="1">
      <c r="A154" s="40" t="str">
        <f ca="1">IFERROR(__xludf.DUMMYFUNCTION("""COMPUTED_VALUE"""),"KOTAKBANK")</f>
        <v>KOTAKBANK</v>
      </c>
    </row>
    <row r="155" spans="1:1" ht="14.25" customHeight="1">
      <c r="A155" s="40" t="str">
        <f ca="1">IFERROR(__xludf.DUMMYFUNCTION("""COMPUTED_VALUE"""),"KTKBANK")</f>
        <v>KTKBANK</v>
      </c>
    </row>
    <row r="156" spans="1:1" ht="14.25" customHeight="1">
      <c r="A156" s="40" t="str">
        <f ca="1">IFERROR(__xludf.DUMMYFUNCTION("""COMPUTED_VALUE"""),"KUANTUM")</f>
        <v>KUANTUM</v>
      </c>
    </row>
    <row r="157" spans="1:1" ht="14.25" customHeight="1">
      <c r="A157" s="40" t="str">
        <f ca="1">IFERROR(__xludf.DUMMYFUNCTION("""COMPUTED_VALUE"""),"L&amp;TFH")</f>
        <v>L&amp;TFH</v>
      </c>
    </row>
    <row r="158" spans="1:1" ht="14.25" customHeight="1">
      <c r="A158" s="40" t="str">
        <f ca="1">IFERROR(__xludf.DUMMYFUNCTION("""COMPUTED_VALUE"""),"LEMONTREE")</f>
        <v>LEMONTREE</v>
      </c>
    </row>
    <row r="159" spans="1:1" ht="14.25" customHeight="1">
      <c r="A159" s="40" t="str">
        <f ca="1">IFERROR(__xludf.DUMMYFUNCTION("""COMPUTED_VALUE"""),"LICHSGFIN")</f>
        <v>LICHSGFIN</v>
      </c>
    </row>
    <row r="160" spans="1:1" ht="14.25" customHeight="1">
      <c r="A160" s="40" t="str">
        <f ca="1">IFERROR(__xludf.DUMMYFUNCTION("""COMPUTED_VALUE"""),"LT")</f>
        <v>LT</v>
      </c>
    </row>
    <row r="161" spans="1:1" ht="14.25" customHeight="1">
      <c r="A161" s="40" t="str">
        <f ca="1">IFERROR(__xludf.DUMMYFUNCTION("""COMPUTED_VALUE"""),"LTTS")</f>
        <v>LTTS</v>
      </c>
    </row>
    <row r="162" spans="1:1" ht="14.25" customHeight="1">
      <c r="A162" s="40" t="str">
        <f ca="1">IFERROR(__xludf.DUMMYFUNCTION("""COMPUTED_VALUE"""),"LUPIN")</f>
        <v>LUPIN</v>
      </c>
    </row>
    <row r="163" spans="1:1" ht="14.25" customHeight="1">
      <c r="A163" s="40" t="str">
        <f ca="1">IFERROR(__xludf.DUMMYFUNCTION("""COMPUTED_VALUE"""),"LXCHEM")</f>
        <v>LXCHEM</v>
      </c>
    </row>
    <row r="164" spans="1:1" ht="14.25" customHeight="1">
      <c r="A164" s="40" t="str">
        <f ca="1">IFERROR(__xludf.DUMMYFUNCTION("""COMPUTED_VALUE"""),"M&amp;M")</f>
        <v>M&amp;M</v>
      </c>
    </row>
    <row r="165" spans="1:1" ht="14.25" customHeight="1">
      <c r="A165" s="40" t="str">
        <f ca="1">IFERROR(__xludf.DUMMYFUNCTION("""COMPUTED_VALUE"""),"MAHABANK")</f>
        <v>MAHABANK</v>
      </c>
    </row>
    <row r="166" spans="1:1" ht="14.25" customHeight="1">
      <c r="A166" s="40" t="str">
        <f ca="1">IFERROR(__xludf.DUMMYFUNCTION("""COMPUTED_VALUE"""),"MATRIMONY")</f>
        <v>MATRIMONY</v>
      </c>
    </row>
    <row r="167" spans="1:1" ht="14.25" customHeight="1">
      <c r="A167" s="40" t="str">
        <f ca="1">IFERROR(__xludf.DUMMYFUNCTION("""COMPUTED_VALUE"""),"MAWANASUG")</f>
        <v>MAWANASUG</v>
      </c>
    </row>
    <row r="168" spans="1:1" ht="14.25" customHeight="1">
      <c r="A168" s="40" t="str">
        <f ca="1">IFERROR(__xludf.DUMMYFUNCTION("""COMPUTED_VALUE"""),"MAXHEALTH")</f>
        <v>MAXHEALTH</v>
      </c>
    </row>
    <row r="169" spans="1:1" ht="14.25" customHeight="1">
      <c r="A169" s="40" t="str">
        <f ca="1">IFERROR(__xludf.DUMMYFUNCTION("""COMPUTED_VALUE"""),"MCDOWELL")</f>
        <v>MCDOWELL</v>
      </c>
    </row>
    <row r="170" spans="1:1" ht="14.25" customHeight="1">
      <c r="A170" s="40" t="str">
        <f ca="1">IFERROR(__xludf.DUMMYFUNCTION("""COMPUTED_VALUE"""),"MCLEODRUSS")</f>
        <v>MCLEODRUSS</v>
      </c>
    </row>
    <row r="171" spans="1:1" ht="14.25" customHeight="1">
      <c r="A171" s="40" t="str">
        <f ca="1">IFERROR(__xludf.DUMMYFUNCTION("""COMPUTED_VALUE"""),"MCX")</f>
        <v>MCX</v>
      </c>
    </row>
    <row r="172" spans="1:1" ht="14.25" customHeight="1">
      <c r="A172" s="40" t="str">
        <f ca="1">IFERROR(__xludf.DUMMYFUNCTION("""COMPUTED_VALUE"""),"MGL")</f>
        <v>MGL</v>
      </c>
    </row>
    <row r="173" spans="1:1" ht="14.25" customHeight="1">
      <c r="A173" s="40" t="str">
        <f ca="1">IFERROR(__xludf.DUMMYFUNCTION("""COMPUTED_VALUE"""),"MMTC")</f>
        <v>MMTC</v>
      </c>
    </row>
    <row r="174" spans="1:1" ht="14.25" customHeight="1">
      <c r="A174" s="40" t="str">
        <f ca="1">IFERROR(__xludf.DUMMYFUNCTION("""COMPUTED_VALUE"""),"MOTHERSON")</f>
        <v>MOTHERSON</v>
      </c>
    </row>
    <row r="175" spans="1:1" ht="14.25" customHeight="1">
      <c r="A175" s="40" t="str">
        <f ca="1">IFERROR(__xludf.DUMMYFUNCTION("""COMPUTED_VALUE"""),"MPHASIS")</f>
        <v>MPHASIS</v>
      </c>
    </row>
    <row r="176" spans="1:1" ht="14.25" customHeight="1">
      <c r="A176" s="40" t="str">
        <f ca="1">IFERROR(__xludf.DUMMYFUNCTION("""COMPUTED_VALUE"""),"MSUMI")</f>
        <v>MSUMI</v>
      </c>
    </row>
    <row r="177" spans="1:1" ht="14.25" customHeight="1">
      <c r="A177" s="40" t="str">
        <f ca="1">IFERROR(__xludf.DUMMYFUNCTION("""COMPUTED_VALUE"""),"MTNL")</f>
        <v>MTNL</v>
      </c>
    </row>
    <row r="178" spans="1:1" ht="14.25" customHeight="1">
      <c r="A178" s="40" t="str">
        <f ca="1">IFERROR(__xludf.DUMMYFUNCTION("""COMPUTED_VALUE"""),"MUKANDLTD")</f>
        <v>MUKANDLTD</v>
      </c>
    </row>
    <row r="179" spans="1:1" ht="14.25" customHeight="1">
      <c r="A179" s="40" t="str">
        <f ca="1">IFERROR(__xludf.DUMMYFUNCTION("""COMPUTED_VALUE"""),"MUTHOOTFIN")</f>
        <v>MUTHOOTFIN</v>
      </c>
    </row>
    <row r="180" spans="1:1" ht="14.25" customHeight="1">
      <c r="A180" s="40" t="str">
        <f ca="1">IFERROR(__xludf.DUMMYFUNCTION("""COMPUTED_VALUE"""),"NATCOPHARM")</f>
        <v>NATCOPHARM</v>
      </c>
    </row>
    <row r="181" spans="1:1" ht="14.25" customHeight="1">
      <c r="A181" s="40" t="str">
        <f ca="1">IFERROR(__xludf.DUMMYFUNCTION("""COMPUTED_VALUE"""),"NATIONALUM")</f>
        <v>NATIONALUM</v>
      </c>
    </row>
    <row r="182" spans="1:1" ht="14.25" customHeight="1">
      <c r="A182" s="40" t="str">
        <f ca="1">IFERROR(__xludf.DUMMYFUNCTION("""COMPUTED_VALUE"""),"NAVINFLUOR")</f>
        <v>NAVINFLUOR</v>
      </c>
    </row>
    <row r="183" spans="1:1" ht="14.25" customHeight="1">
      <c r="A183" s="103" t="str">
        <f ca="1">IFERROR(__xludf.DUMMYFUNCTION("""COMPUTED_VALUE"""),"NBCC")</f>
        <v>NBCC</v>
      </c>
    </row>
    <row r="184" spans="1:1" ht="14.25" customHeight="1">
      <c r="A184" s="40" t="str">
        <f ca="1">IFERROR(__xludf.DUMMYFUNCTION("""COMPUTED_VALUE"""),"NCC")</f>
        <v>NCC</v>
      </c>
    </row>
    <row r="185" spans="1:1" ht="14.25" customHeight="1">
      <c r="A185" s="40" t="str">
        <f ca="1">IFERROR(__xludf.DUMMYFUNCTION("""COMPUTED_VALUE"""),"NGIND")</f>
        <v>NGIND</v>
      </c>
    </row>
    <row r="186" spans="1:1" ht="14.25" customHeight="1">
      <c r="A186" s="40" t="str">
        <f ca="1">IFERROR(__xludf.DUMMYFUNCTION("""COMPUTED_VALUE"""),"NHPC")</f>
        <v>NHPC</v>
      </c>
    </row>
    <row r="187" spans="1:1" ht="14.25" customHeight="1">
      <c r="A187" s="40" t="str">
        <f ca="1">IFERROR(__xludf.DUMMYFUNCTION("""COMPUTED_VALUE"""),"NIFTY")</f>
        <v>NIFTY</v>
      </c>
    </row>
    <row r="188" spans="1:1" ht="14.25" customHeight="1">
      <c r="A188" s="40" t="str">
        <f ca="1">IFERROR(__xludf.DUMMYFUNCTION("""COMPUTED_VALUE"""),"NMDC")</f>
        <v>NMDC</v>
      </c>
    </row>
    <row r="189" spans="1:1" ht="14.25" customHeight="1">
      <c r="A189" s="40" t="str">
        <f ca="1">IFERROR(__xludf.DUMMYFUNCTION("""COMPUTED_VALUE"""),"NOCIL")</f>
        <v>NOCIL</v>
      </c>
    </row>
    <row r="190" spans="1:1" ht="14.25" customHeight="1">
      <c r="A190" s="40" t="str">
        <f ca="1">IFERROR(__xludf.DUMMYFUNCTION("""COMPUTED_VALUE"""),"NTPC")</f>
        <v>NTPC</v>
      </c>
    </row>
    <row r="191" spans="1:1" ht="14.25" customHeight="1">
      <c r="A191" s="40" t="str">
        <f ca="1">IFERROR(__xludf.DUMMYFUNCTION("""COMPUTED_VALUE"""),"ONGC")</f>
        <v>ONGC</v>
      </c>
    </row>
    <row r="192" spans="1:1" ht="14.25" customHeight="1">
      <c r="A192" s="40" t="str">
        <f ca="1">IFERROR(__xludf.DUMMYFUNCTION("""COMPUTED_VALUE"""),"ORIENTBANK")</f>
        <v>ORIENTBANK</v>
      </c>
    </row>
    <row r="193" spans="1:1" ht="14.25" customHeight="1">
      <c r="A193" s="40" t="str">
        <f ca="1">IFERROR(__xludf.DUMMYFUNCTION("""COMPUTED_VALUE"""),"PARACABLES")</f>
        <v>PARACABLES</v>
      </c>
    </row>
    <row r="194" spans="1:1" ht="14.25" customHeight="1">
      <c r="A194" s="40" t="str">
        <f ca="1">IFERROR(__xludf.DUMMYFUNCTION("""COMPUTED_VALUE"""),"PATANJALI")</f>
        <v>PATANJALI</v>
      </c>
    </row>
    <row r="195" spans="1:1" ht="14.25" customHeight="1">
      <c r="A195" s="40" t="str">
        <f ca="1">IFERROR(__xludf.DUMMYFUNCTION("""COMPUTED_VALUE"""),"PATELENG")</f>
        <v>PATELENG</v>
      </c>
    </row>
    <row r="196" spans="1:1" ht="14.25" customHeight="1">
      <c r="A196" s="40" t="str">
        <f ca="1">IFERROR(__xludf.DUMMYFUNCTION("""COMPUTED_VALUE"""),"PAYTM")</f>
        <v>PAYTM</v>
      </c>
    </row>
    <row r="197" spans="1:1" ht="14.25" customHeight="1">
      <c r="A197" s="40" t="str">
        <f ca="1">IFERROR(__xludf.DUMMYFUNCTION("""COMPUTED_VALUE"""),"PFC")</f>
        <v>PFC</v>
      </c>
    </row>
    <row r="198" spans="1:1" ht="14.25" customHeight="1">
      <c r="A198" s="40" t="str">
        <f ca="1">IFERROR(__xludf.DUMMYFUNCTION("""COMPUTED_VALUE"""),"PIDILITIND")</f>
        <v>PIDILITIND</v>
      </c>
    </row>
    <row r="199" spans="1:1" ht="14.25" customHeight="1">
      <c r="A199" s="103" t="str">
        <f ca="1">IFERROR(__xludf.DUMMYFUNCTION("""COMPUTED_VALUE"""),"PNB")</f>
        <v>PNB</v>
      </c>
    </row>
    <row r="200" spans="1:1" ht="14.25" customHeight="1">
      <c r="A200" s="40" t="str">
        <f ca="1">IFERROR(__xludf.DUMMYFUNCTION("""COMPUTED_VALUE"""),"PNBGILTS")</f>
        <v>PNBGILTS</v>
      </c>
    </row>
    <row r="201" spans="1:1" ht="14.25" customHeight="1">
      <c r="A201" s="40" t="str">
        <f ca="1">IFERROR(__xludf.DUMMYFUNCTION("""COMPUTED_VALUE"""),"PNCINFRA")</f>
        <v>PNCINFRA</v>
      </c>
    </row>
    <row r="202" spans="1:1" ht="14.25" customHeight="1">
      <c r="A202" s="40" t="str">
        <f ca="1">IFERROR(__xludf.DUMMYFUNCTION("""COMPUTED_VALUE"""),"POLYPLEX")</f>
        <v>POLYPLEX</v>
      </c>
    </row>
    <row r="203" spans="1:1" ht="14.25" customHeight="1">
      <c r="A203" s="40" t="str">
        <f ca="1">IFERROR(__xludf.DUMMYFUNCTION("""COMPUTED_VALUE"""),"POWERGRID")</f>
        <v>POWERGRID</v>
      </c>
    </row>
    <row r="204" spans="1:1" ht="14.25" customHeight="1">
      <c r="A204" s="40" t="str">
        <f ca="1">IFERROR(__xludf.DUMMYFUNCTION("""COMPUTED_VALUE"""),"PRAJIND")</f>
        <v>PRAJIND</v>
      </c>
    </row>
    <row r="205" spans="1:1" ht="14.25" customHeight="1">
      <c r="A205" s="40" t="str">
        <f ca="1">IFERROR(__xludf.DUMMYFUNCTION("""COMPUTED_VALUE"""),"PRSMJOHNSN")</f>
        <v>PRSMJOHNSN</v>
      </c>
    </row>
    <row r="206" spans="1:1" ht="14.25" customHeight="1">
      <c r="A206" s="40" t="str">
        <f ca="1">IFERROR(__xludf.DUMMYFUNCTION("""COMPUTED_VALUE"""),"PVR")</f>
        <v>PVR</v>
      </c>
    </row>
    <row r="207" spans="1:1" ht="14.25" customHeight="1">
      <c r="A207" s="40" t="str">
        <f ca="1">IFERROR(__xludf.DUMMYFUNCTION("""COMPUTED_VALUE"""),"QUESS")</f>
        <v>QUESS</v>
      </c>
    </row>
    <row r="208" spans="1:1" ht="14.25" customHeight="1">
      <c r="A208" s="40" t="str">
        <f ca="1">IFERROR(__xludf.DUMMYFUNCTION("""COMPUTED_VALUE"""),"RAMCOSYS")</f>
        <v>RAMCOSYS</v>
      </c>
    </row>
    <row r="209" spans="1:1" ht="14.25" customHeight="1">
      <c r="A209" s="40" t="str">
        <f ca="1">IFERROR(__xludf.DUMMYFUNCTION("""COMPUTED_VALUE"""),"RAYMOND")</f>
        <v>RAYMOND</v>
      </c>
    </row>
    <row r="210" spans="1:1" ht="14.25" customHeight="1">
      <c r="A210" s="40" t="str">
        <f ca="1">IFERROR(__xludf.DUMMYFUNCTION("""COMPUTED_VALUE"""),"RCF")</f>
        <v>RCF</v>
      </c>
    </row>
    <row r="211" spans="1:1" ht="14.25" customHeight="1">
      <c r="A211" s="40" t="str">
        <f ca="1">IFERROR(__xludf.DUMMYFUNCTION("""COMPUTED_VALUE"""),"REC")</f>
        <v>REC</v>
      </c>
    </row>
    <row r="212" spans="1:1" ht="14.25" customHeight="1">
      <c r="A212" s="40" t="str">
        <f ca="1">IFERROR(__xludf.DUMMYFUNCTION("""COMPUTED_VALUE"""),"RELIANCE")</f>
        <v>RELIANCE</v>
      </c>
    </row>
    <row r="213" spans="1:1" ht="14.25" customHeight="1">
      <c r="A213" s="40" t="str">
        <f ca="1">IFERROR(__xludf.DUMMYFUNCTION("""COMPUTED_VALUE"""),"RELIANCE PP")</f>
        <v>RELIANCE PP</v>
      </c>
    </row>
    <row r="214" spans="1:1" ht="14.25" customHeight="1">
      <c r="A214" s="40" t="str">
        <f ca="1">IFERROR(__xludf.DUMMYFUNCTION("""COMPUTED_VALUE"""),"RENUKA")</f>
        <v>RENUKA</v>
      </c>
    </row>
    <row r="215" spans="1:1" ht="14.25" customHeight="1">
      <c r="A215" s="40" t="str">
        <f ca="1">IFERROR(__xludf.DUMMYFUNCTION("""COMPUTED_VALUE"""),"ROLTA")</f>
        <v>ROLTA</v>
      </c>
    </row>
    <row r="216" spans="1:1" ht="14.25" customHeight="1">
      <c r="A216" s="40" t="str">
        <f ca="1">IFERROR(__xludf.DUMMYFUNCTION("""COMPUTED_VALUE"""),"ROUTE")</f>
        <v>ROUTE</v>
      </c>
    </row>
    <row r="217" spans="1:1" ht="14.25" customHeight="1">
      <c r="A217" s="40" t="str">
        <f ca="1">IFERROR(__xludf.DUMMYFUNCTION("""COMPUTED_VALUE"""),"RPOWER")</f>
        <v>RPOWER</v>
      </c>
    </row>
    <row r="218" spans="1:1" ht="14.25" customHeight="1">
      <c r="A218" s="40" t="str">
        <f ca="1">IFERROR(__xludf.DUMMYFUNCTION("""COMPUTED_VALUE"""),"RUCHI")</f>
        <v>RUCHI</v>
      </c>
    </row>
    <row r="219" spans="1:1" ht="14.25" customHeight="1">
      <c r="A219" s="40" t="str">
        <f ca="1">IFERROR(__xludf.DUMMYFUNCTION("""COMPUTED_VALUE"""),"SAIL")</f>
        <v>SAIL</v>
      </c>
    </row>
    <row r="220" spans="1:1" ht="14.25" customHeight="1">
      <c r="A220" s="40" t="str">
        <f ca="1">IFERROR(__xludf.DUMMYFUNCTION("""COMPUTED_VALUE"""),"SANSERA")</f>
        <v>SANSERA</v>
      </c>
    </row>
    <row r="221" spans="1:1" ht="14.25" customHeight="1">
      <c r="A221" s="40" t="str">
        <f ca="1">IFERROR(__xludf.DUMMYFUNCTION("""COMPUTED_VALUE"""),"SARDAEN")</f>
        <v>SARDAEN</v>
      </c>
    </row>
    <row r="222" spans="1:1" ht="14.25" customHeight="1">
      <c r="A222" s="40" t="str">
        <f ca="1">IFERROR(__xludf.DUMMYFUNCTION("""COMPUTED_VALUE"""),"SBICARD")</f>
        <v>SBICARD</v>
      </c>
    </row>
    <row r="223" spans="1:1" ht="14.25" customHeight="1">
      <c r="A223" s="40" t="str">
        <f ca="1">IFERROR(__xludf.DUMMYFUNCTION("""COMPUTED_VALUE"""),"SBIN")</f>
        <v>SBIN</v>
      </c>
    </row>
    <row r="224" spans="1:1" ht="14.25" customHeight="1">
      <c r="A224" s="103" t="str">
        <f ca="1">IFERROR(__xludf.DUMMYFUNCTION("""COMPUTED_VALUE"""),"SCHNEIDER")</f>
        <v>SCHNEIDER</v>
      </c>
    </row>
    <row r="225" spans="1:1" ht="14.25" customHeight="1">
      <c r="A225" s="40" t="str">
        <f ca="1">IFERROR(__xludf.DUMMYFUNCTION("""COMPUTED_VALUE"""),"SEQUENT")</f>
        <v>SEQUENT</v>
      </c>
    </row>
    <row r="226" spans="1:1" ht="14.25" customHeight="1">
      <c r="A226" s="40" t="str">
        <f ca="1">IFERROR(__xludf.DUMMYFUNCTION("""COMPUTED_VALUE"""),"SETFGOLD")</f>
        <v>SETFGOLD</v>
      </c>
    </row>
    <row r="227" spans="1:1" ht="14.25" customHeight="1">
      <c r="A227" s="40" t="str">
        <f ca="1">IFERROR(__xludf.DUMMYFUNCTION("""COMPUTED_VALUE"""),"SHAKTIPUMP")</f>
        <v>SHAKTIPUMP</v>
      </c>
    </row>
    <row r="228" spans="1:1" ht="14.25" customHeight="1">
      <c r="A228" s="40" t="str">
        <f ca="1">IFERROR(__xludf.DUMMYFUNCTION("""COMPUTED_VALUE"""),"SHALPAINTS")</f>
        <v>SHALPAINTS</v>
      </c>
    </row>
    <row r="229" spans="1:1" ht="14.25" customHeight="1">
      <c r="A229" s="103" t="str">
        <f ca="1">IFERROR(__xludf.DUMMYFUNCTION("""COMPUTED_VALUE"""),"SHYMMETAL")</f>
        <v>SHYMMETAL</v>
      </c>
    </row>
    <row r="230" spans="1:1" ht="14.25" customHeight="1">
      <c r="A230" s="40" t="str">
        <f ca="1">IFERROR(__xludf.DUMMYFUNCTION("""COMPUTED_VALUE"""),"SKIPPER")</f>
        <v>SKIPPER</v>
      </c>
    </row>
    <row r="231" spans="1:1" ht="14.25" customHeight="1">
      <c r="A231" s="40" t="str">
        <f ca="1">IFERROR(__xludf.DUMMYFUNCTION("""COMPUTED_VALUE"""),"SOBHA")</f>
        <v>SOBHA</v>
      </c>
    </row>
    <row r="232" spans="1:1" ht="14.25" customHeight="1">
      <c r="A232" s="40" t="str">
        <f ca="1">IFERROR(__xludf.DUMMYFUNCTION("""COMPUTED_VALUE"""),"SONACOMS")</f>
        <v>SONACOMS</v>
      </c>
    </row>
    <row r="233" spans="1:1" ht="14.25" customHeight="1">
      <c r="A233" s="40" t="str">
        <f ca="1">IFERROR(__xludf.DUMMYFUNCTION("""COMPUTED_VALUE"""),"SOUTHBANK")</f>
        <v>SOUTHBANK</v>
      </c>
    </row>
    <row r="234" spans="1:1" ht="14.25" customHeight="1">
      <c r="A234" s="40" t="str">
        <f ca="1">IFERROR(__xludf.DUMMYFUNCTION("""COMPUTED_VALUE"""),"SRF")</f>
        <v>SRF</v>
      </c>
    </row>
    <row r="235" spans="1:1" ht="14.25" customHeight="1">
      <c r="A235" s="40" t="str">
        <f ca="1">IFERROR(__xludf.DUMMYFUNCTION("""COMPUTED_VALUE"""),"SULA")</f>
        <v>SULA</v>
      </c>
    </row>
    <row r="236" spans="1:1" ht="14.25" customHeight="1">
      <c r="A236" s="40" t="str">
        <f ca="1">IFERROR(__xludf.DUMMYFUNCTION("""COMPUTED_VALUE"""),"SUNPHARMA")</f>
        <v>SUNPHARMA</v>
      </c>
    </row>
    <row r="237" spans="1:1" ht="14.25" customHeight="1">
      <c r="A237" s="40" t="str">
        <f ca="1">IFERROR(__xludf.DUMMYFUNCTION("""COMPUTED_VALUE"""),"SUNTV")</f>
        <v>SUNTV</v>
      </c>
    </row>
    <row r="238" spans="1:1" ht="14.25" customHeight="1">
      <c r="A238" s="40" t="str">
        <f ca="1">IFERROR(__xludf.DUMMYFUNCTION("""COMPUTED_VALUE"""),"SUZLON")</f>
        <v>SUZLON</v>
      </c>
    </row>
    <row r="239" spans="1:1" ht="14.25" customHeight="1">
      <c r="A239" s="40" t="str">
        <f ca="1">IFERROR(__xludf.DUMMYFUNCTION("""COMPUTED_VALUE"""),"Symbol1")</f>
        <v>Symbol1</v>
      </c>
    </row>
    <row r="240" spans="1:1" ht="14.25" customHeight="1">
      <c r="A240" s="40" t="str">
        <f ca="1">IFERROR(__xludf.DUMMYFUNCTION("""COMPUTED_VALUE"""),"TATACHEM")</f>
        <v>TATACHEM</v>
      </c>
    </row>
    <row r="241" spans="1:1" ht="14.25" customHeight="1">
      <c r="A241" s="40" t="str">
        <f ca="1">IFERROR(__xludf.DUMMYFUNCTION("""COMPUTED_VALUE"""),"TATACOMM")</f>
        <v>TATACOMM</v>
      </c>
    </row>
    <row r="242" spans="1:1" ht="14.25" customHeight="1">
      <c r="A242" s="40" t="str">
        <f ca="1">IFERROR(__xludf.DUMMYFUNCTION("""COMPUTED_VALUE"""),"TATACONSUM")</f>
        <v>TATACONSUM</v>
      </c>
    </row>
    <row r="243" spans="1:1" ht="14.25" customHeight="1">
      <c r="A243" s="40" t="str">
        <f ca="1">IFERROR(__xludf.DUMMYFUNCTION("""COMPUTED_VALUE"""),"TATAELXSI")</f>
        <v>TATAELXSI</v>
      </c>
    </row>
    <row r="244" spans="1:1" ht="14.25" customHeight="1">
      <c r="A244" s="40" t="str">
        <f ca="1">IFERROR(__xludf.DUMMYFUNCTION("""COMPUTED_VALUE"""),"TATAMOTORS")</f>
        <v>TATAMOTORS</v>
      </c>
    </row>
    <row r="245" spans="1:1" ht="14.25" customHeight="1">
      <c r="A245" s="40" t="str">
        <f ca="1">IFERROR(__xludf.DUMMYFUNCTION("""COMPUTED_VALUE"""),"TATAPOWER")</f>
        <v>TATAPOWER</v>
      </c>
    </row>
    <row r="246" spans="1:1" ht="14.25" customHeight="1">
      <c r="A246" s="40" t="str">
        <f ca="1">IFERROR(__xludf.DUMMYFUNCTION("""COMPUTED_VALUE"""),"TATASTEEL")</f>
        <v>TATASTEEL</v>
      </c>
    </row>
    <row r="247" spans="1:1" ht="14.25" customHeight="1">
      <c r="A247" s="40" t="str">
        <f ca="1">IFERROR(__xludf.DUMMYFUNCTION("""COMPUTED_VALUE"""),"TATASTLBSL")</f>
        <v>TATASTLBSL</v>
      </c>
    </row>
    <row r="248" spans="1:1" ht="14.25" customHeight="1">
      <c r="A248" s="40" t="str">
        <f ca="1">IFERROR(__xludf.DUMMYFUNCTION("""COMPUTED_VALUE"""),"TATVA")</f>
        <v>TATVA</v>
      </c>
    </row>
    <row r="249" spans="1:1" ht="14.25" customHeight="1">
      <c r="A249" s="40" t="str">
        <f ca="1">IFERROR(__xludf.DUMMYFUNCTION("""COMPUTED_VALUE"""),"TCS")</f>
        <v>TCS</v>
      </c>
    </row>
    <row r="250" spans="1:1" ht="14.25" customHeight="1">
      <c r="A250" s="40" t="str">
        <f ca="1">IFERROR(__xludf.DUMMYFUNCTION("""COMPUTED_VALUE"""),"TECHM")</f>
        <v>TECHM</v>
      </c>
    </row>
    <row r="251" spans="1:1" ht="14.25" customHeight="1">
      <c r="A251" s="40" t="str">
        <f ca="1">IFERROR(__xludf.DUMMYFUNCTION("""COMPUTED_VALUE"""),"TIGERLOGS")</f>
        <v>TIGERLOGS</v>
      </c>
    </row>
    <row r="252" spans="1:1" ht="14.25" customHeight="1">
      <c r="A252" s="40" t="str">
        <f ca="1">IFERROR(__xludf.DUMMYFUNCTION("""COMPUTED_VALUE"""),"TINPLATE")</f>
        <v>TINPLATE</v>
      </c>
    </row>
    <row r="253" spans="1:1" ht="14.25" customHeight="1">
      <c r="A253" s="40" t="str">
        <f ca="1">IFERROR(__xludf.DUMMYFUNCTION("""COMPUTED_VALUE"""),"TITAN")</f>
        <v>TITAN</v>
      </c>
    </row>
    <row r="254" spans="1:1" ht="14.25" customHeight="1">
      <c r="A254" s="40" t="str">
        <f ca="1">IFERROR(__xludf.DUMMYFUNCTION("""COMPUTED_VALUE"""),"TNPETRO")</f>
        <v>TNPETRO</v>
      </c>
    </row>
    <row r="255" spans="1:1" ht="14.25" customHeight="1">
      <c r="A255" s="40" t="str">
        <f ca="1">IFERROR(__xludf.DUMMYFUNCTION("""COMPUTED_VALUE"""),"TORNTPHARM")</f>
        <v>TORNTPHARM</v>
      </c>
    </row>
    <row r="256" spans="1:1" ht="14.25" customHeight="1">
      <c r="A256" s="40" t="str">
        <f ca="1">IFERROR(__xludf.DUMMYFUNCTION("""COMPUTED_VALUE"""),"TORNTPOWER")</f>
        <v>TORNTPOWER</v>
      </c>
    </row>
    <row r="257" spans="1:1" ht="14.25" customHeight="1">
      <c r="A257" s="40" t="str">
        <f ca="1">IFERROR(__xludf.DUMMYFUNCTION("""COMPUTED_VALUE"""),"TOYAMIND")</f>
        <v>TOYAMIND</v>
      </c>
    </row>
    <row r="258" spans="1:1" ht="14.25" customHeight="1">
      <c r="A258" s="103" t="str">
        <f ca="1">IFERROR(__xludf.DUMMYFUNCTION("""COMPUTED_VALUE"""),"TRENT")</f>
        <v>TRENT</v>
      </c>
    </row>
    <row r="259" spans="1:1" ht="14.25" customHeight="1">
      <c r="A259" s="40" t="str">
        <f ca="1">IFERROR(__xludf.DUMMYFUNCTION("""COMPUTED_VALUE"""),"TRIDENT")</f>
        <v>TRIDENT</v>
      </c>
    </row>
    <row r="260" spans="1:1" ht="14.25" customHeight="1">
      <c r="A260" s="103" t="str">
        <f ca="1">IFERROR(__xludf.DUMMYFUNCTION("""COMPUTED_VALUE"""),"TRITURBINE")</f>
        <v>TRITURBINE</v>
      </c>
    </row>
    <row r="261" spans="1:1" ht="14.25" customHeight="1">
      <c r="A261" s="40" t="str">
        <f ca="1">IFERROR(__xludf.DUMMYFUNCTION("""COMPUTED_VALUE"""),"TVSMOTOR")</f>
        <v>TVSMOTOR</v>
      </c>
    </row>
    <row r="262" spans="1:1" ht="14.25" customHeight="1">
      <c r="A262" s="40" t="str">
        <f ca="1">IFERROR(__xludf.DUMMYFUNCTION("""COMPUTED_VALUE"""),"UPL")</f>
        <v>UPL</v>
      </c>
    </row>
    <row r="263" spans="1:1" ht="14.25" customHeight="1">
      <c r="A263" s="40" t="str">
        <f ca="1">IFERROR(__xludf.DUMMYFUNCTION("""COMPUTED_VALUE"""),"VASWANI")</f>
        <v>VASWANI</v>
      </c>
    </row>
    <row r="264" spans="1:1" ht="14.25" customHeight="1">
      <c r="A264" s="40" t="str">
        <f ca="1">IFERROR(__xludf.DUMMYFUNCTION("""COMPUTED_VALUE"""),"VEDL")</f>
        <v>VEDL</v>
      </c>
    </row>
    <row r="265" spans="1:1" ht="14.25" customHeight="1">
      <c r="A265" s="40" t="str">
        <f ca="1">IFERROR(__xludf.DUMMYFUNCTION("""COMPUTED_VALUE"""),"VOLTAMP")</f>
        <v>VOLTAMP</v>
      </c>
    </row>
    <row r="266" spans="1:1" ht="14.25" customHeight="1">
      <c r="A266" s="40" t="str">
        <f ca="1">IFERROR(__xludf.DUMMYFUNCTION("""COMPUTED_VALUE"""),"VOLTAS")</f>
        <v>VOLTAS</v>
      </c>
    </row>
    <row r="267" spans="1:1" ht="14.25" customHeight="1">
      <c r="A267" s="40" t="str">
        <f ca="1">IFERROR(__xludf.DUMMYFUNCTION("""COMPUTED_VALUE"""),"VSSL")</f>
        <v>VSSL</v>
      </c>
    </row>
    <row r="268" spans="1:1" ht="14.25" customHeight="1">
      <c r="A268" s="40" t="str">
        <f ca="1">IFERROR(__xludf.DUMMYFUNCTION("""COMPUTED_VALUE"""),"WELSPUNIND")</f>
        <v>WELSPUNIND</v>
      </c>
    </row>
    <row r="269" spans="1:1" ht="14.25" customHeight="1">
      <c r="A269" s="40" t="str">
        <f ca="1">IFERROR(__xludf.DUMMYFUNCTION("""COMPUTED_VALUE"""),"WIPRO")</f>
        <v>WIPRO</v>
      </c>
    </row>
    <row r="270" spans="1:1" ht="14.25" customHeight="1">
      <c r="A270" s="40" t="str">
        <f ca="1">IFERROR(__xludf.DUMMYFUNCTION("""COMPUTED_VALUE"""),"WOCKPHARMA")</f>
        <v>WOCKPHARMA</v>
      </c>
    </row>
    <row r="271" spans="1:1" ht="14.25" customHeight="1">
      <c r="A271" s="40" t="str">
        <f ca="1">IFERROR(__xludf.DUMMYFUNCTION("""COMPUTED_VALUE"""),"YESBANK")</f>
        <v>YESBANK</v>
      </c>
    </row>
    <row r="272" spans="1:1" ht="14.25" customHeight="1">
      <c r="A272" s="40" t="str">
        <f ca="1">IFERROR(__xludf.DUMMYFUNCTION("""COMPUTED_VALUE"""),"ZEEL")</f>
        <v>ZEEL</v>
      </c>
    </row>
    <row r="273" spans="1:1" ht="14.25" customHeight="1">
      <c r="A273" s="40" t="str">
        <f ca="1">IFERROR(__xludf.DUMMYFUNCTION("""COMPUTED_VALUE"""),"ZENTEC")</f>
        <v>ZENTEC</v>
      </c>
    </row>
    <row r="274" spans="1:1" ht="14.25" customHeight="1">
      <c r="A274" s="40"/>
    </row>
    <row r="275" spans="1:1" ht="14.25" customHeight="1">
      <c r="A275" s="40"/>
    </row>
    <row r="276" spans="1:1" ht="14.25" customHeight="1">
      <c r="A276" s="40"/>
    </row>
    <row r="277" spans="1:1" ht="14.25" customHeight="1">
      <c r="A277" s="40"/>
    </row>
    <row r="278" spans="1:1" ht="14.25" customHeight="1">
      <c r="A278" s="40"/>
    </row>
    <row r="279" spans="1:1" ht="14.25" customHeight="1">
      <c r="A279" s="40"/>
    </row>
    <row r="280" spans="1:1" ht="14.25" customHeight="1">
      <c r="A280" s="40"/>
    </row>
    <row r="281" spans="1:1" ht="14.25" customHeight="1">
      <c r="A281" s="40"/>
    </row>
    <row r="282" spans="1:1" ht="14.25" customHeight="1">
      <c r="A282" s="40"/>
    </row>
    <row r="283" spans="1:1" ht="14.25" customHeight="1">
      <c r="A283" s="40"/>
    </row>
    <row r="284" spans="1:1" ht="14.25" customHeight="1">
      <c r="A284" s="40"/>
    </row>
    <row r="285" spans="1:1" ht="14.25" customHeight="1">
      <c r="A285" s="40"/>
    </row>
    <row r="286" spans="1:1" ht="14.25" customHeight="1">
      <c r="A286" s="40"/>
    </row>
    <row r="287" spans="1:1" ht="14.25" customHeight="1">
      <c r="A287" s="40"/>
    </row>
    <row r="288" spans="1:1" ht="14.25" customHeight="1">
      <c r="A288" s="40"/>
    </row>
    <row r="289" spans="1:1" ht="14.25" customHeight="1">
      <c r="A289" s="40"/>
    </row>
    <row r="290" spans="1:1" ht="14.25" customHeight="1">
      <c r="A290" s="40"/>
    </row>
    <row r="291" spans="1:1" ht="14.25" customHeight="1">
      <c r="A291" s="40"/>
    </row>
    <row r="292" spans="1:1" ht="14.25" customHeight="1">
      <c r="A292" s="40"/>
    </row>
    <row r="293" spans="1:1" ht="14.25" customHeight="1">
      <c r="A293" s="40"/>
    </row>
    <row r="294" spans="1:1" ht="14.25" customHeight="1">
      <c r="A294" s="40"/>
    </row>
    <row r="295" spans="1:1" ht="14.25" customHeight="1">
      <c r="A295" s="40"/>
    </row>
    <row r="296" spans="1:1" ht="14.25" customHeight="1">
      <c r="A296" s="40"/>
    </row>
    <row r="297" spans="1:1" ht="14.25" customHeight="1">
      <c r="A297" s="40"/>
    </row>
    <row r="298" spans="1:1" ht="14.25" customHeight="1">
      <c r="A298" s="40"/>
    </row>
    <row r="299" spans="1:1" ht="14.25" customHeight="1">
      <c r="A299" s="40"/>
    </row>
    <row r="300" spans="1:1" ht="14.25" customHeight="1">
      <c r="A300" s="40"/>
    </row>
    <row r="301" spans="1:1" ht="14.25" customHeight="1">
      <c r="A301" s="40"/>
    </row>
    <row r="302" spans="1:1" ht="14.25" customHeight="1">
      <c r="A302" s="40"/>
    </row>
    <row r="303" spans="1:1" ht="14.25" customHeight="1">
      <c r="A303" s="40"/>
    </row>
    <row r="304" spans="1:1" ht="14.25" customHeight="1">
      <c r="A304" s="40"/>
    </row>
    <row r="305" spans="1:1" ht="14.25" customHeight="1">
      <c r="A305" s="40"/>
    </row>
    <row r="306" spans="1:1" ht="14.25" customHeight="1">
      <c r="A306" s="40"/>
    </row>
    <row r="307" spans="1:1" ht="14.25" customHeight="1">
      <c r="A307" s="40"/>
    </row>
    <row r="308" spans="1:1" ht="14.25" customHeight="1">
      <c r="A308" s="40"/>
    </row>
    <row r="309" spans="1:1" ht="14.25" customHeight="1">
      <c r="A309" s="40"/>
    </row>
    <row r="310" spans="1:1" ht="14.25" customHeight="1">
      <c r="A310" s="40"/>
    </row>
    <row r="311" spans="1:1" ht="14.25" customHeight="1">
      <c r="A311" s="40"/>
    </row>
    <row r="312" spans="1:1" ht="14.25" customHeight="1">
      <c r="A312" s="40"/>
    </row>
    <row r="313" spans="1:1" ht="14.25" customHeight="1">
      <c r="A313" s="40"/>
    </row>
    <row r="314" spans="1:1" ht="14.25" customHeight="1">
      <c r="A314" s="40"/>
    </row>
    <row r="315" spans="1:1" ht="14.25" customHeight="1">
      <c r="A315" s="40"/>
    </row>
    <row r="316" spans="1:1" ht="14.25" customHeight="1">
      <c r="A316" s="40"/>
    </row>
    <row r="317" spans="1:1" ht="14.25" customHeight="1">
      <c r="A317" s="40"/>
    </row>
    <row r="318" spans="1:1" ht="14.25" customHeight="1">
      <c r="A318" s="40"/>
    </row>
    <row r="319" spans="1:1" ht="14.25" customHeight="1">
      <c r="A319" s="40"/>
    </row>
    <row r="320" spans="1:1" ht="14.25" customHeight="1">
      <c r="A320" s="40"/>
    </row>
    <row r="321" spans="1:1" ht="14.25" customHeight="1">
      <c r="A321" s="40"/>
    </row>
    <row r="322" spans="1:1" ht="14.25" customHeight="1">
      <c r="A322" s="40"/>
    </row>
    <row r="323" spans="1:1" ht="14.25" customHeight="1">
      <c r="A323" s="40"/>
    </row>
    <row r="324" spans="1:1" ht="14.25" customHeight="1">
      <c r="A324" s="40"/>
    </row>
    <row r="325" spans="1:1" ht="14.25" customHeight="1">
      <c r="A325" s="40"/>
    </row>
    <row r="326" spans="1:1" ht="14.25" customHeight="1">
      <c r="A326" s="40"/>
    </row>
    <row r="327" spans="1:1" ht="14.25" customHeight="1">
      <c r="A327" s="40"/>
    </row>
    <row r="328" spans="1:1" ht="14.25" customHeight="1">
      <c r="A328" s="40"/>
    </row>
    <row r="329" spans="1:1" ht="14.25" customHeight="1">
      <c r="A329" s="40"/>
    </row>
    <row r="330" spans="1:1" ht="14.25" customHeight="1">
      <c r="A330" s="40"/>
    </row>
    <row r="331" spans="1:1" ht="14.25" customHeight="1">
      <c r="A331" s="40"/>
    </row>
    <row r="332" spans="1:1" ht="14.25" customHeight="1">
      <c r="A332" s="40"/>
    </row>
    <row r="333" spans="1:1" ht="14.25" customHeight="1">
      <c r="A333" s="40"/>
    </row>
    <row r="334" spans="1:1" ht="14.25" customHeight="1">
      <c r="A334" s="40"/>
    </row>
    <row r="335" spans="1:1" ht="14.25" customHeight="1">
      <c r="A335" s="40"/>
    </row>
    <row r="336" spans="1:1" ht="14.25" customHeight="1">
      <c r="A336" s="40"/>
    </row>
    <row r="337" spans="1:1" ht="14.25" customHeight="1">
      <c r="A337" s="40"/>
    </row>
    <row r="338" spans="1:1" ht="14.25" customHeight="1">
      <c r="A338" s="40"/>
    </row>
    <row r="339" spans="1:1" ht="14.25" customHeight="1">
      <c r="A339" s="40"/>
    </row>
    <row r="340" spans="1:1" ht="14.25" customHeight="1">
      <c r="A340" s="40"/>
    </row>
    <row r="341" spans="1:1" ht="14.25" customHeight="1">
      <c r="A341" s="40"/>
    </row>
    <row r="342" spans="1:1" ht="14.25" customHeight="1">
      <c r="A342" s="40"/>
    </row>
    <row r="343" spans="1:1" ht="14.25" customHeight="1">
      <c r="A343" s="40"/>
    </row>
    <row r="344" spans="1:1" ht="14.25" customHeight="1">
      <c r="A344" s="40"/>
    </row>
    <row r="345" spans="1:1" ht="14.25" customHeight="1">
      <c r="A345" s="40"/>
    </row>
    <row r="346" spans="1:1" ht="14.25" customHeight="1">
      <c r="A346" s="40"/>
    </row>
    <row r="347" spans="1:1" ht="14.25" customHeight="1">
      <c r="A347" s="40"/>
    </row>
    <row r="348" spans="1:1" ht="14.25" customHeight="1">
      <c r="A348" s="40"/>
    </row>
    <row r="349" spans="1:1" ht="14.25" customHeight="1">
      <c r="A349" s="40"/>
    </row>
    <row r="350" spans="1:1" ht="14.25" customHeight="1">
      <c r="A350" s="40"/>
    </row>
    <row r="351" spans="1:1" ht="14.25" customHeight="1">
      <c r="A351" s="40"/>
    </row>
    <row r="352" spans="1:1" ht="14.25" customHeight="1">
      <c r="A352" s="40"/>
    </row>
    <row r="353" spans="1:1" ht="14.25" customHeight="1">
      <c r="A353" s="40"/>
    </row>
    <row r="354" spans="1:1" ht="14.25" customHeight="1">
      <c r="A354" s="40"/>
    </row>
    <row r="355" spans="1:1" ht="14.25" customHeight="1">
      <c r="A355" s="40"/>
    </row>
    <row r="356" spans="1:1" ht="14.25" customHeight="1">
      <c r="A356" s="40"/>
    </row>
    <row r="357" spans="1:1" ht="14.25" customHeight="1">
      <c r="A357" s="40"/>
    </row>
    <row r="358" spans="1:1" ht="14.25" customHeight="1">
      <c r="A358" s="40"/>
    </row>
    <row r="359" spans="1:1" ht="14.25" customHeight="1">
      <c r="A359" s="40"/>
    </row>
    <row r="360" spans="1:1" ht="14.25" customHeight="1">
      <c r="A360" s="40"/>
    </row>
    <row r="361" spans="1:1" ht="14.25" customHeight="1">
      <c r="A361" s="40"/>
    </row>
    <row r="362" spans="1:1" ht="14.25" customHeight="1">
      <c r="A362" s="40"/>
    </row>
    <row r="363" spans="1:1" ht="14.25" customHeight="1">
      <c r="A363" s="40"/>
    </row>
    <row r="364" spans="1:1" ht="14.25" customHeight="1">
      <c r="A364" s="40"/>
    </row>
    <row r="365" spans="1:1" ht="14.25" customHeight="1">
      <c r="A365" s="40"/>
    </row>
    <row r="366" spans="1:1" ht="14.25" customHeight="1">
      <c r="A366" s="40"/>
    </row>
    <row r="367" spans="1:1" ht="14.25" customHeight="1">
      <c r="A367" s="40"/>
    </row>
    <row r="368" spans="1:1" ht="14.25" customHeight="1">
      <c r="A368" s="40"/>
    </row>
    <row r="369" spans="1:1" ht="14.25" customHeight="1">
      <c r="A369" s="40"/>
    </row>
    <row r="370" spans="1:1" ht="14.25" customHeight="1">
      <c r="A370" s="40"/>
    </row>
    <row r="371" spans="1:1" ht="14.25" customHeight="1">
      <c r="A371" s="40"/>
    </row>
    <row r="372" spans="1:1" ht="14.25" customHeight="1">
      <c r="A372" s="40"/>
    </row>
    <row r="373" spans="1:1" ht="14.25" customHeight="1">
      <c r="A373" s="40"/>
    </row>
    <row r="374" spans="1:1" ht="14.25" customHeight="1">
      <c r="A374" s="40"/>
    </row>
    <row r="375" spans="1:1" ht="14.25" customHeight="1">
      <c r="A375" s="40"/>
    </row>
    <row r="376" spans="1:1" ht="14.25" customHeight="1">
      <c r="A376" s="40"/>
    </row>
    <row r="377" spans="1:1" ht="14.25" customHeight="1">
      <c r="A377" s="40"/>
    </row>
    <row r="378" spans="1:1" ht="14.25" customHeight="1">
      <c r="A378" s="40"/>
    </row>
    <row r="379" spans="1:1" ht="14.25" customHeight="1">
      <c r="A379" s="40"/>
    </row>
    <row r="380" spans="1:1" ht="14.25" customHeight="1">
      <c r="A380" s="40"/>
    </row>
    <row r="381" spans="1:1" ht="14.25" customHeight="1">
      <c r="A381" s="40"/>
    </row>
    <row r="382" spans="1:1" ht="14.25" customHeight="1">
      <c r="A382" s="40"/>
    </row>
    <row r="383" spans="1:1" ht="14.25" customHeight="1">
      <c r="A383" s="40"/>
    </row>
    <row r="384" spans="1:1" ht="14.25" customHeight="1">
      <c r="A384" s="40"/>
    </row>
    <row r="385" spans="1:1" ht="14.25" customHeight="1">
      <c r="A385" s="40"/>
    </row>
    <row r="386" spans="1:1" ht="14.25" customHeight="1">
      <c r="A386" s="40"/>
    </row>
    <row r="387" spans="1:1" ht="14.25" customHeight="1">
      <c r="A387" s="40"/>
    </row>
    <row r="388" spans="1:1" ht="14.25" customHeight="1">
      <c r="A388" s="40"/>
    </row>
    <row r="389" spans="1:1" ht="14.25" customHeight="1">
      <c r="A389" s="40"/>
    </row>
    <row r="390" spans="1:1" ht="14.25" customHeight="1">
      <c r="A390" s="40"/>
    </row>
    <row r="391" spans="1:1" ht="14.25" customHeight="1">
      <c r="A391" s="40"/>
    </row>
    <row r="392" spans="1:1" ht="14.25" customHeight="1">
      <c r="A392" s="40"/>
    </row>
    <row r="393" spans="1:1" ht="14.25" customHeight="1">
      <c r="A393" s="40"/>
    </row>
    <row r="394" spans="1:1" ht="14.25" customHeight="1">
      <c r="A394" s="40"/>
    </row>
    <row r="395" spans="1:1" ht="14.25" customHeight="1">
      <c r="A395" s="40"/>
    </row>
    <row r="396" spans="1:1" ht="14.25" customHeight="1">
      <c r="A396" s="40"/>
    </row>
    <row r="397" spans="1:1" ht="14.25" customHeight="1">
      <c r="A397" s="40"/>
    </row>
    <row r="398" spans="1:1" ht="14.25" customHeight="1">
      <c r="A398" s="40"/>
    </row>
    <row r="399" spans="1:1" ht="14.25" customHeight="1">
      <c r="A399" s="40"/>
    </row>
    <row r="400" spans="1:1" ht="14.25" customHeight="1">
      <c r="A400" s="40"/>
    </row>
    <row r="401" spans="1:1" ht="14.25" customHeight="1">
      <c r="A401" s="40"/>
    </row>
    <row r="402" spans="1:1" ht="14.25" customHeight="1">
      <c r="A402" s="40"/>
    </row>
    <row r="403" spans="1:1" ht="14.25" customHeight="1">
      <c r="A403" s="40"/>
    </row>
    <row r="404" spans="1:1" ht="14.25" customHeight="1">
      <c r="A404" s="40"/>
    </row>
    <row r="405" spans="1:1" ht="14.25" customHeight="1">
      <c r="A405" s="40"/>
    </row>
    <row r="406" spans="1:1" ht="14.25" customHeight="1">
      <c r="A406" s="40"/>
    </row>
    <row r="407" spans="1:1" ht="14.25" customHeight="1">
      <c r="A407" s="40"/>
    </row>
    <row r="408" spans="1:1" ht="14.25" customHeight="1">
      <c r="A408" s="40"/>
    </row>
    <row r="409" spans="1:1" ht="14.25" customHeight="1">
      <c r="A409" s="40"/>
    </row>
    <row r="410" spans="1:1" ht="14.25" customHeight="1">
      <c r="A410" s="40"/>
    </row>
    <row r="411" spans="1:1" ht="14.25" customHeight="1">
      <c r="A411" s="40"/>
    </row>
    <row r="412" spans="1:1" ht="14.25" customHeight="1">
      <c r="A412" s="40"/>
    </row>
    <row r="413" spans="1:1" ht="14.25" customHeight="1">
      <c r="A413" s="40"/>
    </row>
    <row r="414" spans="1:1" ht="14.25" customHeight="1">
      <c r="A414" s="40"/>
    </row>
    <row r="415" spans="1:1" ht="14.25" customHeight="1">
      <c r="A415" s="40"/>
    </row>
    <row r="416" spans="1:1" ht="14.25" customHeight="1">
      <c r="A416" s="40"/>
    </row>
    <row r="417" spans="1:1" ht="14.25" customHeight="1">
      <c r="A417" s="40"/>
    </row>
    <row r="418" spans="1:1" ht="14.25" customHeight="1">
      <c r="A418" s="40"/>
    </row>
    <row r="419" spans="1:1" ht="14.25" customHeight="1">
      <c r="A419" s="40"/>
    </row>
    <row r="420" spans="1:1" ht="14.25" customHeight="1">
      <c r="A420" s="40"/>
    </row>
    <row r="421" spans="1:1" ht="14.25" customHeight="1">
      <c r="A421" s="40"/>
    </row>
    <row r="422" spans="1:1" ht="14.25" customHeight="1">
      <c r="A422" s="40"/>
    </row>
    <row r="423" spans="1:1" ht="14.25" customHeight="1">
      <c r="A423" s="40"/>
    </row>
    <row r="424" spans="1:1" ht="14.25" customHeight="1">
      <c r="A424" s="40"/>
    </row>
    <row r="425" spans="1:1" ht="14.25" customHeight="1">
      <c r="A425" s="40"/>
    </row>
    <row r="426" spans="1:1" ht="14.25" customHeight="1">
      <c r="A426" s="40"/>
    </row>
    <row r="427" spans="1:1" ht="14.25" customHeight="1">
      <c r="A427" s="40"/>
    </row>
    <row r="428" spans="1:1" ht="14.25" customHeight="1">
      <c r="A428" s="40"/>
    </row>
    <row r="429" spans="1:1" ht="14.25" customHeight="1">
      <c r="A429" s="40"/>
    </row>
    <row r="430" spans="1:1" ht="14.25" customHeight="1">
      <c r="A430" s="40"/>
    </row>
    <row r="431" spans="1:1" ht="14.25" customHeight="1">
      <c r="A431" s="40"/>
    </row>
    <row r="432" spans="1:1" ht="14.25" customHeight="1">
      <c r="A432" s="40"/>
    </row>
    <row r="433" spans="1:1" ht="14.25" customHeight="1">
      <c r="A433" s="40"/>
    </row>
    <row r="434" spans="1:1" ht="14.25" customHeight="1">
      <c r="A434" s="40"/>
    </row>
    <row r="435" spans="1:1" ht="14.25" customHeight="1"/>
    <row r="436" spans="1:1" ht="14.25" customHeight="1"/>
    <row r="437" spans="1:1" ht="14.25" customHeight="1"/>
    <row r="438" spans="1:1" ht="14.25" customHeight="1"/>
    <row r="439" spans="1:1" ht="14.25" customHeight="1"/>
    <row r="440" spans="1:1" ht="14.25" customHeight="1"/>
    <row r="441" spans="1:1" ht="14.25" customHeight="1"/>
    <row r="442" spans="1:1" ht="14.25" customHeight="1"/>
    <row r="443" spans="1:1" ht="14.25" customHeight="1"/>
    <row r="444" spans="1:1" ht="14.25" customHeight="1"/>
    <row r="445" spans="1:1" ht="14.25" customHeight="1"/>
    <row r="446" spans="1:1" ht="14.25" customHeight="1"/>
    <row r="447" spans="1:1" ht="14.25" customHeight="1"/>
    <row r="448" spans="1:1"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rgb="FFA8D08D"/>
  </sheetPr>
  <dimension ref="A1:AJ1835"/>
  <sheetViews>
    <sheetView tabSelected="1" topLeftCell="C1795" zoomScale="130" zoomScaleNormal="130" workbookViewId="0">
      <selection activeCell="G1797" sqref="G1797"/>
    </sheetView>
  </sheetViews>
  <sheetFormatPr baseColWidth="10" defaultColWidth="14.42578125" defaultRowHeight="15" customHeight="1"/>
  <cols>
    <col min="1" max="1" width="9.5703125" customWidth="1"/>
    <col min="2" max="2" width="19.140625" customWidth="1"/>
    <col min="3" max="3" width="7.7109375" customWidth="1"/>
    <col min="4" max="4" width="11.7109375" customWidth="1"/>
    <col min="5" max="5" width="7.7109375" customWidth="1"/>
    <col min="6" max="6" width="11.7109375" customWidth="1"/>
    <col min="7" max="7" width="6.5703125" customWidth="1"/>
    <col min="8" max="8" width="5.42578125" customWidth="1"/>
    <col min="9" max="10" width="5" customWidth="1"/>
    <col min="11" max="11" width="7.85546875" hidden="1" customWidth="1"/>
    <col min="12" max="12" width="6.140625" customWidth="1"/>
    <col min="13" max="13" width="5.5703125" customWidth="1"/>
    <col min="14" max="14" width="9.7109375" customWidth="1"/>
    <col min="15" max="15" width="8.7109375" customWidth="1"/>
    <col min="16" max="16" width="8.7109375" hidden="1" customWidth="1"/>
    <col min="17" max="17" width="9.42578125" hidden="1" customWidth="1"/>
    <col min="18" max="18" width="9.7109375" customWidth="1"/>
    <col min="19" max="19" width="9" customWidth="1"/>
    <col min="20" max="20" width="9.28515625" customWidth="1"/>
    <col min="21" max="21" width="6.140625" customWidth="1"/>
    <col min="22" max="22" width="9.5703125" customWidth="1"/>
    <col min="23" max="23" width="8.42578125" customWidth="1"/>
    <col min="24" max="24" width="8.140625" customWidth="1"/>
    <col min="25" max="25" width="10.140625" customWidth="1"/>
    <col min="26" max="26" width="10.7109375" customWidth="1"/>
    <col min="27" max="27" width="10.28515625" customWidth="1"/>
    <col min="28" max="28" width="9.42578125" customWidth="1"/>
    <col min="29" max="29" width="7.5703125" customWidth="1"/>
    <col min="30" max="31" width="9.5703125" customWidth="1"/>
    <col min="32" max="33" width="9.28515625" customWidth="1"/>
    <col min="34" max="34" width="9.42578125" customWidth="1"/>
    <col min="35" max="35" width="4.28515625" customWidth="1"/>
    <col min="36" max="36" width="22.140625" customWidth="1"/>
    <col min="37" max="38" width="8.5703125" customWidth="1"/>
  </cols>
  <sheetData>
    <row r="1" spans="1:34" ht="12" customHeight="1">
      <c r="A1" s="104" t="s">
        <v>0</v>
      </c>
      <c r="B1" s="105" t="s">
        <v>435</v>
      </c>
      <c r="C1" s="106" t="s">
        <v>436</v>
      </c>
      <c r="D1" s="105"/>
      <c r="E1" s="105" t="s">
        <v>437</v>
      </c>
      <c r="F1" s="105"/>
      <c r="G1" s="105"/>
      <c r="H1" s="105"/>
      <c r="I1" s="106" t="s">
        <v>438</v>
      </c>
      <c r="J1" s="106" t="s">
        <v>439</v>
      </c>
      <c r="K1" s="106"/>
      <c r="L1" s="106"/>
      <c r="M1" s="107" t="s">
        <v>440</v>
      </c>
      <c r="N1" s="104" t="s">
        <v>441</v>
      </c>
      <c r="O1" s="104" t="s">
        <v>442</v>
      </c>
      <c r="P1" s="104" t="s">
        <v>443</v>
      </c>
      <c r="Q1" s="104"/>
      <c r="R1" s="104" t="s">
        <v>444</v>
      </c>
      <c r="S1" s="104" t="s">
        <v>445</v>
      </c>
      <c r="T1" s="104" t="s">
        <v>442</v>
      </c>
      <c r="U1" s="104" t="s">
        <v>446</v>
      </c>
      <c r="V1" s="104" t="s">
        <v>447</v>
      </c>
      <c r="W1" s="104" t="s">
        <v>448</v>
      </c>
      <c r="X1" s="104" t="s">
        <v>449</v>
      </c>
      <c r="Y1" s="104" t="s">
        <v>450</v>
      </c>
      <c r="Z1" s="104" t="s">
        <v>451</v>
      </c>
      <c r="AA1" s="104" t="s">
        <v>452</v>
      </c>
      <c r="AB1" s="104" t="s">
        <v>453</v>
      </c>
      <c r="AC1" s="108" t="s">
        <v>454</v>
      </c>
      <c r="AD1" s="104" t="s">
        <v>455</v>
      </c>
      <c r="AE1" s="104" t="s">
        <v>456</v>
      </c>
      <c r="AF1" s="105" t="s">
        <v>457</v>
      </c>
      <c r="AG1" s="104" t="s">
        <v>458</v>
      </c>
      <c r="AH1" s="109"/>
    </row>
    <row r="2" spans="1:34" ht="12" customHeight="1">
      <c r="A2" s="110">
        <v>40981</v>
      </c>
      <c r="B2" s="111" t="s">
        <v>459</v>
      </c>
      <c r="C2" s="111" t="s">
        <v>460</v>
      </c>
      <c r="D2" s="111"/>
      <c r="E2" s="112" t="str">
        <f t="shared" ref="E2:E838" si="0">B2</f>
        <v>REC</v>
      </c>
      <c r="F2" s="111"/>
      <c r="G2" s="111"/>
      <c r="H2" s="111"/>
      <c r="I2" s="113" t="s">
        <v>461</v>
      </c>
      <c r="J2" s="111" t="s">
        <v>462</v>
      </c>
      <c r="K2" s="111"/>
      <c r="L2" s="111"/>
      <c r="M2" s="114">
        <v>50</v>
      </c>
      <c r="N2" s="115">
        <v>227</v>
      </c>
      <c r="O2" s="116">
        <f t="shared" ref="O2:O26" si="1">ROUND(N2*C$1813,2)</f>
        <v>0.91</v>
      </c>
      <c r="P2" s="116">
        <f t="shared" ref="P2:P4" si="2">N2-O2</f>
        <v>226.09</v>
      </c>
      <c r="Q2" s="116"/>
      <c r="R2" s="116">
        <f t="shared" ref="R2:R838" si="3">ROUND(M2*N2,2)</f>
        <v>11350</v>
      </c>
      <c r="S2" s="117">
        <f t="shared" ref="S2:S838" si="4">SUM(T2:Y2)/M2</f>
        <v>1.2957999999999998</v>
      </c>
      <c r="T2" s="117">
        <f t="shared" ref="T2:T30" si="5">ROUND(O2*M2,2)</f>
        <v>45.5</v>
      </c>
      <c r="U2" s="117">
        <f t="shared" ref="U2:U7" si="6">ROUND(T2*F$1816,2)</f>
        <v>4.6900000000000004</v>
      </c>
      <c r="V2" s="117">
        <f t="shared" ref="V2:V14" si="7">ROUND(R2*C$1817,2)</f>
        <v>14.19</v>
      </c>
      <c r="W2" s="117">
        <f t="shared" ref="W2:W26" si="8">ROUND(R2*K$1823,2)</f>
        <v>0</v>
      </c>
      <c r="X2" s="117">
        <f t="shared" ref="X2:X26" si="9">ROUND(R2*E$1820,2)</f>
        <v>0.41</v>
      </c>
      <c r="Y2" s="117">
        <v>0</v>
      </c>
      <c r="Z2" s="117">
        <f t="shared" ref="Z2:Z838" si="10">SUM(T2:Y2)</f>
        <v>64.789999999999992</v>
      </c>
      <c r="AA2" s="118">
        <f t="shared" ref="AA2:AA4" si="11">ROUND(R2-SUM(T2:Y2),2)</f>
        <v>11285.21</v>
      </c>
      <c r="AB2" s="119">
        <v>11284.27</v>
      </c>
      <c r="AC2" s="120">
        <f t="shared" ref="AC2:AC32" si="12">AB2-AA2</f>
        <v>-0.93999999999869033</v>
      </c>
      <c r="AD2" s="110">
        <v>40981</v>
      </c>
      <c r="AE2" s="121">
        <f t="shared" ref="AE2:AE838" si="13">ROUND(Z2/R2,6)</f>
        <v>5.7080000000000004E-3</v>
      </c>
      <c r="AF2" s="122">
        <f t="shared" ref="AF2:AF838" si="14">AD2</f>
        <v>40981</v>
      </c>
      <c r="AG2" s="123" t="s">
        <v>463</v>
      </c>
      <c r="AH2" s="124"/>
    </row>
    <row r="3" spans="1:34" ht="12" customHeight="1">
      <c r="A3" s="125">
        <v>40981</v>
      </c>
      <c r="B3" s="126" t="s">
        <v>464</v>
      </c>
      <c r="C3" s="126" t="s">
        <v>460</v>
      </c>
      <c r="D3" s="126"/>
      <c r="E3" s="112" t="str">
        <f t="shared" si="0"/>
        <v>RPOWER</v>
      </c>
      <c r="F3" s="126"/>
      <c r="G3" s="126"/>
      <c r="H3" s="126"/>
      <c r="I3" s="127" t="s">
        <v>461</v>
      </c>
      <c r="J3" s="126" t="s">
        <v>462</v>
      </c>
      <c r="K3" s="126"/>
      <c r="L3" s="126"/>
      <c r="M3" s="128">
        <v>50</v>
      </c>
      <c r="N3" s="129">
        <v>138</v>
      </c>
      <c r="O3" s="130">
        <f t="shared" si="1"/>
        <v>0.55000000000000004</v>
      </c>
      <c r="P3" s="130">
        <f t="shared" si="2"/>
        <v>137.44999999999999</v>
      </c>
      <c r="Q3" s="130"/>
      <c r="R3" s="130">
        <f t="shared" si="3"/>
        <v>6900</v>
      </c>
      <c r="S3" s="131">
        <f t="shared" si="4"/>
        <v>0.78420000000000001</v>
      </c>
      <c r="T3" s="131">
        <f t="shared" si="5"/>
        <v>27.5</v>
      </c>
      <c r="U3" s="131">
        <f t="shared" si="6"/>
        <v>2.83</v>
      </c>
      <c r="V3" s="131">
        <f t="shared" si="7"/>
        <v>8.6300000000000008</v>
      </c>
      <c r="W3" s="131">
        <f t="shared" si="8"/>
        <v>0</v>
      </c>
      <c r="X3" s="131">
        <f t="shared" si="9"/>
        <v>0.25</v>
      </c>
      <c r="Y3" s="131">
        <v>0</v>
      </c>
      <c r="Z3" s="131">
        <f t="shared" si="10"/>
        <v>39.21</v>
      </c>
      <c r="AA3" s="132">
        <f t="shared" si="11"/>
        <v>6860.79</v>
      </c>
      <c r="AB3" s="133">
        <v>6859.73</v>
      </c>
      <c r="AC3" s="134">
        <f t="shared" si="12"/>
        <v>-1.0600000000004002</v>
      </c>
      <c r="AD3" s="125">
        <v>40981</v>
      </c>
      <c r="AE3" s="135">
        <f t="shared" si="13"/>
        <v>5.6829999999999997E-3</v>
      </c>
      <c r="AF3" s="136">
        <f t="shared" si="14"/>
        <v>40981</v>
      </c>
      <c r="AG3" s="137" t="s">
        <v>463</v>
      </c>
      <c r="AH3" s="124"/>
    </row>
    <row r="4" spans="1:34" ht="12" customHeight="1">
      <c r="A4" s="125">
        <v>40995</v>
      </c>
      <c r="B4" s="126" t="s">
        <v>465</v>
      </c>
      <c r="C4" s="126" t="s">
        <v>460</v>
      </c>
      <c r="D4" s="126"/>
      <c r="E4" s="112" t="str">
        <f t="shared" si="0"/>
        <v>CONTROLPR</v>
      </c>
      <c r="F4" s="126"/>
      <c r="G4" s="126"/>
      <c r="H4" s="126"/>
      <c r="I4" s="127" t="s">
        <v>461</v>
      </c>
      <c r="J4" s="126" t="s">
        <v>462</v>
      </c>
      <c r="K4" s="126"/>
      <c r="L4" s="126"/>
      <c r="M4" s="128">
        <v>50</v>
      </c>
      <c r="N4" s="129">
        <v>35.35</v>
      </c>
      <c r="O4" s="130">
        <f t="shared" si="1"/>
        <v>0.14000000000000001</v>
      </c>
      <c r="P4" s="130">
        <f t="shared" si="2"/>
        <v>35.21</v>
      </c>
      <c r="Q4" s="130"/>
      <c r="R4" s="130">
        <f t="shared" si="3"/>
        <v>1767.5</v>
      </c>
      <c r="S4" s="131">
        <f t="shared" si="4"/>
        <v>0.19980000000000001</v>
      </c>
      <c r="T4" s="131">
        <f t="shared" si="5"/>
        <v>7</v>
      </c>
      <c r="U4" s="131">
        <f t="shared" si="6"/>
        <v>0.72</v>
      </c>
      <c r="V4" s="131">
        <f t="shared" si="7"/>
        <v>2.21</v>
      </c>
      <c r="W4" s="131">
        <f t="shared" si="8"/>
        <v>0</v>
      </c>
      <c r="X4" s="131">
        <f t="shared" si="9"/>
        <v>0.06</v>
      </c>
      <c r="Y4" s="131">
        <v>0</v>
      </c>
      <c r="Z4" s="131">
        <f t="shared" si="10"/>
        <v>9.99</v>
      </c>
      <c r="AA4" s="132">
        <f t="shared" si="11"/>
        <v>1757.51</v>
      </c>
      <c r="AB4" s="133">
        <v>1757.54</v>
      </c>
      <c r="AC4" s="134">
        <f t="shared" si="12"/>
        <v>2.9999999999972715E-2</v>
      </c>
      <c r="AD4" s="125">
        <v>40995</v>
      </c>
      <c r="AE4" s="135">
        <f t="shared" si="13"/>
        <v>5.6519999999999999E-3</v>
      </c>
      <c r="AF4" s="136">
        <f t="shared" si="14"/>
        <v>40995</v>
      </c>
      <c r="AG4" s="137" t="s">
        <v>463</v>
      </c>
      <c r="AH4" s="124"/>
    </row>
    <row r="5" spans="1:34" ht="12" customHeight="1">
      <c r="A5" s="138">
        <v>40995</v>
      </c>
      <c r="B5" s="139" t="s">
        <v>466</v>
      </c>
      <c r="C5" s="139" t="s">
        <v>460</v>
      </c>
      <c r="D5" s="139"/>
      <c r="E5" s="140" t="str">
        <f t="shared" si="0"/>
        <v>PATELENG</v>
      </c>
      <c r="F5" s="139"/>
      <c r="G5" s="139"/>
      <c r="H5" s="139"/>
      <c r="I5" s="141" t="s">
        <v>467</v>
      </c>
      <c r="J5" s="139" t="s">
        <v>462</v>
      </c>
      <c r="K5" s="139"/>
      <c r="L5" s="139"/>
      <c r="M5" s="142">
        <v>100</v>
      </c>
      <c r="N5" s="143">
        <v>106.35</v>
      </c>
      <c r="O5" s="144">
        <f t="shared" si="1"/>
        <v>0.43</v>
      </c>
      <c r="P5" s="144">
        <f t="shared" ref="P5:P6" si="15">N5+O5</f>
        <v>106.78</v>
      </c>
      <c r="Q5" s="144"/>
      <c r="R5" s="144">
        <f t="shared" si="3"/>
        <v>10635</v>
      </c>
      <c r="S5" s="145">
        <f t="shared" si="4"/>
        <v>0.61109999999999998</v>
      </c>
      <c r="T5" s="145">
        <f t="shared" si="5"/>
        <v>43</v>
      </c>
      <c r="U5" s="145">
        <f t="shared" si="6"/>
        <v>4.43</v>
      </c>
      <c r="V5" s="145">
        <f t="shared" si="7"/>
        <v>13.29</v>
      </c>
      <c r="W5" s="145">
        <f t="shared" si="8"/>
        <v>0</v>
      </c>
      <c r="X5" s="145">
        <f t="shared" si="9"/>
        <v>0.39</v>
      </c>
      <c r="Y5" s="145">
        <v>0</v>
      </c>
      <c r="Z5" s="146">
        <f t="shared" si="10"/>
        <v>61.11</v>
      </c>
      <c r="AA5" s="147">
        <f t="shared" ref="AA5:AA6" si="16">-ROUND(R5+SUM(T5:Y5),2)</f>
        <v>-10696.11</v>
      </c>
      <c r="AB5" s="148">
        <v>-10693.76</v>
      </c>
      <c r="AC5" s="149">
        <f t="shared" si="12"/>
        <v>2.3500000000003638</v>
      </c>
      <c r="AD5" s="138">
        <v>40997</v>
      </c>
      <c r="AE5" s="150">
        <f t="shared" si="13"/>
        <v>5.7460000000000002E-3</v>
      </c>
      <c r="AF5" s="151">
        <f t="shared" si="14"/>
        <v>40997</v>
      </c>
      <c r="AG5" s="152" t="s">
        <v>463</v>
      </c>
      <c r="AH5" s="124"/>
    </row>
    <row r="6" spans="1:34" ht="12" customHeight="1">
      <c r="A6" s="138">
        <v>40995</v>
      </c>
      <c r="B6" s="139" t="s">
        <v>468</v>
      </c>
      <c r="C6" s="139" t="s">
        <v>460</v>
      </c>
      <c r="D6" s="139"/>
      <c r="E6" s="140" t="str">
        <f t="shared" si="0"/>
        <v>CUMMINSIND</v>
      </c>
      <c r="F6" s="139"/>
      <c r="G6" s="139"/>
      <c r="H6" s="139"/>
      <c r="I6" s="141" t="s">
        <v>467</v>
      </c>
      <c r="J6" s="139" t="s">
        <v>462</v>
      </c>
      <c r="K6" s="139"/>
      <c r="L6" s="139"/>
      <c r="M6" s="142">
        <v>10</v>
      </c>
      <c r="N6" s="143">
        <v>457</v>
      </c>
      <c r="O6" s="144">
        <f t="shared" si="1"/>
        <v>1.83</v>
      </c>
      <c r="P6" s="144">
        <f t="shared" si="15"/>
        <v>458.83</v>
      </c>
      <c r="Q6" s="144"/>
      <c r="R6" s="144">
        <f t="shared" si="3"/>
        <v>4570</v>
      </c>
      <c r="S6" s="145">
        <f t="shared" si="4"/>
        <v>2.6060000000000003</v>
      </c>
      <c r="T6" s="145">
        <f t="shared" si="5"/>
        <v>18.3</v>
      </c>
      <c r="U6" s="145">
        <f t="shared" si="6"/>
        <v>1.88</v>
      </c>
      <c r="V6" s="145">
        <f t="shared" si="7"/>
        <v>5.71</v>
      </c>
      <c r="W6" s="145">
        <f t="shared" si="8"/>
        <v>0</v>
      </c>
      <c r="X6" s="145">
        <f t="shared" si="9"/>
        <v>0.17</v>
      </c>
      <c r="Y6" s="145">
        <v>0</v>
      </c>
      <c r="Z6" s="146">
        <f t="shared" si="10"/>
        <v>26.060000000000002</v>
      </c>
      <c r="AA6" s="147">
        <f t="shared" si="16"/>
        <v>-4596.0600000000004</v>
      </c>
      <c r="AB6" s="148">
        <v>-4596.8</v>
      </c>
      <c r="AC6" s="149">
        <f t="shared" si="12"/>
        <v>-0.73999999999978172</v>
      </c>
      <c r="AD6" s="138">
        <v>40997</v>
      </c>
      <c r="AE6" s="150">
        <f t="shared" si="13"/>
        <v>5.7019999999999996E-3</v>
      </c>
      <c r="AF6" s="151">
        <f t="shared" si="14"/>
        <v>40997</v>
      </c>
      <c r="AG6" s="152" t="s">
        <v>463</v>
      </c>
      <c r="AH6" s="124"/>
    </row>
    <row r="7" spans="1:34" ht="12" customHeight="1">
      <c r="A7" s="125">
        <v>40998</v>
      </c>
      <c r="B7" s="126" t="s">
        <v>468</v>
      </c>
      <c r="C7" s="126" t="s">
        <v>460</v>
      </c>
      <c r="D7" s="126"/>
      <c r="E7" s="112" t="str">
        <f t="shared" si="0"/>
        <v>CUMMINSIND</v>
      </c>
      <c r="F7" s="126"/>
      <c r="G7" s="126"/>
      <c r="H7" s="126"/>
      <c r="I7" s="127" t="s">
        <v>461</v>
      </c>
      <c r="J7" s="126" t="s">
        <v>462</v>
      </c>
      <c r="K7" s="126"/>
      <c r="L7" s="126"/>
      <c r="M7" s="128">
        <v>10</v>
      </c>
      <c r="N7" s="129">
        <v>489</v>
      </c>
      <c r="O7" s="130">
        <f t="shared" si="1"/>
        <v>1.96</v>
      </c>
      <c r="P7" s="130">
        <f t="shared" ref="P7:P8" si="17">N7-O7</f>
        <v>487.04</v>
      </c>
      <c r="Q7" s="130"/>
      <c r="R7" s="130">
        <f t="shared" si="3"/>
        <v>4890</v>
      </c>
      <c r="S7" s="131">
        <f t="shared" si="4"/>
        <v>2.7909999999999999</v>
      </c>
      <c r="T7" s="131">
        <f t="shared" si="5"/>
        <v>19.600000000000001</v>
      </c>
      <c r="U7" s="131">
        <f t="shared" si="6"/>
        <v>2.02</v>
      </c>
      <c r="V7" s="131">
        <f t="shared" si="7"/>
        <v>6.11</v>
      </c>
      <c r="W7" s="131">
        <f t="shared" si="8"/>
        <v>0</v>
      </c>
      <c r="X7" s="131">
        <f t="shared" si="9"/>
        <v>0.18</v>
      </c>
      <c r="Y7" s="131">
        <v>0</v>
      </c>
      <c r="Z7" s="131">
        <f t="shared" si="10"/>
        <v>27.91</v>
      </c>
      <c r="AA7" s="132">
        <f t="shared" ref="AA7:AA8" si="18">ROUND(R7-SUM(T7:Y7),2)</f>
        <v>4862.09</v>
      </c>
      <c r="AB7" s="133">
        <v>4861</v>
      </c>
      <c r="AC7" s="134">
        <f t="shared" si="12"/>
        <v>-1.0900000000001455</v>
      </c>
      <c r="AD7" s="125">
        <v>40998</v>
      </c>
      <c r="AE7" s="135">
        <f t="shared" si="13"/>
        <v>5.7080000000000004E-3</v>
      </c>
      <c r="AF7" s="136">
        <f t="shared" si="14"/>
        <v>40998</v>
      </c>
      <c r="AG7" s="137" t="s">
        <v>463</v>
      </c>
      <c r="AH7" s="124"/>
    </row>
    <row r="8" spans="1:34" ht="12" customHeight="1">
      <c r="A8" s="125">
        <v>41002</v>
      </c>
      <c r="B8" s="126" t="s">
        <v>459</v>
      </c>
      <c r="C8" s="126" t="s">
        <v>460</v>
      </c>
      <c r="D8" s="126"/>
      <c r="E8" s="112" t="str">
        <f t="shared" si="0"/>
        <v>REC</v>
      </c>
      <c r="F8" s="126"/>
      <c r="G8" s="126"/>
      <c r="H8" s="126"/>
      <c r="I8" s="127" t="s">
        <v>461</v>
      </c>
      <c r="J8" s="126" t="s">
        <v>462</v>
      </c>
      <c r="K8" s="126"/>
      <c r="L8" s="126"/>
      <c r="M8" s="128">
        <v>47</v>
      </c>
      <c r="N8" s="129">
        <v>225</v>
      </c>
      <c r="O8" s="130">
        <f t="shared" si="1"/>
        <v>0.9</v>
      </c>
      <c r="P8" s="130">
        <f t="shared" si="17"/>
        <v>224.1</v>
      </c>
      <c r="Q8" s="130"/>
      <c r="R8" s="130">
        <f t="shared" si="3"/>
        <v>10575</v>
      </c>
      <c r="S8" s="131">
        <f t="shared" si="4"/>
        <v>1.3008510638297872</v>
      </c>
      <c r="T8" s="131">
        <f t="shared" si="5"/>
        <v>42.3</v>
      </c>
      <c r="U8" s="131">
        <f t="shared" ref="U8:U26" si="19">ROUND(T8*G$1816,2)</f>
        <v>5.23</v>
      </c>
      <c r="V8" s="131">
        <f t="shared" si="7"/>
        <v>13.22</v>
      </c>
      <c r="W8" s="131">
        <f t="shared" si="8"/>
        <v>0</v>
      </c>
      <c r="X8" s="131">
        <f t="shared" si="9"/>
        <v>0.39</v>
      </c>
      <c r="Y8" s="131">
        <v>0</v>
      </c>
      <c r="Z8" s="131">
        <f t="shared" si="10"/>
        <v>61.14</v>
      </c>
      <c r="AA8" s="132">
        <f t="shared" si="18"/>
        <v>10513.86</v>
      </c>
      <c r="AB8" s="133">
        <v>10513.02</v>
      </c>
      <c r="AC8" s="134">
        <f t="shared" si="12"/>
        <v>-0.84000000000014552</v>
      </c>
      <c r="AD8" s="125">
        <v>41002</v>
      </c>
      <c r="AE8" s="135">
        <f t="shared" si="13"/>
        <v>5.7819999999999998E-3</v>
      </c>
      <c r="AF8" s="136">
        <f t="shared" si="14"/>
        <v>41002</v>
      </c>
      <c r="AG8" s="137" t="s">
        <v>463</v>
      </c>
      <c r="AH8" s="124"/>
    </row>
    <row r="9" spans="1:34" ht="12" customHeight="1">
      <c r="A9" s="138">
        <v>41009</v>
      </c>
      <c r="B9" s="139" t="s">
        <v>469</v>
      </c>
      <c r="C9" s="139" t="s">
        <v>460</v>
      </c>
      <c r="D9" s="139"/>
      <c r="E9" s="140" t="str">
        <f t="shared" si="0"/>
        <v>ROLTA</v>
      </c>
      <c r="F9" s="139"/>
      <c r="G9" s="139"/>
      <c r="H9" s="139"/>
      <c r="I9" s="141" t="s">
        <v>467</v>
      </c>
      <c r="J9" s="139" t="s">
        <v>462</v>
      </c>
      <c r="K9" s="139"/>
      <c r="L9" s="139"/>
      <c r="M9" s="142">
        <v>100</v>
      </c>
      <c r="N9" s="143">
        <v>93.5</v>
      </c>
      <c r="O9" s="144">
        <f t="shared" si="1"/>
        <v>0.37</v>
      </c>
      <c r="P9" s="144">
        <f>N9+O9</f>
        <v>93.87</v>
      </c>
      <c r="Q9" s="144"/>
      <c r="R9" s="144">
        <f t="shared" si="3"/>
        <v>9350</v>
      </c>
      <c r="S9" s="145">
        <f t="shared" si="4"/>
        <v>0.53600000000000003</v>
      </c>
      <c r="T9" s="145">
        <f t="shared" si="5"/>
        <v>37</v>
      </c>
      <c r="U9" s="145">
        <f t="shared" si="19"/>
        <v>4.57</v>
      </c>
      <c r="V9" s="145">
        <f t="shared" si="7"/>
        <v>11.69</v>
      </c>
      <c r="W9" s="145">
        <f t="shared" si="8"/>
        <v>0</v>
      </c>
      <c r="X9" s="145">
        <f t="shared" si="9"/>
        <v>0.34</v>
      </c>
      <c r="Y9" s="145">
        <v>0</v>
      </c>
      <c r="Z9" s="146">
        <f t="shared" si="10"/>
        <v>53.6</v>
      </c>
      <c r="AA9" s="147">
        <f>-ROUND(R9+SUM(T9:Y9),2)</f>
        <v>-9403.6</v>
      </c>
      <c r="AB9" s="148">
        <v>-9404.85</v>
      </c>
      <c r="AC9" s="149">
        <f t="shared" si="12"/>
        <v>-1.25</v>
      </c>
      <c r="AD9" s="138">
        <v>41011</v>
      </c>
      <c r="AE9" s="150">
        <f t="shared" si="13"/>
        <v>5.7330000000000002E-3</v>
      </c>
      <c r="AF9" s="151">
        <f t="shared" si="14"/>
        <v>41011</v>
      </c>
      <c r="AG9" s="152" t="s">
        <v>463</v>
      </c>
      <c r="AH9" s="124"/>
    </row>
    <row r="10" spans="1:34" ht="12" customHeight="1">
      <c r="A10" s="125">
        <v>41012</v>
      </c>
      <c r="B10" s="126" t="s">
        <v>466</v>
      </c>
      <c r="C10" s="126" t="s">
        <v>460</v>
      </c>
      <c r="D10" s="126"/>
      <c r="E10" s="112" t="str">
        <f t="shared" si="0"/>
        <v>PATELENG</v>
      </c>
      <c r="F10" s="126"/>
      <c r="G10" s="126"/>
      <c r="H10" s="126"/>
      <c r="I10" s="127" t="s">
        <v>461</v>
      </c>
      <c r="J10" s="126" t="s">
        <v>462</v>
      </c>
      <c r="K10" s="126"/>
      <c r="L10" s="126"/>
      <c r="M10" s="128">
        <v>100</v>
      </c>
      <c r="N10" s="129">
        <v>117</v>
      </c>
      <c r="O10" s="130">
        <f t="shared" si="1"/>
        <v>0.47</v>
      </c>
      <c r="P10" s="130">
        <f>N10-O10</f>
        <v>116.53</v>
      </c>
      <c r="Q10" s="130"/>
      <c r="R10" s="130">
        <f t="shared" si="3"/>
        <v>11700</v>
      </c>
      <c r="S10" s="131">
        <f t="shared" si="4"/>
        <v>0.67870000000000008</v>
      </c>
      <c r="T10" s="131">
        <f t="shared" si="5"/>
        <v>47</v>
      </c>
      <c r="U10" s="131">
        <f t="shared" si="19"/>
        <v>5.81</v>
      </c>
      <c r="V10" s="131">
        <f t="shared" si="7"/>
        <v>14.63</v>
      </c>
      <c r="W10" s="131">
        <f t="shared" si="8"/>
        <v>0</v>
      </c>
      <c r="X10" s="131">
        <f t="shared" si="9"/>
        <v>0.43</v>
      </c>
      <c r="Y10" s="131">
        <v>0</v>
      </c>
      <c r="Z10" s="131">
        <f t="shared" si="10"/>
        <v>67.87</v>
      </c>
      <c r="AA10" s="132">
        <f>ROUND(R10-SUM(T10:Y10),2)</f>
        <v>11632.13</v>
      </c>
      <c r="AB10" s="133">
        <v>11630.61</v>
      </c>
      <c r="AC10" s="134">
        <f t="shared" si="12"/>
        <v>-1.5199999999986176</v>
      </c>
      <c r="AD10" s="125">
        <v>41012</v>
      </c>
      <c r="AE10" s="135">
        <f t="shared" si="13"/>
        <v>5.8009999999999997E-3</v>
      </c>
      <c r="AF10" s="136">
        <f t="shared" si="14"/>
        <v>41012</v>
      </c>
      <c r="AG10" s="137" t="s">
        <v>463</v>
      </c>
      <c r="AH10" s="124"/>
    </row>
    <row r="11" spans="1:34" ht="12" customHeight="1">
      <c r="A11" s="138">
        <v>41017</v>
      </c>
      <c r="B11" s="139" t="s">
        <v>470</v>
      </c>
      <c r="C11" s="139" t="s">
        <v>460</v>
      </c>
      <c r="D11" s="139"/>
      <c r="E11" s="140" t="str">
        <f t="shared" si="0"/>
        <v>SOBHA</v>
      </c>
      <c r="F11" s="139"/>
      <c r="G11" s="139"/>
      <c r="H11" s="139"/>
      <c r="I11" s="141" t="s">
        <v>467</v>
      </c>
      <c r="J11" s="139" t="s">
        <v>462</v>
      </c>
      <c r="K11" s="139"/>
      <c r="L11" s="139"/>
      <c r="M11" s="142">
        <v>50</v>
      </c>
      <c r="N11" s="143">
        <v>359</v>
      </c>
      <c r="O11" s="144">
        <f t="shared" si="1"/>
        <v>1.44</v>
      </c>
      <c r="P11" s="144">
        <f t="shared" ref="P11:P13" si="20">N11+O11</f>
        <v>360.44</v>
      </c>
      <c r="Q11" s="144"/>
      <c r="R11" s="144">
        <f t="shared" si="3"/>
        <v>17950</v>
      </c>
      <c r="S11" s="145">
        <f t="shared" si="4"/>
        <v>2.08</v>
      </c>
      <c r="T11" s="145">
        <f t="shared" si="5"/>
        <v>72</v>
      </c>
      <c r="U11" s="145">
        <f t="shared" si="19"/>
        <v>8.9</v>
      </c>
      <c r="V11" s="145">
        <f t="shared" si="7"/>
        <v>22.44</v>
      </c>
      <c r="W11" s="145">
        <f t="shared" si="8"/>
        <v>0</v>
      </c>
      <c r="X11" s="145">
        <f t="shared" si="9"/>
        <v>0.66</v>
      </c>
      <c r="Y11" s="145">
        <v>0</v>
      </c>
      <c r="Z11" s="146">
        <f t="shared" si="10"/>
        <v>104</v>
      </c>
      <c r="AA11" s="147">
        <f t="shared" ref="AA11:AA13" si="21">-ROUND(R11+SUM(T11:Y11),2)</f>
        <v>-18054</v>
      </c>
      <c r="AB11" s="148">
        <v>-18055.330000000002</v>
      </c>
      <c r="AC11" s="149">
        <f t="shared" si="12"/>
        <v>-1.3300000000017462</v>
      </c>
      <c r="AD11" s="138">
        <v>41019</v>
      </c>
      <c r="AE11" s="150">
        <f t="shared" si="13"/>
        <v>5.7939999999999997E-3</v>
      </c>
      <c r="AF11" s="151">
        <f t="shared" si="14"/>
        <v>41019</v>
      </c>
      <c r="AG11" s="152" t="s">
        <v>463</v>
      </c>
      <c r="AH11" s="124"/>
    </row>
    <row r="12" spans="1:34" ht="12" customHeight="1">
      <c r="A12" s="138">
        <v>41018</v>
      </c>
      <c r="B12" s="139" t="s">
        <v>471</v>
      </c>
      <c r="C12" s="139" t="s">
        <v>460</v>
      </c>
      <c r="D12" s="139"/>
      <c r="E12" s="140" t="str">
        <f t="shared" si="0"/>
        <v>BHEL</v>
      </c>
      <c r="F12" s="139"/>
      <c r="G12" s="139"/>
      <c r="H12" s="139"/>
      <c r="I12" s="141" t="s">
        <v>467</v>
      </c>
      <c r="J12" s="139" t="s">
        <v>462</v>
      </c>
      <c r="K12" s="139"/>
      <c r="L12" s="139"/>
      <c r="M12" s="142">
        <v>40</v>
      </c>
      <c r="N12" s="143">
        <v>256.60000000000002</v>
      </c>
      <c r="O12" s="144">
        <f t="shared" si="1"/>
        <v>1.03</v>
      </c>
      <c r="P12" s="144">
        <f t="shared" si="20"/>
        <v>257.63</v>
      </c>
      <c r="Q12" s="144"/>
      <c r="R12" s="144">
        <f t="shared" si="3"/>
        <v>10264</v>
      </c>
      <c r="S12" s="145">
        <f t="shared" si="4"/>
        <v>1.48725</v>
      </c>
      <c r="T12" s="145">
        <f t="shared" si="5"/>
        <v>41.2</v>
      </c>
      <c r="U12" s="145">
        <f t="shared" si="19"/>
        <v>5.09</v>
      </c>
      <c r="V12" s="145">
        <f t="shared" si="7"/>
        <v>12.83</v>
      </c>
      <c r="W12" s="145">
        <f t="shared" si="8"/>
        <v>0</v>
      </c>
      <c r="X12" s="145">
        <f t="shared" si="9"/>
        <v>0.37</v>
      </c>
      <c r="Y12" s="145">
        <v>0</v>
      </c>
      <c r="Z12" s="146">
        <f t="shared" si="10"/>
        <v>59.49</v>
      </c>
      <c r="AA12" s="147">
        <f t="shared" si="21"/>
        <v>-10323.49</v>
      </c>
      <c r="AB12" s="148">
        <v>-10324.32</v>
      </c>
      <c r="AC12" s="149">
        <f t="shared" si="12"/>
        <v>-0.82999999999992724</v>
      </c>
      <c r="AD12" s="138">
        <v>41022</v>
      </c>
      <c r="AE12" s="150">
        <f t="shared" si="13"/>
        <v>5.7959999999999999E-3</v>
      </c>
      <c r="AF12" s="151">
        <f t="shared" si="14"/>
        <v>41022</v>
      </c>
      <c r="AG12" s="152" t="s">
        <v>463</v>
      </c>
      <c r="AH12" s="124"/>
    </row>
    <row r="13" spans="1:34" ht="12" customHeight="1">
      <c r="A13" s="138">
        <v>41018</v>
      </c>
      <c r="B13" s="139" t="s">
        <v>471</v>
      </c>
      <c r="C13" s="139" t="s">
        <v>460</v>
      </c>
      <c r="D13" s="139"/>
      <c r="E13" s="140" t="str">
        <f t="shared" si="0"/>
        <v>BHEL</v>
      </c>
      <c r="F13" s="139"/>
      <c r="G13" s="139"/>
      <c r="H13" s="139"/>
      <c r="I13" s="141" t="s">
        <v>467</v>
      </c>
      <c r="J13" s="139" t="s">
        <v>462</v>
      </c>
      <c r="K13" s="139"/>
      <c r="L13" s="139"/>
      <c r="M13" s="142">
        <v>8</v>
      </c>
      <c r="N13" s="143">
        <v>251.2</v>
      </c>
      <c r="O13" s="144">
        <f t="shared" si="1"/>
        <v>1</v>
      </c>
      <c r="P13" s="144">
        <f t="shared" si="20"/>
        <v>252.2</v>
      </c>
      <c r="Q13" s="144"/>
      <c r="R13" s="144">
        <f t="shared" si="3"/>
        <v>2009.6</v>
      </c>
      <c r="S13" s="145">
        <f t="shared" si="4"/>
        <v>1.44625</v>
      </c>
      <c r="T13" s="145">
        <f t="shared" si="5"/>
        <v>8</v>
      </c>
      <c r="U13" s="145">
        <f t="shared" si="19"/>
        <v>0.99</v>
      </c>
      <c r="V13" s="145">
        <f t="shared" si="7"/>
        <v>2.5099999999999998</v>
      </c>
      <c r="W13" s="145">
        <f t="shared" si="8"/>
        <v>0</v>
      </c>
      <c r="X13" s="145">
        <f t="shared" si="9"/>
        <v>7.0000000000000007E-2</v>
      </c>
      <c r="Y13" s="145">
        <v>0</v>
      </c>
      <c r="Z13" s="146">
        <f t="shared" si="10"/>
        <v>11.57</v>
      </c>
      <c r="AA13" s="147">
        <f t="shared" si="21"/>
        <v>-2021.17</v>
      </c>
      <c r="AB13" s="148">
        <v>-2021.24</v>
      </c>
      <c r="AC13" s="149">
        <f t="shared" si="12"/>
        <v>-6.9999999999936335E-2</v>
      </c>
      <c r="AD13" s="138">
        <v>41022</v>
      </c>
      <c r="AE13" s="150">
        <f t="shared" si="13"/>
        <v>5.757E-3</v>
      </c>
      <c r="AF13" s="151">
        <f t="shared" si="14"/>
        <v>41022</v>
      </c>
      <c r="AG13" s="152" t="s">
        <v>463</v>
      </c>
      <c r="AH13" s="124"/>
    </row>
    <row r="14" spans="1:34" ht="12" customHeight="1">
      <c r="A14" s="125">
        <v>41029</v>
      </c>
      <c r="B14" s="126" t="s">
        <v>472</v>
      </c>
      <c r="C14" s="126" t="s">
        <v>460</v>
      </c>
      <c r="D14" s="126"/>
      <c r="E14" s="112" t="str">
        <f t="shared" si="0"/>
        <v>INFY</v>
      </c>
      <c r="F14" s="126"/>
      <c r="G14" s="126"/>
      <c r="H14" s="126"/>
      <c r="I14" s="127" t="s">
        <v>461</v>
      </c>
      <c r="J14" s="126" t="s">
        <v>462</v>
      </c>
      <c r="K14" s="126"/>
      <c r="L14" s="126"/>
      <c r="M14" s="128">
        <v>2</v>
      </c>
      <c r="N14" s="129">
        <v>2442</v>
      </c>
      <c r="O14" s="130">
        <f t="shared" si="1"/>
        <v>9.77</v>
      </c>
      <c r="P14" s="130">
        <f t="shared" ref="P14:P17" si="22">N14-O14</f>
        <v>2432.23</v>
      </c>
      <c r="Q14" s="130"/>
      <c r="R14" s="130">
        <f t="shared" si="3"/>
        <v>4884</v>
      </c>
      <c r="S14" s="131">
        <f t="shared" si="4"/>
        <v>14.125</v>
      </c>
      <c r="T14" s="131">
        <f t="shared" si="5"/>
        <v>19.54</v>
      </c>
      <c r="U14" s="131">
        <f t="shared" si="19"/>
        <v>2.42</v>
      </c>
      <c r="V14" s="131">
        <f t="shared" si="7"/>
        <v>6.11</v>
      </c>
      <c r="W14" s="131">
        <f t="shared" si="8"/>
        <v>0</v>
      </c>
      <c r="X14" s="131">
        <f t="shared" si="9"/>
        <v>0.18</v>
      </c>
      <c r="Y14" s="131">
        <v>0</v>
      </c>
      <c r="Z14" s="131">
        <f t="shared" si="10"/>
        <v>28.25</v>
      </c>
      <c r="AA14" s="132">
        <f t="shared" ref="AA14:AA17" si="23">ROUND(R14-SUM(T14:Y14),2)</f>
        <v>4855.75</v>
      </c>
      <c r="AB14" s="133">
        <v>4855.38</v>
      </c>
      <c r="AC14" s="134">
        <f t="shared" si="12"/>
        <v>-0.36999999999989086</v>
      </c>
      <c r="AD14" s="125">
        <v>41029</v>
      </c>
      <c r="AE14" s="135">
        <f t="shared" si="13"/>
        <v>5.7840000000000001E-3</v>
      </c>
      <c r="AF14" s="136">
        <f t="shared" si="14"/>
        <v>41029</v>
      </c>
      <c r="AG14" s="137" t="s">
        <v>463</v>
      </c>
      <c r="AH14" s="124"/>
    </row>
    <row r="15" spans="1:34" ht="12" customHeight="1">
      <c r="A15" s="125">
        <v>41122</v>
      </c>
      <c r="B15" s="126" t="s">
        <v>473</v>
      </c>
      <c r="C15" s="126" t="s">
        <v>460</v>
      </c>
      <c r="D15" s="126"/>
      <c r="E15" s="112" t="str">
        <f t="shared" si="0"/>
        <v>CIPLA</v>
      </c>
      <c r="F15" s="126"/>
      <c r="G15" s="126"/>
      <c r="H15" s="126"/>
      <c r="I15" s="127" t="s">
        <v>461</v>
      </c>
      <c r="J15" s="126" t="s">
        <v>462</v>
      </c>
      <c r="K15" s="126"/>
      <c r="L15" s="126"/>
      <c r="M15" s="128">
        <v>50</v>
      </c>
      <c r="N15" s="129">
        <v>356.35</v>
      </c>
      <c r="O15" s="130">
        <f t="shared" si="1"/>
        <v>1.43</v>
      </c>
      <c r="P15" s="130">
        <f t="shared" si="22"/>
        <v>354.92</v>
      </c>
      <c r="Q15" s="130"/>
      <c r="R15" s="130">
        <f t="shared" si="3"/>
        <v>17817.5</v>
      </c>
      <c r="S15" s="131">
        <f t="shared" si="4"/>
        <v>1.9762</v>
      </c>
      <c r="T15" s="131">
        <f t="shared" si="5"/>
        <v>71.5</v>
      </c>
      <c r="U15" s="131">
        <f t="shared" si="19"/>
        <v>8.84</v>
      </c>
      <c r="V15" s="131">
        <f t="shared" ref="V15:V29" si="24">ROUND(R15*F$1817,2)</f>
        <v>17.82</v>
      </c>
      <c r="W15" s="131">
        <f t="shared" si="8"/>
        <v>0</v>
      </c>
      <c r="X15" s="131">
        <f t="shared" si="9"/>
        <v>0.65</v>
      </c>
      <c r="Y15" s="131">
        <v>0</v>
      </c>
      <c r="Z15" s="131">
        <f t="shared" si="10"/>
        <v>98.81</v>
      </c>
      <c r="AA15" s="132">
        <f t="shared" si="23"/>
        <v>17718.689999999999</v>
      </c>
      <c r="AB15" s="133">
        <v>17716.73</v>
      </c>
      <c r="AC15" s="134">
        <f t="shared" si="12"/>
        <v>-1.9599999999991269</v>
      </c>
      <c r="AD15" s="125">
        <v>41122</v>
      </c>
      <c r="AE15" s="135">
        <f t="shared" si="13"/>
        <v>5.5459999999999997E-3</v>
      </c>
      <c r="AF15" s="136">
        <f t="shared" si="14"/>
        <v>41122</v>
      </c>
      <c r="AG15" s="137" t="s">
        <v>463</v>
      </c>
      <c r="AH15" s="124"/>
    </row>
    <row r="16" spans="1:34" ht="12" customHeight="1">
      <c r="A16" s="125">
        <v>41185</v>
      </c>
      <c r="B16" s="126" t="s">
        <v>474</v>
      </c>
      <c r="C16" s="126" t="s">
        <v>460</v>
      </c>
      <c r="D16" s="126"/>
      <c r="E16" s="112" t="str">
        <f t="shared" si="0"/>
        <v>RELIANCE</v>
      </c>
      <c r="F16" s="126"/>
      <c r="G16" s="126"/>
      <c r="H16" s="126"/>
      <c r="I16" s="127" t="s">
        <v>461</v>
      </c>
      <c r="J16" s="126" t="s">
        <v>462</v>
      </c>
      <c r="K16" s="126"/>
      <c r="L16" s="126"/>
      <c r="M16" s="128">
        <v>4</v>
      </c>
      <c r="N16" s="129">
        <v>845.2</v>
      </c>
      <c r="O16" s="130">
        <f t="shared" si="1"/>
        <v>3.38</v>
      </c>
      <c r="P16" s="130">
        <f t="shared" si="22"/>
        <v>841.82</v>
      </c>
      <c r="Q16" s="130"/>
      <c r="R16" s="130">
        <f t="shared" si="3"/>
        <v>3380.8</v>
      </c>
      <c r="S16" s="131">
        <f t="shared" si="4"/>
        <v>4.6725000000000003</v>
      </c>
      <c r="T16" s="131">
        <f t="shared" si="5"/>
        <v>13.52</v>
      </c>
      <c r="U16" s="131">
        <f t="shared" si="19"/>
        <v>1.67</v>
      </c>
      <c r="V16" s="131">
        <f t="shared" si="24"/>
        <v>3.38</v>
      </c>
      <c r="W16" s="131">
        <f t="shared" si="8"/>
        <v>0</v>
      </c>
      <c r="X16" s="131">
        <f t="shared" si="9"/>
        <v>0.12</v>
      </c>
      <c r="Y16" s="131">
        <v>0</v>
      </c>
      <c r="Z16" s="131">
        <f t="shared" si="10"/>
        <v>18.690000000000001</v>
      </c>
      <c r="AA16" s="132">
        <f t="shared" si="23"/>
        <v>3362.11</v>
      </c>
      <c r="AB16" s="133">
        <v>3362.15</v>
      </c>
      <c r="AC16" s="134">
        <f t="shared" si="12"/>
        <v>3.999999999996362E-2</v>
      </c>
      <c r="AD16" s="125">
        <v>41185</v>
      </c>
      <c r="AE16" s="135">
        <f t="shared" si="13"/>
        <v>5.5279999999999999E-3</v>
      </c>
      <c r="AF16" s="136">
        <f t="shared" si="14"/>
        <v>41185</v>
      </c>
      <c r="AG16" s="137" t="s">
        <v>463</v>
      </c>
      <c r="AH16" s="124"/>
    </row>
    <row r="17" spans="1:34" ht="12" customHeight="1">
      <c r="A17" s="125">
        <v>41186</v>
      </c>
      <c r="B17" s="126" t="s">
        <v>470</v>
      </c>
      <c r="C17" s="126" t="s">
        <v>460</v>
      </c>
      <c r="D17" s="126"/>
      <c r="E17" s="112" t="str">
        <f t="shared" si="0"/>
        <v>SOBHA</v>
      </c>
      <c r="F17" s="126"/>
      <c r="G17" s="126"/>
      <c r="H17" s="126"/>
      <c r="I17" s="127" t="s">
        <v>461</v>
      </c>
      <c r="J17" s="126" t="s">
        <v>462</v>
      </c>
      <c r="K17" s="126"/>
      <c r="L17" s="126"/>
      <c r="M17" s="128">
        <v>50</v>
      </c>
      <c r="N17" s="129">
        <v>383</v>
      </c>
      <c r="O17" s="130">
        <f t="shared" si="1"/>
        <v>1.53</v>
      </c>
      <c r="P17" s="130">
        <f t="shared" si="22"/>
        <v>381.47</v>
      </c>
      <c r="Q17" s="130"/>
      <c r="R17" s="130">
        <f t="shared" si="3"/>
        <v>19150</v>
      </c>
      <c r="S17" s="131">
        <f t="shared" si="4"/>
        <v>2.1162000000000005</v>
      </c>
      <c r="T17" s="131">
        <f t="shared" si="5"/>
        <v>76.5</v>
      </c>
      <c r="U17" s="131">
        <f t="shared" si="19"/>
        <v>9.4600000000000009</v>
      </c>
      <c r="V17" s="131">
        <f t="shared" si="24"/>
        <v>19.149999999999999</v>
      </c>
      <c r="W17" s="131">
        <f t="shared" si="8"/>
        <v>0</v>
      </c>
      <c r="X17" s="131">
        <f t="shared" si="9"/>
        <v>0.7</v>
      </c>
      <c r="Y17" s="131">
        <v>0</v>
      </c>
      <c r="Z17" s="131">
        <f t="shared" si="10"/>
        <v>105.81000000000002</v>
      </c>
      <c r="AA17" s="132">
        <f t="shared" si="23"/>
        <v>19044.189999999999</v>
      </c>
      <c r="AB17" s="133">
        <v>19042.419999999998</v>
      </c>
      <c r="AC17" s="134">
        <f t="shared" si="12"/>
        <v>-1.7700000000004366</v>
      </c>
      <c r="AD17" s="125">
        <v>41186</v>
      </c>
      <c r="AE17" s="135">
        <f t="shared" si="13"/>
        <v>5.5250000000000004E-3</v>
      </c>
      <c r="AF17" s="136">
        <f t="shared" si="14"/>
        <v>41186</v>
      </c>
      <c r="AG17" s="137" t="s">
        <v>463</v>
      </c>
      <c r="AH17" s="124"/>
    </row>
    <row r="18" spans="1:34" ht="12" customHeight="1">
      <c r="A18" s="138">
        <v>41194</v>
      </c>
      <c r="B18" s="139" t="s">
        <v>475</v>
      </c>
      <c r="C18" s="139" t="s">
        <v>460</v>
      </c>
      <c r="D18" s="139"/>
      <c r="E18" s="140" t="str">
        <f t="shared" si="0"/>
        <v>HEROMOTOCO</v>
      </c>
      <c r="F18" s="139"/>
      <c r="G18" s="139"/>
      <c r="H18" s="139"/>
      <c r="I18" s="141" t="s">
        <v>467</v>
      </c>
      <c r="J18" s="139" t="s">
        <v>462</v>
      </c>
      <c r="K18" s="139"/>
      <c r="L18" s="139"/>
      <c r="M18" s="142">
        <v>5</v>
      </c>
      <c r="N18" s="143">
        <v>1779.45</v>
      </c>
      <c r="O18" s="144">
        <f t="shared" si="1"/>
        <v>7.12</v>
      </c>
      <c r="P18" s="144">
        <f>N18+O18</f>
        <v>1786.57</v>
      </c>
      <c r="Q18" s="144"/>
      <c r="R18" s="144">
        <f t="shared" si="3"/>
        <v>8897.25</v>
      </c>
      <c r="S18" s="145">
        <f t="shared" si="4"/>
        <v>9.8439999999999994</v>
      </c>
      <c r="T18" s="145">
        <f t="shared" si="5"/>
        <v>35.6</v>
      </c>
      <c r="U18" s="145">
        <f t="shared" si="19"/>
        <v>4.4000000000000004</v>
      </c>
      <c r="V18" s="145">
        <f t="shared" si="24"/>
        <v>8.9</v>
      </c>
      <c r="W18" s="145">
        <f t="shared" si="8"/>
        <v>0</v>
      </c>
      <c r="X18" s="145">
        <f t="shared" si="9"/>
        <v>0.32</v>
      </c>
      <c r="Y18" s="145">
        <v>0</v>
      </c>
      <c r="Z18" s="146">
        <f t="shared" si="10"/>
        <v>49.22</v>
      </c>
      <c r="AA18" s="147">
        <f>-ROUND(R18+SUM(T18:Y18),2)</f>
        <v>-8946.4699999999993</v>
      </c>
      <c r="AB18" s="148">
        <v>-8947.4599999999991</v>
      </c>
      <c r="AC18" s="149">
        <f t="shared" si="12"/>
        <v>-0.98999999999978172</v>
      </c>
      <c r="AD18" s="138">
        <v>41198</v>
      </c>
      <c r="AE18" s="150">
        <f t="shared" si="13"/>
        <v>5.5319999999999996E-3</v>
      </c>
      <c r="AF18" s="151">
        <f t="shared" si="14"/>
        <v>41198</v>
      </c>
      <c r="AG18" s="152" t="s">
        <v>463</v>
      </c>
      <c r="AH18" s="124"/>
    </row>
    <row r="19" spans="1:34" ht="12" customHeight="1">
      <c r="A19" s="125">
        <v>41200</v>
      </c>
      <c r="B19" s="126" t="s">
        <v>476</v>
      </c>
      <c r="C19" s="126" t="s">
        <v>460</v>
      </c>
      <c r="D19" s="126"/>
      <c r="E19" s="112" t="str">
        <f t="shared" si="0"/>
        <v>INDIACEM</v>
      </c>
      <c r="F19" s="126"/>
      <c r="G19" s="126"/>
      <c r="H19" s="126"/>
      <c r="I19" s="127" t="s">
        <v>461</v>
      </c>
      <c r="J19" s="126" t="s">
        <v>462</v>
      </c>
      <c r="K19" s="126"/>
      <c r="L19" s="126"/>
      <c r="M19" s="128">
        <v>50</v>
      </c>
      <c r="N19" s="129">
        <v>102</v>
      </c>
      <c r="O19" s="130">
        <f t="shared" si="1"/>
        <v>0.41</v>
      </c>
      <c r="P19" s="130">
        <f t="shared" ref="P19:P20" si="25">N19-O19</f>
        <v>101.59</v>
      </c>
      <c r="Q19" s="130"/>
      <c r="R19" s="130">
        <f t="shared" si="3"/>
        <v>5100</v>
      </c>
      <c r="S19" s="131">
        <f t="shared" si="4"/>
        <v>0.56640000000000013</v>
      </c>
      <c r="T19" s="131">
        <f t="shared" si="5"/>
        <v>20.5</v>
      </c>
      <c r="U19" s="131">
        <f t="shared" si="19"/>
        <v>2.5299999999999998</v>
      </c>
      <c r="V19" s="131">
        <f t="shared" si="24"/>
        <v>5.0999999999999996</v>
      </c>
      <c r="W19" s="131">
        <f t="shared" si="8"/>
        <v>0</v>
      </c>
      <c r="X19" s="131">
        <f t="shared" si="9"/>
        <v>0.19</v>
      </c>
      <c r="Y19" s="131">
        <v>0</v>
      </c>
      <c r="Z19" s="131">
        <f t="shared" si="10"/>
        <v>28.320000000000004</v>
      </c>
      <c r="AA19" s="132">
        <f t="shared" ref="AA19:AA20" si="26">ROUND(R19-SUM(T19:Y19),2)</f>
        <v>5071.68</v>
      </c>
      <c r="AB19" s="133">
        <v>5071.2700000000004</v>
      </c>
      <c r="AC19" s="134">
        <f t="shared" si="12"/>
        <v>-0.40999999999985448</v>
      </c>
      <c r="AD19" s="125">
        <v>41200</v>
      </c>
      <c r="AE19" s="135">
        <f t="shared" si="13"/>
        <v>5.5529999999999998E-3</v>
      </c>
      <c r="AF19" s="136">
        <f t="shared" si="14"/>
        <v>41200</v>
      </c>
      <c r="AG19" s="137" t="s">
        <v>463</v>
      </c>
      <c r="AH19" s="124"/>
    </row>
    <row r="20" spans="1:34" ht="12" customHeight="1">
      <c r="A20" s="125">
        <v>41200</v>
      </c>
      <c r="B20" s="126" t="s">
        <v>475</v>
      </c>
      <c r="C20" s="126" t="s">
        <v>460</v>
      </c>
      <c r="D20" s="126"/>
      <c r="E20" s="112" t="str">
        <f t="shared" si="0"/>
        <v>HEROMOTOCO</v>
      </c>
      <c r="F20" s="126"/>
      <c r="G20" s="126"/>
      <c r="H20" s="126"/>
      <c r="I20" s="127" t="s">
        <v>461</v>
      </c>
      <c r="J20" s="126" t="s">
        <v>462</v>
      </c>
      <c r="K20" s="126"/>
      <c r="L20" s="126"/>
      <c r="M20" s="128">
        <v>5</v>
      </c>
      <c r="N20" s="129">
        <v>1839</v>
      </c>
      <c r="O20" s="130">
        <f t="shared" si="1"/>
        <v>7.36</v>
      </c>
      <c r="P20" s="130">
        <f t="shared" si="25"/>
        <v>1831.64</v>
      </c>
      <c r="Q20" s="130"/>
      <c r="R20" s="130">
        <f t="shared" si="3"/>
        <v>9195</v>
      </c>
      <c r="S20" s="131">
        <f t="shared" si="4"/>
        <v>10.178000000000001</v>
      </c>
      <c r="T20" s="131">
        <f t="shared" si="5"/>
        <v>36.799999999999997</v>
      </c>
      <c r="U20" s="131">
        <f t="shared" si="19"/>
        <v>4.55</v>
      </c>
      <c r="V20" s="131">
        <f t="shared" si="24"/>
        <v>9.1999999999999993</v>
      </c>
      <c r="W20" s="131">
        <f t="shared" si="8"/>
        <v>0</v>
      </c>
      <c r="X20" s="131">
        <f t="shared" si="9"/>
        <v>0.34</v>
      </c>
      <c r="Y20" s="131">
        <v>0</v>
      </c>
      <c r="Z20" s="131">
        <f t="shared" si="10"/>
        <v>50.89</v>
      </c>
      <c r="AA20" s="132">
        <f t="shared" si="26"/>
        <v>9144.11</v>
      </c>
      <c r="AB20" s="133">
        <v>9143.39</v>
      </c>
      <c r="AC20" s="134">
        <f t="shared" si="12"/>
        <v>-0.72000000000116415</v>
      </c>
      <c r="AD20" s="125">
        <v>41200</v>
      </c>
      <c r="AE20" s="135">
        <f t="shared" si="13"/>
        <v>5.535E-3</v>
      </c>
      <c r="AF20" s="136">
        <f t="shared" si="14"/>
        <v>41200</v>
      </c>
      <c r="AG20" s="137" t="s">
        <v>463</v>
      </c>
      <c r="AH20" s="124"/>
    </row>
    <row r="21" spans="1:34" ht="12" customHeight="1">
      <c r="A21" s="138">
        <v>41205</v>
      </c>
      <c r="B21" s="139" t="s">
        <v>477</v>
      </c>
      <c r="C21" s="139" t="s">
        <v>460</v>
      </c>
      <c r="D21" s="139"/>
      <c r="E21" s="140" t="str">
        <f t="shared" si="0"/>
        <v>CROMPTON</v>
      </c>
      <c r="F21" s="139"/>
      <c r="G21" s="139"/>
      <c r="H21" s="139"/>
      <c r="I21" s="141" t="s">
        <v>467</v>
      </c>
      <c r="J21" s="139" t="s">
        <v>462</v>
      </c>
      <c r="K21" s="139"/>
      <c r="L21" s="139"/>
      <c r="M21" s="142">
        <v>50</v>
      </c>
      <c r="N21" s="143">
        <v>131.6</v>
      </c>
      <c r="O21" s="144">
        <f t="shared" si="1"/>
        <v>0.53</v>
      </c>
      <c r="P21" s="144">
        <f t="shared" ref="P21:P24" si="27">N21+O21</f>
        <v>132.13</v>
      </c>
      <c r="Q21" s="144"/>
      <c r="R21" s="144">
        <f t="shared" si="3"/>
        <v>6580</v>
      </c>
      <c r="S21" s="145">
        <f t="shared" si="4"/>
        <v>0.73199999999999998</v>
      </c>
      <c r="T21" s="145">
        <f t="shared" si="5"/>
        <v>26.5</v>
      </c>
      <c r="U21" s="145">
        <f t="shared" si="19"/>
        <v>3.28</v>
      </c>
      <c r="V21" s="145">
        <f t="shared" si="24"/>
        <v>6.58</v>
      </c>
      <c r="W21" s="145">
        <f t="shared" si="8"/>
        <v>0</v>
      </c>
      <c r="X21" s="145">
        <f t="shared" si="9"/>
        <v>0.24</v>
      </c>
      <c r="Y21" s="145">
        <v>0</v>
      </c>
      <c r="Z21" s="146">
        <f t="shared" si="10"/>
        <v>36.6</v>
      </c>
      <c r="AA21" s="147">
        <f t="shared" ref="AA21:AA24" si="28">-ROUND(R21+SUM(T21:Y21),2)</f>
        <v>-6616.6</v>
      </c>
      <c r="AB21" s="148">
        <v>-6617.68</v>
      </c>
      <c r="AC21" s="149">
        <f t="shared" si="12"/>
        <v>-1.0799999999999272</v>
      </c>
      <c r="AD21" s="138">
        <v>41211</v>
      </c>
      <c r="AE21" s="150">
        <f t="shared" si="13"/>
        <v>5.5620000000000001E-3</v>
      </c>
      <c r="AF21" s="151">
        <f t="shared" si="14"/>
        <v>41211</v>
      </c>
      <c r="AG21" s="152" t="s">
        <v>463</v>
      </c>
      <c r="AH21" s="124"/>
    </row>
    <row r="22" spans="1:34" ht="12" customHeight="1">
      <c r="A22" s="138">
        <v>41207</v>
      </c>
      <c r="B22" s="139" t="s">
        <v>478</v>
      </c>
      <c r="C22" s="139" t="s">
        <v>460</v>
      </c>
      <c r="D22" s="139"/>
      <c r="E22" s="140" t="str">
        <f t="shared" si="0"/>
        <v>DABUR</v>
      </c>
      <c r="F22" s="139"/>
      <c r="G22" s="139"/>
      <c r="H22" s="139"/>
      <c r="I22" s="141" t="s">
        <v>467</v>
      </c>
      <c r="J22" s="139" t="s">
        <v>462</v>
      </c>
      <c r="K22" s="139"/>
      <c r="L22" s="139"/>
      <c r="M22" s="142">
        <v>20</v>
      </c>
      <c r="N22" s="143">
        <v>133</v>
      </c>
      <c r="O22" s="144">
        <f t="shared" si="1"/>
        <v>0.53</v>
      </c>
      <c r="P22" s="144">
        <f t="shared" si="27"/>
        <v>133.53</v>
      </c>
      <c r="Q22" s="144"/>
      <c r="R22" s="144">
        <f t="shared" si="3"/>
        <v>2660</v>
      </c>
      <c r="S22" s="145">
        <f t="shared" si="4"/>
        <v>0.73350000000000004</v>
      </c>
      <c r="T22" s="145">
        <f t="shared" si="5"/>
        <v>10.6</v>
      </c>
      <c r="U22" s="145">
        <f t="shared" si="19"/>
        <v>1.31</v>
      </c>
      <c r="V22" s="145">
        <f t="shared" si="24"/>
        <v>2.66</v>
      </c>
      <c r="W22" s="145">
        <f t="shared" si="8"/>
        <v>0</v>
      </c>
      <c r="X22" s="145">
        <f t="shared" si="9"/>
        <v>0.1</v>
      </c>
      <c r="Y22" s="145">
        <v>0</v>
      </c>
      <c r="Z22" s="146">
        <f t="shared" si="10"/>
        <v>14.67</v>
      </c>
      <c r="AA22" s="147">
        <f t="shared" si="28"/>
        <v>-2674.67</v>
      </c>
      <c r="AB22" s="148">
        <v>-2675.28</v>
      </c>
      <c r="AC22" s="149">
        <f t="shared" si="12"/>
        <v>-0.61000000000012733</v>
      </c>
      <c r="AD22" s="138">
        <v>41212</v>
      </c>
      <c r="AE22" s="150">
        <f t="shared" si="13"/>
        <v>5.5149999999999999E-3</v>
      </c>
      <c r="AF22" s="151">
        <f t="shared" si="14"/>
        <v>41212</v>
      </c>
      <c r="AG22" s="152" t="s">
        <v>463</v>
      </c>
      <c r="AH22" s="124"/>
    </row>
    <row r="23" spans="1:34" ht="12" customHeight="1">
      <c r="A23" s="138">
        <v>41207</v>
      </c>
      <c r="B23" s="139" t="s">
        <v>479</v>
      </c>
      <c r="C23" s="139" t="s">
        <v>460</v>
      </c>
      <c r="D23" s="139"/>
      <c r="E23" s="140" t="str">
        <f t="shared" si="0"/>
        <v>TATAPOWER</v>
      </c>
      <c r="F23" s="139"/>
      <c r="G23" s="139"/>
      <c r="H23" s="139"/>
      <c r="I23" s="141" t="s">
        <v>467</v>
      </c>
      <c r="J23" s="139" t="s">
        <v>462</v>
      </c>
      <c r="K23" s="139"/>
      <c r="L23" s="139"/>
      <c r="M23" s="142">
        <v>50</v>
      </c>
      <c r="N23" s="143">
        <v>105.2</v>
      </c>
      <c r="O23" s="144">
        <f t="shared" si="1"/>
        <v>0.42</v>
      </c>
      <c r="P23" s="144">
        <f t="shared" si="27"/>
        <v>105.62</v>
      </c>
      <c r="Q23" s="144"/>
      <c r="R23" s="144">
        <f t="shared" si="3"/>
        <v>5260</v>
      </c>
      <c r="S23" s="145">
        <f t="shared" si="4"/>
        <v>0.58099999999999996</v>
      </c>
      <c r="T23" s="145">
        <f t="shared" si="5"/>
        <v>21</v>
      </c>
      <c r="U23" s="145">
        <f t="shared" si="19"/>
        <v>2.6</v>
      </c>
      <c r="V23" s="145">
        <f t="shared" si="24"/>
        <v>5.26</v>
      </c>
      <c r="W23" s="145">
        <f t="shared" si="8"/>
        <v>0</v>
      </c>
      <c r="X23" s="145">
        <f t="shared" si="9"/>
        <v>0.19</v>
      </c>
      <c r="Y23" s="145">
        <v>0</v>
      </c>
      <c r="Z23" s="146">
        <f t="shared" si="10"/>
        <v>29.05</v>
      </c>
      <c r="AA23" s="147">
        <f t="shared" si="28"/>
        <v>-5289.05</v>
      </c>
      <c r="AB23" s="148">
        <v>-5289.31</v>
      </c>
      <c r="AC23" s="149">
        <f t="shared" si="12"/>
        <v>-0.26000000000021828</v>
      </c>
      <c r="AD23" s="138">
        <v>41212</v>
      </c>
      <c r="AE23" s="150">
        <f t="shared" si="13"/>
        <v>5.5230000000000001E-3</v>
      </c>
      <c r="AF23" s="151">
        <f t="shared" si="14"/>
        <v>41212</v>
      </c>
      <c r="AG23" s="152" t="s">
        <v>463</v>
      </c>
      <c r="AH23" s="124"/>
    </row>
    <row r="24" spans="1:34" ht="12" customHeight="1">
      <c r="A24" s="138">
        <v>41208</v>
      </c>
      <c r="B24" s="139" t="s">
        <v>480</v>
      </c>
      <c r="C24" s="139" t="s">
        <v>460</v>
      </c>
      <c r="D24" s="139"/>
      <c r="E24" s="140" t="str">
        <f t="shared" si="0"/>
        <v>ADANIENT</v>
      </c>
      <c r="F24" s="139"/>
      <c r="G24" s="139"/>
      <c r="H24" s="139"/>
      <c r="I24" s="141" t="s">
        <v>467</v>
      </c>
      <c r="J24" s="139" t="s">
        <v>462</v>
      </c>
      <c r="K24" s="139"/>
      <c r="L24" s="139"/>
      <c r="M24" s="142">
        <v>20</v>
      </c>
      <c r="N24" s="143">
        <v>219.2</v>
      </c>
      <c r="O24" s="144">
        <f t="shared" si="1"/>
        <v>0.88</v>
      </c>
      <c r="P24" s="144">
        <f t="shared" si="27"/>
        <v>220.07999999999998</v>
      </c>
      <c r="Q24" s="144"/>
      <c r="R24" s="144">
        <f t="shared" si="3"/>
        <v>4384</v>
      </c>
      <c r="S24" s="145">
        <f t="shared" si="4"/>
        <v>1.216</v>
      </c>
      <c r="T24" s="145">
        <f t="shared" si="5"/>
        <v>17.600000000000001</v>
      </c>
      <c r="U24" s="145">
        <f t="shared" si="19"/>
        <v>2.1800000000000002</v>
      </c>
      <c r="V24" s="145">
        <f t="shared" si="24"/>
        <v>4.38</v>
      </c>
      <c r="W24" s="145">
        <f t="shared" si="8"/>
        <v>0</v>
      </c>
      <c r="X24" s="145">
        <f t="shared" si="9"/>
        <v>0.16</v>
      </c>
      <c r="Y24" s="145">
        <v>0</v>
      </c>
      <c r="Z24" s="146">
        <f t="shared" si="10"/>
        <v>24.32</v>
      </c>
      <c r="AA24" s="147">
        <f t="shared" si="28"/>
        <v>-4408.32</v>
      </c>
      <c r="AB24" s="148">
        <v>-4408.76</v>
      </c>
      <c r="AC24" s="149">
        <f t="shared" si="12"/>
        <v>-0.44000000000050932</v>
      </c>
      <c r="AD24" s="138">
        <v>41212</v>
      </c>
      <c r="AE24" s="150">
        <f t="shared" si="13"/>
        <v>5.5469999999999998E-3</v>
      </c>
      <c r="AF24" s="151">
        <f t="shared" si="14"/>
        <v>41212</v>
      </c>
      <c r="AG24" s="152" t="s">
        <v>463</v>
      </c>
      <c r="AH24" s="124"/>
    </row>
    <row r="25" spans="1:34" ht="12" customHeight="1">
      <c r="A25" s="125">
        <v>41215</v>
      </c>
      <c r="B25" s="126" t="s">
        <v>479</v>
      </c>
      <c r="C25" s="126" t="s">
        <v>460</v>
      </c>
      <c r="D25" s="126"/>
      <c r="E25" s="112" t="str">
        <f t="shared" si="0"/>
        <v>TATAPOWER</v>
      </c>
      <c r="F25" s="126"/>
      <c r="G25" s="126"/>
      <c r="H25" s="126"/>
      <c r="I25" s="127" t="s">
        <v>461</v>
      </c>
      <c r="J25" s="126" t="s">
        <v>462</v>
      </c>
      <c r="K25" s="126"/>
      <c r="L25" s="126"/>
      <c r="M25" s="128">
        <v>50</v>
      </c>
      <c r="N25" s="129">
        <v>106.5</v>
      </c>
      <c r="O25" s="130">
        <f t="shared" si="1"/>
        <v>0.43</v>
      </c>
      <c r="P25" s="130">
        <f t="shared" ref="P25:P27" si="29">N25-O25</f>
        <v>106.07</v>
      </c>
      <c r="Q25" s="130"/>
      <c r="R25" s="130">
        <f t="shared" si="3"/>
        <v>5325</v>
      </c>
      <c r="S25" s="131">
        <f t="shared" si="4"/>
        <v>0.59360000000000002</v>
      </c>
      <c r="T25" s="131">
        <f t="shared" si="5"/>
        <v>21.5</v>
      </c>
      <c r="U25" s="131">
        <f t="shared" si="19"/>
        <v>2.66</v>
      </c>
      <c r="V25" s="131">
        <f t="shared" si="24"/>
        <v>5.33</v>
      </c>
      <c r="W25" s="131">
        <f t="shared" si="8"/>
        <v>0</v>
      </c>
      <c r="X25" s="131">
        <f t="shared" si="9"/>
        <v>0.19</v>
      </c>
      <c r="Y25" s="131">
        <v>0</v>
      </c>
      <c r="Z25" s="131">
        <f t="shared" si="10"/>
        <v>29.680000000000003</v>
      </c>
      <c r="AA25" s="132">
        <f t="shared" ref="AA25:AA32" si="30">ROUND(R25-SUM(T25:Y25),2)</f>
        <v>5295.32</v>
      </c>
      <c r="AB25" s="133">
        <v>5295.1</v>
      </c>
      <c r="AC25" s="134">
        <f t="shared" si="12"/>
        <v>-0.21999999999934516</v>
      </c>
      <c r="AD25" s="125">
        <v>41215</v>
      </c>
      <c r="AE25" s="135">
        <f t="shared" si="13"/>
        <v>5.574E-3</v>
      </c>
      <c r="AF25" s="136">
        <f t="shared" si="14"/>
        <v>41215</v>
      </c>
      <c r="AG25" s="137" t="s">
        <v>463</v>
      </c>
      <c r="AH25" s="124"/>
    </row>
    <row r="26" spans="1:34" ht="11.25" customHeight="1">
      <c r="A26" s="125">
        <v>41219</v>
      </c>
      <c r="B26" s="126" t="s">
        <v>480</v>
      </c>
      <c r="C26" s="126" t="s">
        <v>460</v>
      </c>
      <c r="D26" s="126"/>
      <c r="E26" s="112" t="str">
        <f t="shared" si="0"/>
        <v>ADANIENT</v>
      </c>
      <c r="F26" s="126"/>
      <c r="G26" s="126"/>
      <c r="H26" s="126"/>
      <c r="I26" s="127" t="s">
        <v>461</v>
      </c>
      <c r="J26" s="126" t="s">
        <v>462</v>
      </c>
      <c r="K26" s="126"/>
      <c r="L26" s="126"/>
      <c r="M26" s="128">
        <v>20</v>
      </c>
      <c r="N26" s="129">
        <v>226.15</v>
      </c>
      <c r="O26" s="130">
        <f t="shared" si="1"/>
        <v>0.9</v>
      </c>
      <c r="P26" s="130">
        <f t="shared" si="29"/>
        <v>225.25</v>
      </c>
      <c r="Q26" s="130"/>
      <c r="R26" s="130">
        <f t="shared" si="3"/>
        <v>4523</v>
      </c>
      <c r="S26" s="131">
        <f t="shared" si="4"/>
        <v>1.2455000000000001</v>
      </c>
      <c r="T26" s="131">
        <f t="shared" si="5"/>
        <v>18</v>
      </c>
      <c r="U26" s="131">
        <f t="shared" si="19"/>
        <v>2.2200000000000002</v>
      </c>
      <c r="V26" s="131">
        <f t="shared" si="24"/>
        <v>4.5199999999999996</v>
      </c>
      <c r="W26" s="131">
        <f t="shared" si="8"/>
        <v>0</v>
      </c>
      <c r="X26" s="131">
        <f t="shared" si="9"/>
        <v>0.17</v>
      </c>
      <c r="Y26" s="131">
        <v>0</v>
      </c>
      <c r="Z26" s="131">
        <f t="shared" si="10"/>
        <v>24.91</v>
      </c>
      <c r="AA26" s="132">
        <f t="shared" si="30"/>
        <v>4498.09</v>
      </c>
      <c r="AB26" s="133">
        <v>4497.32</v>
      </c>
      <c r="AC26" s="134">
        <f t="shared" si="12"/>
        <v>-0.77000000000043656</v>
      </c>
      <c r="AD26" s="125">
        <v>41219</v>
      </c>
      <c r="AE26" s="135">
        <f t="shared" si="13"/>
        <v>5.5069999999999997E-3</v>
      </c>
      <c r="AF26" s="136">
        <f t="shared" si="14"/>
        <v>41219</v>
      </c>
      <c r="AG26" s="137" t="s">
        <v>463</v>
      </c>
      <c r="AH26" s="124"/>
    </row>
    <row r="27" spans="1:34" ht="12" customHeight="1">
      <c r="A27" s="125">
        <v>42933</v>
      </c>
      <c r="B27" s="126" t="s">
        <v>481</v>
      </c>
      <c r="C27" s="126" t="s">
        <v>460</v>
      </c>
      <c r="D27" s="126"/>
      <c r="E27" s="112" t="str">
        <f t="shared" si="0"/>
        <v>HINDALCO</v>
      </c>
      <c r="F27" s="126"/>
      <c r="G27" s="126"/>
      <c r="H27" s="126"/>
      <c r="I27" s="127" t="s">
        <v>461</v>
      </c>
      <c r="J27" s="126" t="s">
        <v>462</v>
      </c>
      <c r="K27" s="126"/>
      <c r="L27" s="126"/>
      <c r="M27" s="128">
        <v>100</v>
      </c>
      <c r="N27" s="129">
        <v>208.6</v>
      </c>
      <c r="O27" s="130">
        <f t="shared" ref="O27:O30" si="31">ROUND(N27*F$1813,2)</f>
        <v>1.04</v>
      </c>
      <c r="P27" s="130">
        <f t="shared" si="29"/>
        <v>207.56</v>
      </c>
      <c r="Q27" s="130"/>
      <c r="R27" s="130">
        <f t="shared" si="3"/>
        <v>20860</v>
      </c>
      <c r="S27" s="131">
        <f t="shared" si="4"/>
        <v>1.4635999999999998</v>
      </c>
      <c r="T27" s="131">
        <f t="shared" si="5"/>
        <v>104</v>
      </c>
      <c r="U27" s="131">
        <f t="shared" ref="U27:U29" si="32">ROUND(T27*H$1816,2)</f>
        <v>18.72</v>
      </c>
      <c r="V27" s="131">
        <f t="shared" si="24"/>
        <v>20.86</v>
      </c>
      <c r="W27" s="131">
        <f t="shared" ref="W27:W29" si="33">MROUND(R27*C$1823,0.05)</f>
        <v>2.1</v>
      </c>
      <c r="X27" s="131">
        <f t="shared" ref="X27:X29" si="34">ROUND(R27*F$1820,2)</f>
        <v>0.68</v>
      </c>
      <c r="Y27" s="131">
        <v>0</v>
      </c>
      <c r="Z27" s="131">
        <f t="shared" si="10"/>
        <v>146.35999999999999</v>
      </c>
      <c r="AA27" s="132">
        <f t="shared" si="30"/>
        <v>20713.64</v>
      </c>
      <c r="AB27" s="133">
        <v>20713.39</v>
      </c>
      <c r="AC27" s="134">
        <f t="shared" si="12"/>
        <v>-0.25</v>
      </c>
      <c r="AD27" s="125">
        <v>42935</v>
      </c>
      <c r="AE27" s="135">
        <f t="shared" si="13"/>
        <v>7.0159999999999997E-3</v>
      </c>
      <c r="AF27" s="136">
        <f t="shared" si="14"/>
        <v>42935</v>
      </c>
      <c r="AG27" s="137" t="s">
        <v>463</v>
      </c>
      <c r="AH27" s="124"/>
    </row>
    <row r="28" spans="1:34" ht="12" customHeight="1">
      <c r="A28" s="125">
        <v>42954</v>
      </c>
      <c r="B28" s="126" t="s">
        <v>478</v>
      </c>
      <c r="C28" s="126" t="s">
        <v>460</v>
      </c>
      <c r="D28" s="126"/>
      <c r="E28" s="112" t="str">
        <f t="shared" si="0"/>
        <v>DABUR</v>
      </c>
      <c r="F28" s="126"/>
      <c r="G28" s="126"/>
      <c r="H28" s="126"/>
      <c r="I28" s="127" t="s">
        <v>461</v>
      </c>
      <c r="J28" s="126" t="s">
        <v>462</v>
      </c>
      <c r="K28" s="126"/>
      <c r="L28" s="126"/>
      <c r="M28" s="128">
        <v>20</v>
      </c>
      <c r="N28" s="129">
        <v>318.2</v>
      </c>
      <c r="O28" s="130">
        <f t="shared" si="31"/>
        <v>1.59</v>
      </c>
      <c r="P28" s="130">
        <f>N28+O28</f>
        <v>319.78999999999996</v>
      </c>
      <c r="Q28" s="130"/>
      <c r="R28" s="130">
        <f t="shared" si="3"/>
        <v>6364</v>
      </c>
      <c r="S28" s="131">
        <f t="shared" si="4"/>
        <v>2.2370000000000001</v>
      </c>
      <c r="T28" s="131">
        <f t="shared" si="5"/>
        <v>31.8</v>
      </c>
      <c r="U28" s="131">
        <f t="shared" si="32"/>
        <v>5.72</v>
      </c>
      <c r="V28" s="131">
        <f t="shared" si="24"/>
        <v>6.36</v>
      </c>
      <c r="W28" s="131">
        <f t="shared" si="33"/>
        <v>0.65</v>
      </c>
      <c r="X28" s="131">
        <f t="shared" si="34"/>
        <v>0.21</v>
      </c>
      <c r="Y28" s="131">
        <v>0</v>
      </c>
      <c r="Z28" s="131">
        <f t="shared" si="10"/>
        <v>44.74</v>
      </c>
      <c r="AA28" s="132">
        <f t="shared" si="30"/>
        <v>6319.26</v>
      </c>
      <c r="AB28" s="133">
        <v>6319.59</v>
      </c>
      <c r="AC28" s="134">
        <f t="shared" si="12"/>
        <v>0.32999999999992724</v>
      </c>
      <c r="AD28" s="125">
        <v>42956</v>
      </c>
      <c r="AE28" s="135">
        <f t="shared" si="13"/>
        <v>7.0299999999999998E-3</v>
      </c>
      <c r="AF28" s="136">
        <f t="shared" si="14"/>
        <v>42956</v>
      </c>
      <c r="AG28" s="137" t="s">
        <v>463</v>
      </c>
      <c r="AH28" s="124"/>
    </row>
    <row r="29" spans="1:34" ht="12" customHeight="1">
      <c r="A29" s="125">
        <v>43117</v>
      </c>
      <c r="B29" s="126" t="s">
        <v>482</v>
      </c>
      <c r="C29" s="126" t="s">
        <v>460</v>
      </c>
      <c r="D29" s="126"/>
      <c r="E29" s="112" t="str">
        <f t="shared" si="0"/>
        <v>CGPOWER</v>
      </c>
      <c r="F29" s="126"/>
      <c r="G29" s="126"/>
      <c r="H29" s="126"/>
      <c r="I29" s="127" t="s">
        <v>461</v>
      </c>
      <c r="J29" s="126" t="s">
        <v>483</v>
      </c>
      <c r="K29" s="126"/>
      <c r="L29" s="126"/>
      <c r="M29" s="128">
        <v>50</v>
      </c>
      <c r="N29" s="129">
        <v>97.5</v>
      </c>
      <c r="O29" s="130">
        <f t="shared" si="31"/>
        <v>0.49</v>
      </c>
      <c r="P29" s="130">
        <f t="shared" ref="P29:P32" si="35">N29-O29</f>
        <v>97.01</v>
      </c>
      <c r="Q29" s="130"/>
      <c r="R29" s="130">
        <f t="shared" si="3"/>
        <v>4875</v>
      </c>
      <c r="S29" s="131">
        <f t="shared" si="4"/>
        <v>0.68899999999999995</v>
      </c>
      <c r="T29" s="131">
        <f t="shared" si="5"/>
        <v>24.5</v>
      </c>
      <c r="U29" s="131">
        <f t="shared" si="32"/>
        <v>4.41</v>
      </c>
      <c r="V29" s="131">
        <f t="shared" si="24"/>
        <v>4.88</v>
      </c>
      <c r="W29" s="131">
        <f t="shared" si="33"/>
        <v>0.5</v>
      </c>
      <c r="X29" s="131">
        <f t="shared" si="34"/>
        <v>0.16</v>
      </c>
      <c r="Y29" s="131">
        <v>0</v>
      </c>
      <c r="Z29" s="131">
        <f t="shared" si="10"/>
        <v>34.449999999999996</v>
      </c>
      <c r="AA29" s="132">
        <f t="shared" si="30"/>
        <v>4840.55</v>
      </c>
      <c r="AB29" s="133">
        <v>4840.55</v>
      </c>
      <c r="AC29" s="134">
        <f t="shared" si="12"/>
        <v>0</v>
      </c>
      <c r="AD29" s="125">
        <v>43117</v>
      </c>
      <c r="AE29" s="135">
        <f t="shared" si="13"/>
        <v>7.0670000000000004E-3</v>
      </c>
      <c r="AF29" s="136">
        <f t="shared" si="14"/>
        <v>43117</v>
      </c>
      <c r="AG29" s="137" t="s">
        <v>463</v>
      </c>
      <c r="AH29" s="124"/>
    </row>
    <row r="30" spans="1:34" ht="12" customHeight="1">
      <c r="A30" s="125">
        <v>44127</v>
      </c>
      <c r="B30" s="126" t="s">
        <v>477</v>
      </c>
      <c r="C30" s="126" t="s">
        <v>460</v>
      </c>
      <c r="D30" s="126"/>
      <c r="E30" s="112" t="str">
        <f t="shared" si="0"/>
        <v>CROMPTON</v>
      </c>
      <c r="F30" s="126"/>
      <c r="G30" s="126"/>
      <c r="H30" s="126"/>
      <c r="I30" s="127" t="s">
        <v>461</v>
      </c>
      <c r="J30" s="126" t="s">
        <v>462</v>
      </c>
      <c r="K30" s="126"/>
      <c r="L30" s="126"/>
      <c r="M30" s="128">
        <v>50</v>
      </c>
      <c r="N30" s="129">
        <v>313</v>
      </c>
      <c r="O30" s="130">
        <f t="shared" si="31"/>
        <v>1.57</v>
      </c>
      <c r="P30" s="130">
        <f t="shared" si="35"/>
        <v>311.43</v>
      </c>
      <c r="Q30" s="130"/>
      <c r="R30" s="130">
        <f t="shared" si="3"/>
        <v>15650</v>
      </c>
      <c r="S30" s="131">
        <f t="shared" si="4"/>
        <v>2.2324000000000002</v>
      </c>
      <c r="T30" s="131">
        <f t="shared" si="5"/>
        <v>78.5</v>
      </c>
      <c r="U30" s="131">
        <f t="shared" ref="U30:U677" si="36">ROUND((T30+X30)*H$1816,2)</f>
        <v>14.23</v>
      </c>
      <c r="V30" s="131">
        <f t="shared" ref="V30:V54" si="37">ROUND(R30*F$1817,0)</f>
        <v>16</v>
      </c>
      <c r="W30" s="131">
        <f t="shared" ref="W30:W32" si="38">MROUND(R30*F$1823,0.05)</f>
        <v>2.35</v>
      </c>
      <c r="X30" s="131">
        <f>ROUND(R30*H$1820,2)</f>
        <v>0.54</v>
      </c>
      <c r="Y30" s="131">
        <v>0</v>
      </c>
      <c r="Z30" s="131">
        <f t="shared" si="10"/>
        <v>111.62</v>
      </c>
      <c r="AA30" s="132">
        <f t="shared" si="30"/>
        <v>15538.38</v>
      </c>
      <c r="AB30" s="133">
        <v>15540.86</v>
      </c>
      <c r="AC30" s="134">
        <f t="shared" si="12"/>
        <v>2.4800000000013824</v>
      </c>
      <c r="AD30" s="125">
        <v>44130</v>
      </c>
      <c r="AE30" s="135">
        <f t="shared" si="13"/>
        <v>7.1320000000000003E-3</v>
      </c>
      <c r="AF30" s="136">
        <f t="shared" si="14"/>
        <v>44130</v>
      </c>
      <c r="AG30" s="137" t="s">
        <v>463</v>
      </c>
      <c r="AH30" s="124"/>
    </row>
    <row r="31" spans="1:34" ht="12" customHeight="1">
      <c r="A31" s="125">
        <v>44148</v>
      </c>
      <c r="B31" s="126" t="s">
        <v>484</v>
      </c>
      <c r="C31" s="126" t="s">
        <v>485</v>
      </c>
      <c r="D31" s="126"/>
      <c r="E31" s="112" t="str">
        <f t="shared" si="0"/>
        <v>CAMS</v>
      </c>
      <c r="F31" s="126"/>
      <c r="G31" s="126"/>
      <c r="H31" s="126"/>
      <c r="I31" s="127" t="s">
        <v>461</v>
      </c>
      <c r="J31" s="126" t="s">
        <v>462</v>
      </c>
      <c r="K31" s="126"/>
      <c r="L31" s="126"/>
      <c r="M31" s="128">
        <v>12</v>
      </c>
      <c r="N31" s="129">
        <v>1313</v>
      </c>
      <c r="O31" s="130">
        <f t="shared" ref="O31:O677" si="39">ROUND(N31*G$1813,2)</f>
        <v>0</v>
      </c>
      <c r="P31" s="130">
        <f t="shared" si="35"/>
        <v>1313</v>
      </c>
      <c r="Q31" s="130"/>
      <c r="R31" s="130">
        <f t="shared" si="3"/>
        <v>15756</v>
      </c>
      <c r="S31" s="131">
        <f t="shared" si="4"/>
        <v>1.5766666666666669</v>
      </c>
      <c r="T31" s="131">
        <v>0.01</v>
      </c>
      <c r="U31" s="131">
        <f t="shared" si="36"/>
        <v>0.09</v>
      </c>
      <c r="V31" s="131">
        <f t="shared" si="37"/>
        <v>16</v>
      </c>
      <c r="W31" s="131">
        <f t="shared" si="38"/>
        <v>2.35</v>
      </c>
      <c r="X31" s="131">
        <f>ROUND(R31*H$1821,2)</f>
        <v>0.47</v>
      </c>
      <c r="Y31" s="131">
        <f t="shared" ref="Y31:Y73" si="40">ROUND(R31*K$1826,2)</f>
        <v>0</v>
      </c>
      <c r="Z31" s="131">
        <f t="shared" si="10"/>
        <v>18.920000000000002</v>
      </c>
      <c r="AA31" s="132">
        <f t="shared" si="30"/>
        <v>15737.08</v>
      </c>
      <c r="AB31" s="133">
        <v>15739.42</v>
      </c>
      <c r="AC31" s="134">
        <f t="shared" si="12"/>
        <v>2.3400000000001455</v>
      </c>
      <c r="AD31" s="125">
        <v>44148</v>
      </c>
      <c r="AE31" s="135">
        <f t="shared" si="13"/>
        <v>1.201E-3</v>
      </c>
      <c r="AF31" s="136">
        <f t="shared" si="14"/>
        <v>44148</v>
      </c>
      <c r="AG31" s="137" t="s">
        <v>416</v>
      </c>
      <c r="AH31" s="124"/>
    </row>
    <row r="32" spans="1:34" ht="12" customHeight="1">
      <c r="A32" s="125">
        <v>44155</v>
      </c>
      <c r="B32" s="126" t="s">
        <v>486</v>
      </c>
      <c r="C32" s="126" t="s">
        <v>485</v>
      </c>
      <c r="D32" s="126"/>
      <c r="E32" s="112" t="str">
        <f t="shared" si="0"/>
        <v>GLAND</v>
      </c>
      <c r="F32" s="126"/>
      <c r="G32" s="126"/>
      <c r="H32" s="126"/>
      <c r="I32" s="127" t="s">
        <v>461</v>
      </c>
      <c r="J32" s="126" t="s">
        <v>483</v>
      </c>
      <c r="K32" s="126"/>
      <c r="L32" s="126"/>
      <c r="M32" s="128">
        <v>10</v>
      </c>
      <c r="N32" s="129">
        <v>1750</v>
      </c>
      <c r="O32" s="130">
        <f t="shared" si="39"/>
        <v>0</v>
      </c>
      <c r="P32" s="130">
        <f t="shared" si="35"/>
        <v>1750</v>
      </c>
      <c r="Q32" s="130"/>
      <c r="R32" s="130">
        <f t="shared" si="3"/>
        <v>17500</v>
      </c>
      <c r="S32" s="131">
        <f t="shared" si="4"/>
        <v>2.1310000000000002</v>
      </c>
      <c r="T32" s="131">
        <f t="shared" ref="T32:T62" si="41">ROUND(O32*M32,2)</f>
        <v>0</v>
      </c>
      <c r="U32" s="131">
        <f t="shared" si="36"/>
        <v>0.11</v>
      </c>
      <c r="V32" s="131">
        <f t="shared" si="37"/>
        <v>18</v>
      </c>
      <c r="W32" s="131">
        <f t="shared" si="38"/>
        <v>2.6</v>
      </c>
      <c r="X32" s="131">
        <f t="shared" ref="X32:X37" si="42">ROUND(R32*H$1820,2)</f>
        <v>0.6</v>
      </c>
      <c r="Y32" s="131">
        <f t="shared" si="40"/>
        <v>0</v>
      </c>
      <c r="Z32" s="131">
        <f t="shared" si="10"/>
        <v>21.310000000000002</v>
      </c>
      <c r="AA32" s="132">
        <f t="shared" si="30"/>
        <v>17478.689999999999</v>
      </c>
      <c r="AB32" s="133">
        <v>17481.41</v>
      </c>
      <c r="AC32" s="134">
        <f t="shared" si="12"/>
        <v>2.7200000000011642</v>
      </c>
      <c r="AD32" s="125">
        <v>44159</v>
      </c>
      <c r="AE32" s="135">
        <f t="shared" si="13"/>
        <v>1.2179999999999999E-3</v>
      </c>
      <c r="AF32" s="136">
        <f t="shared" si="14"/>
        <v>44159</v>
      </c>
      <c r="AG32" s="137" t="s">
        <v>416</v>
      </c>
      <c r="AH32" s="124"/>
    </row>
    <row r="33" spans="1:34" ht="12" customHeight="1">
      <c r="A33" s="138">
        <v>44225</v>
      </c>
      <c r="B33" s="139" t="s">
        <v>487</v>
      </c>
      <c r="C33" s="139" t="s">
        <v>485</v>
      </c>
      <c r="D33" s="139"/>
      <c r="E33" s="140" t="str">
        <f t="shared" si="0"/>
        <v>RELIANCE PP</v>
      </c>
      <c r="F33" s="139"/>
      <c r="G33" s="139"/>
      <c r="H33" s="139"/>
      <c r="I33" s="141" t="s">
        <v>467</v>
      </c>
      <c r="J33" s="139" t="s">
        <v>483</v>
      </c>
      <c r="K33" s="139"/>
      <c r="L33" s="139"/>
      <c r="M33" s="142">
        <v>1</v>
      </c>
      <c r="N33" s="143">
        <v>1006</v>
      </c>
      <c r="O33" s="144">
        <f t="shared" si="39"/>
        <v>0</v>
      </c>
      <c r="P33" s="144">
        <f t="shared" ref="P33:P34" si="43">N33+O33</f>
        <v>1006</v>
      </c>
      <c r="Q33" s="144"/>
      <c r="R33" s="144">
        <f t="shared" si="3"/>
        <v>1006</v>
      </c>
      <c r="S33" s="145">
        <f t="shared" si="4"/>
        <v>1.04</v>
      </c>
      <c r="T33" s="145">
        <f t="shared" si="41"/>
        <v>0</v>
      </c>
      <c r="U33" s="145">
        <f t="shared" si="36"/>
        <v>0.01</v>
      </c>
      <c r="V33" s="145">
        <f t="shared" si="37"/>
        <v>1</v>
      </c>
      <c r="W33" s="145">
        <f t="shared" ref="W33:W34" si="44">ROUND(R33*F$1823,0)</f>
        <v>0</v>
      </c>
      <c r="X33" s="145">
        <f t="shared" si="42"/>
        <v>0.03</v>
      </c>
      <c r="Y33" s="145">
        <f t="shared" si="40"/>
        <v>0</v>
      </c>
      <c r="Z33" s="146">
        <f t="shared" si="10"/>
        <v>1.04</v>
      </c>
      <c r="AA33" s="147">
        <f t="shared" ref="AA33:AA34" si="45">-ROUND(R33+SUM(T33:Y33),2)</f>
        <v>-1007.04</v>
      </c>
      <c r="AB33" s="148">
        <v>-9013.58</v>
      </c>
      <c r="AC33" s="149">
        <f>AB33-(AA34+AA33)</f>
        <v>-1.0000000000218279E-2</v>
      </c>
      <c r="AD33" s="138">
        <v>44229</v>
      </c>
      <c r="AE33" s="150">
        <f t="shared" si="13"/>
        <v>1.034E-3</v>
      </c>
      <c r="AF33" s="151">
        <f t="shared" si="14"/>
        <v>44229</v>
      </c>
      <c r="AG33" s="152" t="s">
        <v>416</v>
      </c>
      <c r="AH33" s="124"/>
    </row>
    <row r="34" spans="1:34" ht="12" customHeight="1">
      <c r="A34" s="138">
        <v>44225</v>
      </c>
      <c r="B34" s="139" t="s">
        <v>487</v>
      </c>
      <c r="C34" s="139" t="s">
        <v>485</v>
      </c>
      <c r="D34" s="139"/>
      <c r="E34" s="140" t="str">
        <f t="shared" si="0"/>
        <v>RELIANCE PP</v>
      </c>
      <c r="F34" s="139"/>
      <c r="G34" s="139"/>
      <c r="H34" s="139"/>
      <c r="I34" s="141" t="s">
        <v>467</v>
      </c>
      <c r="J34" s="139" t="s">
        <v>483</v>
      </c>
      <c r="K34" s="139"/>
      <c r="L34" s="139"/>
      <c r="M34" s="142">
        <v>8</v>
      </c>
      <c r="N34" s="143">
        <v>999.65</v>
      </c>
      <c r="O34" s="144">
        <f t="shared" si="39"/>
        <v>0</v>
      </c>
      <c r="P34" s="144">
        <f t="shared" si="43"/>
        <v>999.65</v>
      </c>
      <c r="Q34" s="144"/>
      <c r="R34" s="144">
        <f t="shared" si="3"/>
        <v>7997.2</v>
      </c>
      <c r="S34" s="145">
        <f t="shared" si="4"/>
        <v>1.16625</v>
      </c>
      <c r="T34" s="145">
        <f t="shared" si="41"/>
        <v>0</v>
      </c>
      <c r="U34" s="145">
        <f t="shared" si="36"/>
        <v>0.05</v>
      </c>
      <c r="V34" s="145">
        <f t="shared" si="37"/>
        <v>8</v>
      </c>
      <c r="W34" s="145">
        <f t="shared" si="44"/>
        <v>1</v>
      </c>
      <c r="X34" s="145">
        <f t="shared" si="42"/>
        <v>0.28000000000000003</v>
      </c>
      <c r="Y34" s="145">
        <f t="shared" si="40"/>
        <v>0</v>
      </c>
      <c r="Z34" s="146">
        <f t="shared" si="10"/>
        <v>9.33</v>
      </c>
      <c r="AA34" s="147">
        <f t="shared" si="45"/>
        <v>-8006.53</v>
      </c>
      <c r="AB34" s="153"/>
      <c r="AC34" s="149"/>
      <c r="AD34" s="138">
        <v>44229</v>
      </c>
      <c r="AE34" s="150">
        <f t="shared" si="13"/>
        <v>1.1670000000000001E-3</v>
      </c>
      <c r="AF34" s="151">
        <f t="shared" si="14"/>
        <v>44229</v>
      </c>
      <c r="AG34" s="152" t="s">
        <v>416</v>
      </c>
      <c r="AH34" s="124"/>
    </row>
    <row r="35" spans="1:34" ht="12" customHeight="1">
      <c r="A35" s="125">
        <v>44229</v>
      </c>
      <c r="B35" s="126" t="s">
        <v>488</v>
      </c>
      <c r="C35" s="126" t="s">
        <v>485</v>
      </c>
      <c r="D35" s="126"/>
      <c r="E35" s="112" t="str">
        <f t="shared" si="0"/>
        <v>BECTORFOOD</v>
      </c>
      <c r="F35" s="126"/>
      <c r="G35" s="126"/>
      <c r="H35" s="126"/>
      <c r="I35" s="127" t="s">
        <v>461</v>
      </c>
      <c r="J35" s="126" t="s">
        <v>483</v>
      </c>
      <c r="K35" s="126"/>
      <c r="L35" s="126"/>
      <c r="M35" s="128">
        <v>50</v>
      </c>
      <c r="N35" s="129">
        <v>390</v>
      </c>
      <c r="O35" s="130">
        <f t="shared" si="39"/>
        <v>0</v>
      </c>
      <c r="P35" s="130">
        <f t="shared" ref="P35:P40" si="46">N35-O35</f>
        <v>390</v>
      </c>
      <c r="Q35" s="130"/>
      <c r="R35" s="130">
        <f t="shared" si="3"/>
        <v>19500</v>
      </c>
      <c r="S35" s="131">
        <f t="shared" si="4"/>
        <v>0.41580000000000006</v>
      </c>
      <c r="T35" s="131">
        <f t="shared" si="41"/>
        <v>0</v>
      </c>
      <c r="U35" s="131">
        <f t="shared" si="36"/>
        <v>0.12</v>
      </c>
      <c r="V35" s="131">
        <f t="shared" si="37"/>
        <v>20</v>
      </c>
      <c r="W35" s="131">
        <v>0</v>
      </c>
      <c r="X35" s="131">
        <f t="shared" si="42"/>
        <v>0.67</v>
      </c>
      <c r="Y35" s="131">
        <f t="shared" si="40"/>
        <v>0</v>
      </c>
      <c r="Z35" s="131">
        <f t="shared" si="10"/>
        <v>20.790000000000003</v>
      </c>
      <c r="AA35" s="132">
        <f t="shared" ref="AA35:AA40" si="47">ROUND(R35-SUM(T35:Y35),2)</f>
        <v>19479.21</v>
      </c>
      <c r="AB35" s="133">
        <v>19480.68</v>
      </c>
      <c r="AC35" s="134">
        <f t="shared" ref="AC35:AC838" si="48">AB35-AA35</f>
        <v>1.4700000000011642</v>
      </c>
      <c r="AD35" s="125">
        <v>44230</v>
      </c>
      <c r="AE35" s="135">
        <f t="shared" si="13"/>
        <v>1.0660000000000001E-3</v>
      </c>
      <c r="AF35" s="136">
        <f t="shared" si="14"/>
        <v>44230</v>
      </c>
      <c r="AG35" s="137" t="s">
        <v>416</v>
      </c>
      <c r="AH35" s="124"/>
    </row>
    <row r="36" spans="1:34" ht="12" customHeight="1">
      <c r="A36" s="125">
        <v>44229</v>
      </c>
      <c r="B36" s="126" t="s">
        <v>489</v>
      </c>
      <c r="C36" s="126" t="s">
        <v>485</v>
      </c>
      <c r="D36" s="126"/>
      <c r="E36" s="112" t="str">
        <f t="shared" si="0"/>
        <v>INDIGOPNTS</v>
      </c>
      <c r="F36" s="126"/>
      <c r="G36" s="126"/>
      <c r="H36" s="126"/>
      <c r="I36" s="127" t="s">
        <v>461</v>
      </c>
      <c r="J36" s="126" t="s">
        <v>483</v>
      </c>
      <c r="K36" s="126"/>
      <c r="L36" s="126"/>
      <c r="M36" s="128">
        <v>1</v>
      </c>
      <c r="N36" s="129">
        <v>2557.6999999999998</v>
      </c>
      <c r="O36" s="130">
        <f t="shared" si="39"/>
        <v>0</v>
      </c>
      <c r="P36" s="130">
        <f t="shared" si="46"/>
        <v>2557.6999999999998</v>
      </c>
      <c r="Q36" s="130"/>
      <c r="R36" s="130">
        <f t="shared" si="3"/>
        <v>2557.6999999999998</v>
      </c>
      <c r="S36" s="131">
        <f t="shared" si="4"/>
        <v>3.11</v>
      </c>
      <c r="T36" s="131">
        <f t="shared" si="41"/>
        <v>0</v>
      </c>
      <c r="U36" s="131">
        <f t="shared" si="36"/>
        <v>0.02</v>
      </c>
      <c r="V36" s="131">
        <f t="shared" si="37"/>
        <v>3</v>
      </c>
      <c r="W36" s="131">
        <v>0</v>
      </c>
      <c r="X36" s="131">
        <f t="shared" si="42"/>
        <v>0.09</v>
      </c>
      <c r="Y36" s="131">
        <f t="shared" si="40"/>
        <v>0</v>
      </c>
      <c r="Z36" s="131">
        <f t="shared" si="10"/>
        <v>3.11</v>
      </c>
      <c r="AA36" s="132">
        <f t="shared" si="47"/>
        <v>2554.59</v>
      </c>
      <c r="AB36" s="133">
        <v>2554.5700000000002</v>
      </c>
      <c r="AC36" s="134">
        <f t="shared" si="48"/>
        <v>-1.999999999998181E-2</v>
      </c>
      <c r="AD36" s="125">
        <v>44230</v>
      </c>
      <c r="AE36" s="135">
        <f t="shared" si="13"/>
        <v>1.2160000000000001E-3</v>
      </c>
      <c r="AF36" s="136">
        <f t="shared" si="14"/>
        <v>44230</v>
      </c>
      <c r="AG36" s="137" t="s">
        <v>416</v>
      </c>
      <c r="AH36" s="124"/>
    </row>
    <row r="37" spans="1:34" ht="12" customHeight="1">
      <c r="A37" s="125">
        <v>44229</v>
      </c>
      <c r="B37" s="126" t="s">
        <v>489</v>
      </c>
      <c r="C37" s="126" t="s">
        <v>485</v>
      </c>
      <c r="D37" s="126"/>
      <c r="E37" s="112" t="str">
        <f t="shared" si="0"/>
        <v>INDIGOPNTS</v>
      </c>
      <c r="F37" s="126"/>
      <c r="G37" s="126"/>
      <c r="H37" s="126"/>
      <c r="I37" s="127" t="s">
        <v>461</v>
      </c>
      <c r="J37" s="126" t="s">
        <v>483</v>
      </c>
      <c r="K37" s="126"/>
      <c r="L37" s="126"/>
      <c r="M37" s="128">
        <v>9</v>
      </c>
      <c r="N37" s="129">
        <v>2552.4</v>
      </c>
      <c r="O37" s="130">
        <f t="shared" si="39"/>
        <v>0</v>
      </c>
      <c r="P37" s="130">
        <f t="shared" si="46"/>
        <v>2552.4</v>
      </c>
      <c r="Q37" s="130"/>
      <c r="R37" s="130">
        <f t="shared" si="3"/>
        <v>22971.599999999999</v>
      </c>
      <c r="S37" s="131">
        <f t="shared" si="4"/>
        <v>2.6588888888888889</v>
      </c>
      <c r="T37" s="131">
        <f t="shared" si="41"/>
        <v>0</v>
      </c>
      <c r="U37" s="131">
        <f t="shared" si="36"/>
        <v>0.14000000000000001</v>
      </c>
      <c r="V37" s="131">
        <f t="shared" si="37"/>
        <v>23</v>
      </c>
      <c r="W37" s="131">
        <v>0</v>
      </c>
      <c r="X37" s="131">
        <f t="shared" si="42"/>
        <v>0.79</v>
      </c>
      <c r="Y37" s="131">
        <f t="shared" si="40"/>
        <v>0</v>
      </c>
      <c r="Z37" s="131">
        <f t="shared" si="10"/>
        <v>23.93</v>
      </c>
      <c r="AA37" s="132">
        <f t="shared" si="47"/>
        <v>22947.67</v>
      </c>
      <c r="AB37" s="133">
        <v>22947.66</v>
      </c>
      <c r="AC37" s="134">
        <f t="shared" si="48"/>
        <v>-9.9999999983992893E-3</v>
      </c>
      <c r="AD37" s="125">
        <v>44230</v>
      </c>
      <c r="AE37" s="135">
        <f t="shared" si="13"/>
        <v>1.042E-3</v>
      </c>
      <c r="AF37" s="136">
        <f t="shared" si="14"/>
        <v>44230</v>
      </c>
      <c r="AG37" s="137" t="s">
        <v>416</v>
      </c>
      <c r="AH37" s="124"/>
    </row>
    <row r="38" spans="1:34" ht="12" customHeight="1">
      <c r="A38" s="125">
        <v>44229</v>
      </c>
      <c r="B38" s="126" t="s">
        <v>487</v>
      </c>
      <c r="C38" s="126" t="s">
        <v>485</v>
      </c>
      <c r="D38" s="126"/>
      <c r="E38" s="112" t="str">
        <f t="shared" si="0"/>
        <v>RELIANCE PP</v>
      </c>
      <c r="F38" s="126"/>
      <c r="G38" s="126"/>
      <c r="H38" s="126"/>
      <c r="I38" s="127" t="s">
        <v>461</v>
      </c>
      <c r="J38" s="126" t="s">
        <v>462</v>
      </c>
      <c r="K38" s="126"/>
      <c r="L38" s="126"/>
      <c r="M38" s="128">
        <v>9</v>
      </c>
      <c r="N38" s="129">
        <v>1043.0999999999999</v>
      </c>
      <c r="O38" s="130">
        <f t="shared" si="39"/>
        <v>0</v>
      </c>
      <c r="P38" s="130">
        <f t="shared" si="46"/>
        <v>1043.0999999999999</v>
      </c>
      <c r="Q38" s="130"/>
      <c r="R38" s="130">
        <f t="shared" si="3"/>
        <v>9387.9</v>
      </c>
      <c r="S38" s="131">
        <f t="shared" si="4"/>
        <v>1.0366666666666666</v>
      </c>
      <c r="T38" s="131">
        <f t="shared" si="41"/>
        <v>0</v>
      </c>
      <c r="U38" s="131">
        <f t="shared" si="36"/>
        <v>0.05</v>
      </c>
      <c r="V38" s="131">
        <f t="shared" si="37"/>
        <v>9</v>
      </c>
      <c r="W38" s="131">
        <v>0</v>
      </c>
      <c r="X38" s="131">
        <f>ROUND(R38*H$1821,2)</f>
        <v>0.28000000000000003</v>
      </c>
      <c r="Y38" s="131">
        <f t="shared" si="40"/>
        <v>0</v>
      </c>
      <c r="Z38" s="131">
        <f t="shared" si="10"/>
        <v>9.33</v>
      </c>
      <c r="AA38" s="132">
        <f t="shared" si="47"/>
        <v>9378.57</v>
      </c>
      <c r="AB38" s="133">
        <v>9378.4500000000007</v>
      </c>
      <c r="AC38" s="134">
        <f t="shared" si="48"/>
        <v>-0.11999999999898137</v>
      </c>
      <c r="AD38" s="125">
        <v>44230</v>
      </c>
      <c r="AE38" s="135">
        <f t="shared" si="13"/>
        <v>9.9400000000000009E-4</v>
      </c>
      <c r="AF38" s="136">
        <f t="shared" si="14"/>
        <v>44230</v>
      </c>
      <c r="AG38" s="137" t="s">
        <v>416</v>
      </c>
      <c r="AH38" s="124"/>
    </row>
    <row r="39" spans="1:34" ht="12" customHeight="1">
      <c r="A39" s="125">
        <v>44243</v>
      </c>
      <c r="B39" s="126" t="s">
        <v>490</v>
      </c>
      <c r="C39" s="126" t="s">
        <v>485</v>
      </c>
      <c r="D39" s="126"/>
      <c r="E39" s="112" t="str">
        <f t="shared" si="0"/>
        <v>IOB</v>
      </c>
      <c r="F39" s="126"/>
      <c r="G39" s="126"/>
      <c r="H39" s="126"/>
      <c r="I39" s="127" t="s">
        <v>461</v>
      </c>
      <c r="J39" s="126" t="s">
        <v>483</v>
      </c>
      <c r="K39" s="126"/>
      <c r="L39" s="126"/>
      <c r="M39" s="128">
        <v>10000</v>
      </c>
      <c r="N39" s="129">
        <v>12.574999999999999</v>
      </c>
      <c r="O39" s="130">
        <f t="shared" si="39"/>
        <v>0</v>
      </c>
      <c r="P39" s="130">
        <f t="shared" si="46"/>
        <v>12.574999999999999</v>
      </c>
      <c r="Q39" s="130"/>
      <c r="R39" s="130">
        <f t="shared" si="3"/>
        <v>125750</v>
      </c>
      <c r="S39" s="131">
        <f t="shared" si="4"/>
        <v>1.3112E-2</v>
      </c>
      <c r="T39" s="131">
        <f t="shared" si="41"/>
        <v>0</v>
      </c>
      <c r="U39" s="131">
        <f t="shared" si="36"/>
        <v>0.78</v>
      </c>
      <c r="V39" s="131">
        <f t="shared" si="37"/>
        <v>126</v>
      </c>
      <c r="W39" s="131">
        <v>0</v>
      </c>
      <c r="X39" s="131">
        <f t="shared" ref="X39:X43" si="49">ROUND(R39*H$1820,2)</f>
        <v>4.34</v>
      </c>
      <c r="Y39" s="131">
        <f t="shared" si="40"/>
        <v>0</v>
      </c>
      <c r="Z39" s="131">
        <f t="shared" si="10"/>
        <v>131.12</v>
      </c>
      <c r="AA39" s="132">
        <f t="shared" si="47"/>
        <v>125618.88</v>
      </c>
      <c r="AB39" s="133">
        <v>125620</v>
      </c>
      <c r="AC39" s="134">
        <f t="shared" si="48"/>
        <v>1.1199999999953434</v>
      </c>
      <c r="AD39" s="125" t="s">
        <v>491</v>
      </c>
      <c r="AE39" s="135">
        <f t="shared" si="13"/>
        <v>1.0430000000000001E-3</v>
      </c>
      <c r="AF39" s="136" t="str">
        <f t="shared" si="14"/>
        <v>Not Applicable</v>
      </c>
      <c r="AG39" s="137" t="s">
        <v>416</v>
      </c>
      <c r="AH39" s="124"/>
    </row>
    <row r="40" spans="1:34" ht="12" customHeight="1">
      <c r="A40" s="125">
        <v>44243</v>
      </c>
      <c r="B40" s="126" t="s">
        <v>492</v>
      </c>
      <c r="C40" s="126" t="s">
        <v>485</v>
      </c>
      <c r="D40" s="126"/>
      <c r="E40" s="112" t="str">
        <f t="shared" si="0"/>
        <v>MAHABANK</v>
      </c>
      <c r="F40" s="126"/>
      <c r="G40" s="126"/>
      <c r="H40" s="126"/>
      <c r="I40" s="127" t="s">
        <v>461</v>
      </c>
      <c r="J40" s="126" t="s">
        <v>483</v>
      </c>
      <c r="K40" s="126"/>
      <c r="L40" s="126"/>
      <c r="M40" s="128">
        <v>1000</v>
      </c>
      <c r="N40" s="129">
        <v>19.05</v>
      </c>
      <c r="O40" s="130">
        <f t="shared" si="39"/>
        <v>0</v>
      </c>
      <c r="P40" s="130">
        <f t="shared" si="46"/>
        <v>19.05</v>
      </c>
      <c r="Q40" s="130"/>
      <c r="R40" s="130">
        <f t="shared" si="3"/>
        <v>19050</v>
      </c>
      <c r="S40" s="131">
        <f t="shared" si="4"/>
        <v>1.9780000000000002E-2</v>
      </c>
      <c r="T40" s="131">
        <f t="shared" si="41"/>
        <v>0</v>
      </c>
      <c r="U40" s="131">
        <f t="shared" si="36"/>
        <v>0.12</v>
      </c>
      <c r="V40" s="131">
        <f t="shared" si="37"/>
        <v>19</v>
      </c>
      <c r="W40" s="131">
        <v>0</v>
      </c>
      <c r="X40" s="131">
        <f t="shared" si="49"/>
        <v>0.66</v>
      </c>
      <c r="Y40" s="131">
        <f t="shared" si="40"/>
        <v>0</v>
      </c>
      <c r="Z40" s="131">
        <f t="shared" si="10"/>
        <v>19.78</v>
      </c>
      <c r="AA40" s="132">
        <f t="shared" si="47"/>
        <v>19030.22</v>
      </c>
      <c r="AB40" s="133">
        <v>19030.2</v>
      </c>
      <c r="AC40" s="134">
        <f t="shared" si="48"/>
        <v>-2.0000000000436557E-2</v>
      </c>
      <c r="AD40" s="125" t="s">
        <v>491</v>
      </c>
      <c r="AE40" s="135">
        <f t="shared" si="13"/>
        <v>1.0380000000000001E-3</v>
      </c>
      <c r="AF40" s="136" t="str">
        <f t="shared" si="14"/>
        <v>Not Applicable</v>
      </c>
      <c r="AG40" s="137" t="s">
        <v>416</v>
      </c>
      <c r="AH40" s="124"/>
    </row>
    <row r="41" spans="1:34" ht="12" customHeight="1">
      <c r="A41" s="138">
        <v>44245</v>
      </c>
      <c r="B41" s="139" t="s">
        <v>493</v>
      </c>
      <c r="C41" s="139" t="s">
        <v>485</v>
      </c>
      <c r="D41" s="139"/>
      <c r="E41" s="140" t="str">
        <f t="shared" si="0"/>
        <v>SBIN</v>
      </c>
      <c r="F41" s="139"/>
      <c r="G41" s="139"/>
      <c r="H41" s="139"/>
      <c r="I41" s="141" t="s">
        <v>467</v>
      </c>
      <c r="J41" s="139" t="s">
        <v>483</v>
      </c>
      <c r="K41" s="139"/>
      <c r="L41" s="139"/>
      <c r="M41" s="142">
        <v>100</v>
      </c>
      <c r="N41" s="143">
        <v>420.13099999999997</v>
      </c>
      <c r="O41" s="144">
        <f t="shared" si="39"/>
        <v>0</v>
      </c>
      <c r="P41" s="144">
        <f t="shared" ref="P41:P45" si="50">N41+O41</f>
        <v>420.13099999999997</v>
      </c>
      <c r="Q41" s="144"/>
      <c r="R41" s="144">
        <f t="shared" si="3"/>
        <v>42013.1</v>
      </c>
      <c r="S41" s="145">
        <f t="shared" si="4"/>
        <v>0.49709999999999999</v>
      </c>
      <c r="T41" s="145">
        <f t="shared" si="41"/>
        <v>0</v>
      </c>
      <c r="U41" s="145">
        <f t="shared" si="36"/>
        <v>0.26</v>
      </c>
      <c r="V41" s="145">
        <f t="shared" si="37"/>
        <v>42</v>
      </c>
      <c r="W41" s="145">
        <f t="shared" ref="W41:W45" si="51">ROUND(R41*F$1823,0)</f>
        <v>6</v>
      </c>
      <c r="X41" s="145">
        <f t="shared" si="49"/>
        <v>1.45</v>
      </c>
      <c r="Y41" s="145">
        <f t="shared" si="40"/>
        <v>0</v>
      </c>
      <c r="Z41" s="146">
        <f t="shared" si="10"/>
        <v>49.71</v>
      </c>
      <c r="AA41" s="147">
        <f t="shared" ref="AA41:AA45" si="52">-ROUND(R41+SUM(T41:Y41),2)</f>
        <v>-42062.81</v>
      </c>
      <c r="AB41" s="148">
        <v>-42062.83</v>
      </c>
      <c r="AC41" s="149">
        <f t="shared" si="48"/>
        <v>-2.0000000004074536E-2</v>
      </c>
      <c r="AD41" s="138">
        <v>44250</v>
      </c>
      <c r="AE41" s="150">
        <f t="shared" si="13"/>
        <v>1.183E-3</v>
      </c>
      <c r="AF41" s="151">
        <f t="shared" si="14"/>
        <v>44250</v>
      </c>
      <c r="AG41" s="152" t="s">
        <v>416</v>
      </c>
      <c r="AH41" s="124"/>
    </row>
    <row r="42" spans="1:34" ht="12" customHeight="1">
      <c r="A42" s="138">
        <v>44257</v>
      </c>
      <c r="B42" s="139" t="s">
        <v>494</v>
      </c>
      <c r="C42" s="139" t="s">
        <v>485</v>
      </c>
      <c r="D42" s="139"/>
      <c r="E42" s="140" t="str">
        <f t="shared" si="0"/>
        <v>BEL</v>
      </c>
      <c r="F42" s="139"/>
      <c r="G42" s="139"/>
      <c r="H42" s="139"/>
      <c r="I42" s="141" t="s">
        <v>467</v>
      </c>
      <c r="J42" s="139" t="s">
        <v>483</v>
      </c>
      <c r="K42" s="139"/>
      <c r="L42" s="139"/>
      <c r="M42" s="142">
        <v>100</v>
      </c>
      <c r="N42" s="143">
        <v>149.85</v>
      </c>
      <c r="O42" s="144">
        <f t="shared" si="39"/>
        <v>0</v>
      </c>
      <c r="P42" s="144">
        <f t="shared" si="50"/>
        <v>149.85</v>
      </c>
      <c r="Q42" s="144"/>
      <c r="R42" s="144">
        <f t="shared" si="3"/>
        <v>14985</v>
      </c>
      <c r="S42" s="145">
        <f t="shared" si="4"/>
        <v>0.17610000000000001</v>
      </c>
      <c r="T42" s="145">
        <f t="shared" si="41"/>
        <v>0</v>
      </c>
      <c r="U42" s="145">
        <f t="shared" si="36"/>
        <v>0.09</v>
      </c>
      <c r="V42" s="145">
        <f t="shared" si="37"/>
        <v>15</v>
      </c>
      <c r="W42" s="145">
        <f t="shared" si="51"/>
        <v>2</v>
      </c>
      <c r="X42" s="145">
        <f t="shared" si="49"/>
        <v>0.52</v>
      </c>
      <c r="Y42" s="145">
        <f t="shared" si="40"/>
        <v>0</v>
      </c>
      <c r="Z42" s="146">
        <f t="shared" si="10"/>
        <v>17.61</v>
      </c>
      <c r="AA42" s="147">
        <f t="shared" si="52"/>
        <v>-15002.61</v>
      </c>
      <c r="AB42" s="148">
        <v>-15002.42</v>
      </c>
      <c r="AC42" s="149">
        <f t="shared" si="48"/>
        <v>0.19000000000050932</v>
      </c>
      <c r="AD42" s="138">
        <v>44259</v>
      </c>
      <c r="AE42" s="150">
        <f t="shared" si="13"/>
        <v>1.175E-3</v>
      </c>
      <c r="AF42" s="151">
        <f t="shared" si="14"/>
        <v>44259</v>
      </c>
      <c r="AG42" s="152" t="s">
        <v>416</v>
      </c>
      <c r="AH42" s="124"/>
    </row>
    <row r="43" spans="1:34" ht="12" customHeight="1">
      <c r="A43" s="138">
        <v>44257</v>
      </c>
      <c r="B43" s="139" t="s">
        <v>495</v>
      </c>
      <c r="C43" s="139" t="s">
        <v>485</v>
      </c>
      <c r="D43" s="139"/>
      <c r="E43" s="140" t="str">
        <f t="shared" si="0"/>
        <v>SAIL</v>
      </c>
      <c r="F43" s="139"/>
      <c r="G43" s="139"/>
      <c r="H43" s="139"/>
      <c r="I43" s="141" t="s">
        <v>467</v>
      </c>
      <c r="J43" s="139" t="s">
        <v>483</v>
      </c>
      <c r="K43" s="139"/>
      <c r="L43" s="139"/>
      <c r="M43" s="142">
        <v>100</v>
      </c>
      <c r="N43" s="143">
        <v>79.95</v>
      </c>
      <c r="O43" s="144">
        <f t="shared" si="39"/>
        <v>0</v>
      </c>
      <c r="P43" s="144">
        <f t="shared" si="50"/>
        <v>79.95</v>
      </c>
      <c r="Q43" s="144"/>
      <c r="R43" s="144">
        <f t="shared" si="3"/>
        <v>7995</v>
      </c>
      <c r="S43" s="145">
        <f t="shared" si="4"/>
        <v>9.3299999999999994E-2</v>
      </c>
      <c r="T43" s="145">
        <f t="shared" si="41"/>
        <v>0</v>
      </c>
      <c r="U43" s="145">
        <f t="shared" si="36"/>
        <v>0.05</v>
      </c>
      <c r="V43" s="145">
        <f t="shared" si="37"/>
        <v>8</v>
      </c>
      <c r="W43" s="145">
        <f t="shared" si="51"/>
        <v>1</v>
      </c>
      <c r="X43" s="145">
        <f t="shared" si="49"/>
        <v>0.28000000000000003</v>
      </c>
      <c r="Y43" s="145">
        <f t="shared" si="40"/>
        <v>0</v>
      </c>
      <c r="Z43" s="146">
        <f t="shared" si="10"/>
        <v>9.33</v>
      </c>
      <c r="AA43" s="147">
        <f t="shared" si="52"/>
        <v>-8004.33</v>
      </c>
      <c r="AB43" s="148">
        <v>-8004.33</v>
      </c>
      <c r="AC43" s="149">
        <f t="shared" si="48"/>
        <v>0</v>
      </c>
      <c r="AD43" s="138">
        <v>44259</v>
      </c>
      <c r="AE43" s="150">
        <f t="shared" si="13"/>
        <v>1.1670000000000001E-3</v>
      </c>
      <c r="AF43" s="151">
        <f t="shared" si="14"/>
        <v>44259</v>
      </c>
      <c r="AG43" s="152" t="s">
        <v>416</v>
      </c>
      <c r="AH43" s="124"/>
    </row>
    <row r="44" spans="1:34" ht="12" customHeight="1">
      <c r="A44" s="138">
        <v>44258</v>
      </c>
      <c r="B44" s="139" t="s">
        <v>496</v>
      </c>
      <c r="C44" s="139" t="s">
        <v>485</v>
      </c>
      <c r="D44" s="139"/>
      <c r="E44" s="140" t="str">
        <f t="shared" si="0"/>
        <v>NATIONALUM</v>
      </c>
      <c r="F44" s="139"/>
      <c r="G44" s="139"/>
      <c r="H44" s="139"/>
      <c r="I44" s="141" t="s">
        <v>467</v>
      </c>
      <c r="J44" s="139" t="s">
        <v>483</v>
      </c>
      <c r="K44" s="139"/>
      <c r="L44" s="139"/>
      <c r="M44" s="142">
        <v>100</v>
      </c>
      <c r="N44" s="143">
        <v>63.55</v>
      </c>
      <c r="O44" s="144">
        <f t="shared" si="39"/>
        <v>0</v>
      </c>
      <c r="P44" s="144">
        <f t="shared" si="50"/>
        <v>63.55</v>
      </c>
      <c r="Q44" s="144"/>
      <c r="R44" s="144">
        <f t="shared" si="3"/>
        <v>6355</v>
      </c>
      <c r="S44" s="145">
        <f t="shared" si="4"/>
        <v>7.2000000000000008E-2</v>
      </c>
      <c r="T44" s="145">
        <f t="shared" si="41"/>
        <v>0</v>
      </c>
      <c r="U44" s="145">
        <f t="shared" si="36"/>
        <v>0.03</v>
      </c>
      <c r="V44" s="145">
        <f t="shared" si="37"/>
        <v>6</v>
      </c>
      <c r="W44" s="145">
        <f t="shared" si="51"/>
        <v>1</v>
      </c>
      <c r="X44" s="145">
        <f t="shared" ref="X44:X45" si="53">ROUND(R44*G$1820,2)</f>
        <v>0.17</v>
      </c>
      <c r="Y44" s="145">
        <f t="shared" si="40"/>
        <v>0</v>
      </c>
      <c r="Z44" s="146">
        <f t="shared" si="10"/>
        <v>7.2</v>
      </c>
      <c r="AA44" s="147">
        <f t="shared" si="52"/>
        <v>-6362.2</v>
      </c>
      <c r="AB44" s="148">
        <v>-6363.21</v>
      </c>
      <c r="AC44" s="149">
        <f t="shared" si="48"/>
        <v>-1.0100000000002183</v>
      </c>
      <c r="AD44" s="138">
        <v>44260</v>
      </c>
      <c r="AE44" s="150">
        <f t="shared" si="13"/>
        <v>1.1329999999999999E-3</v>
      </c>
      <c r="AF44" s="151">
        <f t="shared" si="14"/>
        <v>44260</v>
      </c>
      <c r="AG44" s="152" t="s">
        <v>416</v>
      </c>
      <c r="AH44" s="124"/>
    </row>
    <row r="45" spans="1:34" ht="12" customHeight="1">
      <c r="A45" s="138">
        <v>44267</v>
      </c>
      <c r="B45" s="139" t="s">
        <v>497</v>
      </c>
      <c r="C45" s="139" t="s">
        <v>485</v>
      </c>
      <c r="D45" s="139"/>
      <c r="E45" s="140" t="str">
        <f t="shared" si="0"/>
        <v>GHCL</v>
      </c>
      <c r="F45" s="139"/>
      <c r="G45" s="139"/>
      <c r="H45" s="139"/>
      <c r="I45" s="141" t="s">
        <v>467</v>
      </c>
      <c r="J45" s="139" t="s">
        <v>483</v>
      </c>
      <c r="K45" s="139"/>
      <c r="L45" s="139"/>
      <c r="M45" s="142">
        <v>100</v>
      </c>
      <c r="N45" s="143">
        <v>244.333</v>
      </c>
      <c r="O45" s="144">
        <f t="shared" si="39"/>
        <v>0</v>
      </c>
      <c r="P45" s="144">
        <f t="shared" si="50"/>
        <v>244.333</v>
      </c>
      <c r="Q45" s="144"/>
      <c r="R45" s="144">
        <f t="shared" si="3"/>
        <v>24433.3</v>
      </c>
      <c r="S45" s="145">
        <f t="shared" si="4"/>
        <v>0.28790000000000004</v>
      </c>
      <c r="T45" s="145">
        <f t="shared" si="41"/>
        <v>0</v>
      </c>
      <c r="U45" s="145">
        <f t="shared" si="36"/>
        <v>0.12</v>
      </c>
      <c r="V45" s="145">
        <f t="shared" si="37"/>
        <v>24</v>
      </c>
      <c r="W45" s="145">
        <f t="shared" si="51"/>
        <v>4</v>
      </c>
      <c r="X45" s="145">
        <f t="shared" si="53"/>
        <v>0.67</v>
      </c>
      <c r="Y45" s="145">
        <f t="shared" si="40"/>
        <v>0</v>
      </c>
      <c r="Z45" s="146">
        <f t="shared" si="10"/>
        <v>28.790000000000003</v>
      </c>
      <c r="AA45" s="147">
        <f t="shared" si="52"/>
        <v>-24462.09</v>
      </c>
      <c r="AB45" s="148">
        <v>-24462.1</v>
      </c>
      <c r="AC45" s="149">
        <f t="shared" si="48"/>
        <v>-9.9999999983992893E-3</v>
      </c>
      <c r="AD45" s="138">
        <v>44271</v>
      </c>
      <c r="AE45" s="150">
        <f t="shared" si="13"/>
        <v>1.178E-3</v>
      </c>
      <c r="AF45" s="151">
        <f t="shared" si="14"/>
        <v>44271</v>
      </c>
      <c r="AG45" s="152" t="s">
        <v>416</v>
      </c>
      <c r="AH45" s="124"/>
    </row>
    <row r="46" spans="1:34" ht="12" customHeight="1">
      <c r="A46" s="125">
        <v>44287</v>
      </c>
      <c r="B46" s="126" t="s">
        <v>495</v>
      </c>
      <c r="C46" s="126" t="s">
        <v>485</v>
      </c>
      <c r="D46" s="126"/>
      <c r="E46" s="112" t="str">
        <f t="shared" si="0"/>
        <v>SAIL</v>
      </c>
      <c r="F46" s="126"/>
      <c r="G46" s="126"/>
      <c r="H46" s="126"/>
      <c r="I46" s="127" t="s">
        <v>461</v>
      </c>
      <c r="J46" s="126" t="s">
        <v>483</v>
      </c>
      <c r="K46" s="126"/>
      <c r="L46" s="126"/>
      <c r="M46" s="128">
        <v>100</v>
      </c>
      <c r="N46" s="129">
        <v>82</v>
      </c>
      <c r="O46" s="130">
        <f t="shared" si="39"/>
        <v>0</v>
      </c>
      <c r="P46" s="130">
        <f>N46-O46</f>
        <v>82</v>
      </c>
      <c r="Q46" s="130"/>
      <c r="R46" s="130">
        <f t="shared" si="3"/>
        <v>8200</v>
      </c>
      <c r="S46" s="131">
        <f t="shared" si="4"/>
        <v>8.3299999999999999E-2</v>
      </c>
      <c r="T46" s="131">
        <f t="shared" si="41"/>
        <v>0</v>
      </c>
      <c r="U46" s="131">
        <f t="shared" si="36"/>
        <v>0.05</v>
      </c>
      <c r="V46" s="131">
        <f t="shared" si="37"/>
        <v>8</v>
      </c>
      <c r="W46" s="131">
        <v>0</v>
      </c>
      <c r="X46" s="131">
        <f t="shared" ref="X46:X53" si="54">ROUND(R46*H$1820,2)</f>
        <v>0.28000000000000003</v>
      </c>
      <c r="Y46" s="131">
        <f t="shared" si="40"/>
        <v>0</v>
      </c>
      <c r="Z46" s="131">
        <f t="shared" si="10"/>
        <v>8.33</v>
      </c>
      <c r="AA46" s="132">
        <f>ROUND(R46-SUM(T46:Y46),2)</f>
        <v>8191.67</v>
      </c>
      <c r="AB46" s="133">
        <v>8192</v>
      </c>
      <c r="AC46" s="134">
        <f t="shared" si="48"/>
        <v>0.32999999999992724</v>
      </c>
      <c r="AD46" s="125">
        <v>44287</v>
      </c>
      <c r="AE46" s="135">
        <f t="shared" si="13"/>
        <v>1.016E-3</v>
      </c>
      <c r="AF46" s="136">
        <f t="shared" si="14"/>
        <v>44287</v>
      </c>
      <c r="AG46" s="137" t="s">
        <v>416</v>
      </c>
      <c r="AH46" s="124"/>
    </row>
    <row r="47" spans="1:34" ht="12" customHeight="1">
      <c r="A47" s="138">
        <v>44298</v>
      </c>
      <c r="B47" s="139" t="s">
        <v>493</v>
      </c>
      <c r="C47" s="139" t="s">
        <v>485</v>
      </c>
      <c r="D47" s="139"/>
      <c r="E47" s="140" t="str">
        <f t="shared" si="0"/>
        <v>SBIN</v>
      </c>
      <c r="F47" s="139"/>
      <c r="G47" s="139"/>
      <c r="H47" s="139"/>
      <c r="I47" s="141" t="s">
        <v>467</v>
      </c>
      <c r="J47" s="139" t="s">
        <v>483</v>
      </c>
      <c r="K47" s="139"/>
      <c r="L47" s="139"/>
      <c r="M47" s="142">
        <v>20</v>
      </c>
      <c r="N47" s="143">
        <v>332</v>
      </c>
      <c r="O47" s="144">
        <f t="shared" si="39"/>
        <v>0</v>
      </c>
      <c r="P47" s="144">
        <f t="shared" ref="P47:P51" si="55">N47+O47</f>
        <v>332</v>
      </c>
      <c r="Q47" s="144"/>
      <c r="R47" s="144">
        <f t="shared" si="3"/>
        <v>6640</v>
      </c>
      <c r="S47" s="145">
        <f t="shared" si="4"/>
        <v>0.41349999999999998</v>
      </c>
      <c r="T47" s="145">
        <f t="shared" si="41"/>
        <v>0</v>
      </c>
      <c r="U47" s="145">
        <f t="shared" si="36"/>
        <v>0.04</v>
      </c>
      <c r="V47" s="145">
        <f t="shared" si="37"/>
        <v>7</v>
      </c>
      <c r="W47" s="145">
        <f t="shared" ref="W47:W51" si="56">ROUND(R47*F$1823,0)</f>
        <v>1</v>
      </c>
      <c r="X47" s="145">
        <f t="shared" si="54"/>
        <v>0.23</v>
      </c>
      <c r="Y47" s="145">
        <f t="shared" si="40"/>
        <v>0</v>
      </c>
      <c r="Z47" s="146">
        <f t="shared" si="10"/>
        <v>8.27</v>
      </c>
      <c r="AA47" s="147">
        <f t="shared" ref="AA47:AA51" si="57">-ROUND(R47+SUM(T47:Y47),2)</f>
        <v>-6648.27</v>
      </c>
      <c r="AB47" s="148">
        <v>-6648</v>
      </c>
      <c r="AC47" s="149">
        <f t="shared" si="48"/>
        <v>0.27000000000043656</v>
      </c>
      <c r="AD47" s="138">
        <v>44302</v>
      </c>
      <c r="AE47" s="150">
        <f t="shared" si="13"/>
        <v>1.245E-3</v>
      </c>
      <c r="AF47" s="151">
        <f t="shared" si="14"/>
        <v>44302</v>
      </c>
      <c r="AG47" s="152" t="s">
        <v>416</v>
      </c>
      <c r="AH47" s="124"/>
    </row>
    <row r="48" spans="1:34" ht="12" customHeight="1">
      <c r="A48" s="138">
        <v>44299</v>
      </c>
      <c r="B48" s="139" t="s">
        <v>498</v>
      </c>
      <c r="C48" s="139" t="s">
        <v>485</v>
      </c>
      <c r="D48" s="139"/>
      <c r="E48" s="140" t="str">
        <f t="shared" si="0"/>
        <v>BAJFINANCE</v>
      </c>
      <c r="F48" s="139"/>
      <c r="G48" s="139"/>
      <c r="H48" s="139"/>
      <c r="I48" s="141" t="s">
        <v>467</v>
      </c>
      <c r="J48" s="139" t="s">
        <v>483</v>
      </c>
      <c r="K48" s="139"/>
      <c r="L48" s="139"/>
      <c r="M48" s="142">
        <v>2</v>
      </c>
      <c r="N48" s="143">
        <v>4560</v>
      </c>
      <c r="O48" s="144">
        <f t="shared" si="39"/>
        <v>0</v>
      </c>
      <c r="P48" s="144">
        <f t="shared" si="55"/>
        <v>4560</v>
      </c>
      <c r="Q48" s="144"/>
      <c r="R48" s="144">
        <f t="shared" si="3"/>
        <v>9120</v>
      </c>
      <c r="S48" s="145">
        <f t="shared" si="4"/>
        <v>5.1850000000000005</v>
      </c>
      <c r="T48" s="145">
        <f t="shared" si="41"/>
        <v>0</v>
      </c>
      <c r="U48" s="145">
        <f t="shared" si="36"/>
        <v>0.06</v>
      </c>
      <c r="V48" s="145">
        <f t="shared" si="37"/>
        <v>9</v>
      </c>
      <c r="W48" s="145">
        <f t="shared" si="56"/>
        <v>1</v>
      </c>
      <c r="X48" s="145">
        <f t="shared" si="54"/>
        <v>0.31</v>
      </c>
      <c r="Y48" s="145">
        <f t="shared" si="40"/>
        <v>0</v>
      </c>
      <c r="Z48" s="146">
        <f t="shared" si="10"/>
        <v>10.370000000000001</v>
      </c>
      <c r="AA48" s="147">
        <f t="shared" si="57"/>
        <v>-9130.3700000000008</v>
      </c>
      <c r="AB48" s="148">
        <v>-9130</v>
      </c>
      <c r="AC48" s="149">
        <f t="shared" si="48"/>
        <v>0.37000000000080036</v>
      </c>
      <c r="AD48" s="138">
        <v>44302</v>
      </c>
      <c r="AE48" s="150">
        <f t="shared" si="13"/>
        <v>1.137E-3</v>
      </c>
      <c r="AF48" s="151">
        <f t="shared" si="14"/>
        <v>44302</v>
      </c>
      <c r="AG48" s="152" t="s">
        <v>416</v>
      </c>
      <c r="AH48" s="124"/>
    </row>
    <row r="49" spans="1:34" ht="12" customHeight="1">
      <c r="A49" s="138">
        <v>44299</v>
      </c>
      <c r="B49" s="139" t="s">
        <v>499</v>
      </c>
      <c r="C49" s="139" t="s">
        <v>485</v>
      </c>
      <c r="D49" s="139"/>
      <c r="E49" s="140" t="str">
        <f t="shared" si="0"/>
        <v>BSOFT</v>
      </c>
      <c r="F49" s="139"/>
      <c r="G49" s="139"/>
      <c r="H49" s="139"/>
      <c r="I49" s="141" t="s">
        <v>467</v>
      </c>
      <c r="J49" s="139" t="s">
        <v>483</v>
      </c>
      <c r="K49" s="139"/>
      <c r="L49" s="139"/>
      <c r="M49" s="142">
        <v>25</v>
      </c>
      <c r="N49" s="143">
        <v>259</v>
      </c>
      <c r="O49" s="144">
        <f t="shared" si="39"/>
        <v>0</v>
      </c>
      <c r="P49" s="144">
        <f t="shared" si="55"/>
        <v>259</v>
      </c>
      <c r="Q49" s="144"/>
      <c r="R49" s="144">
        <f t="shared" si="3"/>
        <v>6475</v>
      </c>
      <c r="S49" s="145">
        <f t="shared" si="4"/>
        <v>0.29039999999999999</v>
      </c>
      <c r="T49" s="145">
        <f t="shared" si="41"/>
        <v>0</v>
      </c>
      <c r="U49" s="145">
        <f t="shared" si="36"/>
        <v>0.04</v>
      </c>
      <c r="V49" s="145">
        <f t="shared" si="37"/>
        <v>6</v>
      </c>
      <c r="W49" s="145">
        <f t="shared" si="56"/>
        <v>1</v>
      </c>
      <c r="X49" s="145">
        <f t="shared" si="54"/>
        <v>0.22</v>
      </c>
      <c r="Y49" s="145">
        <f t="shared" si="40"/>
        <v>0</v>
      </c>
      <c r="Z49" s="146">
        <f t="shared" si="10"/>
        <v>7.26</v>
      </c>
      <c r="AA49" s="147">
        <f t="shared" si="57"/>
        <v>-6482.26</v>
      </c>
      <c r="AB49" s="148">
        <v>-6482</v>
      </c>
      <c r="AC49" s="149">
        <f t="shared" si="48"/>
        <v>0.26000000000021828</v>
      </c>
      <c r="AD49" s="138">
        <v>44302</v>
      </c>
      <c r="AE49" s="150">
        <f t="shared" si="13"/>
        <v>1.121E-3</v>
      </c>
      <c r="AF49" s="151">
        <f t="shared" si="14"/>
        <v>44302</v>
      </c>
      <c r="AG49" s="152" t="s">
        <v>416</v>
      </c>
      <c r="AH49" s="124"/>
    </row>
    <row r="50" spans="1:34" ht="12" customHeight="1">
      <c r="A50" s="138">
        <v>44299</v>
      </c>
      <c r="B50" s="139" t="s">
        <v>500</v>
      </c>
      <c r="C50" s="139" t="s">
        <v>485</v>
      </c>
      <c r="D50" s="139"/>
      <c r="E50" s="140" t="str">
        <f t="shared" si="0"/>
        <v>CHOLAFIN</v>
      </c>
      <c r="F50" s="139"/>
      <c r="G50" s="139"/>
      <c r="H50" s="139"/>
      <c r="I50" s="141" t="s">
        <v>467</v>
      </c>
      <c r="J50" s="139" t="s">
        <v>483</v>
      </c>
      <c r="K50" s="139"/>
      <c r="L50" s="139"/>
      <c r="M50" s="142">
        <v>25</v>
      </c>
      <c r="N50" s="143">
        <v>511.6</v>
      </c>
      <c r="O50" s="144">
        <f t="shared" si="39"/>
        <v>0</v>
      </c>
      <c r="P50" s="144">
        <f t="shared" si="55"/>
        <v>511.6</v>
      </c>
      <c r="Q50" s="144"/>
      <c r="R50" s="144">
        <f t="shared" si="3"/>
        <v>12790</v>
      </c>
      <c r="S50" s="145">
        <f t="shared" si="4"/>
        <v>0.62080000000000002</v>
      </c>
      <c r="T50" s="145">
        <f t="shared" si="41"/>
        <v>0</v>
      </c>
      <c r="U50" s="145">
        <f t="shared" si="36"/>
        <v>0.08</v>
      </c>
      <c r="V50" s="145">
        <f t="shared" si="37"/>
        <v>13</v>
      </c>
      <c r="W50" s="145">
        <f t="shared" si="56"/>
        <v>2</v>
      </c>
      <c r="X50" s="145">
        <f t="shared" si="54"/>
        <v>0.44</v>
      </c>
      <c r="Y50" s="145">
        <f t="shared" si="40"/>
        <v>0</v>
      </c>
      <c r="Z50" s="146">
        <f t="shared" si="10"/>
        <v>15.52</v>
      </c>
      <c r="AA50" s="147">
        <f t="shared" si="57"/>
        <v>-12805.52</v>
      </c>
      <c r="AB50" s="148">
        <v>-12806</v>
      </c>
      <c r="AC50" s="149">
        <f t="shared" si="48"/>
        <v>-0.47999999999956344</v>
      </c>
      <c r="AD50" s="138">
        <v>44302</v>
      </c>
      <c r="AE50" s="150">
        <f t="shared" si="13"/>
        <v>1.2130000000000001E-3</v>
      </c>
      <c r="AF50" s="151">
        <f t="shared" si="14"/>
        <v>44302</v>
      </c>
      <c r="AG50" s="152" t="s">
        <v>416</v>
      </c>
      <c r="AH50" s="124"/>
    </row>
    <row r="51" spans="1:34" ht="12" customHeight="1">
      <c r="A51" s="138">
        <v>44299</v>
      </c>
      <c r="B51" s="139" t="s">
        <v>501</v>
      </c>
      <c r="C51" s="139" t="s">
        <v>485</v>
      </c>
      <c r="D51" s="139"/>
      <c r="E51" s="140" t="str">
        <f t="shared" si="0"/>
        <v>ICICIBANK</v>
      </c>
      <c r="F51" s="139"/>
      <c r="G51" s="139"/>
      <c r="H51" s="139"/>
      <c r="I51" s="141" t="s">
        <v>467</v>
      </c>
      <c r="J51" s="139" t="s">
        <v>483</v>
      </c>
      <c r="K51" s="139"/>
      <c r="L51" s="139"/>
      <c r="M51" s="142">
        <v>25</v>
      </c>
      <c r="N51" s="143">
        <v>543.81200000000001</v>
      </c>
      <c r="O51" s="144">
        <f t="shared" si="39"/>
        <v>0</v>
      </c>
      <c r="P51" s="144">
        <f t="shared" si="55"/>
        <v>543.81200000000001</v>
      </c>
      <c r="Q51" s="144"/>
      <c r="R51" s="144">
        <f t="shared" si="3"/>
        <v>13595.3</v>
      </c>
      <c r="S51" s="145">
        <f t="shared" si="4"/>
        <v>0.66199999999999992</v>
      </c>
      <c r="T51" s="145">
        <f t="shared" si="41"/>
        <v>0</v>
      </c>
      <c r="U51" s="145">
        <f t="shared" si="36"/>
        <v>0.08</v>
      </c>
      <c r="V51" s="145">
        <f t="shared" si="37"/>
        <v>14</v>
      </c>
      <c r="W51" s="145">
        <f t="shared" si="56"/>
        <v>2</v>
      </c>
      <c r="X51" s="145">
        <f t="shared" si="54"/>
        <v>0.47</v>
      </c>
      <c r="Y51" s="145">
        <f t="shared" si="40"/>
        <v>0</v>
      </c>
      <c r="Z51" s="146">
        <f t="shared" si="10"/>
        <v>16.549999999999997</v>
      </c>
      <c r="AA51" s="147">
        <f t="shared" si="57"/>
        <v>-13611.85</v>
      </c>
      <c r="AB51" s="148">
        <v>-13612</v>
      </c>
      <c r="AC51" s="149">
        <f t="shared" si="48"/>
        <v>-0.1499999999996362</v>
      </c>
      <c r="AD51" s="138">
        <v>44302</v>
      </c>
      <c r="AE51" s="150">
        <f t="shared" si="13"/>
        <v>1.217E-3</v>
      </c>
      <c r="AF51" s="151">
        <f t="shared" si="14"/>
        <v>44302</v>
      </c>
      <c r="AG51" s="152" t="s">
        <v>416</v>
      </c>
      <c r="AH51" s="124"/>
    </row>
    <row r="52" spans="1:34" ht="12" customHeight="1">
      <c r="A52" s="125">
        <v>44301</v>
      </c>
      <c r="B52" s="126" t="s">
        <v>493</v>
      </c>
      <c r="C52" s="126" t="s">
        <v>485</v>
      </c>
      <c r="D52" s="126"/>
      <c r="E52" s="112" t="str">
        <f t="shared" si="0"/>
        <v>SBIN</v>
      </c>
      <c r="F52" s="126"/>
      <c r="G52" s="126"/>
      <c r="H52" s="126"/>
      <c r="I52" s="127" t="s">
        <v>461</v>
      </c>
      <c r="J52" s="126" t="s">
        <v>483</v>
      </c>
      <c r="K52" s="126"/>
      <c r="L52" s="126"/>
      <c r="M52" s="128">
        <v>20</v>
      </c>
      <c r="N52" s="129">
        <v>342</v>
      </c>
      <c r="O52" s="130">
        <f t="shared" si="39"/>
        <v>0</v>
      </c>
      <c r="P52" s="130">
        <f>N52-O52</f>
        <v>342</v>
      </c>
      <c r="Q52" s="130"/>
      <c r="R52" s="130">
        <f t="shared" si="3"/>
        <v>6840</v>
      </c>
      <c r="S52" s="131">
        <f t="shared" si="4"/>
        <v>0.36399999999999999</v>
      </c>
      <c r="T52" s="131">
        <f t="shared" si="41"/>
        <v>0</v>
      </c>
      <c r="U52" s="131">
        <f t="shared" si="36"/>
        <v>0.04</v>
      </c>
      <c r="V52" s="131">
        <f t="shared" si="37"/>
        <v>7</v>
      </c>
      <c r="W52" s="131">
        <v>0</v>
      </c>
      <c r="X52" s="131">
        <f t="shared" si="54"/>
        <v>0.24</v>
      </c>
      <c r="Y52" s="131">
        <f t="shared" si="40"/>
        <v>0</v>
      </c>
      <c r="Z52" s="131">
        <f t="shared" si="10"/>
        <v>7.28</v>
      </c>
      <c r="AA52" s="132">
        <f>ROUND(R52-SUM(T52:Y52),2)</f>
        <v>6832.72</v>
      </c>
      <c r="AB52" s="133">
        <v>6833</v>
      </c>
      <c r="AC52" s="134">
        <f t="shared" si="48"/>
        <v>0.27999999999974534</v>
      </c>
      <c r="AD52" s="125">
        <v>44301</v>
      </c>
      <c r="AE52" s="135">
        <f t="shared" si="13"/>
        <v>1.0640000000000001E-3</v>
      </c>
      <c r="AF52" s="136">
        <f t="shared" si="14"/>
        <v>44301</v>
      </c>
      <c r="AG52" s="137" t="s">
        <v>416</v>
      </c>
      <c r="AH52" s="124"/>
    </row>
    <row r="53" spans="1:34" ht="12" customHeight="1">
      <c r="A53" s="154">
        <v>44302</v>
      </c>
      <c r="B53" s="140" t="s">
        <v>496</v>
      </c>
      <c r="C53" s="141" t="s">
        <v>485</v>
      </c>
      <c r="D53" s="140"/>
      <c r="E53" s="140" t="str">
        <f t="shared" si="0"/>
        <v>NATIONALUM</v>
      </c>
      <c r="F53" s="140"/>
      <c r="G53" s="140"/>
      <c r="H53" s="140"/>
      <c r="I53" s="141" t="s">
        <v>467</v>
      </c>
      <c r="J53" s="139" t="s">
        <v>483</v>
      </c>
      <c r="K53" s="141"/>
      <c r="L53" s="141"/>
      <c r="M53" s="142">
        <v>50</v>
      </c>
      <c r="N53" s="143">
        <v>59</v>
      </c>
      <c r="O53" s="144">
        <f t="shared" si="39"/>
        <v>0</v>
      </c>
      <c r="P53" s="144">
        <f t="shared" ref="P53:P54" si="58">N53+O53</f>
        <v>59</v>
      </c>
      <c r="Q53" s="144"/>
      <c r="R53" s="144">
        <f t="shared" si="3"/>
        <v>2950</v>
      </c>
      <c r="S53" s="145">
        <f t="shared" si="4"/>
        <v>6.2400000000000004E-2</v>
      </c>
      <c r="T53" s="145">
        <f t="shared" si="41"/>
        <v>0</v>
      </c>
      <c r="U53" s="145">
        <f t="shared" si="36"/>
        <v>0.02</v>
      </c>
      <c r="V53" s="145">
        <f t="shared" si="37"/>
        <v>3</v>
      </c>
      <c r="W53" s="145">
        <f t="shared" ref="W53:W54" si="59">ROUND(R53*F$1823,0)</f>
        <v>0</v>
      </c>
      <c r="X53" s="145">
        <f t="shared" si="54"/>
        <v>0.1</v>
      </c>
      <c r="Y53" s="145">
        <f t="shared" si="40"/>
        <v>0</v>
      </c>
      <c r="Z53" s="146">
        <f t="shared" si="10"/>
        <v>3.12</v>
      </c>
      <c r="AA53" s="147">
        <f t="shared" ref="AA53:AA54" si="60">-ROUND(R53+SUM(T53:Y53),2)</f>
        <v>-2953.12</v>
      </c>
      <c r="AB53" s="148">
        <v>-2953</v>
      </c>
      <c r="AC53" s="149">
        <f t="shared" si="48"/>
        <v>0.11999999999989086</v>
      </c>
      <c r="AD53" s="138">
        <v>44306</v>
      </c>
      <c r="AE53" s="150">
        <f t="shared" si="13"/>
        <v>1.0579999999999999E-3</v>
      </c>
      <c r="AF53" s="151">
        <f t="shared" si="14"/>
        <v>44306</v>
      </c>
      <c r="AG53" s="152" t="s">
        <v>416</v>
      </c>
      <c r="AH53" s="124"/>
    </row>
    <row r="54" spans="1:34" ht="12" customHeight="1">
      <c r="A54" s="154">
        <v>44302</v>
      </c>
      <c r="B54" s="140" t="s">
        <v>502</v>
      </c>
      <c r="C54" s="141" t="s">
        <v>485</v>
      </c>
      <c r="D54" s="140"/>
      <c r="E54" s="140" t="str">
        <f t="shared" si="0"/>
        <v>SBICARD</v>
      </c>
      <c r="F54" s="140"/>
      <c r="G54" s="140"/>
      <c r="H54" s="140"/>
      <c r="I54" s="141" t="s">
        <v>467</v>
      </c>
      <c r="J54" s="139" t="s">
        <v>483</v>
      </c>
      <c r="K54" s="141"/>
      <c r="L54" s="141"/>
      <c r="M54" s="142">
        <v>5</v>
      </c>
      <c r="N54" s="143">
        <v>939.5</v>
      </c>
      <c r="O54" s="144">
        <f t="shared" si="39"/>
        <v>0</v>
      </c>
      <c r="P54" s="144">
        <f t="shared" si="58"/>
        <v>939.5</v>
      </c>
      <c r="Q54" s="144"/>
      <c r="R54" s="144">
        <f t="shared" si="3"/>
        <v>4697.5</v>
      </c>
      <c r="S54" s="145">
        <f t="shared" si="4"/>
        <v>1.23</v>
      </c>
      <c r="T54" s="145">
        <f t="shared" si="41"/>
        <v>0</v>
      </c>
      <c r="U54" s="145">
        <f t="shared" si="36"/>
        <v>0.02</v>
      </c>
      <c r="V54" s="145">
        <f t="shared" si="37"/>
        <v>5</v>
      </c>
      <c r="W54" s="145">
        <f t="shared" si="59"/>
        <v>1</v>
      </c>
      <c r="X54" s="145">
        <f>ROUND(R54*G$1820,2)</f>
        <v>0.13</v>
      </c>
      <c r="Y54" s="145">
        <f t="shared" si="40"/>
        <v>0</v>
      </c>
      <c r="Z54" s="146">
        <f t="shared" si="10"/>
        <v>6.1499999999999995</v>
      </c>
      <c r="AA54" s="147">
        <f t="shared" si="60"/>
        <v>-4703.6499999999996</v>
      </c>
      <c r="AB54" s="148">
        <v>-4703</v>
      </c>
      <c r="AC54" s="149">
        <f t="shared" si="48"/>
        <v>0.6499999999996362</v>
      </c>
      <c r="AD54" s="138">
        <v>44306</v>
      </c>
      <c r="AE54" s="150">
        <f t="shared" si="13"/>
        <v>1.3090000000000001E-3</v>
      </c>
      <c r="AF54" s="151">
        <f t="shared" si="14"/>
        <v>44306</v>
      </c>
      <c r="AG54" s="152" t="s">
        <v>416</v>
      </c>
      <c r="AH54" s="124"/>
    </row>
    <row r="55" spans="1:34" ht="12" customHeight="1">
      <c r="A55" s="155">
        <v>44308</v>
      </c>
      <c r="B55" s="112" t="s">
        <v>500</v>
      </c>
      <c r="C55" s="127" t="s">
        <v>485</v>
      </c>
      <c r="D55" s="112"/>
      <c r="E55" s="112" t="str">
        <f t="shared" si="0"/>
        <v>CHOLAFIN</v>
      </c>
      <c r="F55" s="112"/>
      <c r="G55" s="112"/>
      <c r="H55" s="112"/>
      <c r="I55" s="127" t="s">
        <v>461</v>
      </c>
      <c r="J55" s="126" t="s">
        <v>483</v>
      </c>
      <c r="K55" s="127"/>
      <c r="L55" s="127"/>
      <c r="M55" s="128">
        <v>25</v>
      </c>
      <c r="N55" s="129">
        <v>551.75</v>
      </c>
      <c r="O55" s="130">
        <f t="shared" si="39"/>
        <v>0</v>
      </c>
      <c r="P55" s="130">
        <f t="shared" ref="P55:P59" si="61">N55-O55</f>
        <v>551.75</v>
      </c>
      <c r="Q55" s="130"/>
      <c r="R55" s="130">
        <f t="shared" si="3"/>
        <v>13793.75</v>
      </c>
      <c r="S55" s="131">
        <f t="shared" si="4"/>
        <v>0.57440000000000002</v>
      </c>
      <c r="T55" s="131">
        <f t="shared" si="41"/>
        <v>0</v>
      </c>
      <c r="U55" s="131">
        <f t="shared" si="36"/>
        <v>0.09</v>
      </c>
      <c r="V55" s="131">
        <f t="shared" ref="V55:V361" si="62">ROUND(R55*F$1817,2)</f>
        <v>13.79</v>
      </c>
      <c r="W55" s="131">
        <v>0</v>
      </c>
      <c r="X55" s="131">
        <f t="shared" ref="X55:X68" si="63">ROUND(R55*H$1820,2)</f>
        <v>0.48</v>
      </c>
      <c r="Y55" s="131">
        <f t="shared" si="40"/>
        <v>0</v>
      </c>
      <c r="Z55" s="131">
        <f t="shared" si="10"/>
        <v>14.36</v>
      </c>
      <c r="AA55" s="132">
        <f t="shared" ref="AA55:AA59" si="64">ROUND(R55-SUM(T55:Y55),2)</f>
        <v>13779.39</v>
      </c>
      <c r="AB55" s="133">
        <v>13779</v>
      </c>
      <c r="AC55" s="134">
        <f t="shared" si="48"/>
        <v>-0.38999999999941792</v>
      </c>
      <c r="AD55" s="125">
        <v>44308</v>
      </c>
      <c r="AE55" s="135">
        <f t="shared" si="13"/>
        <v>1.041E-3</v>
      </c>
      <c r="AF55" s="136">
        <f t="shared" si="14"/>
        <v>44308</v>
      </c>
      <c r="AG55" s="137" t="s">
        <v>416</v>
      </c>
      <c r="AH55" s="124"/>
    </row>
    <row r="56" spans="1:34" ht="12" customHeight="1">
      <c r="A56" s="155">
        <v>44308</v>
      </c>
      <c r="B56" s="112" t="s">
        <v>501</v>
      </c>
      <c r="C56" s="127" t="s">
        <v>485</v>
      </c>
      <c r="D56" s="112"/>
      <c r="E56" s="112" t="str">
        <f t="shared" si="0"/>
        <v>ICICIBANK</v>
      </c>
      <c r="F56" s="112"/>
      <c r="G56" s="112"/>
      <c r="H56" s="112"/>
      <c r="I56" s="127" t="s">
        <v>461</v>
      </c>
      <c r="J56" s="126" t="s">
        <v>483</v>
      </c>
      <c r="K56" s="127"/>
      <c r="L56" s="127"/>
      <c r="M56" s="128">
        <v>25</v>
      </c>
      <c r="N56" s="129">
        <v>563.5</v>
      </c>
      <c r="O56" s="130">
        <f t="shared" si="39"/>
        <v>0</v>
      </c>
      <c r="P56" s="130">
        <f t="shared" si="61"/>
        <v>563.5</v>
      </c>
      <c r="Q56" s="130"/>
      <c r="R56" s="130">
        <f t="shared" si="3"/>
        <v>14087.5</v>
      </c>
      <c r="S56" s="131">
        <f t="shared" si="4"/>
        <v>0.58679999999999999</v>
      </c>
      <c r="T56" s="131">
        <f t="shared" si="41"/>
        <v>0</v>
      </c>
      <c r="U56" s="131">
        <f t="shared" si="36"/>
        <v>0.09</v>
      </c>
      <c r="V56" s="131">
        <f t="shared" si="62"/>
        <v>14.09</v>
      </c>
      <c r="W56" s="131">
        <v>0</v>
      </c>
      <c r="X56" s="131">
        <f t="shared" si="63"/>
        <v>0.49</v>
      </c>
      <c r="Y56" s="131">
        <f t="shared" si="40"/>
        <v>0</v>
      </c>
      <c r="Z56" s="131">
        <f t="shared" si="10"/>
        <v>14.67</v>
      </c>
      <c r="AA56" s="132">
        <f t="shared" si="64"/>
        <v>14072.83</v>
      </c>
      <c r="AB56" s="133">
        <v>14073</v>
      </c>
      <c r="AC56" s="134">
        <f t="shared" si="48"/>
        <v>0.17000000000007276</v>
      </c>
      <c r="AD56" s="125">
        <v>44308</v>
      </c>
      <c r="AE56" s="135">
        <f t="shared" si="13"/>
        <v>1.041E-3</v>
      </c>
      <c r="AF56" s="136">
        <f t="shared" si="14"/>
        <v>44308</v>
      </c>
      <c r="AG56" s="137" t="s">
        <v>416</v>
      </c>
      <c r="AH56" s="124"/>
    </row>
    <row r="57" spans="1:34" ht="12" customHeight="1">
      <c r="A57" s="155">
        <v>44309</v>
      </c>
      <c r="B57" s="112" t="s">
        <v>503</v>
      </c>
      <c r="C57" s="127" t="s">
        <v>485</v>
      </c>
      <c r="D57" s="112"/>
      <c r="E57" s="112" t="str">
        <f t="shared" si="0"/>
        <v>MAWANASUG</v>
      </c>
      <c r="F57" s="112"/>
      <c r="G57" s="112"/>
      <c r="H57" s="112"/>
      <c r="I57" s="127" t="s">
        <v>461</v>
      </c>
      <c r="J57" s="126" t="s">
        <v>483</v>
      </c>
      <c r="K57" s="127"/>
      <c r="L57" s="127"/>
      <c r="M57" s="128">
        <v>100</v>
      </c>
      <c r="N57" s="129">
        <v>40.200000000000003</v>
      </c>
      <c r="O57" s="130">
        <f t="shared" si="39"/>
        <v>0</v>
      </c>
      <c r="P57" s="130">
        <f t="shared" si="61"/>
        <v>40.200000000000003</v>
      </c>
      <c r="Q57" s="130"/>
      <c r="R57" s="130">
        <f t="shared" si="3"/>
        <v>4020</v>
      </c>
      <c r="S57" s="131">
        <f t="shared" si="4"/>
        <v>4.1899999999999993E-2</v>
      </c>
      <c r="T57" s="131">
        <f t="shared" si="41"/>
        <v>0</v>
      </c>
      <c r="U57" s="131">
        <f t="shared" si="36"/>
        <v>0.03</v>
      </c>
      <c r="V57" s="131">
        <f t="shared" si="62"/>
        <v>4.0199999999999996</v>
      </c>
      <c r="W57" s="131">
        <v>0</v>
      </c>
      <c r="X57" s="131">
        <f t="shared" si="63"/>
        <v>0.14000000000000001</v>
      </c>
      <c r="Y57" s="131">
        <f t="shared" si="40"/>
        <v>0</v>
      </c>
      <c r="Z57" s="131">
        <f t="shared" si="10"/>
        <v>4.1899999999999995</v>
      </c>
      <c r="AA57" s="132">
        <f t="shared" si="64"/>
        <v>4015.81</v>
      </c>
      <c r="AB57" s="133">
        <v>4015.86</v>
      </c>
      <c r="AC57" s="134">
        <f t="shared" si="48"/>
        <v>5.0000000000181899E-2</v>
      </c>
      <c r="AD57" s="125">
        <v>44309</v>
      </c>
      <c r="AE57" s="135">
        <f t="shared" si="13"/>
        <v>1.042E-3</v>
      </c>
      <c r="AF57" s="136">
        <f t="shared" si="14"/>
        <v>44309</v>
      </c>
      <c r="AG57" s="137" t="s">
        <v>416</v>
      </c>
      <c r="AH57" s="124"/>
    </row>
    <row r="58" spans="1:34" ht="12" customHeight="1">
      <c r="A58" s="155">
        <v>44313</v>
      </c>
      <c r="B58" s="112" t="s">
        <v>498</v>
      </c>
      <c r="C58" s="127" t="s">
        <v>485</v>
      </c>
      <c r="D58" s="112"/>
      <c r="E58" s="112" t="str">
        <f t="shared" si="0"/>
        <v>BAJFINANCE</v>
      </c>
      <c r="F58" s="112"/>
      <c r="G58" s="112"/>
      <c r="H58" s="112"/>
      <c r="I58" s="127" t="s">
        <v>461</v>
      </c>
      <c r="J58" s="126" t="s">
        <v>483</v>
      </c>
      <c r="K58" s="127"/>
      <c r="L58" s="127"/>
      <c r="M58" s="128">
        <v>2</v>
      </c>
      <c r="N58" s="129">
        <v>4813</v>
      </c>
      <c r="O58" s="130">
        <f t="shared" si="39"/>
        <v>0</v>
      </c>
      <c r="P58" s="130">
        <f t="shared" si="61"/>
        <v>4813</v>
      </c>
      <c r="Q58" s="130"/>
      <c r="R58" s="130">
        <f t="shared" si="3"/>
        <v>9626</v>
      </c>
      <c r="S58" s="131">
        <f t="shared" si="4"/>
        <v>5.0100000000000007</v>
      </c>
      <c r="T58" s="131">
        <f t="shared" si="41"/>
        <v>0</v>
      </c>
      <c r="U58" s="131">
        <f t="shared" si="36"/>
        <v>0.06</v>
      </c>
      <c r="V58" s="131">
        <f t="shared" si="62"/>
        <v>9.6300000000000008</v>
      </c>
      <c r="W58" s="131">
        <v>0</v>
      </c>
      <c r="X58" s="131">
        <f t="shared" si="63"/>
        <v>0.33</v>
      </c>
      <c r="Y58" s="131">
        <f t="shared" si="40"/>
        <v>0</v>
      </c>
      <c r="Z58" s="131">
        <f t="shared" si="10"/>
        <v>10.020000000000001</v>
      </c>
      <c r="AA58" s="132">
        <f t="shared" si="64"/>
        <v>9615.98</v>
      </c>
      <c r="AB58" s="133">
        <v>9616</v>
      </c>
      <c r="AC58" s="134">
        <f t="shared" si="48"/>
        <v>2.0000000000436557E-2</v>
      </c>
      <c r="AD58" s="125">
        <v>44313</v>
      </c>
      <c r="AE58" s="135">
        <f t="shared" si="13"/>
        <v>1.041E-3</v>
      </c>
      <c r="AF58" s="136">
        <f t="shared" si="14"/>
        <v>44313</v>
      </c>
      <c r="AG58" s="137" t="s">
        <v>416</v>
      </c>
      <c r="AH58" s="124"/>
    </row>
    <row r="59" spans="1:34" ht="12" customHeight="1">
      <c r="A59" s="155">
        <v>44314</v>
      </c>
      <c r="B59" s="112" t="s">
        <v>502</v>
      </c>
      <c r="C59" s="127" t="s">
        <v>485</v>
      </c>
      <c r="D59" s="112"/>
      <c r="E59" s="112" t="str">
        <f t="shared" si="0"/>
        <v>SBICARD</v>
      </c>
      <c r="F59" s="112"/>
      <c r="G59" s="112"/>
      <c r="H59" s="112"/>
      <c r="I59" s="127" t="s">
        <v>461</v>
      </c>
      <c r="J59" s="126" t="s">
        <v>483</v>
      </c>
      <c r="K59" s="127"/>
      <c r="L59" s="127"/>
      <c r="M59" s="128">
        <v>5</v>
      </c>
      <c r="N59" s="129">
        <v>980</v>
      </c>
      <c r="O59" s="130">
        <f t="shared" si="39"/>
        <v>0</v>
      </c>
      <c r="P59" s="130">
        <f t="shared" si="61"/>
        <v>980</v>
      </c>
      <c r="Q59" s="130"/>
      <c r="R59" s="130">
        <f t="shared" si="3"/>
        <v>4900</v>
      </c>
      <c r="S59" s="131">
        <f t="shared" si="4"/>
        <v>1.02</v>
      </c>
      <c r="T59" s="131">
        <f t="shared" si="41"/>
        <v>0</v>
      </c>
      <c r="U59" s="131">
        <f t="shared" si="36"/>
        <v>0.03</v>
      </c>
      <c r="V59" s="131">
        <f t="shared" si="62"/>
        <v>4.9000000000000004</v>
      </c>
      <c r="W59" s="131">
        <v>0</v>
      </c>
      <c r="X59" s="131">
        <f t="shared" si="63"/>
        <v>0.17</v>
      </c>
      <c r="Y59" s="131">
        <f t="shared" si="40"/>
        <v>0</v>
      </c>
      <c r="Z59" s="131">
        <f t="shared" si="10"/>
        <v>5.1000000000000005</v>
      </c>
      <c r="AA59" s="132">
        <f t="shared" si="64"/>
        <v>4894.8999999999996</v>
      </c>
      <c r="AB59" s="133">
        <v>4895</v>
      </c>
      <c r="AC59" s="134">
        <f t="shared" si="48"/>
        <v>0.1000000000003638</v>
      </c>
      <c r="AD59" s="125">
        <v>44314</v>
      </c>
      <c r="AE59" s="135">
        <f t="shared" si="13"/>
        <v>1.041E-3</v>
      </c>
      <c r="AF59" s="136">
        <f t="shared" si="14"/>
        <v>44314</v>
      </c>
      <c r="AG59" s="137" t="s">
        <v>416</v>
      </c>
      <c r="AH59" s="124"/>
    </row>
    <row r="60" spans="1:34" ht="12" customHeight="1">
      <c r="A60" s="154">
        <v>44314</v>
      </c>
      <c r="B60" s="140" t="s">
        <v>504</v>
      </c>
      <c r="C60" s="141" t="s">
        <v>485</v>
      </c>
      <c r="D60" s="140"/>
      <c r="E60" s="140" t="str">
        <f t="shared" si="0"/>
        <v>HINDUNILVR</v>
      </c>
      <c r="F60" s="140"/>
      <c r="G60" s="140"/>
      <c r="H60" s="140"/>
      <c r="I60" s="141" t="s">
        <v>467</v>
      </c>
      <c r="J60" s="139" t="s">
        <v>483</v>
      </c>
      <c r="K60" s="141"/>
      <c r="L60" s="141"/>
      <c r="M60" s="142">
        <v>5</v>
      </c>
      <c r="N60" s="143">
        <v>2400</v>
      </c>
      <c r="O60" s="144">
        <f t="shared" si="39"/>
        <v>0</v>
      </c>
      <c r="P60" s="144">
        <f>N60+O60</f>
        <v>2400</v>
      </c>
      <c r="Q60" s="144"/>
      <c r="R60" s="144">
        <f t="shared" si="3"/>
        <v>12000</v>
      </c>
      <c r="S60" s="145">
        <f t="shared" si="4"/>
        <v>2.8560000000000003</v>
      </c>
      <c r="T60" s="145">
        <f t="shared" si="41"/>
        <v>0</v>
      </c>
      <c r="U60" s="145">
        <f t="shared" si="36"/>
        <v>7.0000000000000007E-2</v>
      </c>
      <c r="V60" s="145">
        <f t="shared" si="62"/>
        <v>12</v>
      </c>
      <c r="W60" s="145">
        <f>ROUND(R60*F$1823,2)</f>
        <v>1.8</v>
      </c>
      <c r="X60" s="145">
        <f t="shared" si="63"/>
        <v>0.41</v>
      </c>
      <c r="Y60" s="145">
        <f t="shared" si="40"/>
        <v>0</v>
      </c>
      <c r="Z60" s="146">
        <f t="shared" si="10"/>
        <v>14.280000000000001</v>
      </c>
      <c r="AA60" s="147">
        <f>-ROUND(R60+SUM(T60:Y60),2)</f>
        <v>-12014.28</v>
      </c>
      <c r="AB60" s="148">
        <v>-12014</v>
      </c>
      <c r="AC60" s="149">
        <f t="shared" si="48"/>
        <v>0.28000000000065484</v>
      </c>
      <c r="AD60" s="138">
        <v>44316</v>
      </c>
      <c r="AE60" s="150">
        <f t="shared" si="13"/>
        <v>1.1900000000000001E-3</v>
      </c>
      <c r="AF60" s="151">
        <f t="shared" si="14"/>
        <v>44316</v>
      </c>
      <c r="AG60" s="152" t="s">
        <v>416</v>
      </c>
      <c r="AH60" s="124"/>
    </row>
    <row r="61" spans="1:34" ht="12" customHeight="1">
      <c r="A61" s="155">
        <v>44315</v>
      </c>
      <c r="B61" s="112" t="s">
        <v>496</v>
      </c>
      <c r="C61" s="127" t="s">
        <v>485</v>
      </c>
      <c r="D61" s="112"/>
      <c r="E61" s="112" t="str">
        <f t="shared" si="0"/>
        <v>NATIONALUM</v>
      </c>
      <c r="F61" s="112"/>
      <c r="G61" s="112"/>
      <c r="H61" s="112"/>
      <c r="I61" s="127" t="s">
        <v>461</v>
      </c>
      <c r="J61" s="126" t="s">
        <v>483</v>
      </c>
      <c r="K61" s="127"/>
      <c r="L61" s="127"/>
      <c r="M61" s="128">
        <v>150</v>
      </c>
      <c r="N61" s="129">
        <v>63.5</v>
      </c>
      <c r="O61" s="130">
        <f t="shared" si="39"/>
        <v>0</v>
      </c>
      <c r="P61" s="130">
        <f>N61-O61</f>
        <v>63.5</v>
      </c>
      <c r="Q61" s="130"/>
      <c r="R61" s="130">
        <f t="shared" si="3"/>
        <v>9525</v>
      </c>
      <c r="S61" s="131">
        <f t="shared" si="4"/>
        <v>6.6133333333333336E-2</v>
      </c>
      <c r="T61" s="131">
        <f t="shared" si="41"/>
        <v>0</v>
      </c>
      <c r="U61" s="131">
        <f t="shared" si="36"/>
        <v>0.06</v>
      </c>
      <c r="V61" s="131">
        <f t="shared" si="62"/>
        <v>9.5299999999999994</v>
      </c>
      <c r="W61" s="131">
        <v>0</v>
      </c>
      <c r="X61" s="131">
        <f t="shared" si="63"/>
        <v>0.33</v>
      </c>
      <c r="Y61" s="131">
        <f t="shared" si="40"/>
        <v>0</v>
      </c>
      <c r="Z61" s="131">
        <f t="shared" si="10"/>
        <v>9.92</v>
      </c>
      <c r="AA61" s="132">
        <f>ROUND(R61-SUM(T61:Y61),2)</f>
        <v>9515.08</v>
      </c>
      <c r="AB61" s="133">
        <v>9515</v>
      </c>
      <c r="AC61" s="134">
        <f t="shared" si="48"/>
        <v>-7.999999999992724E-2</v>
      </c>
      <c r="AD61" s="125">
        <v>44315</v>
      </c>
      <c r="AE61" s="135">
        <f t="shared" si="13"/>
        <v>1.041E-3</v>
      </c>
      <c r="AF61" s="136">
        <f t="shared" si="14"/>
        <v>44315</v>
      </c>
      <c r="AG61" s="137" t="s">
        <v>416</v>
      </c>
      <c r="AH61" s="124"/>
    </row>
    <row r="62" spans="1:34" ht="12" customHeight="1">
      <c r="A62" s="154">
        <v>44316</v>
      </c>
      <c r="B62" s="140" t="s">
        <v>505</v>
      </c>
      <c r="C62" s="141" t="s">
        <v>485</v>
      </c>
      <c r="D62" s="140"/>
      <c r="E62" s="140" t="str">
        <f t="shared" si="0"/>
        <v>CARBORUNIV</v>
      </c>
      <c r="F62" s="140"/>
      <c r="G62" s="140"/>
      <c r="H62" s="140"/>
      <c r="I62" s="141" t="s">
        <v>467</v>
      </c>
      <c r="J62" s="139" t="s">
        <v>483</v>
      </c>
      <c r="K62" s="141"/>
      <c r="L62" s="141"/>
      <c r="M62" s="142">
        <v>20</v>
      </c>
      <c r="N62" s="143">
        <v>559</v>
      </c>
      <c r="O62" s="144">
        <f t="shared" si="39"/>
        <v>0</v>
      </c>
      <c r="P62" s="144">
        <f>N62+O62</f>
        <v>559</v>
      </c>
      <c r="Q62" s="144"/>
      <c r="R62" s="144">
        <f t="shared" si="3"/>
        <v>11180</v>
      </c>
      <c r="S62" s="145">
        <f t="shared" si="4"/>
        <v>0.66600000000000004</v>
      </c>
      <c r="T62" s="145">
        <f t="shared" si="41"/>
        <v>0</v>
      </c>
      <c r="U62" s="145">
        <f t="shared" si="36"/>
        <v>7.0000000000000007E-2</v>
      </c>
      <c r="V62" s="145">
        <f t="shared" si="62"/>
        <v>11.18</v>
      </c>
      <c r="W62" s="145">
        <f>ROUND(R62*F$1823,2)</f>
        <v>1.68</v>
      </c>
      <c r="X62" s="145">
        <f t="shared" si="63"/>
        <v>0.39</v>
      </c>
      <c r="Y62" s="145">
        <f t="shared" si="40"/>
        <v>0</v>
      </c>
      <c r="Z62" s="146">
        <f t="shared" si="10"/>
        <v>13.32</v>
      </c>
      <c r="AA62" s="147">
        <f>-ROUND(R62+SUM(T62:Y62),2)</f>
        <v>-11193.32</v>
      </c>
      <c r="AB62" s="148">
        <v>-11193</v>
      </c>
      <c r="AC62" s="149">
        <f t="shared" si="48"/>
        <v>0.31999999999970896</v>
      </c>
      <c r="AD62" s="138">
        <v>44320</v>
      </c>
      <c r="AE62" s="150">
        <f t="shared" si="13"/>
        <v>1.191E-3</v>
      </c>
      <c r="AF62" s="151">
        <f t="shared" si="14"/>
        <v>44320</v>
      </c>
      <c r="AG62" s="152" t="s">
        <v>416</v>
      </c>
      <c r="AH62" s="124"/>
    </row>
    <row r="63" spans="1:34" ht="12" customHeight="1">
      <c r="A63" s="155">
        <v>44320</v>
      </c>
      <c r="B63" s="112" t="s">
        <v>505</v>
      </c>
      <c r="C63" s="127" t="s">
        <v>485</v>
      </c>
      <c r="D63" s="112"/>
      <c r="E63" s="112" t="str">
        <f t="shared" si="0"/>
        <v>CARBORUNIV</v>
      </c>
      <c r="F63" s="112"/>
      <c r="G63" s="112"/>
      <c r="H63" s="112"/>
      <c r="I63" s="127" t="s">
        <v>461</v>
      </c>
      <c r="J63" s="126" t="s">
        <v>483</v>
      </c>
      <c r="K63" s="127"/>
      <c r="L63" s="127"/>
      <c r="M63" s="128">
        <v>20</v>
      </c>
      <c r="N63" s="129">
        <v>584</v>
      </c>
      <c r="O63" s="130">
        <f t="shared" si="39"/>
        <v>0</v>
      </c>
      <c r="P63" s="130">
        <f>N63-O63</f>
        <v>584</v>
      </c>
      <c r="Q63" s="130"/>
      <c r="R63" s="130">
        <f t="shared" si="3"/>
        <v>11680</v>
      </c>
      <c r="S63" s="131">
        <f t="shared" si="4"/>
        <v>0.60799999999999998</v>
      </c>
      <c r="T63" s="131">
        <f t="shared" ref="T63:T65" si="65">ROUND(O63*M63,2)+0.01</f>
        <v>0.01</v>
      </c>
      <c r="U63" s="131">
        <f t="shared" si="36"/>
        <v>7.0000000000000007E-2</v>
      </c>
      <c r="V63" s="131">
        <f t="shared" si="62"/>
        <v>11.68</v>
      </c>
      <c r="W63" s="131">
        <v>0</v>
      </c>
      <c r="X63" s="131">
        <f t="shared" si="63"/>
        <v>0.4</v>
      </c>
      <c r="Y63" s="131">
        <f t="shared" si="40"/>
        <v>0</v>
      </c>
      <c r="Z63" s="131">
        <f t="shared" si="10"/>
        <v>12.16</v>
      </c>
      <c r="AA63" s="132">
        <f>ROUND(R63-SUM(T63:Y63),2)</f>
        <v>11667.84</v>
      </c>
      <c r="AB63" s="133">
        <v>11668</v>
      </c>
      <c r="AC63" s="134">
        <f t="shared" si="48"/>
        <v>0.15999999999985448</v>
      </c>
      <c r="AD63" s="125">
        <v>44320</v>
      </c>
      <c r="AE63" s="135">
        <f t="shared" si="13"/>
        <v>1.041E-3</v>
      </c>
      <c r="AF63" s="136">
        <f t="shared" si="14"/>
        <v>44320</v>
      </c>
      <c r="AG63" s="137" t="s">
        <v>416</v>
      </c>
      <c r="AH63" s="124"/>
    </row>
    <row r="64" spans="1:34" ht="12" customHeight="1">
      <c r="A64" s="154">
        <v>44320</v>
      </c>
      <c r="B64" s="140" t="s">
        <v>506</v>
      </c>
      <c r="C64" s="141" t="s">
        <v>485</v>
      </c>
      <c r="D64" s="140"/>
      <c r="E64" s="140" t="str">
        <f t="shared" si="0"/>
        <v>HDFC</v>
      </c>
      <c r="F64" s="140"/>
      <c r="G64" s="140"/>
      <c r="H64" s="140"/>
      <c r="I64" s="141" t="s">
        <v>467</v>
      </c>
      <c r="J64" s="139" t="s">
        <v>483</v>
      </c>
      <c r="K64" s="141"/>
      <c r="L64" s="141"/>
      <c r="M64" s="142">
        <v>5</v>
      </c>
      <c r="N64" s="143">
        <v>2400</v>
      </c>
      <c r="O64" s="144">
        <f t="shared" si="39"/>
        <v>0</v>
      </c>
      <c r="P64" s="144">
        <f t="shared" ref="P64:P67" si="66">N64+O64</f>
        <v>2400</v>
      </c>
      <c r="Q64" s="144"/>
      <c r="R64" s="144">
        <f t="shared" si="3"/>
        <v>12000</v>
      </c>
      <c r="S64" s="145">
        <f t="shared" si="4"/>
        <v>2.8600000000000003</v>
      </c>
      <c r="T64" s="145">
        <f t="shared" si="65"/>
        <v>0.01</v>
      </c>
      <c r="U64" s="145">
        <f t="shared" si="36"/>
        <v>0.08</v>
      </c>
      <c r="V64" s="145">
        <f t="shared" si="62"/>
        <v>12</v>
      </c>
      <c r="W64" s="145">
        <f t="shared" ref="W64:W67" si="67">ROUND(R64*F$1823,2)</f>
        <v>1.8</v>
      </c>
      <c r="X64" s="145">
        <f t="shared" si="63"/>
        <v>0.41</v>
      </c>
      <c r="Y64" s="145">
        <f t="shared" si="40"/>
        <v>0</v>
      </c>
      <c r="Z64" s="146">
        <f t="shared" si="10"/>
        <v>14.3</v>
      </c>
      <c r="AA64" s="147">
        <f t="shared" ref="AA64:AA67" si="68">-ROUND(R64+SUM(T64:Y64),2)</f>
        <v>-12014.3</v>
      </c>
      <c r="AB64" s="148">
        <v>-12014</v>
      </c>
      <c r="AC64" s="149">
        <f t="shared" si="48"/>
        <v>0.2999999999992724</v>
      </c>
      <c r="AD64" s="138">
        <v>44322</v>
      </c>
      <c r="AE64" s="150">
        <f t="shared" si="13"/>
        <v>1.1919999999999999E-3</v>
      </c>
      <c r="AF64" s="151">
        <f t="shared" si="14"/>
        <v>44322</v>
      </c>
      <c r="AG64" s="152" t="s">
        <v>416</v>
      </c>
      <c r="AH64" s="124"/>
    </row>
    <row r="65" spans="1:34" ht="12" customHeight="1">
      <c r="A65" s="154">
        <v>44320</v>
      </c>
      <c r="B65" s="140" t="s">
        <v>507</v>
      </c>
      <c r="C65" s="141" t="s">
        <v>485</v>
      </c>
      <c r="D65" s="140"/>
      <c r="E65" s="140" t="str">
        <f t="shared" si="0"/>
        <v>IDFC</v>
      </c>
      <c r="F65" s="140"/>
      <c r="G65" s="140"/>
      <c r="H65" s="140"/>
      <c r="I65" s="141" t="s">
        <v>467</v>
      </c>
      <c r="J65" s="139" t="s">
        <v>483</v>
      </c>
      <c r="K65" s="141"/>
      <c r="L65" s="141"/>
      <c r="M65" s="142">
        <v>100</v>
      </c>
      <c r="N65" s="143">
        <v>53.6</v>
      </c>
      <c r="O65" s="144">
        <f t="shared" si="39"/>
        <v>0</v>
      </c>
      <c r="P65" s="144">
        <f t="shared" si="66"/>
        <v>53.6</v>
      </c>
      <c r="Q65" s="144"/>
      <c r="R65" s="144">
        <f t="shared" si="3"/>
        <v>5360</v>
      </c>
      <c r="S65" s="145">
        <f t="shared" si="4"/>
        <v>6.3799999999999996E-2</v>
      </c>
      <c r="T65" s="145">
        <f t="shared" si="65"/>
        <v>0.01</v>
      </c>
      <c r="U65" s="145">
        <f t="shared" si="36"/>
        <v>0.03</v>
      </c>
      <c r="V65" s="145">
        <f t="shared" si="62"/>
        <v>5.36</v>
      </c>
      <c r="W65" s="145">
        <f t="shared" si="67"/>
        <v>0.8</v>
      </c>
      <c r="X65" s="145">
        <f t="shared" si="63"/>
        <v>0.18</v>
      </c>
      <c r="Y65" s="145">
        <f t="shared" si="40"/>
        <v>0</v>
      </c>
      <c r="Z65" s="146">
        <f t="shared" si="10"/>
        <v>6.38</v>
      </c>
      <c r="AA65" s="147">
        <f t="shared" si="68"/>
        <v>-5366.38</v>
      </c>
      <c r="AB65" s="148">
        <v>-5367</v>
      </c>
      <c r="AC65" s="149">
        <f t="shared" si="48"/>
        <v>-0.61999999999989086</v>
      </c>
      <c r="AD65" s="138">
        <v>44322</v>
      </c>
      <c r="AE65" s="150">
        <f t="shared" si="13"/>
        <v>1.1900000000000001E-3</v>
      </c>
      <c r="AF65" s="151">
        <f t="shared" si="14"/>
        <v>44322</v>
      </c>
      <c r="AG65" s="152" t="s">
        <v>416</v>
      </c>
      <c r="AH65" s="124"/>
    </row>
    <row r="66" spans="1:34" ht="12" customHeight="1">
      <c r="A66" s="154">
        <v>44321</v>
      </c>
      <c r="B66" s="140" t="s">
        <v>508</v>
      </c>
      <c r="C66" s="141" t="s">
        <v>485</v>
      </c>
      <c r="D66" s="140"/>
      <c r="E66" s="140" t="str">
        <f t="shared" si="0"/>
        <v>BIOCON</v>
      </c>
      <c r="F66" s="140"/>
      <c r="G66" s="140"/>
      <c r="H66" s="140"/>
      <c r="I66" s="141" t="s">
        <v>467</v>
      </c>
      <c r="J66" s="139" t="s">
        <v>483</v>
      </c>
      <c r="K66" s="141"/>
      <c r="L66" s="141"/>
      <c r="M66" s="142">
        <v>25</v>
      </c>
      <c r="N66" s="143">
        <v>380</v>
      </c>
      <c r="O66" s="144">
        <f t="shared" si="39"/>
        <v>0</v>
      </c>
      <c r="P66" s="144">
        <f t="shared" si="66"/>
        <v>380</v>
      </c>
      <c r="Q66" s="144"/>
      <c r="R66" s="144">
        <f t="shared" si="3"/>
        <v>9500</v>
      </c>
      <c r="S66" s="145">
        <f t="shared" si="4"/>
        <v>0.45280000000000004</v>
      </c>
      <c r="T66" s="145">
        <f t="shared" ref="T66:T67" si="69">ROUND(O66*M66,2)</f>
        <v>0</v>
      </c>
      <c r="U66" s="145">
        <f t="shared" si="36"/>
        <v>0.06</v>
      </c>
      <c r="V66" s="145">
        <f t="shared" si="62"/>
        <v>9.5</v>
      </c>
      <c r="W66" s="145">
        <f t="shared" si="67"/>
        <v>1.43</v>
      </c>
      <c r="X66" s="145">
        <f t="shared" si="63"/>
        <v>0.33</v>
      </c>
      <c r="Y66" s="145">
        <f t="shared" si="40"/>
        <v>0</v>
      </c>
      <c r="Z66" s="146">
        <f t="shared" si="10"/>
        <v>11.32</v>
      </c>
      <c r="AA66" s="147">
        <f t="shared" si="68"/>
        <v>-9511.32</v>
      </c>
      <c r="AB66" s="148">
        <v>-9511</v>
      </c>
      <c r="AC66" s="149">
        <f t="shared" si="48"/>
        <v>0.31999999999970896</v>
      </c>
      <c r="AD66" s="138">
        <v>44323</v>
      </c>
      <c r="AE66" s="150">
        <f t="shared" si="13"/>
        <v>1.1919999999999999E-3</v>
      </c>
      <c r="AF66" s="151">
        <f t="shared" si="14"/>
        <v>44323</v>
      </c>
      <c r="AG66" s="152" t="s">
        <v>416</v>
      </c>
      <c r="AH66" s="124"/>
    </row>
    <row r="67" spans="1:34" ht="12" customHeight="1">
      <c r="A67" s="154">
        <v>44321</v>
      </c>
      <c r="B67" s="140" t="s">
        <v>509</v>
      </c>
      <c r="C67" s="141" t="s">
        <v>485</v>
      </c>
      <c r="D67" s="140"/>
      <c r="E67" s="140" t="str">
        <f t="shared" si="0"/>
        <v>DWARKESH</v>
      </c>
      <c r="F67" s="140"/>
      <c r="G67" s="140"/>
      <c r="H67" s="140"/>
      <c r="I67" s="141" t="s">
        <v>467</v>
      </c>
      <c r="J67" s="139" t="s">
        <v>483</v>
      </c>
      <c r="K67" s="141"/>
      <c r="L67" s="141"/>
      <c r="M67" s="142">
        <v>100</v>
      </c>
      <c r="N67" s="143">
        <v>49.5</v>
      </c>
      <c r="O67" s="144">
        <f t="shared" si="39"/>
        <v>0</v>
      </c>
      <c r="P67" s="144">
        <f t="shared" si="66"/>
        <v>49.5</v>
      </c>
      <c r="Q67" s="144"/>
      <c r="R67" s="144">
        <f t="shared" si="3"/>
        <v>4950</v>
      </c>
      <c r="S67" s="145">
        <f t="shared" si="4"/>
        <v>5.8900000000000008E-2</v>
      </c>
      <c r="T67" s="145">
        <f t="shared" si="69"/>
        <v>0</v>
      </c>
      <c r="U67" s="145">
        <f t="shared" si="36"/>
        <v>0.03</v>
      </c>
      <c r="V67" s="145">
        <f t="shared" si="62"/>
        <v>4.95</v>
      </c>
      <c r="W67" s="145">
        <f t="shared" si="67"/>
        <v>0.74</v>
      </c>
      <c r="X67" s="145">
        <f t="shared" si="63"/>
        <v>0.17</v>
      </c>
      <c r="Y67" s="145">
        <f t="shared" si="40"/>
        <v>0</v>
      </c>
      <c r="Z67" s="146">
        <f t="shared" si="10"/>
        <v>5.8900000000000006</v>
      </c>
      <c r="AA67" s="147">
        <f t="shared" si="68"/>
        <v>-4955.8900000000003</v>
      </c>
      <c r="AB67" s="148">
        <v>-4956</v>
      </c>
      <c r="AC67" s="149">
        <f t="shared" si="48"/>
        <v>-0.10999999999967258</v>
      </c>
      <c r="AD67" s="138">
        <v>44323</v>
      </c>
      <c r="AE67" s="150">
        <f t="shared" si="13"/>
        <v>1.1900000000000001E-3</v>
      </c>
      <c r="AF67" s="151">
        <f t="shared" si="14"/>
        <v>44323</v>
      </c>
      <c r="AG67" s="152" t="s">
        <v>416</v>
      </c>
      <c r="AH67" s="124"/>
    </row>
    <row r="68" spans="1:34" ht="12" customHeight="1">
      <c r="A68" s="155">
        <v>44322</v>
      </c>
      <c r="B68" s="112" t="s">
        <v>506</v>
      </c>
      <c r="C68" s="127" t="s">
        <v>485</v>
      </c>
      <c r="D68" s="112"/>
      <c r="E68" s="112" t="str">
        <f t="shared" si="0"/>
        <v>HDFC</v>
      </c>
      <c r="F68" s="112"/>
      <c r="G68" s="112"/>
      <c r="H68" s="112"/>
      <c r="I68" s="127" t="s">
        <v>461</v>
      </c>
      <c r="J68" s="126" t="s">
        <v>483</v>
      </c>
      <c r="K68" s="127"/>
      <c r="L68" s="127"/>
      <c r="M68" s="128">
        <v>5</v>
      </c>
      <c r="N68" s="129">
        <v>2410</v>
      </c>
      <c r="O68" s="130">
        <f t="shared" si="39"/>
        <v>0</v>
      </c>
      <c r="P68" s="130">
        <f>N68-O68</f>
        <v>2410</v>
      </c>
      <c r="Q68" s="130"/>
      <c r="R68" s="130">
        <f t="shared" si="3"/>
        <v>12050</v>
      </c>
      <c r="S68" s="131">
        <f t="shared" si="4"/>
        <v>2.512</v>
      </c>
      <c r="T68" s="131">
        <f t="shared" ref="T68:T70" si="70">ROUND(O68*M68,2)+0.01</f>
        <v>0.01</v>
      </c>
      <c r="U68" s="131">
        <f t="shared" si="36"/>
        <v>0.08</v>
      </c>
      <c r="V68" s="131">
        <f t="shared" si="62"/>
        <v>12.05</v>
      </c>
      <c r="W68" s="131">
        <v>0</v>
      </c>
      <c r="X68" s="131">
        <f t="shared" si="63"/>
        <v>0.42</v>
      </c>
      <c r="Y68" s="131">
        <f t="shared" si="40"/>
        <v>0</v>
      </c>
      <c r="Z68" s="131">
        <f t="shared" si="10"/>
        <v>12.56</v>
      </c>
      <c r="AA68" s="132">
        <f>ROUND(R68-SUM(T68:Y68),2)</f>
        <v>12037.44</v>
      </c>
      <c r="AB68" s="133">
        <v>12037</v>
      </c>
      <c r="AC68" s="134">
        <f t="shared" si="48"/>
        <v>-0.44000000000050932</v>
      </c>
      <c r="AD68" s="125">
        <v>44322</v>
      </c>
      <c r="AE68" s="135">
        <f t="shared" si="13"/>
        <v>1.042E-3</v>
      </c>
      <c r="AF68" s="136">
        <f t="shared" si="14"/>
        <v>44322</v>
      </c>
      <c r="AG68" s="137" t="s">
        <v>416</v>
      </c>
      <c r="AH68" s="124"/>
    </row>
    <row r="69" spans="1:34" ht="12" customHeight="1">
      <c r="A69" s="154">
        <v>44322</v>
      </c>
      <c r="B69" s="140" t="s">
        <v>500</v>
      </c>
      <c r="C69" s="141" t="s">
        <v>485</v>
      </c>
      <c r="D69" s="140"/>
      <c r="E69" s="140" t="str">
        <f t="shared" si="0"/>
        <v>CHOLAFIN</v>
      </c>
      <c r="F69" s="140"/>
      <c r="G69" s="140"/>
      <c r="H69" s="140"/>
      <c r="I69" s="141" t="s">
        <v>467</v>
      </c>
      <c r="J69" s="139" t="s">
        <v>483</v>
      </c>
      <c r="K69" s="141"/>
      <c r="L69" s="141"/>
      <c r="M69" s="142">
        <v>10</v>
      </c>
      <c r="N69" s="143">
        <v>574.9</v>
      </c>
      <c r="O69" s="144">
        <f t="shared" si="39"/>
        <v>0</v>
      </c>
      <c r="P69" s="144">
        <f t="shared" ref="P69:P72" si="71">N69+O69</f>
        <v>574.9</v>
      </c>
      <c r="Q69" s="144"/>
      <c r="R69" s="144">
        <f t="shared" si="3"/>
        <v>5749</v>
      </c>
      <c r="S69" s="145">
        <f t="shared" si="4"/>
        <v>0.68100000000000005</v>
      </c>
      <c r="T69" s="145">
        <f t="shared" si="70"/>
        <v>0.01</v>
      </c>
      <c r="U69" s="145">
        <f t="shared" si="36"/>
        <v>0.03</v>
      </c>
      <c r="V69" s="145">
        <f t="shared" si="62"/>
        <v>5.75</v>
      </c>
      <c r="W69" s="145">
        <f t="shared" ref="W69:W72" si="72">ROUND(R69*F$1823,2)</f>
        <v>0.86</v>
      </c>
      <c r="X69" s="145">
        <f t="shared" ref="X69:X70" si="73">ROUND(R69*G$1820,2)</f>
        <v>0.16</v>
      </c>
      <c r="Y69" s="145">
        <f t="shared" si="40"/>
        <v>0</v>
      </c>
      <c r="Z69" s="146">
        <f t="shared" si="10"/>
        <v>6.8100000000000005</v>
      </c>
      <c r="AA69" s="147">
        <f t="shared" ref="AA69:AA72" si="74">-ROUND(R69+SUM(T69:Y69),2)</f>
        <v>-5755.81</v>
      </c>
      <c r="AB69" s="148">
        <v>-5756</v>
      </c>
      <c r="AC69" s="149">
        <f t="shared" si="48"/>
        <v>-0.18999999999959982</v>
      </c>
      <c r="AD69" s="138">
        <v>44326</v>
      </c>
      <c r="AE69" s="150">
        <f t="shared" si="13"/>
        <v>1.1850000000000001E-3</v>
      </c>
      <c r="AF69" s="151">
        <f t="shared" si="14"/>
        <v>44326</v>
      </c>
      <c r="AG69" s="152" t="s">
        <v>416</v>
      </c>
      <c r="AH69" s="124"/>
    </row>
    <row r="70" spans="1:34" ht="12" customHeight="1">
      <c r="A70" s="154">
        <v>44322</v>
      </c>
      <c r="B70" s="140" t="s">
        <v>495</v>
      </c>
      <c r="C70" s="141" t="s">
        <v>485</v>
      </c>
      <c r="D70" s="140"/>
      <c r="E70" s="140" t="str">
        <f t="shared" si="0"/>
        <v>SAIL</v>
      </c>
      <c r="F70" s="140"/>
      <c r="G70" s="140"/>
      <c r="H70" s="140"/>
      <c r="I70" s="141" t="s">
        <v>467</v>
      </c>
      <c r="J70" s="139" t="s">
        <v>483</v>
      </c>
      <c r="K70" s="141"/>
      <c r="L70" s="141"/>
      <c r="M70" s="142">
        <v>50</v>
      </c>
      <c r="N70" s="143">
        <v>131</v>
      </c>
      <c r="O70" s="144">
        <f t="shared" si="39"/>
        <v>0</v>
      </c>
      <c r="P70" s="144">
        <f t="shared" si="71"/>
        <v>131</v>
      </c>
      <c r="Q70" s="144"/>
      <c r="R70" s="144">
        <f t="shared" si="3"/>
        <v>6550</v>
      </c>
      <c r="S70" s="145">
        <f t="shared" si="4"/>
        <v>0.155</v>
      </c>
      <c r="T70" s="145">
        <f t="shared" si="70"/>
        <v>0.01</v>
      </c>
      <c r="U70" s="145">
        <f t="shared" si="36"/>
        <v>0.03</v>
      </c>
      <c r="V70" s="145">
        <f t="shared" si="62"/>
        <v>6.55</v>
      </c>
      <c r="W70" s="145">
        <f t="shared" si="72"/>
        <v>0.98</v>
      </c>
      <c r="X70" s="145">
        <f t="shared" si="73"/>
        <v>0.18</v>
      </c>
      <c r="Y70" s="145">
        <f t="shared" si="40"/>
        <v>0</v>
      </c>
      <c r="Z70" s="146">
        <f t="shared" si="10"/>
        <v>7.75</v>
      </c>
      <c r="AA70" s="147">
        <f t="shared" si="74"/>
        <v>-6557.75</v>
      </c>
      <c r="AB70" s="148">
        <v>-6558</v>
      </c>
      <c r="AC70" s="149">
        <f t="shared" si="48"/>
        <v>-0.25</v>
      </c>
      <c r="AD70" s="138">
        <v>44326</v>
      </c>
      <c r="AE70" s="150">
        <f t="shared" si="13"/>
        <v>1.183E-3</v>
      </c>
      <c r="AF70" s="151">
        <f t="shared" si="14"/>
        <v>44326</v>
      </c>
      <c r="AG70" s="152" t="s">
        <v>416</v>
      </c>
      <c r="AH70" s="124"/>
    </row>
    <row r="71" spans="1:34" ht="12" customHeight="1">
      <c r="A71" s="154">
        <v>44323</v>
      </c>
      <c r="B71" s="140" t="s">
        <v>510</v>
      </c>
      <c r="C71" s="141" t="s">
        <v>485</v>
      </c>
      <c r="D71" s="140"/>
      <c r="E71" s="140" t="str">
        <f t="shared" si="0"/>
        <v>CYBERTECH</v>
      </c>
      <c r="F71" s="140"/>
      <c r="G71" s="140"/>
      <c r="H71" s="140"/>
      <c r="I71" s="141" t="s">
        <v>467</v>
      </c>
      <c r="J71" s="139" t="s">
        <v>483</v>
      </c>
      <c r="K71" s="141"/>
      <c r="L71" s="141"/>
      <c r="M71" s="142">
        <v>50</v>
      </c>
      <c r="N71" s="143">
        <v>157.5</v>
      </c>
      <c r="O71" s="144">
        <f t="shared" si="39"/>
        <v>0</v>
      </c>
      <c r="P71" s="144">
        <f t="shared" si="71"/>
        <v>157.5</v>
      </c>
      <c r="Q71" s="144"/>
      <c r="R71" s="144">
        <f t="shared" si="3"/>
        <v>7875</v>
      </c>
      <c r="S71" s="145">
        <f t="shared" si="4"/>
        <v>0.18759999999999999</v>
      </c>
      <c r="T71" s="145">
        <f t="shared" ref="T71:T838" si="75">ROUND(O71*M71,2)</f>
        <v>0</v>
      </c>
      <c r="U71" s="145">
        <f t="shared" si="36"/>
        <v>0.05</v>
      </c>
      <c r="V71" s="145">
        <f t="shared" si="62"/>
        <v>7.88</v>
      </c>
      <c r="W71" s="145">
        <f t="shared" si="72"/>
        <v>1.18</v>
      </c>
      <c r="X71" s="145">
        <f t="shared" ref="X71:X87" si="76">ROUND(R71*H$1820,2)</f>
        <v>0.27</v>
      </c>
      <c r="Y71" s="145">
        <f t="shared" si="40"/>
        <v>0</v>
      </c>
      <c r="Z71" s="146">
        <f t="shared" si="10"/>
        <v>9.379999999999999</v>
      </c>
      <c r="AA71" s="147">
        <f t="shared" si="74"/>
        <v>-7884.38</v>
      </c>
      <c r="AB71" s="148">
        <v>-7884</v>
      </c>
      <c r="AC71" s="149">
        <f t="shared" si="48"/>
        <v>0.38000000000010914</v>
      </c>
      <c r="AD71" s="138">
        <v>44327</v>
      </c>
      <c r="AE71" s="150">
        <f t="shared" si="13"/>
        <v>1.191E-3</v>
      </c>
      <c r="AF71" s="151">
        <f t="shared" si="14"/>
        <v>44327</v>
      </c>
      <c r="AG71" s="152" t="s">
        <v>416</v>
      </c>
      <c r="AH71" s="124"/>
    </row>
    <row r="72" spans="1:34" ht="12" customHeight="1">
      <c r="A72" s="154">
        <v>44323</v>
      </c>
      <c r="B72" s="140" t="s">
        <v>511</v>
      </c>
      <c r="C72" s="141" t="s">
        <v>485</v>
      </c>
      <c r="D72" s="140"/>
      <c r="E72" s="140" t="str">
        <f t="shared" si="0"/>
        <v>MMTC</v>
      </c>
      <c r="F72" s="140"/>
      <c r="G72" s="140"/>
      <c r="H72" s="140"/>
      <c r="I72" s="141" t="s">
        <v>467</v>
      </c>
      <c r="J72" s="139" t="s">
        <v>483</v>
      </c>
      <c r="K72" s="141"/>
      <c r="L72" s="141"/>
      <c r="M72" s="142">
        <v>100</v>
      </c>
      <c r="N72" s="143">
        <v>46.1</v>
      </c>
      <c r="O72" s="144">
        <f t="shared" si="39"/>
        <v>0</v>
      </c>
      <c r="P72" s="144">
        <f t="shared" si="71"/>
        <v>46.1</v>
      </c>
      <c r="Q72" s="144"/>
      <c r="R72" s="144">
        <f t="shared" si="3"/>
        <v>4610</v>
      </c>
      <c r="S72" s="145">
        <f t="shared" si="4"/>
        <v>5.4900000000000004E-2</v>
      </c>
      <c r="T72" s="145">
        <f t="shared" si="75"/>
        <v>0</v>
      </c>
      <c r="U72" s="145">
        <f t="shared" si="36"/>
        <v>0.03</v>
      </c>
      <c r="V72" s="145">
        <f t="shared" si="62"/>
        <v>4.6100000000000003</v>
      </c>
      <c r="W72" s="145">
        <f t="shared" si="72"/>
        <v>0.69</v>
      </c>
      <c r="X72" s="145">
        <f t="shared" si="76"/>
        <v>0.16</v>
      </c>
      <c r="Y72" s="145">
        <f t="shared" si="40"/>
        <v>0</v>
      </c>
      <c r="Z72" s="146">
        <f t="shared" si="10"/>
        <v>5.49</v>
      </c>
      <c r="AA72" s="147">
        <f t="shared" si="74"/>
        <v>-4615.49</v>
      </c>
      <c r="AB72" s="148">
        <v>-4616</v>
      </c>
      <c r="AC72" s="149">
        <f t="shared" si="48"/>
        <v>-0.51000000000021828</v>
      </c>
      <c r="AD72" s="138">
        <v>44327</v>
      </c>
      <c r="AE72" s="150">
        <f t="shared" si="13"/>
        <v>1.191E-3</v>
      </c>
      <c r="AF72" s="151">
        <f t="shared" si="14"/>
        <v>44327</v>
      </c>
      <c r="AG72" s="152" t="s">
        <v>416</v>
      </c>
      <c r="AH72" s="124"/>
    </row>
    <row r="73" spans="1:34" ht="12" customHeight="1">
      <c r="A73" s="155">
        <v>44323</v>
      </c>
      <c r="B73" s="112" t="s">
        <v>495</v>
      </c>
      <c r="C73" s="127" t="s">
        <v>485</v>
      </c>
      <c r="D73" s="112"/>
      <c r="E73" s="112" t="str">
        <f t="shared" si="0"/>
        <v>SAIL</v>
      </c>
      <c r="F73" s="112"/>
      <c r="G73" s="112"/>
      <c r="H73" s="112"/>
      <c r="I73" s="127" t="s">
        <v>461</v>
      </c>
      <c r="J73" s="126" t="s">
        <v>483</v>
      </c>
      <c r="K73" s="127"/>
      <c r="L73" s="127"/>
      <c r="M73" s="128">
        <v>50</v>
      </c>
      <c r="N73" s="129">
        <v>144.25</v>
      </c>
      <c r="O73" s="130">
        <f t="shared" si="39"/>
        <v>0</v>
      </c>
      <c r="P73" s="130">
        <f t="shared" ref="P73:P77" si="77">N73-O73</f>
        <v>144.25</v>
      </c>
      <c r="Q73" s="130"/>
      <c r="R73" s="130">
        <f t="shared" si="3"/>
        <v>7212.5</v>
      </c>
      <c r="S73" s="131">
        <f t="shared" si="4"/>
        <v>0.1502</v>
      </c>
      <c r="T73" s="131">
        <f t="shared" si="75"/>
        <v>0</v>
      </c>
      <c r="U73" s="131">
        <f t="shared" si="36"/>
        <v>0.05</v>
      </c>
      <c r="V73" s="131">
        <f t="shared" si="62"/>
        <v>7.21</v>
      </c>
      <c r="W73" s="131">
        <v>0</v>
      </c>
      <c r="X73" s="131">
        <f t="shared" si="76"/>
        <v>0.25</v>
      </c>
      <c r="Y73" s="131">
        <f t="shared" si="40"/>
        <v>0</v>
      </c>
      <c r="Z73" s="131">
        <f t="shared" si="10"/>
        <v>7.51</v>
      </c>
      <c r="AA73" s="132">
        <f t="shared" ref="AA73:AA77" si="78">ROUND(R73-SUM(T73:Y73),2)</f>
        <v>7204.99</v>
      </c>
      <c r="AB73" s="133">
        <f>6848+357</f>
        <v>7205</v>
      </c>
      <c r="AC73" s="134">
        <f t="shared" si="48"/>
        <v>1.0000000000218279E-2</v>
      </c>
      <c r="AD73" s="125">
        <v>44326</v>
      </c>
      <c r="AE73" s="135">
        <f t="shared" si="13"/>
        <v>1.041E-3</v>
      </c>
      <c r="AF73" s="136">
        <f t="shared" si="14"/>
        <v>44326</v>
      </c>
      <c r="AG73" s="137" t="s">
        <v>416</v>
      </c>
      <c r="AH73" s="124"/>
    </row>
    <row r="74" spans="1:34" ht="12" customHeight="1">
      <c r="A74" s="155">
        <v>44326</v>
      </c>
      <c r="B74" s="112" t="s">
        <v>509</v>
      </c>
      <c r="C74" s="127" t="s">
        <v>485</v>
      </c>
      <c r="D74" s="112"/>
      <c r="E74" s="112" t="str">
        <f t="shared" si="0"/>
        <v>DWARKESH</v>
      </c>
      <c r="F74" s="112"/>
      <c r="G74" s="112"/>
      <c r="H74" s="112"/>
      <c r="I74" s="127" t="s">
        <v>461</v>
      </c>
      <c r="J74" s="126" t="s">
        <v>483</v>
      </c>
      <c r="K74" s="127"/>
      <c r="L74" s="127"/>
      <c r="M74" s="128">
        <v>100</v>
      </c>
      <c r="N74" s="129">
        <v>53.85</v>
      </c>
      <c r="O74" s="130">
        <f t="shared" si="39"/>
        <v>0</v>
      </c>
      <c r="P74" s="130">
        <f t="shared" si="77"/>
        <v>53.85</v>
      </c>
      <c r="Q74" s="130"/>
      <c r="R74" s="130">
        <f t="shared" si="3"/>
        <v>5385</v>
      </c>
      <c r="S74" s="131">
        <f t="shared" si="4"/>
        <v>5.62E-2</v>
      </c>
      <c r="T74" s="131">
        <f t="shared" si="75"/>
        <v>0</v>
      </c>
      <c r="U74" s="131">
        <f t="shared" si="36"/>
        <v>0.03</v>
      </c>
      <c r="V74" s="131">
        <f t="shared" si="62"/>
        <v>5.39</v>
      </c>
      <c r="W74" s="131">
        <v>0</v>
      </c>
      <c r="X74" s="131">
        <f t="shared" si="76"/>
        <v>0.19</v>
      </c>
      <c r="Y74" s="131">
        <f>ROUND(R74*C$1826,2)</f>
        <v>0.01</v>
      </c>
      <c r="Z74" s="131">
        <f t="shared" si="10"/>
        <v>5.62</v>
      </c>
      <c r="AA74" s="132">
        <f t="shared" si="78"/>
        <v>5379.38</v>
      </c>
      <c r="AB74" s="133">
        <v>5379</v>
      </c>
      <c r="AC74" s="134">
        <f t="shared" si="48"/>
        <v>-0.38000000000010914</v>
      </c>
      <c r="AD74" s="125">
        <v>44326</v>
      </c>
      <c r="AE74" s="135">
        <f t="shared" si="13"/>
        <v>1.044E-3</v>
      </c>
      <c r="AF74" s="136">
        <f t="shared" si="14"/>
        <v>44326</v>
      </c>
      <c r="AG74" s="137" t="s">
        <v>416</v>
      </c>
      <c r="AH74" s="124"/>
    </row>
    <row r="75" spans="1:34" ht="12" customHeight="1">
      <c r="A75" s="155">
        <v>44326</v>
      </c>
      <c r="B75" s="112" t="s">
        <v>497</v>
      </c>
      <c r="C75" s="127" t="s">
        <v>485</v>
      </c>
      <c r="D75" s="112"/>
      <c r="E75" s="112" t="str">
        <f t="shared" si="0"/>
        <v>GHCL</v>
      </c>
      <c r="F75" s="112"/>
      <c r="G75" s="112"/>
      <c r="H75" s="112"/>
      <c r="I75" s="127" t="s">
        <v>461</v>
      </c>
      <c r="J75" s="126" t="s">
        <v>483</v>
      </c>
      <c r="K75" s="127"/>
      <c r="L75" s="127"/>
      <c r="M75" s="128">
        <v>100</v>
      </c>
      <c r="N75" s="129">
        <v>251</v>
      </c>
      <c r="O75" s="130">
        <f t="shared" si="39"/>
        <v>0</v>
      </c>
      <c r="P75" s="130">
        <f t="shared" si="77"/>
        <v>251</v>
      </c>
      <c r="Q75" s="130"/>
      <c r="R75" s="130">
        <f t="shared" si="3"/>
        <v>25100</v>
      </c>
      <c r="S75" s="131">
        <f t="shared" si="4"/>
        <v>0.26130000000000003</v>
      </c>
      <c r="T75" s="131">
        <f t="shared" si="75"/>
        <v>0</v>
      </c>
      <c r="U75" s="131">
        <f t="shared" si="36"/>
        <v>0.16</v>
      </c>
      <c r="V75" s="131">
        <f t="shared" si="62"/>
        <v>25.1</v>
      </c>
      <c r="W75" s="131">
        <v>0</v>
      </c>
      <c r="X75" s="131">
        <f t="shared" si="76"/>
        <v>0.87</v>
      </c>
      <c r="Y75" s="131">
        <f t="shared" ref="Y75:Y76" si="79">ROUND(R75*K$1826,2)</f>
        <v>0</v>
      </c>
      <c r="Z75" s="131">
        <f t="shared" si="10"/>
        <v>26.130000000000003</v>
      </c>
      <c r="AA75" s="132">
        <f t="shared" si="78"/>
        <v>25073.87</v>
      </c>
      <c r="AB75" s="133">
        <v>25074</v>
      </c>
      <c r="AC75" s="134">
        <f t="shared" si="48"/>
        <v>0.13000000000101863</v>
      </c>
      <c r="AD75" s="125">
        <v>44326</v>
      </c>
      <c r="AE75" s="135">
        <f t="shared" si="13"/>
        <v>1.041E-3</v>
      </c>
      <c r="AF75" s="136">
        <f t="shared" si="14"/>
        <v>44326</v>
      </c>
      <c r="AG75" s="137" t="s">
        <v>416</v>
      </c>
      <c r="AH75" s="124"/>
    </row>
    <row r="76" spans="1:34" ht="12" customHeight="1">
      <c r="A76" s="155">
        <v>44326</v>
      </c>
      <c r="B76" s="112" t="s">
        <v>512</v>
      </c>
      <c r="C76" s="127" t="s">
        <v>485</v>
      </c>
      <c r="D76" s="112"/>
      <c r="E76" s="112" t="str">
        <f t="shared" si="0"/>
        <v>IRFC</v>
      </c>
      <c r="F76" s="112"/>
      <c r="G76" s="112"/>
      <c r="H76" s="112"/>
      <c r="I76" s="127" t="s">
        <v>461</v>
      </c>
      <c r="J76" s="126" t="s">
        <v>483</v>
      </c>
      <c r="K76" s="127"/>
      <c r="L76" s="127"/>
      <c r="M76" s="128">
        <v>1075</v>
      </c>
      <c r="N76" s="129">
        <v>21.2</v>
      </c>
      <c r="O76" s="130">
        <f t="shared" si="39"/>
        <v>0</v>
      </c>
      <c r="P76" s="130">
        <f t="shared" si="77"/>
        <v>21.2</v>
      </c>
      <c r="Q76" s="130"/>
      <c r="R76" s="130">
        <f t="shared" si="3"/>
        <v>22790</v>
      </c>
      <c r="S76" s="131">
        <f t="shared" si="4"/>
        <v>2.2065116279069766E-2</v>
      </c>
      <c r="T76" s="131">
        <f t="shared" si="75"/>
        <v>0</v>
      </c>
      <c r="U76" s="131">
        <f t="shared" si="36"/>
        <v>0.14000000000000001</v>
      </c>
      <c r="V76" s="131">
        <f t="shared" si="62"/>
        <v>22.79</v>
      </c>
      <c r="W76" s="131">
        <v>0</v>
      </c>
      <c r="X76" s="131">
        <f t="shared" si="76"/>
        <v>0.79</v>
      </c>
      <c r="Y76" s="131">
        <f t="shared" si="79"/>
        <v>0</v>
      </c>
      <c r="Z76" s="131">
        <f t="shared" si="10"/>
        <v>23.72</v>
      </c>
      <c r="AA76" s="132">
        <f t="shared" si="78"/>
        <v>22766.28</v>
      </c>
      <c r="AB76" s="133">
        <v>22766</v>
      </c>
      <c r="AC76" s="134">
        <f t="shared" si="48"/>
        <v>-0.27999999999883585</v>
      </c>
      <c r="AD76" s="125">
        <v>44326</v>
      </c>
      <c r="AE76" s="135">
        <f t="shared" si="13"/>
        <v>1.041E-3</v>
      </c>
      <c r="AF76" s="136">
        <f t="shared" si="14"/>
        <v>44326</v>
      </c>
      <c r="AG76" s="137" t="s">
        <v>416</v>
      </c>
      <c r="AH76" s="124"/>
    </row>
    <row r="77" spans="1:34" ht="12" customHeight="1">
      <c r="A77" s="155">
        <v>44327</v>
      </c>
      <c r="B77" s="112" t="s">
        <v>471</v>
      </c>
      <c r="C77" s="127" t="s">
        <v>460</v>
      </c>
      <c r="D77" s="112"/>
      <c r="E77" s="112" t="str">
        <f t="shared" si="0"/>
        <v>BHEL</v>
      </c>
      <c r="F77" s="112"/>
      <c r="G77" s="112"/>
      <c r="H77" s="112"/>
      <c r="I77" s="127" t="s">
        <v>461</v>
      </c>
      <c r="J77" s="126" t="s">
        <v>483</v>
      </c>
      <c r="K77" s="127"/>
      <c r="L77" s="127"/>
      <c r="M77" s="128">
        <v>72</v>
      </c>
      <c r="N77" s="129">
        <v>70.25</v>
      </c>
      <c r="O77" s="130">
        <f t="shared" si="39"/>
        <v>0</v>
      </c>
      <c r="P77" s="130">
        <f t="shared" si="77"/>
        <v>70.25</v>
      </c>
      <c r="Q77" s="130"/>
      <c r="R77" s="130">
        <f t="shared" si="3"/>
        <v>5058</v>
      </c>
      <c r="S77" s="131">
        <f t="shared" si="4"/>
        <v>7.3194444444444437E-2</v>
      </c>
      <c r="T77" s="131">
        <f t="shared" si="75"/>
        <v>0</v>
      </c>
      <c r="U77" s="131">
        <f t="shared" si="36"/>
        <v>0.03</v>
      </c>
      <c r="V77" s="131">
        <f t="shared" si="62"/>
        <v>5.0599999999999996</v>
      </c>
      <c r="W77" s="131">
        <v>0</v>
      </c>
      <c r="X77" s="131">
        <f t="shared" si="76"/>
        <v>0.17</v>
      </c>
      <c r="Y77" s="131">
        <f t="shared" ref="Y77:Y90" si="80">ROUND(R77*C$1826,2)</f>
        <v>0.01</v>
      </c>
      <c r="Z77" s="131">
        <f t="shared" si="10"/>
        <v>5.27</v>
      </c>
      <c r="AA77" s="132">
        <f t="shared" si="78"/>
        <v>5052.7299999999996</v>
      </c>
      <c r="AB77" s="133">
        <v>5053</v>
      </c>
      <c r="AC77" s="134">
        <f t="shared" si="48"/>
        <v>0.27000000000043656</v>
      </c>
      <c r="AD77" s="125">
        <v>44327</v>
      </c>
      <c r="AE77" s="135">
        <f t="shared" si="13"/>
        <v>1.042E-3</v>
      </c>
      <c r="AF77" s="136">
        <f t="shared" si="14"/>
        <v>44327</v>
      </c>
      <c r="AG77" s="137" t="s">
        <v>416</v>
      </c>
      <c r="AH77" s="124"/>
    </row>
    <row r="78" spans="1:34" ht="12" customHeight="1">
      <c r="A78" s="154">
        <v>44327</v>
      </c>
      <c r="B78" s="140" t="s">
        <v>510</v>
      </c>
      <c r="C78" s="141" t="s">
        <v>485</v>
      </c>
      <c r="D78" s="140"/>
      <c r="E78" s="140" t="str">
        <f t="shared" si="0"/>
        <v>CYBERTECH</v>
      </c>
      <c r="F78" s="140"/>
      <c r="G78" s="140"/>
      <c r="H78" s="140"/>
      <c r="I78" s="141" t="s">
        <v>467</v>
      </c>
      <c r="J78" s="139" t="s">
        <v>483</v>
      </c>
      <c r="K78" s="141"/>
      <c r="L78" s="141"/>
      <c r="M78" s="142">
        <v>50</v>
      </c>
      <c r="N78" s="143">
        <v>153</v>
      </c>
      <c r="O78" s="144">
        <f t="shared" si="39"/>
        <v>0</v>
      </c>
      <c r="P78" s="144">
        <f t="shared" ref="P78:P83" si="81">N78+O78</f>
        <v>153</v>
      </c>
      <c r="Q78" s="144"/>
      <c r="R78" s="144">
        <f t="shared" si="3"/>
        <v>7650</v>
      </c>
      <c r="S78" s="145">
        <f t="shared" si="4"/>
        <v>0.18239999999999998</v>
      </c>
      <c r="T78" s="145">
        <f t="shared" si="75"/>
        <v>0</v>
      </c>
      <c r="U78" s="145">
        <f t="shared" si="36"/>
        <v>0.05</v>
      </c>
      <c r="V78" s="145">
        <f t="shared" si="62"/>
        <v>7.65</v>
      </c>
      <c r="W78" s="145">
        <f t="shared" ref="W78:W83" si="82">ROUND(R78*F$1823,2)</f>
        <v>1.1499999999999999</v>
      </c>
      <c r="X78" s="145">
        <f t="shared" si="76"/>
        <v>0.26</v>
      </c>
      <c r="Y78" s="145">
        <f t="shared" si="80"/>
        <v>0.01</v>
      </c>
      <c r="Z78" s="146">
        <f t="shared" si="10"/>
        <v>9.1199999999999992</v>
      </c>
      <c r="AA78" s="147">
        <f t="shared" ref="AA78:AA83" si="83">-ROUND(R78+SUM(T78:Y78),2)</f>
        <v>-7659.12</v>
      </c>
      <c r="AB78" s="148">
        <v>-7659</v>
      </c>
      <c r="AC78" s="149">
        <f t="shared" si="48"/>
        <v>0.11999999999989086</v>
      </c>
      <c r="AD78" s="138">
        <v>44330</v>
      </c>
      <c r="AE78" s="150">
        <f t="shared" si="13"/>
        <v>1.1919999999999999E-3</v>
      </c>
      <c r="AF78" s="151">
        <f t="shared" si="14"/>
        <v>44330</v>
      </c>
      <c r="AG78" s="152" t="s">
        <v>416</v>
      </c>
      <c r="AH78" s="124"/>
    </row>
    <row r="79" spans="1:34" ht="12" customHeight="1">
      <c r="A79" s="154">
        <v>44327</v>
      </c>
      <c r="B79" s="140" t="s">
        <v>498</v>
      </c>
      <c r="C79" s="141" t="s">
        <v>485</v>
      </c>
      <c r="D79" s="140"/>
      <c r="E79" s="140" t="str">
        <f t="shared" si="0"/>
        <v>BAJFINANCE</v>
      </c>
      <c r="F79" s="140"/>
      <c r="G79" s="140"/>
      <c r="H79" s="140"/>
      <c r="I79" s="141" t="s">
        <v>467</v>
      </c>
      <c r="J79" s="139" t="s">
        <v>483</v>
      </c>
      <c r="K79" s="141"/>
      <c r="L79" s="141"/>
      <c r="M79" s="142">
        <v>2</v>
      </c>
      <c r="N79" s="143">
        <v>5400</v>
      </c>
      <c r="O79" s="144">
        <f t="shared" si="39"/>
        <v>0</v>
      </c>
      <c r="P79" s="144">
        <f t="shared" si="81"/>
        <v>5400</v>
      </c>
      <c r="Q79" s="144"/>
      <c r="R79" s="144">
        <f t="shared" si="3"/>
        <v>10800</v>
      </c>
      <c r="S79" s="145">
        <f t="shared" si="4"/>
        <v>6.4350000000000005</v>
      </c>
      <c r="T79" s="145">
        <f t="shared" si="75"/>
        <v>0</v>
      </c>
      <c r="U79" s="145">
        <f t="shared" si="36"/>
        <v>7.0000000000000007E-2</v>
      </c>
      <c r="V79" s="145">
        <f t="shared" si="62"/>
        <v>10.8</v>
      </c>
      <c r="W79" s="145">
        <f t="shared" si="82"/>
        <v>1.62</v>
      </c>
      <c r="X79" s="145">
        <f t="shared" si="76"/>
        <v>0.37</v>
      </c>
      <c r="Y79" s="145">
        <f t="shared" si="80"/>
        <v>0.01</v>
      </c>
      <c r="Z79" s="146">
        <f t="shared" si="10"/>
        <v>12.870000000000001</v>
      </c>
      <c r="AA79" s="147">
        <f t="shared" si="83"/>
        <v>-10812.87</v>
      </c>
      <c r="AB79" s="148">
        <v>-10813</v>
      </c>
      <c r="AC79" s="149">
        <f t="shared" si="48"/>
        <v>-0.12999999999919964</v>
      </c>
      <c r="AD79" s="138">
        <v>44330</v>
      </c>
      <c r="AE79" s="150">
        <f t="shared" si="13"/>
        <v>1.1919999999999999E-3</v>
      </c>
      <c r="AF79" s="151">
        <f t="shared" si="14"/>
        <v>44330</v>
      </c>
      <c r="AG79" s="152" t="s">
        <v>416</v>
      </c>
      <c r="AH79" s="124"/>
    </row>
    <row r="80" spans="1:34" ht="12" customHeight="1">
      <c r="A80" s="154">
        <v>44327</v>
      </c>
      <c r="B80" s="140" t="s">
        <v>513</v>
      </c>
      <c r="C80" s="141" t="s">
        <v>485</v>
      </c>
      <c r="D80" s="140"/>
      <c r="E80" s="140" t="str">
        <f t="shared" si="0"/>
        <v>HDFCBANK</v>
      </c>
      <c r="F80" s="140"/>
      <c r="G80" s="140"/>
      <c r="H80" s="140"/>
      <c r="I80" s="141" t="s">
        <v>467</v>
      </c>
      <c r="J80" s="139" t="s">
        <v>483</v>
      </c>
      <c r="K80" s="141"/>
      <c r="L80" s="141"/>
      <c r="M80" s="142">
        <v>10</v>
      </c>
      <c r="N80" s="143">
        <v>1400</v>
      </c>
      <c r="O80" s="144">
        <f t="shared" si="39"/>
        <v>0</v>
      </c>
      <c r="P80" s="144">
        <f t="shared" si="81"/>
        <v>1400</v>
      </c>
      <c r="Q80" s="144"/>
      <c r="R80" s="144">
        <f t="shared" si="3"/>
        <v>14000</v>
      </c>
      <c r="S80" s="145">
        <f t="shared" si="4"/>
        <v>1.6680000000000004</v>
      </c>
      <c r="T80" s="145">
        <f t="shared" si="75"/>
        <v>0</v>
      </c>
      <c r="U80" s="145">
        <f t="shared" si="36"/>
        <v>0.09</v>
      </c>
      <c r="V80" s="145">
        <f t="shared" si="62"/>
        <v>14</v>
      </c>
      <c r="W80" s="145">
        <f t="shared" si="82"/>
        <v>2.1</v>
      </c>
      <c r="X80" s="145">
        <f t="shared" si="76"/>
        <v>0.48</v>
      </c>
      <c r="Y80" s="145">
        <f t="shared" si="80"/>
        <v>0.01</v>
      </c>
      <c r="Z80" s="146">
        <f t="shared" si="10"/>
        <v>16.680000000000003</v>
      </c>
      <c r="AA80" s="147">
        <f t="shared" si="83"/>
        <v>-14016.68</v>
      </c>
      <c r="AB80" s="148">
        <v>-14017</v>
      </c>
      <c r="AC80" s="149">
        <f t="shared" si="48"/>
        <v>-0.31999999999970896</v>
      </c>
      <c r="AD80" s="138">
        <v>44330</v>
      </c>
      <c r="AE80" s="150">
        <f t="shared" si="13"/>
        <v>1.191E-3</v>
      </c>
      <c r="AF80" s="151">
        <f t="shared" si="14"/>
        <v>44330</v>
      </c>
      <c r="AG80" s="152" t="s">
        <v>416</v>
      </c>
      <c r="AH80" s="124"/>
    </row>
    <row r="81" spans="1:34" ht="12" customHeight="1">
      <c r="A81" s="154">
        <v>44327</v>
      </c>
      <c r="B81" s="140" t="s">
        <v>514</v>
      </c>
      <c r="C81" s="141" t="s">
        <v>485</v>
      </c>
      <c r="D81" s="140"/>
      <c r="E81" s="140" t="str">
        <f t="shared" si="0"/>
        <v>PFC</v>
      </c>
      <c r="F81" s="140"/>
      <c r="G81" s="140"/>
      <c r="H81" s="140"/>
      <c r="I81" s="141" t="s">
        <v>467</v>
      </c>
      <c r="J81" s="139" t="s">
        <v>483</v>
      </c>
      <c r="K81" s="141"/>
      <c r="L81" s="141"/>
      <c r="M81" s="142">
        <v>50</v>
      </c>
      <c r="N81" s="143">
        <v>116.9</v>
      </c>
      <c r="O81" s="144">
        <f t="shared" si="39"/>
        <v>0</v>
      </c>
      <c r="P81" s="144">
        <f t="shared" si="81"/>
        <v>116.9</v>
      </c>
      <c r="Q81" s="144"/>
      <c r="R81" s="144">
        <f t="shared" si="3"/>
        <v>5845</v>
      </c>
      <c r="S81" s="145">
        <f t="shared" si="4"/>
        <v>0.1396</v>
      </c>
      <c r="T81" s="145">
        <f t="shared" si="75"/>
        <v>0</v>
      </c>
      <c r="U81" s="145">
        <f t="shared" si="36"/>
        <v>0.04</v>
      </c>
      <c r="V81" s="145">
        <f t="shared" si="62"/>
        <v>5.85</v>
      </c>
      <c r="W81" s="145">
        <f t="shared" si="82"/>
        <v>0.88</v>
      </c>
      <c r="X81" s="145">
        <f t="shared" si="76"/>
        <v>0.2</v>
      </c>
      <c r="Y81" s="145">
        <f t="shared" si="80"/>
        <v>0.01</v>
      </c>
      <c r="Z81" s="146">
        <f t="shared" si="10"/>
        <v>6.9799999999999995</v>
      </c>
      <c r="AA81" s="147">
        <f t="shared" si="83"/>
        <v>-5851.98</v>
      </c>
      <c r="AB81" s="148">
        <v>-5852</v>
      </c>
      <c r="AC81" s="149">
        <f t="shared" si="48"/>
        <v>-2.0000000000436557E-2</v>
      </c>
      <c r="AD81" s="138">
        <v>44330</v>
      </c>
      <c r="AE81" s="150">
        <f t="shared" si="13"/>
        <v>1.194E-3</v>
      </c>
      <c r="AF81" s="151">
        <f t="shared" si="14"/>
        <v>44330</v>
      </c>
      <c r="AG81" s="152" t="s">
        <v>416</v>
      </c>
      <c r="AH81" s="124"/>
    </row>
    <row r="82" spans="1:34" ht="12" customHeight="1">
      <c r="A82" s="154">
        <v>44327</v>
      </c>
      <c r="B82" s="140" t="s">
        <v>515</v>
      </c>
      <c r="C82" s="141" t="s">
        <v>485</v>
      </c>
      <c r="D82" s="140"/>
      <c r="E82" s="140" t="str">
        <f t="shared" si="0"/>
        <v>RAMCOSYS</v>
      </c>
      <c r="F82" s="140"/>
      <c r="G82" s="140"/>
      <c r="H82" s="140"/>
      <c r="I82" s="141" t="s">
        <v>467</v>
      </c>
      <c r="J82" s="139" t="s">
        <v>483</v>
      </c>
      <c r="K82" s="141"/>
      <c r="L82" s="141"/>
      <c r="M82" s="142">
        <v>20</v>
      </c>
      <c r="N82" s="143">
        <v>515</v>
      </c>
      <c r="O82" s="144">
        <f t="shared" si="39"/>
        <v>0</v>
      </c>
      <c r="P82" s="144">
        <f t="shared" si="81"/>
        <v>515</v>
      </c>
      <c r="Q82" s="144"/>
      <c r="R82" s="144">
        <f t="shared" si="3"/>
        <v>10300</v>
      </c>
      <c r="S82" s="145">
        <f t="shared" si="4"/>
        <v>0.6140000000000001</v>
      </c>
      <c r="T82" s="145">
        <f t="shared" si="75"/>
        <v>0</v>
      </c>
      <c r="U82" s="145">
        <f t="shared" si="36"/>
        <v>0.06</v>
      </c>
      <c r="V82" s="145">
        <f t="shared" si="62"/>
        <v>10.3</v>
      </c>
      <c r="W82" s="145">
        <f t="shared" si="82"/>
        <v>1.55</v>
      </c>
      <c r="X82" s="145">
        <f t="shared" si="76"/>
        <v>0.36</v>
      </c>
      <c r="Y82" s="145">
        <f t="shared" si="80"/>
        <v>0.01</v>
      </c>
      <c r="Z82" s="146">
        <f t="shared" si="10"/>
        <v>12.280000000000001</v>
      </c>
      <c r="AA82" s="147">
        <f t="shared" si="83"/>
        <v>-10312.280000000001</v>
      </c>
      <c r="AB82" s="148">
        <v>-10312</v>
      </c>
      <c r="AC82" s="149">
        <f t="shared" si="48"/>
        <v>0.28000000000065484</v>
      </c>
      <c r="AD82" s="138">
        <v>44330</v>
      </c>
      <c r="AE82" s="150">
        <f t="shared" si="13"/>
        <v>1.1919999999999999E-3</v>
      </c>
      <c r="AF82" s="151">
        <f t="shared" si="14"/>
        <v>44330</v>
      </c>
      <c r="AG82" s="152" t="s">
        <v>416</v>
      </c>
      <c r="AH82" s="124"/>
    </row>
    <row r="83" spans="1:34" ht="12" customHeight="1">
      <c r="A83" s="154">
        <v>44327</v>
      </c>
      <c r="B83" s="154" t="s">
        <v>495</v>
      </c>
      <c r="C83" s="141" t="s">
        <v>485</v>
      </c>
      <c r="D83" s="154"/>
      <c r="E83" s="154" t="str">
        <f t="shared" si="0"/>
        <v>SAIL</v>
      </c>
      <c r="F83" s="154"/>
      <c r="G83" s="154"/>
      <c r="H83" s="154"/>
      <c r="I83" s="141" t="s">
        <v>467</v>
      </c>
      <c r="J83" s="139" t="s">
        <v>483</v>
      </c>
      <c r="K83" s="141"/>
      <c r="L83" s="141"/>
      <c r="M83" s="142">
        <v>100</v>
      </c>
      <c r="N83" s="143">
        <v>141</v>
      </c>
      <c r="O83" s="144">
        <f t="shared" si="39"/>
        <v>0</v>
      </c>
      <c r="P83" s="144">
        <f t="shared" si="81"/>
        <v>141</v>
      </c>
      <c r="Q83" s="144"/>
      <c r="R83" s="144">
        <f t="shared" si="3"/>
        <v>14100</v>
      </c>
      <c r="S83" s="145">
        <f t="shared" si="4"/>
        <v>0.1681</v>
      </c>
      <c r="T83" s="145">
        <f t="shared" si="75"/>
        <v>0</v>
      </c>
      <c r="U83" s="145">
        <f t="shared" si="36"/>
        <v>0.09</v>
      </c>
      <c r="V83" s="145">
        <f t="shared" si="62"/>
        <v>14.1</v>
      </c>
      <c r="W83" s="145">
        <f t="shared" si="82"/>
        <v>2.12</v>
      </c>
      <c r="X83" s="145">
        <f t="shared" si="76"/>
        <v>0.49</v>
      </c>
      <c r="Y83" s="145">
        <f t="shared" si="80"/>
        <v>0.01</v>
      </c>
      <c r="Z83" s="146">
        <f t="shared" si="10"/>
        <v>16.809999999999999</v>
      </c>
      <c r="AA83" s="147">
        <f t="shared" si="83"/>
        <v>-14116.81</v>
      </c>
      <c r="AB83" s="148">
        <v>-14117</v>
      </c>
      <c r="AC83" s="149">
        <f t="shared" si="48"/>
        <v>-0.19000000000050932</v>
      </c>
      <c r="AD83" s="138">
        <v>44330</v>
      </c>
      <c r="AE83" s="150">
        <f t="shared" si="13"/>
        <v>1.1919999999999999E-3</v>
      </c>
      <c r="AF83" s="151">
        <f t="shared" si="14"/>
        <v>44330</v>
      </c>
      <c r="AG83" s="152" t="s">
        <v>416</v>
      </c>
      <c r="AH83" s="124"/>
    </row>
    <row r="84" spans="1:34" ht="12" customHeight="1">
      <c r="A84" s="155">
        <v>44328</v>
      </c>
      <c r="B84" s="112" t="s">
        <v>516</v>
      </c>
      <c r="C84" s="127" t="s">
        <v>460</v>
      </c>
      <c r="D84" s="112"/>
      <c r="E84" s="112" t="str">
        <f t="shared" si="0"/>
        <v>MTNL</v>
      </c>
      <c r="F84" s="112"/>
      <c r="G84" s="112"/>
      <c r="H84" s="112"/>
      <c r="I84" s="127" t="s">
        <v>461</v>
      </c>
      <c r="J84" s="126" t="s">
        <v>483</v>
      </c>
      <c r="K84" s="127"/>
      <c r="L84" s="127"/>
      <c r="M84" s="128">
        <v>51</v>
      </c>
      <c r="N84" s="129">
        <v>18.600000000000001</v>
      </c>
      <c r="O84" s="130">
        <f t="shared" si="39"/>
        <v>0</v>
      </c>
      <c r="P84" s="130">
        <f t="shared" ref="P84:P86" si="84">N84-O84</f>
        <v>18.600000000000001</v>
      </c>
      <c r="Q84" s="130"/>
      <c r="R84" s="130">
        <f t="shared" si="3"/>
        <v>948.6</v>
      </c>
      <c r="S84" s="131">
        <f t="shared" si="4"/>
        <v>1.9411764705882354E-2</v>
      </c>
      <c r="T84" s="131">
        <f t="shared" si="75"/>
        <v>0</v>
      </c>
      <c r="U84" s="131">
        <f t="shared" si="36"/>
        <v>0.01</v>
      </c>
      <c r="V84" s="131">
        <f t="shared" si="62"/>
        <v>0.95</v>
      </c>
      <c r="W84" s="131">
        <v>0</v>
      </c>
      <c r="X84" s="131">
        <f t="shared" si="76"/>
        <v>0.03</v>
      </c>
      <c r="Y84" s="131">
        <f t="shared" si="80"/>
        <v>0</v>
      </c>
      <c r="Z84" s="131">
        <f t="shared" si="10"/>
        <v>0.99</v>
      </c>
      <c r="AA84" s="132">
        <f t="shared" ref="AA84:AA86" si="85">ROUND(R84-SUM(T84:Y84),2)</f>
        <v>947.61</v>
      </c>
      <c r="AB84" s="133">
        <v>948</v>
      </c>
      <c r="AC84" s="134">
        <f t="shared" si="48"/>
        <v>0.38999999999998636</v>
      </c>
      <c r="AD84" s="125">
        <v>44328</v>
      </c>
      <c r="AE84" s="135">
        <f t="shared" si="13"/>
        <v>1.044E-3</v>
      </c>
      <c r="AF84" s="136">
        <f t="shared" si="14"/>
        <v>44328</v>
      </c>
      <c r="AG84" s="137" t="s">
        <v>416</v>
      </c>
      <c r="AH84" s="124"/>
    </row>
    <row r="85" spans="1:34" ht="12" customHeight="1">
      <c r="A85" s="155">
        <v>44328</v>
      </c>
      <c r="B85" s="112" t="s">
        <v>469</v>
      </c>
      <c r="C85" s="127" t="s">
        <v>460</v>
      </c>
      <c r="D85" s="112"/>
      <c r="E85" s="112" t="str">
        <f t="shared" si="0"/>
        <v>ROLTA</v>
      </c>
      <c r="F85" s="112"/>
      <c r="G85" s="112"/>
      <c r="H85" s="112"/>
      <c r="I85" s="127" t="s">
        <v>461</v>
      </c>
      <c r="J85" s="126" t="s">
        <v>483</v>
      </c>
      <c r="K85" s="127"/>
      <c r="L85" s="127"/>
      <c r="M85" s="128">
        <v>100</v>
      </c>
      <c r="N85" s="129">
        <v>5.04</v>
      </c>
      <c r="O85" s="130">
        <f t="shared" si="39"/>
        <v>0</v>
      </c>
      <c r="P85" s="130">
        <f t="shared" si="84"/>
        <v>5.04</v>
      </c>
      <c r="Q85" s="130"/>
      <c r="R85" s="130">
        <f t="shared" si="3"/>
        <v>504</v>
      </c>
      <c r="S85" s="131">
        <f t="shared" si="4"/>
        <v>5.1999999999999998E-3</v>
      </c>
      <c r="T85" s="131">
        <f t="shared" si="75"/>
        <v>0</v>
      </c>
      <c r="U85" s="131">
        <f t="shared" si="36"/>
        <v>0</v>
      </c>
      <c r="V85" s="131">
        <f t="shared" si="62"/>
        <v>0.5</v>
      </c>
      <c r="W85" s="131">
        <v>0</v>
      </c>
      <c r="X85" s="131">
        <f t="shared" si="76"/>
        <v>0.02</v>
      </c>
      <c r="Y85" s="131">
        <f t="shared" si="80"/>
        <v>0</v>
      </c>
      <c r="Z85" s="131">
        <f t="shared" si="10"/>
        <v>0.52</v>
      </c>
      <c r="AA85" s="132">
        <f t="shared" si="85"/>
        <v>503.48</v>
      </c>
      <c r="AB85" s="133">
        <v>503</v>
      </c>
      <c r="AC85" s="134">
        <f t="shared" si="48"/>
        <v>-0.48000000000001819</v>
      </c>
      <c r="AD85" s="125">
        <v>44328</v>
      </c>
      <c r="AE85" s="135">
        <f t="shared" si="13"/>
        <v>1.0319999999999999E-3</v>
      </c>
      <c r="AF85" s="136">
        <f t="shared" si="14"/>
        <v>44328</v>
      </c>
      <c r="AG85" s="137" t="s">
        <v>416</v>
      </c>
      <c r="AH85" s="124"/>
    </row>
    <row r="86" spans="1:34" ht="12" customHeight="1">
      <c r="A86" s="155">
        <v>44328</v>
      </c>
      <c r="B86" s="112" t="s">
        <v>511</v>
      </c>
      <c r="C86" s="127" t="s">
        <v>485</v>
      </c>
      <c r="D86" s="112"/>
      <c r="E86" s="112" t="str">
        <f t="shared" si="0"/>
        <v>MMTC</v>
      </c>
      <c r="F86" s="112"/>
      <c r="G86" s="112"/>
      <c r="H86" s="112"/>
      <c r="I86" s="127" t="s">
        <v>461</v>
      </c>
      <c r="J86" s="126" t="s">
        <v>483</v>
      </c>
      <c r="K86" s="127"/>
      <c r="L86" s="127"/>
      <c r="M86" s="128">
        <v>100</v>
      </c>
      <c r="N86" s="129">
        <v>57.5</v>
      </c>
      <c r="O86" s="130">
        <f t="shared" si="39"/>
        <v>0</v>
      </c>
      <c r="P86" s="130">
        <f t="shared" si="84"/>
        <v>57.5</v>
      </c>
      <c r="Q86" s="130"/>
      <c r="R86" s="130">
        <f t="shared" si="3"/>
        <v>5750</v>
      </c>
      <c r="S86" s="131">
        <f t="shared" si="4"/>
        <v>0.06</v>
      </c>
      <c r="T86" s="131">
        <f t="shared" si="75"/>
        <v>0</v>
      </c>
      <c r="U86" s="131">
        <f t="shared" si="36"/>
        <v>0.04</v>
      </c>
      <c r="V86" s="131">
        <f t="shared" si="62"/>
        <v>5.75</v>
      </c>
      <c r="W86" s="131">
        <v>0</v>
      </c>
      <c r="X86" s="131">
        <f t="shared" si="76"/>
        <v>0.2</v>
      </c>
      <c r="Y86" s="131">
        <f t="shared" si="80"/>
        <v>0.01</v>
      </c>
      <c r="Z86" s="131">
        <f t="shared" si="10"/>
        <v>6</v>
      </c>
      <c r="AA86" s="132">
        <f t="shared" si="85"/>
        <v>5744</v>
      </c>
      <c r="AB86" s="133">
        <v>5744</v>
      </c>
      <c r="AC86" s="134">
        <f t="shared" si="48"/>
        <v>0</v>
      </c>
      <c r="AD86" s="125">
        <v>44328</v>
      </c>
      <c r="AE86" s="135">
        <f t="shared" si="13"/>
        <v>1.0430000000000001E-3</v>
      </c>
      <c r="AF86" s="136">
        <f t="shared" si="14"/>
        <v>44328</v>
      </c>
      <c r="AG86" s="137" t="s">
        <v>416</v>
      </c>
      <c r="AH86" s="124"/>
    </row>
    <row r="87" spans="1:34" ht="12" customHeight="1">
      <c r="A87" s="154">
        <v>44328</v>
      </c>
      <c r="B87" s="140" t="s">
        <v>500</v>
      </c>
      <c r="C87" s="141" t="s">
        <v>485</v>
      </c>
      <c r="D87" s="140"/>
      <c r="E87" s="140" t="str">
        <f t="shared" si="0"/>
        <v>CHOLAFIN</v>
      </c>
      <c r="F87" s="140"/>
      <c r="G87" s="140"/>
      <c r="H87" s="140"/>
      <c r="I87" s="141" t="s">
        <v>467</v>
      </c>
      <c r="J87" s="139" t="s">
        <v>483</v>
      </c>
      <c r="K87" s="141"/>
      <c r="L87" s="141"/>
      <c r="M87" s="142">
        <v>5</v>
      </c>
      <c r="N87" s="143">
        <v>525</v>
      </c>
      <c r="O87" s="144">
        <f t="shared" si="39"/>
        <v>0</v>
      </c>
      <c r="P87" s="144">
        <f t="shared" ref="P87:P89" si="86">N87+O87</f>
        <v>525</v>
      </c>
      <c r="Q87" s="144"/>
      <c r="R87" s="144">
        <f t="shared" si="3"/>
        <v>2625</v>
      </c>
      <c r="S87" s="145">
        <f t="shared" si="4"/>
        <v>0.626</v>
      </c>
      <c r="T87" s="145">
        <f t="shared" si="75"/>
        <v>0</v>
      </c>
      <c r="U87" s="145">
        <f t="shared" si="36"/>
        <v>0.02</v>
      </c>
      <c r="V87" s="145">
        <f t="shared" si="62"/>
        <v>2.63</v>
      </c>
      <c r="W87" s="145">
        <f t="shared" ref="W87:W89" si="87">ROUND(R87*F$1823,2)</f>
        <v>0.39</v>
      </c>
      <c r="X87" s="145">
        <f t="shared" si="76"/>
        <v>0.09</v>
      </c>
      <c r="Y87" s="145">
        <f t="shared" si="80"/>
        <v>0</v>
      </c>
      <c r="Z87" s="146">
        <f t="shared" si="10"/>
        <v>3.13</v>
      </c>
      <c r="AA87" s="147">
        <f t="shared" ref="AA87:AA89" si="88">-ROUND(R87+SUM(T87:Y87),2)</f>
        <v>-2628.13</v>
      </c>
      <c r="AB87" s="148">
        <v>-2628</v>
      </c>
      <c r="AC87" s="149">
        <f t="shared" si="48"/>
        <v>0.13000000000010914</v>
      </c>
      <c r="AD87" s="138">
        <v>44333</v>
      </c>
      <c r="AE87" s="150">
        <f t="shared" si="13"/>
        <v>1.1919999999999999E-3</v>
      </c>
      <c r="AF87" s="151">
        <f t="shared" si="14"/>
        <v>44333</v>
      </c>
      <c r="AG87" s="152" t="s">
        <v>416</v>
      </c>
      <c r="AH87" s="124"/>
    </row>
    <row r="88" spans="1:34" ht="12" customHeight="1">
      <c r="A88" s="154">
        <v>44328</v>
      </c>
      <c r="B88" s="140" t="s">
        <v>517</v>
      </c>
      <c r="C88" s="141" t="s">
        <v>485</v>
      </c>
      <c r="D88" s="140"/>
      <c r="E88" s="140" t="str">
        <f t="shared" si="0"/>
        <v>IOC</v>
      </c>
      <c r="F88" s="140"/>
      <c r="G88" s="140"/>
      <c r="H88" s="140"/>
      <c r="I88" s="141" t="s">
        <v>467</v>
      </c>
      <c r="J88" s="139" t="s">
        <v>483</v>
      </c>
      <c r="K88" s="141"/>
      <c r="L88" s="141"/>
      <c r="M88" s="142">
        <v>100</v>
      </c>
      <c r="N88" s="143">
        <v>104.5</v>
      </c>
      <c r="O88" s="144">
        <f t="shared" si="39"/>
        <v>0</v>
      </c>
      <c r="P88" s="144">
        <f t="shared" si="86"/>
        <v>104.5</v>
      </c>
      <c r="Q88" s="144"/>
      <c r="R88" s="144">
        <f t="shared" si="3"/>
        <v>10450</v>
      </c>
      <c r="S88" s="145">
        <f t="shared" si="4"/>
        <v>0.12369999999999999</v>
      </c>
      <c r="T88" s="145">
        <f t="shared" si="75"/>
        <v>0</v>
      </c>
      <c r="U88" s="145">
        <f t="shared" si="36"/>
        <v>0.05</v>
      </c>
      <c r="V88" s="145">
        <f t="shared" si="62"/>
        <v>10.45</v>
      </c>
      <c r="W88" s="145">
        <f t="shared" si="87"/>
        <v>1.57</v>
      </c>
      <c r="X88" s="145">
        <f>ROUND(R88*G$1820,2)</f>
        <v>0.28999999999999998</v>
      </c>
      <c r="Y88" s="145">
        <f t="shared" si="80"/>
        <v>0.01</v>
      </c>
      <c r="Z88" s="146">
        <f t="shared" si="10"/>
        <v>12.37</v>
      </c>
      <c r="AA88" s="147">
        <f t="shared" si="88"/>
        <v>-10462.370000000001</v>
      </c>
      <c r="AB88" s="148">
        <v>-10462</v>
      </c>
      <c r="AC88" s="149">
        <f t="shared" si="48"/>
        <v>0.37000000000080036</v>
      </c>
      <c r="AD88" s="138">
        <v>44333</v>
      </c>
      <c r="AE88" s="150">
        <f t="shared" si="13"/>
        <v>1.1839999999999999E-3</v>
      </c>
      <c r="AF88" s="151">
        <f t="shared" si="14"/>
        <v>44333</v>
      </c>
      <c r="AG88" s="152" t="s">
        <v>416</v>
      </c>
      <c r="AH88" s="124"/>
    </row>
    <row r="89" spans="1:34" ht="12" customHeight="1">
      <c r="A89" s="154">
        <v>44330</v>
      </c>
      <c r="B89" s="140" t="s">
        <v>518</v>
      </c>
      <c r="C89" s="141" t="s">
        <v>485</v>
      </c>
      <c r="D89" s="140"/>
      <c r="E89" s="140" t="str">
        <f t="shared" si="0"/>
        <v>TATAMOTORS</v>
      </c>
      <c r="F89" s="140"/>
      <c r="G89" s="140"/>
      <c r="H89" s="140"/>
      <c r="I89" s="141" t="s">
        <v>467</v>
      </c>
      <c r="J89" s="139" t="s">
        <v>483</v>
      </c>
      <c r="K89" s="141"/>
      <c r="L89" s="141"/>
      <c r="M89" s="142">
        <v>50</v>
      </c>
      <c r="N89" s="143">
        <v>326.5</v>
      </c>
      <c r="O89" s="144">
        <f t="shared" si="39"/>
        <v>0</v>
      </c>
      <c r="P89" s="144">
        <f t="shared" si="86"/>
        <v>326.5</v>
      </c>
      <c r="Q89" s="144"/>
      <c r="R89" s="144">
        <f t="shared" si="3"/>
        <v>16325</v>
      </c>
      <c r="S89" s="145">
        <f t="shared" si="4"/>
        <v>0.38919999999999993</v>
      </c>
      <c r="T89" s="145">
        <f t="shared" si="75"/>
        <v>0</v>
      </c>
      <c r="U89" s="145">
        <f t="shared" si="36"/>
        <v>0.1</v>
      </c>
      <c r="V89" s="145">
        <f t="shared" si="62"/>
        <v>16.329999999999998</v>
      </c>
      <c r="W89" s="145">
        <f t="shared" si="87"/>
        <v>2.4500000000000002</v>
      </c>
      <c r="X89" s="145">
        <f t="shared" ref="X89:X90" si="89">ROUND(R89*H$1820,2)</f>
        <v>0.56000000000000005</v>
      </c>
      <c r="Y89" s="145">
        <f t="shared" si="80"/>
        <v>0.02</v>
      </c>
      <c r="Z89" s="146">
        <f t="shared" si="10"/>
        <v>19.459999999999997</v>
      </c>
      <c r="AA89" s="147">
        <f t="shared" si="88"/>
        <v>-16344.46</v>
      </c>
      <c r="AB89" s="148">
        <v>-16344</v>
      </c>
      <c r="AC89" s="149">
        <f t="shared" si="48"/>
        <v>0.45999999999912689</v>
      </c>
      <c r="AD89" s="138">
        <v>44334</v>
      </c>
      <c r="AE89" s="150">
        <f t="shared" si="13"/>
        <v>1.1919999999999999E-3</v>
      </c>
      <c r="AF89" s="151">
        <f t="shared" si="14"/>
        <v>44334</v>
      </c>
      <c r="AG89" s="152" t="s">
        <v>416</v>
      </c>
      <c r="AH89" s="124"/>
    </row>
    <row r="90" spans="1:34" ht="12" customHeight="1">
      <c r="A90" s="155">
        <v>44330</v>
      </c>
      <c r="B90" s="112" t="s">
        <v>508</v>
      </c>
      <c r="C90" s="127" t="s">
        <v>485</v>
      </c>
      <c r="D90" s="112"/>
      <c r="E90" s="112" t="str">
        <f t="shared" si="0"/>
        <v>BIOCON</v>
      </c>
      <c r="F90" s="112"/>
      <c r="G90" s="112"/>
      <c r="H90" s="112"/>
      <c r="I90" s="127" t="s">
        <v>461</v>
      </c>
      <c r="J90" s="126" t="s">
        <v>483</v>
      </c>
      <c r="K90" s="127"/>
      <c r="L90" s="127"/>
      <c r="M90" s="128">
        <v>25</v>
      </c>
      <c r="N90" s="129">
        <v>391</v>
      </c>
      <c r="O90" s="130">
        <f t="shared" si="39"/>
        <v>0</v>
      </c>
      <c r="P90" s="130">
        <f>N90-O90</f>
        <v>391</v>
      </c>
      <c r="Q90" s="130"/>
      <c r="R90" s="130">
        <f t="shared" si="3"/>
        <v>9775</v>
      </c>
      <c r="S90" s="131">
        <f t="shared" si="4"/>
        <v>0.40759999999999996</v>
      </c>
      <c r="T90" s="131">
        <f t="shared" si="75"/>
        <v>0</v>
      </c>
      <c r="U90" s="131">
        <f t="shared" si="36"/>
        <v>0.06</v>
      </c>
      <c r="V90" s="131">
        <f t="shared" si="62"/>
        <v>9.7799999999999994</v>
      </c>
      <c r="W90" s="131">
        <v>0</v>
      </c>
      <c r="X90" s="131">
        <f t="shared" si="89"/>
        <v>0.34</v>
      </c>
      <c r="Y90" s="131">
        <f t="shared" si="80"/>
        <v>0.01</v>
      </c>
      <c r="Z90" s="131">
        <f t="shared" si="10"/>
        <v>10.19</v>
      </c>
      <c r="AA90" s="132">
        <f>ROUND(R90-SUM(T90:Y90),2)</f>
        <v>9764.81</v>
      </c>
      <c r="AB90" s="133">
        <v>9765</v>
      </c>
      <c r="AC90" s="134">
        <f t="shared" si="48"/>
        <v>0.19000000000050932</v>
      </c>
      <c r="AD90" s="125">
        <v>44330</v>
      </c>
      <c r="AE90" s="135">
        <f t="shared" si="13"/>
        <v>1.042E-3</v>
      </c>
      <c r="AF90" s="136">
        <f t="shared" si="14"/>
        <v>44330</v>
      </c>
      <c r="AG90" s="137" t="s">
        <v>416</v>
      </c>
      <c r="AH90" s="124"/>
    </row>
    <row r="91" spans="1:34" ht="12" customHeight="1">
      <c r="A91" s="154">
        <v>44333</v>
      </c>
      <c r="B91" s="140" t="s">
        <v>510</v>
      </c>
      <c r="C91" s="141" t="s">
        <v>485</v>
      </c>
      <c r="D91" s="140"/>
      <c r="E91" s="140" t="str">
        <f t="shared" si="0"/>
        <v>CYBERTECH</v>
      </c>
      <c r="F91" s="140"/>
      <c r="G91" s="140"/>
      <c r="H91" s="140"/>
      <c r="I91" s="141" t="s">
        <v>467</v>
      </c>
      <c r="J91" s="139" t="s">
        <v>483</v>
      </c>
      <c r="K91" s="141"/>
      <c r="L91" s="141"/>
      <c r="M91" s="142">
        <v>50</v>
      </c>
      <c r="N91" s="143">
        <v>135.5</v>
      </c>
      <c r="O91" s="144">
        <f t="shared" si="39"/>
        <v>0</v>
      </c>
      <c r="P91" s="144">
        <f>N91+O91</f>
        <v>135.5</v>
      </c>
      <c r="Q91" s="144"/>
      <c r="R91" s="144">
        <f t="shared" si="3"/>
        <v>6775</v>
      </c>
      <c r="S91" s="145">
        <f t="shared" si="4"/>
        <v>0.16039999999999999</v>
      </c>
      <c r="T91" s="145">
        <f t="shared" si="75"/>
        <v>0</v>
      </c>
      <c r="U91" s="145">
        <f t="shared" si="36"/>
        <v>0.03</v>
      </c>
      <c r="V91" s="145">
        <f t="shared" si="62"/>
        <v>6.78</v>
      </c>
      <c r="W91" s="145">
        <f>ROUND(R91*F$1823,2)</f>
        <v>1.02</v>
      </c>
      <c r="X91" s="145">
        <f>ROUND(R91*G$1820,2)</f>
        <v>0.19</v>
      </c>
      <c r="Y91" s="145">
        <f t="shared" ref="Y91:Y93" si="90">ROUND(R91*K$1826,2)</f>
        <v>0</v>
      </c>
      <c r="Z91" s="146">
        <f t="shared" si="10"/>
        <v>8.02</v>
      </c>
      <c r="AA91" s="147">
        <f>-ROUND(R91+SUM(T91:Y91),2)</f>
        <v>-6783.02</v>
      </c>
      <c r="AB91" s="148">
        <v>-6783</v>
      </c>
      <c r="AC91" s="149">
        <f t="shared" si="48"/>
        <v>2.0000000000436557E-2</v>
      </c>
      <c r="AD91" s="138">
        <v>44335</v>
      </c>
      <c r="AE91" s="150">
        <f t="shared" si="13"/>
        <v>1.1839999999999999E-3</v>
      </c>
      <c r="AF91" s="151">
        <f t="shared" si="14"/>
        <v>44335</v>
      </c>
      <c r="AG91" s="152" t="s">
        <v>416</v>
      </c>
      <c r="AH91" s="124"/>
    </row>
    <row r="92" spans="1:34" ht="12" customHeight="1">
      <c r="A92" s="155">
        <v>44333</v>
      </c>
      <c r="B92" s="112" t="s">
        <v>493</v>
      </c>
      <c r="C92" s="127" t="s">
        <v>485</v>
      </c>
      <c r="D92" s="112"/>
      <c r="E92" s="112" t="str">
        <f t="shared" si="0"/>
        <v>SBIN</v>
      </c>
      <c r="F92" s="112"/>
      <c r="G92" s="112"/>
      <c r="H92" s="112"/>
      <c r="I92" s="127" t="s">
        <v>461</v>
      </c>
      <c r="J92" s="126" t="s">
        <v>483</v>
      </c>
      <c r="K92" s="127"/>
      <c r="L92" s="127"/>
      <c r="M92" s="128">
        <v>100</v>
      </c>
      <c r="N92" s="129">
        <v>379</v>
      </c>
      <c r="O92" s="130">
        <f t="shared" si="39"/>
        <v>0</v>
      </c>
      <c r="P92" s="130">
        <f>N92-O92</f>
        <v>379</v>
      </c>
      <c r="Q92" s="130"/>
      <c r="R92" s="130">
        <f t="shared" si="3"/>
        <v>37900</v>
      </c>
      <c r="S92" s="131">
        <f t="shared" si="4"/>
        <v>0.39450000000000002</v>
      </c>
      <c r="T92" s="131">
        <f t="shared" si="75"/>
        <v>0</v>
      </c>
      <c r="U92" s="131">
        <f t="shared" si="36"/>
        <v>0.24</v>
      </c>
      <c r="V92" s="131">
        <f t="shared" si="62"/>
        <v>37.9</v>
      </c>
      <c r="W92" s="131">
        <v>0</v>
      </c>
      <c r="X92" s="131">
        <f t="shared" ref="X92:X95" si="91">ROUND(R92*H$1820,2)</f>
        <v>1.31</v>
      </c>
      <c r="Y92" s="131">
        <f t="shared" si="90"/>
        <v>0</v>
      </c>
      <c r="Z92" s="131">
        <f t="shared" si="10"/>
        <v>39.450000000000003</v>
      </c>
      <c r="AA92" s="132">
        <f>ROUND(R92-SUM(T92:Y92),2)</f>
        <v>37860.550000000003</v>
      </c>
      <c r="AB92" s="133">
        <v>37861</v>
      </c>
      <c r="AC92" s="134">
        <f t="shared" si="48"/>
        <v>0.44999999999708962</v>
      </c>
      <c r="AD92" s="125">
        <v>44335</v>
      </c>
      <c r="AE92" s="135">
        <f t="shared" si="13"/>
        <v>1.041E-3</v>
      </c>
      <c r="AF92" s="136">
        <f t="shared" si="14"/>
        <v>44335</v>
      </c>
      <c r="AG92" s="137" t="s">
        <v>416</v>
      </c>
      <c r="AH92" s="124"/>
    </row>
    <row r="93" spans="1:34" ht="12" customHeight="1">
      <c r="A93" s="154">
        <v>44334</v>
      </c>
      <c r="B93" s="140" t="s">
        <v>519</v>
      </c>
      <c r="C93" s="141" t="s">
        <v>485</v>
      </c>
      <c r="D93" s="140"/>
      <c r="E93" s="140" t="str">
        <f t="shared" si="0"/>
        <v>ABB</v>
      </c>
      <c r="F93" s="140"/>
      <c r="G93" s="140"/>
      <c r="H93" s="140"/>
      <c r="I93" s="141" t="s">
        <v>467</v>
      </c>
      <c r="J93" s="139" t="s">
        <v>483</v>
      </c>
      <c r="K93" s="141"/>
      <c r="L93" s="141"/>
      <c r="M93" s="142">
        <v>10</v>
      </c>
      <c r="N93" s="143">
        <v>1462</v>
      </c>
      <c r="O93" s="144">
        <f t="shared" si="39"/>
        <v>0</v>
      </c>
      <c r="P93" s="144">
        <f t="shared" ref="P93:P95" si="92">N93+O93</f>
        <v>1462</v>
      </c>
      <c r="Q93" s="144"/>
      <c r="R93" s="144">
        <f t="shared" si="3"/>
        <v>14620</v>
      </c>
      <c r="S93" s="145">
        <f t="shared" si="4"/>
        <v>1.7399999999999998</v>
      </c>
      <c r="T93" s="145">
        <f t="shared" si="75"/>
        <v>0</v>
      </c>
      <c r="U93" s="145">
        <f t="shared" si="36"/>
        <v>0.09</v>
      </c>
      <c r="V93" s="145">
        <f t="shared" si="62"/>
        <v>14.62</v>
      </c>
      <c r="W93" s="145">
        <f t="shared" ref="W93:W95" si="93">ROUND(R93*F$1823,2)</f>
        <v>2.19</v>
      </c>
      <c r="X93" s="145">
        <f t="shared" si="91"/>
        <v>0.5</v>
      </c>
      <c r="Y93" s="145">
        <f t="shared" si="90"/>
        <v>0</v>
      </c>
      <c r="Z93" s="146">
        <f t="shared" si="10"/>
        <v>17.399999999999999</v>
      </c>
      <c r="AA93" s="147">
        <f t="shared" ref="AA93:AA95" si="94">-ROUND(R93+SUM(T93:Y93),2)</f>
        <v>-14637.4</v>
      </c>
      <c r="AB93" s="148">
        <v>-14637</v>
      </c>
      <c r="AC93" s="149">
        <f t="shared" si="48"/>
        <v>0.3999999999996362</v>
      </c>
      <c r="AD93" s="138">
        <v>44336</v>
      </c>
      <c r="AE93" s="150">
        <f t="shared" si="13"/>
        <v>1.1900000000000001E-3</v>
      </c>
      <c r="AF93" s="151">
        <f t="shared" si="14"/>
        <v>44336</v>
      </c>
      <c r="AG93" s="152" t="s">
        <v>416</v>
      </c>
      <c r="AH93" s="124"/>
    </row>
    <row r="94" spans="1:34" ht="12" customHeight="1">
      <c r="A94" s="154">
        <v>44334</v>
      </c>
      <c r="B94" s="140" t="s">
        <v>520</v>
      </c>
      <c r="C94" s="141" t="s">
        <v>485</v>
      </c>
      <c r="D94" s="140"/>
      <c r="E94" s="140" t="str">
        <f t="shared" si="0"/>
        <v>BURGERKING</v>
      </c>
      <c r="F94" s="140"/>
      <c r="G94" s="140"/>
      <c r="H94" s="140"/>
      <c r="I94" s="141" t="s">
        <v>467</v>
      </c>
      <c r="J94" s="139" t="s">
        <v>483</v>
      </c>
      <c r="K94" s="141"/>
      <c r="L94" s="141"/>
      <c r="M94" s="142">
        <v>100</v>
      </c>
      <c r="N94" s="143">
        <v>144.5</v>
      </c>
      <c r="O94" s="144">
        <f t="shared" si="39"/>
        <v>0</v>
      </c>
      <c r="P94" s="144">
        <f t="shared" si="92"/>
        <v>144.5</v>
      </c>
      <c r="Q94" s="144"/>
      <c r="R94" s="144">
        <f t="shared" si="3"/>
        <v>14450</v>
      </c>
      <c r="S94" s="145">
        <f t="shared" si="4"/>
        <v>0.17220000000000002</v>
      </c>
      <c r="T94" s="145">
        <f t="shared" si="75"/>
        <v>0</v>
      </c>
      <c r="U94" s="145">
        <f t="shared" si="36"/>
        <v>0.09</v>
      </c>
      <c r="V94" s="145">
        <f t="shared" si="62"/>
        <v>14.45</v>
      </c>
      <c r="W94" s="145">
        <f t="shared" si="93"/>
        <v>2.17</v>
      </c>
      <c r="X94" s="145">
        <f t="shared" si="91"/>
        <v>0.5</v>
      </c>
      <c r="Y94" s="145">
        <f>ROUND(R94*C$1826,2)</f>
        <v>0.01</v>
      </c>
      <c r="Z94" s="146">
        <f t="shared" si="10"/>
        <v>17.220000000000002</v>
      </c>
      <c r="AA94" s="147">
        <f t="shared" si="94"/>
        <v>-14467.22</v>
      </c>
      <c r="AB94" s="148">
        <v>-14467</v>
      </c>
      <c r="AC94" s="149">
        <f t="shared" si="48"/>
        <v>0.21999999999934516</v>
      </c>
      <c r="AD94" s="138">
        <v>44336</v>
      </c>
      <c r="AE94" s="150">
        <f t="shared" si="13"/>
        <v>1.1919999999999999E-3</v>
      </c>
      <c r="AF94" s="151">
        <f t="shared" si="14"/>
        <v>44336</v>
      </c>
      <c r="AG94" s="152" t="s">
        <v>416</v>
      </c>
      <c r="AH94" s="124"/>
    </row>
    <row r="95" spans="1:34" ht="12" customHeight="1">
      <c r="A95" s="154">
        <v>44334</v>
      </c>
      <c r="B95" s="140" t="s">
        <v>501</v>
      </c>
      <c r="C95" s="141" t="s">
        <v>485</v>
      </c>
      <c r="D95" s="140"/>
      <c r="E95" s="140" t="str">
        <f t="shared" si="0"/>
        <v>ICICIBANK</v>
      </c>
      <c r="F95" s="140"/>
      <c r="G95" s="140"/>
      <c r="H95" s="140"/>
      <c r="I95" s="141" t="s">
        <v>467</v>
      </c>
      <c r="J95" s="139" t="s">
        <v>483</v>
      </c>
      <c r="K95" s="141"/>
      <c r="L95" s="141"/>
      <c r="M95" s="142">
        <v>25</v>
      </c>
      <c r="N95" s="143">
        <v>630</v>
      </c>
      <c r="O95" s="144">
        <f t="shared" si="39"/>
        <v>0</v>
      </c>
      <c r="P95" s="144">
        <f t="shared" si="92"/>
        <v>630</v>
      </c>
      <c r="Q95" s="144"/>
      <c r="R95" s="144">
        <f t="shared" si="3"/>
        <v>15750</v>
      </c>
      <c r="S95" s="145">
        <f t="shared" si="4"/>
        <v>0.75</v>
      </c>
      <c r="T95" s="145">
        <f t="shared" si="75"/>
        <v>0</v>
      </c>
      <c r="U95" s="145">
        <f t="shared" si="36"/>
        <v>0.1</v>
      </c>
      <c r="V95" s="145">
        <f t="shared" si="62"/>
        <v>15.75</v>
      </c>
      <c r="W95" s="145">
        <f t="shared" si="93"/>
        <v>2.36</v>
      </c>
      <c r="X95" s="145">
        <f t="shared" si="91"/>
        <v>0.54</v>
      </c>
      <c r="Y95" s="145">
        <f t="shared" ref="Y95:Y96" si="95">ROUND(R95*K$1826,2)</f>
        <v>0</v>
      </c>
      <c r="Z95" s="146">
        <f t="shared" si="10"/>
        <v>18.75</v>
      </c>
      <c r="AA95" s="147">
        <f t="shared" si="94"/>
        <v>-15768.75</v>
      </c>
      <c r="AB95" s="148">
        <v>-15769</v>
      </c>
      <c r="AC95" s="149">
        <f t="shared" si="48"/>
        <v>-0.25</v>
      </c>
      <c r="AD95" s="138">
        <v>44336</v>
      </c>
      <c r="AE95" s="150">
        <f t="shared" si="13"/>
        <v>1.1900000000000001E-3</v>
      </c>
      <c r="AF95" s="151">
        <f t="shared" si="14"/>
        <v>44336</v>
      </c>
      <c r="AG95" s="152" t="s">
        <v>416</v>
      </c>
      <c r="AH95" s="124"/>
    </row>
    <row r="96" spans="1:34" ht="12" customHeight="1">
      <c r="A96" s="155">
        <v>44334</v>
      </c>
      <c r="B96" s="112" t="s">
        <v>510</v>
      </c>
      <c r="C96" s="127" t="s">
        <v>485</v>
      </c>
      <c r="D96" s="112"/>
      <c r="E96" s="112" t="str">
        <f t="shared" si="0"/>
        <v>CYBERTECH</v>
      </c>
      <c r="F96" s="112"/>
      <c r="G96" s="112"/>
      <c r="H96" s="112"/>
      <c r="I96" s="127" t="s">
        <v>461</v>
      </c>
      <c r="J96" s="126" t="s">
        <v>483</v>
      </c>
      <c r="K96" s="127"/>
      <c r="L96" s="127"/>
      <c r="M96" s="128">
        <v>50</v>
      </c>
      <c r="N96" s="129">
        <v>139.30000000000001</v>
      </c>
      <c r="O96" s="130">
        <f t="shared" si="39"/>
        <v>0</v>
      </c>
      <c r="P96" s="130">
        <f t="shared" ref="P96:P101" si="96">N96-O96</f>
        <v>139.30000000000001</v>
      </c>
      <c r="Q96" s="130"/>
      <c r="R96" s="130">
        <f t="shared" si="3"/>
        <v>6965</v>
      </c>
      <c r="S96" s="131">
        <f t="shared" si="4"/>
        <v>0.14380000000000001</v>
      </c>
      <c r="T96" s="131">
        <f t="shared" si="75"/>
        <v>0</v>
      </c>
      <c r="U96" s="131">
        <f t="shared" si="36"/>
        <v>0.03</v>
      </c>
      <c r="V96" s="131">
        <f t="shared" si="62"/>
        <v>6.97</v>
      </c>
      <c r="W96" s="131">
        <v>0</v>
      </c>
      <c r="X96" s="131">
        <f t="shared" ref="X96:X99" si="97">ROUND(R96*G$1820,2)</f>
        <v>0.19</v>
      </c>
      <c r="Y96" s="131">
        <f t="shared" si="95"/>
        <v>0</v>
      </c>
      <c r="Z96" s="131">
        <f t="shared" si="10"/>
        <v>7.19</v>
      </c>
      <c r="AA96" s="132">
        <f t="shared" ref="AA96:AA101" si="98">ROUND(R96-SUM(T96:Y96),2)</f>
        <v>6957.81</v>
      </c>
      <c r="AB96" s="133">
        <v>6958</v>
      </c>
      <c r="AC96" s="134">
        <f t="shared" si="48"/>
        <v>0.18999999999959982</v>
      </c>
      <c r="AD96" s="125">
        <v>44336</v>
      </c>
      <c r="AE96" s="135">
        <f t="shared" si="13"/>
        <v>1.0319999999999999E-3</v>
      </c>
      <c r="AF96" s="136">
        <f t="shared" si="14"/>
        <v>44336</v>
      </c>
      <c r="AG96" s="137" t="s">
        <v>416</v>
      </c>
      <c r="AH96" s="124"/>
    </row>
    <row r="97" spans="1:34" ht="12" customHeight="1">
      <c r="A97" s="155">
        <v>44334</v>
      </c>
      <c r="B97" s="112" t="s">
        <v>515</v>
      </c>
      <c r="C97" s="127" t="s">
        <v>485</v>
      </c>
      <c r="D97" s="112"/>
      <c r="E97" s="112" t="str">
        <f t="shared" si="0"/>
        <v>RAMCOSYS</v>
      </c>
      <c r="F97" s="112"/>
      <c r="G97" s="112"/>
      <c r="H97" s="112"/>
      <c r="I97" s="127" t="s">
        <v>461</v>
      </c>
      <c r="J97" s="126" t="s">
        <v>483</v>
      </c>
      <c r="K97" s="127"/>
      <c r="L97" s="127"/>
      <c r="M97" s="128">
        <v>20</v>
      </c>
      <c r="N97" s="129">
        <v>560</v>
      </c>
      <c r="O97" s="130">
        <f t="shared" si="39"/>
        <v>0</v>
      </c>
      <c r="P97" s="130">
        <f t="shared" si="96"/>
        <v>560</v>
      </c>
      <c r="Q97" s="130"/>
      <c r="R97" s="130">
        <f t="shared" si="3"/>
        <v>11200</v>
      </c>
      <c r="S97" s="131">
        <f t="shared" si="4"/>
        <v>0.57899999999999996</v>
      </c>
      <c r="T97" s="131">
        <f t="shared" si="75"/>
        <v>0</v>
      </c>
      <c r="U97" s="131">
        <f t="shared" si="36"/>
        <v>0.06</v>
      </c>
      <c r="V97" s="131">
        <f t="shared" si="62"/>
        <v>11.2</v>
      </c>
      <c r="W97" s="131">
        <v>0</v>
      </c>
      <c r="X97" s="131">
        <f t="shared" si="97"/>
        <v>0.31</v>
      </c>
      <c r="Y97" s="131">
        <f>ROUND(R97*C$1826,2)</f>
        <v>0.01</v>
      </c>
      <c r="Z97" s="131">
        <f t="shared" si="10"/>
        <v>11.58</v>
      </c>
      <c r="AA97" s="132">
        <f t="shared" si="98"/>
        <v>11188.42</v>
      </c>
      <c r="AB97" s="133">
        <v>11188</v>
      </c>
      <c r="AC97" s="134">
        <f t="shared" si="48"/>
        <v>-0.42000000000007276</v>
      </c>
      <c r="AD97" s="125">
        <v>44336</v>
      </c>
      <c r="AE97" s="135">
        <f t="shared" si="13"/>
        <v>1.034E-3</v>
      </c>
      <c r="AF97" s="136">
        <f t="shared" si="14"/>
        <v>44336</v>
      </c>
      <c r="AG97" s="137" t="s">
        <v>416</v>
      </c>
      <c r="AH97" s="124"/>
    </row>
    <row r="98" spans="1:34" ht="12" customHeight="1">
      <c r="A98" s="155">
        <v>44334</v>
      </c>
      <c r="B98" s="112" t="s">
        <v>498</v>
      </c>
      <c r="C98" s="127" t="s">
        <v>485</v>
      </c>
      <c r="D98" s="112"/>
      <c r="E98" s="112" t="str">
        <f t="shared" si="0"/>
        <v>BAJFINANCE</v>
      </c>
      <c r="F98" s="112"/>
      <c r="G98" s="112"/>
      <c r="H98" s="112"/>
      <c r="I98" s="127" t="s">
        <v>461</v>
      </c>
      <c r="J98" s="126" t="s">
        <v>483</v>
      </c>
      <c r="K98" s="127"/>
      <c r="L98" s="127"/>
      <c r="M98" s="128">
        <v>2</v>
      </c>
      <c r="N98" s="129">
        <v>5650</v>
      </c>
      <c r="O98" s="130">
        <f t="shared" si="39"/>
        <v>0</v>
      </c>
      <c r="P98" s="130">
        <f t="shared" si="96"/>
        <v>5650</v>
      </c>
      <c r="Q98" s="130"/>
      <c r="R98" s="130">
        <f t="shared" si="3"/>
        <v>11300</v>
      </c>
      <c r="S98" s="131">
        <f t="shared" si="4"/>
        <v>5.8350000000000009</v>
      </c>
      <c r="T98" s="131">
        <f t="shared" si="75"/>
        <v>0</v>
      </c>
      <c r="U98" s="131">
        <f t="shared" si="36"/>
        <v>0.06</v>
      </c>
      <c r="V98" s="131">
        <f t="shared" si="62"/>
        <v>11.3</v>
      </c>
      <c r="W98" s="131">
        <v>0</v>
      </c>
      <c r="X98" s="131">
        <f t="shared" si="97"/>
        <v>0.31</v>
      </c>
      <c r="Y98" s="131">
        <f t="shared" ref="Y98:Y212" si="99">ROUND(R98*K$1826,2)</f>
        <v>0</v>
      </c>
      <c r="Z98" s="131">
        <f t="shared" si="10"/>
        <v>11.670000000000002</v>
      </c>
      <c r="AA98" s="132">
        <f t="shared" si="98"/>
        <v>11288.33</v>
      </c>
      <c r="AB98" s="133">
        <v>11288</v>
      </c>
      <c r="AC98" s="134">
        <f t="shared" si="48"/>
        <v>-0.32999999999992724</v>
      </c>
      <c r="AD98" s="125">
        <v>44336</v>
      </c>
      <c r="AE98" s="135">
        <f t="shared" si="13"/>
        <v>1.0330000000000001E-3</v>
      </c>
      <c r="AF98" s="136">
        <f t="shared" si="14"/>
        <v>44336</v>
      </c>
      <c r="AG98" s="137" t="s">
        <v>416</v>
      </c>
      <c r="AH98" s="124"/>
    </row>
    <row r="99" spans="1:34" ht="12" customHeight="1">
      <c r="A99" s="155">
        <v>44334</v>
      </c>
      <c r="B99" s="112" t="s">
        <v>494</v>
      </c>
      <c r="C99" s="127" t="s">
        <v>485</v>
      </c>
      <c r="D99" s="112"/>
      <c r="E99" s="112" t="str">
        <f t="shared" si="0"/>
        <v>BEL</v>
      </c>
      <c r="F99" s="112"/>
      <c r="G99" s="112"/>
      <c r="H99" s="112"/>
      <c r="I99" s="127" t="s">
        <v>461</v>
      </c>
      <c r="J99" s="126" t="s">
        <v>483</v>
      </c>
      <c r="K99" s="127"/>
      <c r="L99" s="127"/>
      <c r="M99" s="128">
        <v>100</v>
      </c>
      <c r="N99" s="129">
        <v>150.6</v>
      </c>
      <c r="O99" s="130">
        <f t="shared" si="39"/>
        <v>0</v>
      </c>
      <c r="P99" s="130">
        <f t="shared" si="96"/>
        <v>150.6</v>
      </c>
      <c r="Q99" s="130"/>
      <c r="R99" s="130">
        <f t="shared" si="3"/>
        <v>15060</v>
      </c>
      <c r="S99" s="131">
        <f t="shared" si="4"/>
        <v>0.15540000000000001</v>
      </c>
      <c r="T99" s="131">
        <f t="shared" si="75"/>
        <v>0</v>
      </c>
      <c r="U99" s="131">
        <f t="shared" si="36"/>
        <v>7.0000000000000007E-2</v>
      </c>
      <c r="V99" s="131">
        <f t="shared" si="62"/>
        <v>15.06</v>
      </c>
      <c r="W99" s="131">
        <v>0</v>
      </c>
      <c r="X99" s="131">
        <f t="shared" si="97"/>
        <v>0.41</v>
      </c>
      <c r="Y99" s="131">
        <f t="shared" si="99"/>
        <v>0</v>
      </c>
      <c r="Z99" s="131">
        <f t="shared" si="10"/>
        <v>15.540000000000001</v>
      </c>
      <c r="AA99" s="132">
        <f t="shared" si="98"/>
        <v>15044.46</v>
      </c>
      <c r="AB99" s="133">
        <v>15044</v>
      </c>
      <c r="AC99" s="134">
        <f t="shared" si="48"/>
        <v>-0.45999999999912689</v>
      </c>
      <c r="AD99" s="125">
        <v>44336</v>
      </c>
      <c r="AE99" s="135">
        <f t="shared" si="13"/>
        <v>1.0319999999999999E-3</v>
      </c>
      <c r="AF99" s="136">
        <f t="shared" si="14"/>
        <v>44336</v>
      </c>
      <c r="AG99" s="137" t="s">
        <v>416</v>
      </c>
      <c r="AH99" s="124"/>
    </row>
    <row r="100" spans="1:34" ht="12" customHeight="1">
      <c r="A100" s="155">
        <v>44334</v>
      </c>
      <c r="B100" s="112" t="s">
        <v>513</v>
      </c>
      <c r="C100" s="127" t="s">
        <v>485</v>
      </c>
      <c r="D100" s="112"/>
      <c r="E100" s="112" t="str">
        <f t="shared" si="0"/>
        <v>HDFCBANK</v>
      </c>
      <c r="F100" s="112"/>
      <c r="G100" s="112"/>
      <c r="H100" s="112"/>
      <c r="I100" s="127" t="s">
        <v>461</v>
      </c>
      <c r="J100" s="126" t="s">
        <v>483</v>
      </c>
      <c r="K100" s="127"/>
      <c r="L100" s="127"/>
      <c r="M100" s="128">
        <v>10</v>
      </c>
      <c r="N100" s="129">
        <v>1465</v>
      </c>
      <c r="O100" s="130">
        <f t="shared" si="39"/>
        <v>0</v>
      </c>
      <c r="P100" s="130">
        <f t="shared" si="96"/>
        <v>1465</v>
      </c>
      <c r="Q100" s="130"/>
      <c r="R100" s="130">
        <f t="shared" si="3"/>
        <v>14650</v>
      </c>
      <c r="S100" s="131">
        <f t="shared" si="4"/>
        <v>1.5249999999999999</v>
      </c>
      <c r="T100" s="131">
        <f t="shared" si="75"/>
        <v>0</v>
      </c>
      <c r="U100" s="131">
        <f t="shared" si="36"/>
        <v>0.09</v>
      </c>
      <c r="V100" s="131">
        <f t="shared" si="62"/>
        <v>14.65</v>
      </c>
      <c r="W100" s="131">
        <v>0</v>
      </c>
      <c r="X100" s="131">
        <f t="shared" ref="X100:X101" si="100">ROUND(R100*H$1820,2)</f>
        <v>0.51</v>
      </c>
      <c r="Y100" s="131">
        <f t="shared" si="99"/>
        <v>0</v>
      </c>
      <c r="Z100" s="131">
        <f t="shared" si="10"/>
        <v>15.25</v>
      </c>
      <c r="AA100" s="132">
        <f t="shared" si="98"/>
        <v>14634.75</v>
      </c>
      <c r="AB100" s="133">
        <v>14635</v>
      </c>
      <c r="AC100" s="134">
        <f t="shared" si="48"/>
        <v>0.25</v>
      </c>
      <c r="AD100" s="125">
        <v>44336</v>
      </c>
      <c r="AE100" s="135">
        <f t="shared" si="13"/>
        <v>1.041E-3</v>
      </c>
      <c r="AF100" s="136">
        <f t="shared" si="14"/>
        <v>44336</v>
      </c>
      <c r="AG100" s="137" t="s">
        <v>416</v>
      </c>
      <c r="AH100" s="124"/>
    </row>
    <row r="101" spans="1:34" ht="12" customHeight="1">
      <c r="A101" s="155">
        <v>44334</v>
      </c>
      <c r="B101" s="112" t="s">
        <v>518</v>
      </c>
      <c r="C101" s="127" t="s">
        <v>485</v>
      </c>
      <c r="D101" s="112"/>
      <c r="E101" s="112" t="str">
        <f t="shared" si="0"/>
        <v>TATAMOTORS</v>
      </c>
      <c r="F101" s="112"/>
      <c r="G101" s="112"/>
      <c r="H101" s="112"/>
      <c r="I101" s="127" t="s">
        <v>461</v>
      </c>
      <c r="J101" s="126" t="s">
        <v>483</v>
      </c>
      <c r="K101" s="127"/>
      <c r="L101" s="127"/>
      <c r="M101" s="128">
        <v>50</v>
      </c>
      <c r="N101" s="129">
        <v>332.1</v>
      </c>
      <c r="O101" s="130">
        <f t="shared" si="39"/>
        <v>0</v>
      </c>
      <c r="P101" s="130">
        <f t="shared" si="96"/>
        <v>332.1</v>
      </c>
      <c r="Q101" s="130"/>
      <c r="R101" s="130">
        <f t="shared" si="3"/>
        <v>16605</v>
      </c>
      <c r="S101" s="131">
        <f t="shared" si="4"/>
        <v>0.34560000000000002</v>
      </c>
      <c r="T101" s="131">
        <f t="shared" si="75"/>
        <v>0</v>
      </c>
      <c r="U101" s="131">
        <f t="shared" si="36"/>
        <v>0.1</v>
      </c>
      <c r="V101" s="131">
        <f t="shared" si="62"/>
        <v>16.61</v>
      </c>
      <c r="W101" s="131">
        <v>0</v>
      </c>
      <c r="X101" s="131">
        <f t="shared" si="100"/>
        <v>0.56999999999999995</v>
      </c>
      <c r="Y101" s="131">
        <f t="shared" si="99"/>
        <v>0</v>
      </c>
      <c r="Z101" s="131">
        <f t="shared" si="10"/>
        <v>17.28</v>
      </c>
      <c r="AA101" s="132">
        <f t="shared" si="98"/>
        <v>16587.72</v>
      </c>
      <c r="AB101" s="133">
        <v>16588</v>
      </c>
      <c r="AC101" s="134">
        <f t="shared" si="48"/>
        <v>0.27999999999883585</v>
      </c>
      <c r="AD101" s="125">
        <v>44336</v>
      </c>
      <c r="AE101" s="135">
        <f t="shared" si="13"/>
        <v>1.041E-3</v>
      </c>
      <c r="AF101" s="136">
        <f t="shared" si="14"/>
        <v>44336</v>
      </c>
      <c r="AG101" s="137" t="s">
        <v>416</v>
      </c>
      <c r="AH101" s="124"/>
    </row>
    <row r="102" spans="1:34" ht="12" customHeight="1">
      <c r="A102" s="154">
        <v>44335</v>
      </c>
      <c r="B102" s="140" t="s">
        <v>521</v>
      </c>
      <c r="C102" s="141" t="s">
        <v>485</v>
      </c>
      <c r="D102" s="140"/>
      <c r="E102" s="140" t="str">
        <f t="shared" si="0"/>
        <v>IDEA</v>
      </c>
      <c r="F102" s="140"/>
      <c r="G102" s="140"/>
      <c r="H102" s="140"/>
      <c r="I102" s="141" t="s">
        <v>467</v>
      </c>
      <c r="J102" s="139" t="s">
        <v>483</v>
      </c>
      <c r="K102" s="141"/>
      <c r="L102" s="141"/>
      <c r="M102" s="142">
        <v>2500</v>
      </c>
      <c r="N102" s="143">
        <v>8.4</v>
      </c>
      <c r="O102" s="144">
        <f t="shared" si="39"/>
        <v>0</v>
      </c>
      <c r="P102" s="144">
        <f t="shared" ref="P102:P103" si="101">N102+O102</f>
        <v>8.4</v>
      </c>
      <c r="Q102" s="144"/>
      <c r="R102" s="144">
        <f t="shared" si="3"/>
        <v>21000</v>
      </c>
      <c r="S102" s="145">
        <f t="shared" si="4"/>
        <v>9.9319999999999999E-3</v>
      </c>
      <c r="T102" s="145">
        <f t="shared" si="75"/>
        <v>0</v>
      </c>
      <c r="U102" s="145">
        <f t="shared" si="36"/>
        <v>0.1</v>
      </c>
      <c r="V102" s="145">
        <f t="shared" si="62"/>
        <v>21</v>
      </c>
      <c r="W102" s="145">
        <f t="shared" ref="W102:W103" si="102">ROUND(R102*F$1823,2)</f>
        <v>3.15</v>
      </c>
      <c r="X102" s="145">
        <f t="shared" ref="X102:X103" si="103">ROUND(R102*G$1820,2)</f>
        <v>0.57999999999999996</v>
      </c>
      <c r="Y102" s="145">
        <f t="shared" si="99"/>
        <v>0</v>
      </c>
      <c r="Z102" s="146">
        <f t="shared" si="10"/>
        <v>24.83</v>
      </c>
      <c r="AA102" s="147">
        <f t="shared" ref="AA102:AA103" si="104">-ROUND(R102+SUM(T102:Y102),2)</f>
        <v>-21024.83</v>
      </c>
      <c r="AB102" s="148">
        <v>-21025</v>
      </c>
      <c r="AC102" s="149">
        <f t="shared" si="48"/>
        <v>-0.16999999999825377</v>
      </c>
      <c r="AD102" s="138">
        <v>44337</v>
      </c>
      <c r="AE102" s="150">
        <f t="shared" si="13"/>
        <v>1.1820000000000001E-3</v>
      </c>
      <c r="AF102" s="151">
        <f t="shared" si="14"/>
        <v>44337</v>
      </c>
      <c r="AG102" s="152" t="s">
        <v>416</v>
      </c>
      <c r="AH102" s="124"/>
    </row>
    <row r="103" spans="1:34" ht="12" customHeight="1">
      <c r="A103" s="154">
        <v>44335</v>
      </c>
      <c r="B103" s="140" t="s">
        <v>474</v>
      </c>
      <c r="C103" s="141" t="s">
        <v>485</v>
      </c>
      <c r="D103" s="140"/>
      <c r="E103" s="140" t="str">
        <f t="shared" si="0"/>
        <v>RELIANCE</v>
      </c>
      <c r="F103" s="140"/>
      <c r="G103" s="140"/>
      <c r="H103" s="140"/>
      <c r="I103" s="141" t="s">
        <v>467</v>
      </c>
      <c r="J103" s="139" t="s">
        <v>483</v>
      </c>
      <c r="K103" s="141"/>
      <c r="L103" s="141"/>
      <c r="M103" s="142">
        <v>10</v>
      </c>
      <c r="N103" s="143">
        <v>2000</v>
      </c>
      <c r="O103" s="144">
        <f t="shared" si="39"/>
        <v>0</v>
      </c>
      <c r="P103" s="144">
        <f t="shared" si="101"/>
        <v>2000</v>
      </c>
      <c r="Q103" s="144"/>
      <c r="R103" s="144">
        <f t="shared" si="3"/>
        <v>20000</v>
      </c>
      <c r="S103" s="145">
        <f t="shared" si="4"/>
        <v>2.3650000000000002</v>
      </c>
      <c r="T103" s="145">
        <f t="shared" si="75"/>
        <v>0</v>
      </c>
      <c r="U103" s="145">
        <f t="shared" si="36"/>
        <v>0.1</v>
      </c>
      <c r="V103" s="145">
        <f t="shared" si="62"/>
        <v>20</v>
      </c>
      <c r="W103" s="145">
        <f t="shared" si="102"/>
        <v>3</v>
      </c>
      <c r="X103" s="145">
        <f t="shared" si="103"/>
        <v>0.55000000000000004</v>
      </c>
      <c r="Y103" s="145">
        <f t="shared" si="99"/>
        <v>0</v>
      </c>
      <c r="Z103" s="146">
        <f t="shared" si="10"/>
        <v>23.650000000000002</v>
      </c>
      <c r="AA103" s="147">
        <f t="shared" si="104"/>
        <v>-20023.650000000001</v>
      </c>
      <c r="AB103" s="148">
        <v>-20024</v>
      </c>
      <c r="AC103" s="149">
        <f t="shared" si="48"/>
        <v>-0.34999999999854481</v>
      </c>
      <c r="AD103" s="138">
        <v>44337</v>
      </c>
      <c r="AE103" s="150">
        <f t="shared" si="13"/>
        <v>1.183E-3</v>
      </c>
      <c r="AF103" s="151">
        <f t="shared" si="14"/>
        <v>44337</v>
      </c>
      <c r="AG103" s="152" t="s">
        <v>416</v>
      </c>
      <c r="AH103" s="124"/>
    </row>
    <row r="104" spans="1:34" ht="12" customHeight="1">
      <c r="A104" s="155">
        <v>44335</v>
      </c>
      <c r="B104" s="112" t="s">
        <v>500</v>
      </c>
      <c r="C104" s="127" t="s">
        <v>485</v>
      </c>
      <c r="D104" s="112"/>
      <c r="E104" s="112" t="str">
        <f t="shared" si="0"/>
        <v>CHOLAFIN</v>
      </c>
      <c r="F104" s="112"/>
      <c r="G104" s="112"/>
      <c r="H104" s="112"/>
      <c r="I104" s="127" t="s">
        <v>461</v>
      </c>
      <c r="J104" s="126" t="s">
        <v>483</v>
      </c>
      <c r="K104" s="127"/>
      <c r="L104" s="127"/>
      <c r="M104" s="128">
        <v>5</v>
      </c>
      <c r="N104" s="129">
        <v>549</v>
      </c>
      <c r="O104" s="130">
        <f t="shared" si="39"/>
        <v>0</v>
      </c>
      <c r="P104" s="130">
        <f t="shared" ref="P104:P105" si="105">N104-O104</f>
        <v>549</v>
      </c>
      <c r="Q104" s="130"/>
      <c r="R104" s="130">
        <f t="shared" si="3"/>
        <v>2745</v>
      </c>
      <c r="S104" s="131">
        <f t="shared" si="4"/>
        <v>0.57199999999999995</v>
      </c>
      <c r="T104" s="131">
        <f t="shared" si="75"/>
        <v>0</v>
      </c>
      <c r="U104" s="131">
        <f t="shared" si="36"/>
        <v>0.02</v>
      </c>
      <c r="V104" s="131">
        <f t="shared" si="62"/>
        <v>2.75</v>
      </c>
      <c r="W104" s="131">
        <v>0</v>
      </c>
      <c r="X104" s="131">
        <f>ROUND(R104*H$1820,2)</f>
        <v>0.09</v>
      </c>
      <c r="Y104" s="131">
        <f t="shared" si="99"/>
        <v>0</v>
      </c>
      <c r="Z104" s="131">
        <f t="shared" si="10"/>
        <v>2.86</v>
      </c>
      <c r="AA104" s="132">
        <f t="shared" ref="AA104:AA105" si="106">ROUND(R104-SUM(T104:Y104),2)</f>
        <v>2742.14</v>
      </c>
      <c r="AB104" s="133">
        <v>2742</v>
      </c>
      <c r="AC104" s="134">
        <f t="shared" si="48"/>
        <v>-0.13999999999987267</v>
      </c>
      <c r="AD104" s="125">
        <v>44337</v>
      </c>
      <c r="AE104" s="135">
        <f t="shared" si="13"/>
        <v>1.042E-3</v>
      </c>
      <c r="AF104" s="136">
        <f t="shared" si="14"/>
        <v>44337</v>
      </c>
      <c r="AG104" s="137" t="s">
        <v>416</v>
      </c>
      <c r="AH104" s="124"/>
    </row>
    <row r="105" spans="1:34" ht="12" customHeight="1">
      <c r="A105" s="155">
        <v>44335</v>
      </c>
      <c r="B105" s="112" t="s">
        <v>499</v>
      </c>
      <c r="C105" s="127" t="s">
        <v>485</v>
      </c>
      <c r="D105" s="112"/>
      <c r="E105" s="112" t="str">
        <f t="shared" si="0"/>
        <v>BSOFT</v>
      </c>
      <c r="F105" s="112"/>
      <c r="G105" s="112"/>
      <c r="H105" s="112"/>
      <c r="I105" s="127" t="s">
        <v>461</v>
      </c>
      <c r="J105" s="126" t="s">
        <v>483</v>
      </c>
      <c r="K105" s="127"/>
      <c r="L105" s="127"/>
      <c r="M105" s="128">
        <v>25</v>
      </c>
      <c r="N105" s="129">
        <v>270.5</v>
      </c>
      <c r="O105" s="130">
        <f t="shared" si="39"/>
        <v>0</v>
      </c>
      <c r="P105" s="130">
        <f t="shared" si="105"/>
        <v>270.5</v>
      </c>
      <c r="Q105" s="130"/>
      <c r="R105" s="130">
        <f t="shared" si="3"/>
        <v>6762.5</v>
      </c>
      <c r="S105" s="131">
        <f t="shared" si="4"/>
        <v>0.2792</v>
      </c>
      <c r="T105" s="131">
        <f t="shared" si="75"/>
        <v>0</v>
      </c>
      <c r="U105" s="131">
        <f t="shared" si="36"/>
        <v>0.03</v>
      </c>
      <c r="V105" s="131">
        <f t="shared" si="62"/>
        <v>6.76</v>
      </c>
      <c r="W105" s="131">
        <v>0</v>
      </c>
      <c r="X105" s="131">
        <f t="shared" ref="X105:X110" si="107">ROUND(R105*G$1820,2)</f>
        <v>0.19</v>
      </c>
      <c r="Y105" s="131">
        <f t="shared" si="99"/>
        <v>0</v>
      </c>
      <c r="Z105" s="131">
        <f t="shared" si="10"/>
        <v>6.98</v>
      </c>
      <c r="AA105" s="132">
        <f t="shared" si="106"/>
        <v>6755.52</v>
      </c>
      <c r="AB105" s="133">
        <v>6756</v>
      </c>
      <c r="AC105" s="134">
        <f t="shared" si="48"/>
        <v>0.47999999999956344</v>
      </c>
      <c r="AD105" s="125">
        <v>44337</v>
      </c>
      <c r="AE105" s="135">
        <f t="shared" si="13"/>
        <v>1.0319999999999999E-3</v>
      </c>
      <c r="AF105" s="136">
        <f t="shared" si="14"/>
        <v>44337</v>
      </c>
      <c r="AG105" s="137" t="s">
        <v>416</v>
      </c>
      <c r="AH105" s="124"/>
    </row>
    <row r="106" spans="1:34" ht="12" customHeight="1">
      <c r="A106" s="154">
        <v>44336</v>
      </c>
      <c r="B106" s="140" t="s">
        <v>495</v>
      </c>
      <c r="C106" s="141" t="s">
        <v>485</v>
      </c>
      <c r="D106" s="140"/>
      <c r="E106" s="140" t="str">
        <f t="shared" si="0"/>
        <v>SAIL</v>
      </c>
      <c r="F106" s="140"/>
      <c r="G106" s="140"/>
      <c r="H106" s="140"/>
      <c r="I106" s="141" t="s">
        <v>467</v>
      </c>
      <c r="J106" s="139" t="s">
        <v>483</v>
      </c>
      <c r="K106" s="141"/>
      <c r="L106" s="141"/>
      <c r="M106" s="142">
        <v>100</v>
      </c>
      <c r="N106" s="143">
        <v>123</v>
      </c>
      <c r="O106" s="144">
        <f t="shared" si="39"/>
        <v>0</v>
      </c>
      <c r="P106" s="144">
        <f>N106+O106</f>
        <v>123</v>
      </c>
      <c r="Q106" s="144"/>
      <c r="R106" s="144">
        <f t="shared" si="3"/>
        <v>12300</v>
      </c>
      <c r="S106" s="145">
        <f t="shared" si="4"/>
        <v>0.14550000000000002</v>
      </c>
      <c r="T106" s="145">
        <f t="shared" si="75"/>
        <v>0</v>
      </c>
      <c r="U106" s="145">
        <f t="shared" si="36"/>
        <v>0.06</v>
      </c>
      <c r="V106" s="145">
        <f t="shared" si="62"/>
        <v>12.3</v>
      </c>
      <c r="W106" s="145">
        <f>ROUND(R106*F$1823,2)</f>
        <v>1.85</v>
      </c>
      <c r="X106" s="145">
        <f t="shared" si="107"/>
        <v>0.34</v>
      </c>
      <c r="Y106" s="145">
        <f t="shared" si="99"/>
        <v>0</v>
      </c>
      <c r="Z106" s="146">
        <f t="shared" si="10"/>
        <v>14.55</v>
      </c>
      <c r="AA106" s="147">
        <f>-ROUND(R106+SUM(T106:Y106),2)</f>
        <v>-12314.55</v>
      </c>
      <c r="AB106" s="148">
        <v>-12315</v>
      </c>
      <c r="AC106" s="149">
        <f t="shared" si="48"/>
        <v>-0.4500000000007276</v>
      </c>
      <c r="AD106" s="138">
        <v>44340</v>
      </c>
      <c r="AE106" s="150">
        <f t="shared" si="13"/>
        <v>1.183E-3</v>
      </c>
      <c r="AF106" s="151">
        <f t="shared" si="14"/>
        <v>44340</v>
      </c>
      <c r="AG106" s="152" t="s">
        <v>416</v>
      </c>
      <c r="AH106" s="124"/>
    </row>
    <row r="107" spans="1:34" ht="12" customHeight="1">
      <c r="A107" s="155">
        <v>44336</v>
      </c>
      <c r="B107" s="112" t="s">
        <v>500</v>
      </c>
      <c r="C107" s="127" t="s">
        <v>485</v>
      </c>
      <c r="D107" s="112"/>
      <c r="E107" s="112" t="str">
        <f t="shared" si="0"/>
        <v>CHOLAFIN</v>
      </c>
      <c r="F107" s="112"/>
      <c r="G107" s="112"/>
      <c r="H107" s="112"/>
      <c r="I107" s="127" t="s">
        <v>461</v>
      </c>
      <c r="J107" s="126" t="s">
        <v>483</v>
      </c>
      <c r="K107" s="127"/>
      <c r="L107" s="127"/>
      <c r="M107" s="128">
        <v>10</v>
      </c>
      <c r="N107" s="129">
        <v>555.20000000000005</v>
      </c>
      <c r="O107" s="130">
        <f t="shared" si="39"/>
        <v>0</v>
      </c>
      <c r="P107" s="130">
        <f t="shared" ref="P107:P109" si="108">N107-O107</f>
        <v>555.20000000000005</v>
      </c>
      <c r="Q107" s="130"/>
      <c r="R107" s="130">
        <f t="shared" si="3"/>
        <v>5552</v>
      </c>
      <c r="S107" s="131">
        <f t="shared" si="4"/>
        <v>0.57300000000000006</v>
      </c>
      <c r="T107" s="131">
        <f t="shared" si="75"/>
        <v>0</v>
      </c>
      <c r="U107" s="131">
        <f t="shared" si="36"/>
        <v>0.03</v>
      </c>
      <c r="V107" s="131">
        <f t="shared" si="62"/>
        <v>5.55</v>
      </c>
      <c r="W107" s="131">
        <v>0</v>
      </c>
      <c r="X107" s="131">
        <f t="shared" si="107"/>
        <v>0.15</v>
      </c>
      <c r="Y107" s="131">
        <f t="shared" si="99"/>
        <v>0</v>
      </c>
      <c r="Z107" s="131">
        <f t="shared" si="10"/>
        <v>5.73</v>
      </c>
      <c r="AA107" s="132">
        <f t="shared" ref="AA107:AA109" si="109">ROUND(R107-SUM(T107:Y107),2)</f>
        <v>5546.27</v>
      </c>
      <c r="AB107" s="133">
        <v>5546</v>
      </c>
      <c r="AC107" s="134">
        <f t="shared" si="48"/>
        <v>-0.27000000000043656</v>
      </c>
      <c r="AD107" s="125">
        <v>44340</v>
      </c>
      <c r="AE107" s="135">
        <f t="shared" si="13"/>
        <v>1.0319999999999999E-3</v>
      </c>
      <c r="AF107" s="136">
        <f t="shared" si="14"/>
        <v>44340</v>
      </c>
      <c r="AG107" s="137" t="s">
        <v>416</v>
      </c>
      <c r="AH107" s="124"/>
    </row>
    <row r="108" spans="1:34" ht="12" customHeight="1">
      <c r="A108" s="155">
        <v>44337</v>
      </c>
      <c r="B108" s="112" t="s">
        <v>521</v>
      </c>
      <c r="C108" s="127" t="s">
        <v>485</v>
      </c>
      <c r="D108" s="112"/>
      <c r="E108" s="112" t="str">
        <f t="shared" si="0"/>
        <v>IDEA</v>
      </c>
      <c r="F108" s="112"/>
      <c r="G108" s="112"/>
      <c r="H108" s="112"/>
      <c r="I108" s="127" t="s">
        <v>461</v>
      </c>
      <c r="J108" s="126" t="s">
        <v>483</v>
      </c>
      <c r="K108" s="127"/>
      <c r="L108" s="127"/>
      <c r="M108" s="128">
        <v>2500</v>
      </c>
      <c r="N108" s="129">
        <v>8.5</v>
      </c>
      <c r="O108" s="130">
        <f t="shared" si="39"/>
        <v>0</v>
      </c>
      <c r="P108" s="130">
        <f t="shared" si="108"/>
        <v>8.5</v>
      </c>
      <c r="Q108" s="130"/>
      <c r="R108" s="130">
        <f t="shared" si="3"/>
        <v>21250</v>
      </c>
      <c r="S108" s="131">
        <f t="shared" si="4"/>
        <v>8.7720000000000003E-3</v>
      </c>
      <c r="T108" s="131">
        <f t="shared" si="75"/>
        <v>0</v>
      </c>
      <c r="U108" s="131">
        <f t="shared" si="36"/>
        <v>0.1</v>
      </c>
      <c r="V108" s="131">
        <f t="shared" si="62"/>
        <v>21.25</v>
      </c>
      <c r="W108" s="131">
        <v>0</v>
      </c>
      <c r="X108" s="131">
        <f t="shared" si="107"/>
        <v>0.57999999999999996</v>
      </c>
      <c r="Y108" s="131">
        <f t="shared" si="99"/>
        <v>0</v>
      </c>
      <c r="Z108" s="131">
        <f t="shared" si="10"/>
        <v>21.93</v>
      </c>
      <c r="AA108" s="132">
        <f t="shared" si="109"/>
        <v>21228.07</v>
      </c>
      <c r="AB108" s="133">
        <v>21228</v>
      </c>
      <c r="AC108" s="134">
        <f t="shared" si="48"/>
        <v>-6.9999999999708962E-2</v>
      </c>
      <c r="AD108" s="125">
        <v>44341</v>
      </c>
      <c r="AE108" s="135">
        <f t="shared" si="13"/>
        <v>1.0319999999999999E-3</v>
      </c>
      <c r="AF108" s="136">
        <f t="shared" si="14"/>
        <v>44341</v>
      </c>
      <c r="AG108" s="137" t="s">
        <v>416</v>
      </c>
      <c r="AH108" s="124"/>
    </row>
    <row r="109" spans="1:34" ht="12" customHeight="1">
      <c r="A109" s="155">
        <v>44337</v>
      </c>
      <c r="B109" s="112" t="s">
        <v>514</v>
      </c>
      <c r="C109" s="127" t="s">
        <v>485</v>
      </c>
      <c r="D109" s="112"/>
      <c r="E109" s="112" t="str">
        <f t="shared" si="0"/>
        <v>PFC</v>
      </c>
      <c r="F109" s="112"/>
      <c r="G109" s="112"/>
      <c r="H109" s="112"/>
      <c r="I109" s="127" t="s">
        <v>461</v>
      </c>
      <c r="J109" s="126" t="s">
        <v>483</v>
      </c>
      <c r="K109" s="127"/>
      <c r="L109" s="127"/>
      <c r="M109" s="128">
        <v>50</v>
      </c>
      <c r="N109" s="129">
        <v>118.5</v>
      </c>
      <c r="O109" s="130">
        <f t="shared" si="39"/>
        <v>0</v>
      </c>
      <c r="P109" s="130">
        <f t="shared" si="108"/>
        <v>118.5</v>
      </c>
      <c r="Q109" s="130"/>
      <c r="R109" s="130">
        <f t="shared" si="3"/>
        <v>5925</v>
      </c>
      <c r="S109" s="131">
        <f t="shared" si="4"/>
        <v>0.12240000000000001</v>
      </c>
      <c r="T109" s="131">
        <f t="shared" si="75"/>
        <v>0</v>
      </c>
      <c r="U109" s="131">
        <f t="shared" si="36"/>
        <v>0.03</v>
      </c>
      <c r="V109" s="131">
        <f t="shared" si="62"/>
        <v>5.93</v>
      </c>
      <c r="W109" s="131">
        <v>0</v>
      </c>
      <c r="X109" s="131">
        <f t="shared" si="107"/>
        <v>0.16</v>
      </c>
      <c r="Y109" s="131">
        <f t="shared" si="99"/>
        <v>0</v>
      </c>
      <c r="Z109" s="131">
        <f t="shared" si="10"/>
        <v>6.12</v>
      </c>
      <c r="AA109" s="132">
        <f t="shared" si="109"/>
        <v>5918.88</v>
      </c>
      <c r="AB109" s="133">
        <v>5919</v>
      </c>
      <c r="AC109" s="134">
        <f t="shared" si="48"/>
        <v>0.11999999999989086</v>
      </c>
      <c r="AD109" s="125">
        <v>44341</v>
      </c>
      <c r="AE109" s="135">
        <f t="shared" si="13"/>
        <v>1.0330000000000001E-3</v>
      </c>
      <c r="AF109" s="136">
        <f t="shared" si="14"/>
        <v>44341</v>
      </c>
      <c r="AG109" s="137" t="s">
        <v>416</v>
      </c>
      <c r="AH109" s="124"/>
    </row>
    <row r="110" spans="1:34" ht="12" customHeight="1">
      <c r="A110" s="154">
        <v>44337</v>
      </c>
      <c r="B110" s="140" t="s">
        <v>522</v>
      </c>
      <c r="C110" s="141" t="s">
        <v>485</v>
      </c>
      <c r="D110" s="140"/>
      <c r="E110" s="140" t="str">
        <f t="shared" si="0"/>
        <v>KEI</v>
      </c>
      <c r="F110" s="140"/>
      <c r="G110" s="140"/>
      <c r="H110" s="140"/>
      <c r="I110" s="141" t="s">
        <v>467</v>
      </c>
      <c r="J110" s="139" t="s">
        <v>483</v>
      </c>
      <c r="K110" s="141"/>
      <c r="L110" s="141"/>
      <c r="M110" s="142">
        <v>30</v>
      </c>
      <c r="N110" s="143">
        <v>610</v>
      </c>
      <c r="O110" s="144">
        <f t="shared" si="39"/>
        <v>0</v>
      </c>
      <c r="P110" s="144">
        <f>N110+O110</f>
        <v>610</v>
      </c>
      <c r="Q110" s="144"/>
      <c r="R110" s="144">
        <f t="shared" si="3"/>
        <v>18300</v>
      </c>
      <c r="S110" s="145">
        <f t="shared" si="4"/>
        <v>0.72133333333333338</v>
      </c>
      <c r="T110" s="145">
        <f t="shared" si="75"/>
        <v>0</v>
      </c>
      <c r="U110" s="145">
        <f t="shared" si="36"/>
        <v>0.09</v>
      </c>
      <c r="V110" s="145">
        <f t="shared" si="62"/>
        <v>18.3</v>
      </c>
      <c r="W110" s="145">
        <f>ROUND(R110*F$1823,2)</f>
        <v>2.75</v>
      </c>
      <c r="X110" s="145">
        <f t="shared" si="107"/>
        <v>0.5</v>
      </c>
      <c r="Y110" s="145">
        <f t="shared" si="99"/>
        <v>0</v>
      </c>
      <c r="Z110" s="146">
        <f t="shared" si="10"/>
        <v>21.64</v>
      </c>
      <c r="AA110" s="147">
        <f>-ROUND(R110+SUM(T110:Y110),2)</f>
        <v>-18321.64</v>
      </c>
      <c r="AB110" s="148">
        <v>-18322</v>
      </c>
      <c r="AC110" s="149">
        <f t="shared" si="48"/>
        <v>-0.36000000000058208</v>
      </c>
      <c r="AD110" s="138">
        <v>44341</v>
      </c>
      <c r="AE110" s="150">
        <f t="shared" si="13"/>
        <v>1.183E-3</v>
      </c>
      <c r="AF110" s="151">
        <f t="shared" si="14"/>
        <v>44341</v>
      </c>
      <c r="AG110" s="152" t="s">
        <v>416</v>
      </c>
      <c r="AH110" s="124"/>
    </row>
    <row r="111" spans="1:34" ht="12" customHeight="1">
      <c r="A111" s="155">
        <v>44340</v>
      </c>
      <c r="B111" s="112" t="s">
        <v>507</v>
      </c>
      <c r="C111" s="127" t="s">
        <v>485</v>
      </c>
      <c r="D111" s="112"/>
      <c r="E111" s="112" t="str">
        <f t="shared" si="0"/>
        <v>IDFC</v>
      </c>
      <c r="F111" s="112"/>
      <c r="G111" s="112"/>
      <c r="H111" s="112"/>
      <c r="I111" s="127" t="s">
        <v>461</v>
      </c>
      <c r="J111" s="126" t="s">
        <v>483</v>
      </c>
      <c r="K111" s="127"/>
      <c r="L111" s="127"/>
      <c r="M111" s="128">
        <v>100</v>
      </c>
      <c r="N111" s="129">
        <v>56.15</v>
      </c>
      <c r="O111" s="130">
        <f t="shared" si="39"/>
        <v>0</v>
      </c>
      <c r="P111" s="130">
        <f t="shared" ref="P111:P114" si="110">N111-O111</f>
        <v>56.15</v>
      </c>
      <c r="Q111" s="130"/>
      <c r="R111" s="130">
        <f t="shared" si="3"/>
        <v>5615</v>
      </c>
      <c r="S111" s="131">
        <f t="shared" si="4"/>
        <v>5.8400000000000007E-2</v>
      </c>
      <c r="T111" s="131">
        <f t="shared" si="75"/>
        <v>0</v>
      </c>
      <c r="U111" s="131">
        <f t="shared" si="36"/>
        <v>0.03</v>
      </c>
      <c r="V111" s="131">
        <f t="shared" si="62"/>
        <v>5.62</v>
      </c>
      <c r="W111" s="131">
        <v>0</v>
      </c>
      <c r="X111" s="131">
        <f t="shared" ref="X111:X112" si="111">ROUND(R111*H$1820,2)</f>
        <v>0.19</v>
      </c>
      <c r="Y111" s="131">
        <f t="shared" si="99"/>
        <v>0</v>
      </c>
      <c r="Z111" s="131">
        <f t="shared" si="10"/>
        <v>5.8400000000000007</v>
      </c>
      <c r="AA111" s="132">
        <f t="shared" ref="AA111:AA114" si="112">ROUND(R111-SUM(T111:Y111),2)</f>
        <v>5609.16</v>
      </c>
      <c r="AB111" s="133">
        <v>5609</v>
      </c>
      <c r="AC111" s="134">
        <f t="shared" si="48"/>
        <v>-0.15999999999985448</v>
      </c>
      <c r="AD111" s="125">
        <v>44343</v>
      </c>
      <c r="AE111" s="135">
        <f t="shared" si="13"/>
        <v>1.0399999999999999E-3</v>
      </c>
      <c r="AF111" s="136">
        <f t="shared" si="14"/>
        <v>44343</v>
      </c>
      <c r="AG111" s="137" t="s">
        <v>416</v>
      </c>
      <c r="AH111" s="124"/>
    </row>
    <row r="112" spans="1:34" ht="12" customHeight="1">
      <c r="A112" s="155">
        <v>44340</v>
      </c>
      <c r="B112" s="112" t="s">
        <v>517</v>
      </c>
      <c r="C112" s="127" t="s">
        <v>485</v>
      </c>
      <c r="D112" s="112"/>
      <c r="E112" s="112" t="str">
        <f t="shared" si="0"/>
        <v>IOC</v>
      </c>
      <c r="F112" s="112"/>
      <c r="G112" s="112"/>
      <c r="H112" s="112"/>
      <c r="I112" s="127" t="s">
        <v>461</v>
      </c>
      <c r="J112" s="126" t="s">
        <v>483</v>
      </c>
      <c r="K112" s="127"/>
      <c r="L112" s="127"/>
      <c r="M112" s="128">
        <v>100</v>
      </c>
      <c r="N112" s="129">
        <v>106.75</v>
      </c>
      <c r="O112" s="130">
        <f t="shared" si="39"/>
        <v>0</v>
      </c>
      <c r="P112" s="130">
        <f t="shared" si="110"/>
        <v>106.75</v>
      </c>
      <c r="Q112" s="130"/>
      <c r="R112" s="130">
        <f t="shared" si="3"/>
        <v>10675</v>
      </c>
      <c r="S112" s="131">
        <f t="shared" si="4"/>
        <v>0.11119999999999999</v>
      </c>
      <c r="T112" s="131">
        <f t="shared" si="75"/>
        <v>0</v>
      </c>
      <c r="U112" s="131">
        <f t="shared" si="36"/>
        <v>7.0000000000000007E-2</v>
      </c>
      <c r="V112" s="131">
        <f t="shared" si="62"/>
        <v>10.68</v>
      </c>
      <c r="W112" s="131">
        <v>0</v>
      </c>
      <c r="X112" s="131">
        <f t="shared" si="111"/>
        <v>0.37</v>
      </c>
      <c r="Y112" s="131">
        <f t="shared" si="99"/>
        <v>0</v>
      </c>
      <c r="Z112" s="131">
        <f t="shared" si="10"/>
        <v>11.12</v>
      </c>
      <c r="AA112" s="132">
        <f t="shared" si="112"/>
        <v>10663.88</v>
      </c>
      <c r="AB112" s="133">
        <v>10664</v>
      </c>
      <c r="AC112" s="134">
        <f t="shared" si="48"/>
        <v>0.12000000000080036</v>
      </c>
      <c r="AD112" s="125">
        <v>44343</v>
      </c>
      <c r="AE112" s="135">
        <f t="shared" si="13"/>
        <v>1.042E-3</v>
      </c>
      <c r="AF112" s="136">
        <f t="shared" si="14"/>
        <v>44343</v>
      </c>
      <c r="AG112" s="137" t="s">
        <v>416</v>
      </c>
      <c r="AH112" s="124"/>
    </row>
    <row r="113" spans="1:34" ht="12" customHeight="1">
      <c r="A113" s="155">
        <v>44340</v>
      </c>
      <c r="B113" s="112" t="s">
        <v>522</v>
      </c>
      <c r="C113" s="127" t="s">
        <v>485</v>
      </c>
      <c r="D113" s="112"/>
      <c r="E113" s="112" t="str">
        <f t="shared" si="0"/>
        <v>KEI</v>
      </c>
      <c r="F113" s="112"/>
      <c r="G113" s="112"/>
      <c r="H113" s="112"/>
      <c r="I113" s="127" t="s">
        <v>461</v>
      </c>
      <c r="J113" s="126" t="s">
        <v>483</v>
      </c>
      <c r="K113" s="127"/>
      <c r="L113" s="127"/>
      <c r="M113" s="128">
        <v>11</v>
      </c>
      <c r="N113" s="129">
        <v>628</v>
      </c>
      <c r="O113" s="130">
        <f t="shared" si="39"/>
        <v>0</v>
      </c>
      <c r="P113" s="130">
        <f t="shared" si="110"/>
        <v>628</v>
      </c>
      <c r="Q113" s="130"/>
      <c r="R113" s="130">
        <f t="shared" si="3"/>
        <v>6908</v>
      </c>
      <c r="S113" s="131">
        <f t="shared" si="4"/>
        <v>0.6481818181818183</v>
      </c>
      <c r="T113" s="131">
        <f t="shared" si="75"/>
        <v>0</v>
      </c>
      <c r="U113" s="131">
        <f t="shared" si="36"/>
        <v>0.03</v>
      </c>
      <c r="V113" s="131">
        <f t="shared" si="62"/>
        <v>6.91</v>
      </c>
      <c r="W113" s="131">
        <v>0</v>
      </c>
      <c r="X113" s="131">
        <f>ROUND(R113*G$1820,2)</f>
        <v>0.19</v>
      </c>
      <c r="Y113" s="131">
        <f t="shared" si="99"/>
        <v>0</v>
      </c>
      <c r="Z113" s="131">
        <f t="shared" si="10"/>
        <v>7.1300000000000008</v>
      </c>
      <c r="AA113" s="132">
        <f t="shared" si="112"/>
        <v>6900.87</v>
      </c>
      <c r="AB113" s="133">
        <v>6901</v>
      </c>
      <c r="AC113" s="134">
        <f t="shared" si="48"/>
        <v>0.13000000000010914</v>
      </c>
      <c r="AD113" s="125"/>
      <c r="AE113" s="135">
        <f t="shared" si="13"/>
        <v>1.0319999999999999E-3</v>
      </c>
      <c r="AF113" s="136">
        <f t="shared" si="14"/>
        <v>0</v>
      </c>
      <c r="AG113" s="137" t="s">
        <v>416</v>
      </c>
      <c r="AH113" s="124"/>
    </row>
    <row r="114" spans="1:34" ht="12" customHeight="1">
      <c r="A114" s="155">
        <v>44341</v>
      </c>
      <c r="B114" s="112" t="s">
        <v>520</v>
      </c>
      <c r="C114" s="127" t="s">
        <v>485</v>
      </c>
      <c r="D114" s="112"/>
      <c r="E114" s="112" t="str">
        <f t="shared" si="0"/>
        <v>BURGERKING</v>
      </c>
      <c r="F114" s="112"/>
      <c r="G114" s="112"/>
      <c r="H114" s="112"/>
      <c r="I114" s="127" t="s">
        <v>461</v>
      </c>
      <c r="J114" s="126" t="s">
        <v>483</v>
      </c>
      <c r="K114" s="127"/>
      <c r="L114" s="127"/>
      <c r="M114" s="128">
        <v>100</v>
      </c>
      <c r="N114" s="129">
        <v>154</v>
      </c>
      <c r="O114" s="130">
        <f t="shared" si="39"/>
        <v>0</v>
      </c>
      <c r="P114" s="130">
        <f t="shared" si="110"/>
        <v>154</v>
      </c>
      <c r="Q114" s="130"/>
      <c r="R114" s="130">
        <f t="shared" si="3"/>
        <v>15400</v>
      </c>
      <c r="S114" s="131">
        <f t="shared" si="4"/>
        <v>0.1603</v>
      </c>
      <c r="T114" s="131">
        <f t="shared" si="75"/>
        <v>0</v>
      </c>
      <c r="U114" s="131">
        <f t="shared" si="36"/>
        <v>0.1</v>
      </c>
      <c r="V114" s="131">
        <f t="shared" si="62"/>
        <v>15.4</v>
      </c>
      <c r="W114" s="131">
        <v>0</v>
      </c>
      <c r="X114" s="131">
        <f>ROUND(R114*H$1820,2)</f>
        <v>0.53</v>
      </c>
      <c r="Y114" s="131">
        <f t="shared" si="99"/>
        <v>0</v>
      </c>
      <c r="Z114" s="131">
        <f t="shared" si="10"/>
        <v>16.03</v>
      </c>
      <c r="AA114" s="132">
        <f t="shared" si="112"/>
        <v>15383.97</v>
      </c>
      <c r="AB114" s="133">
        <v>15384</v>
      </c>
      <c r="AC114" s="134">
        <f t="shared" si="48"/>
        <v>3.0000000000654836E-2</v>
      </c>
      <c r="AD114" s="125">
        <v>44344</v>
      </c>
      <c r="AE114" s="135">
        <f t="shared" si="13"/>
        <v>1.041E-3</v>
      </c>
      <c r="AF114" s="136">
        <f t="shared" si="14"/>
        <v>44344</v>
      </c>
      <c r="AG114" s="137" t="s">
        <v>416</v>
      </c>
      <c r="AH114" s="124"/>
    </row>
    <row r="115" spans="1:34" ht="12" customHeight="1">
      <c r="A115" s="154">
        <v>44341</v>
      </c>
      <c r="B115" s="140" t="s">
        <v>500</v>
      </c>
      <c r="C115" s="141" t="s">
        <v>485</v>
      </c>
      <c r="D115" s="140"/>
      <c r="E115" s="140" t="str">
        <f t="shared" si="0"/>
        <v>CHOLAFIN</v>
      </c>
      <c r="F115" s="140"/>
      <c r="G115" s="140"/>
      <c r="H115" s="140"/>
      <c r="I115" s="141" t="s">
        <v>467</v>
      </c>
      <c r="J115" s="139" t="s">
        <v>483</v>
      </c>
      <c r="K115" s="141"/>
      <c r="L115" s="141"/>
      <c r="M115" s="142">
        <v>30</v>
      </c>
      <c r="N115" s="143">
        <v>550</v>
      </c>
      <c r="O115" s="144">
        <f t="shared" si="39"/>
        <v>0</v>
      </c>
      <c r="P115" s="144">
        <f t="shared" ref="P115:P117" si="113">N115+O115</f>
        <v>550</v>
      </c>
      <c r="Q115" s="144"/>
      <c r="R115" s="144">
        <f t="shared" si="3"/>
        <v>16500</v>
      </c>
      <c r="S115" s="145">
        <f t="shared" si="4"/>
        <v>0.65033333333333332</v>
      </c>
      <c r="T115" s="145">
        <f t="shared" si="75"/>
        <v>0</v>
      </c>
      <c r="U115" s="145">
        <f t="shared" si="36"/>
        <v>0.08</v>
      </c>
      <c r="V115" s="145">
        <f t="shared" si="62"/>
        <v>16.5</v>
      </c>
      <c r="W115" s="145">
        <f t="shared" ref="W115:W117" si="114">ROUND(R115*F$1823,2)</f>
        <v>2.48</v>
      </c>
      <c r="X115" s="145">
        <f t="shared" ref="X115:X117" si="115">ROUND(R115*G$1820,2)</f>
        <v>0.45</v>
      </c>
      <c r="Y115" s="145">
        <f t="shared" si="99"/>
        <v>0</v>
      </c>
      <c r="Z115" s="146">
        <f t="shared" si="10"/>
        <v>19.509999999999998</v>
      </c>
      <c r="AA115" s="147">
        <f t="shared" ref="AA115:AA117" si="116">-ROUND(R115+SUM(T115:Y115),2)</f>
        <v>-16519.509999999998</v>
      </c>
      <c r="AB115" s="148">
        <v>-16520</v>
      </c>
      <c r="AC115" s="149">
        <f t="shared" si="48"/>
        <v>-0.49000000000160071</v>
      </c>
      <c r="AD115" s="138">
        <v>44344</v>
      </c>
      <c r="AE115" s="150">
        <f t="shared" si="13"/>
        <v>1.1820000000000001E-3</v>
      </c>
      <c r="AF115" s="151">
        <f t="shared" si="14"/>
        <v>44344</v>
      </c>
      <c r="AG115" s="152" t="s">
        <v>416</v>
      </c>
      <c r="AH115" s="124"/>
    </row>
    <row r="116" spans="1:34" ht="12" customHeight="1">
      <c r="A116" s="154">
        <v>44341</v>
      </c>
      <c r="B116" s="140" t="s">
        <v>523</v>
      </c>
      <c r="C116" s="141" t="s">
        <v>485</v>
      </c>
      <c r="D116" s="140"/>
      <c r="E116" s="140" t="str">
        <f t="shared" si="0"/>
        <v>FDC</v>
      </c>
      <c r="F116" s="140"/>
      <c r="G116" s="140"/>
      <c r="H116" s="140"/>
      <c r="I116" s="141" t="s">
        <v>467</v>
      </c>
      <c r="J116" s="139" t="s">
        <v>483</v>
      </c>
      <c r="K116" s="141"/>
      <c r="L116" s="141"/>
      <c r="M116" s="142">
        <v>50</v>
      </c>
      <c r="N116" s="143">
        <v>352</v>
      </c>
      <c r="O116" s="144">
        <f t="shared" si="39"/>
        <v>0</v>
      </c>
      <c r="P116" s="144">
        <f t="shared" si="113"/>
        <v>352</v>
      </c>
      <c r="Q116" s="144"/>
      <c r="R116" s="144">
        <f t="shared" si="3"/>
        <v>17600</v>
      </c>
      <c r="S116" s="145">
        <f t="shared" si="4"/>
        <v>0.41620000000000007</v>
      </c>
      <c r="T116" s="145">
        <f t="shared" si="75"/>
        <v>0</v>
      </c>
      <c r="U116" s="145">
        <f t="shared" si="36"/>
        <v>0.09</v>
      </c>
      <c r="V116" s="145">
        <f t="shared" si="62"/>
        <v>17.600000000000001</v>
      </c>
      <c r="W116" s="145">
        <f t="shared" si="114"/>
        <v>2.64</v>
      </c>
      <c r="X116" s="145">
        <f t="shared" si="115"/>
        <v>0.48</v>
      </c>
      <c r="Y116" s="145">
        <f t="shared" si="99"/>
        <v>0</v>
      </c>
      <c r="Z116" s="146">
        <f t="shared" si="10"/>
        <v>20.810000000000002</v>
      </c>
      <c r="AA116" s="147">
        <f t="shared" si="116"/>
        <v>-17620.810000000001</v>
      </c>
      <c r="AB116" s="148">
        <v>-17621</v>
      </c>
      <c r="AC116" s="149">
        <f t="shared" si="48"/>
        <v>-0.18999999999869033</v>
      </c>
      <c r="AD116" s="138">
        <v>44344</v>
      </c>
      <c r="AE116" s="150">
        <f t="shared" si="13"/>
        <v>1.1820000000000001E-3</v>
      </c>
      <c r="AF116" s="151">
        <f t="shared" si="14"/>
        <v>44344</v>
      </c>
      <c r="AG116" s="152" t="s">
        <v>416</v>
      </c>
      <c r="AH116" s="124"/>
    </row>
    <row r="117" spans="1:34" ht="12" customHeight="1">
      <c r="A117" s="154">
        <v>44341</v>
      </c>
      <c r="B117" s="140" t="s">
        <v>524</v>
      </c>
      <c r="C117" s="141" t="s">
        <v>485</v>
      </c>
      <c r="D117" s="140"/>
      <c r="E117" s="140" t="str">
        <f t="shared" si="0"/>
        <v>LEMONTREE</v>
      </c>
      <c r="F117" s="140"/>
      <c r="G117" s="140"/>
      <c r="H117" s="140"/>
      <c r="I117" s="141" t="s">
        <v>467</v>
      </c>
      <c r="J117" s="139" t="s">
        <v>483</v>
      </c>
      <c r="K117" s="141"/>
      <c r="L117" s="141"/>
      <c r="M117" s="142">
        <v>200</v>
      </c>
      <c r="N117" s="143">
        <v>42</v>
      </c>
      <c r="O117" s="144">
        <f t="shared" si="39"/>
        <v>0</v>
      </c>
      <c r="P117" s="144">
        <f t="shared" si="113"/>
        <v>42</v>
      </c>
      <c r="Q117" s="144"/>
      <c r="R117" s="144">
        <f t="shared" si="3"/>
        <v>8400</v>
      </c>
      <c r="S117" s="145">
        <f t="shared" si="4"/>
        <v>4.965E-2</v>
      </c>
      <c r="T117" s="145">
        <f t="shared" si="75"/>
        <v>0</v>
      </c>
      <c r="U117" s="145">
        <f t="shared" si="36"/>
        <v>0.04</v>
      </c>
      <c r="V117" s="145">
        <f t="shared" si="62"/>
        <v>8.4</v>
      </c>
      <c r="W117" s="145">
        <f t="shared" si="114"/>
        <v>1.26</v>
      </c>
      <c r="X117" s="145">
        <f t="shared" si="115"/>
        <v>0.23</v>
      </c>
      <c r="Y117" s="145">
        <f t="shared" si="99"/>
        <v>0</v>
      </c>
      <c r="Z117" s="146">
        <f t="shared" si="10"/>
        <v>9.93</v>
      </c>
      <c r="AA117" s="147">
        <f t="shared" si="116"/>
        <v>-8409.93</v>
      </c>
      <c r="AB117" s="148">
        <v>-8410</v>
      </c>
      <c r="AC117" s="149">
        <f t="shared" si="48"/>
        <v>-6.9999999999708962E-2</v>
      </c>
      <c r="AD117" s="138"/>
      <c r="AE117" s="150">
        <f t="shared" si="13"/>
        <v>1.1820000000000001E-3</v>
      </c>
      <c r="AF117" s="151">
        <f t="shared" si="14"/>
        <v>0</v>
      </c>
      <c r="AG117" s="152" t="s">
        <v>416</v>
      </c>
      <c r="AH117" s="124"/>
    </row>
    <row r="118" spans="1:34" ht="12" customHeight="1">
      <c r="A118" s="155">
        <v>44342</v>
      </c>
      <c r="B118" s="112" t="s">
        <v>524</v>
      </c>
      <c r="C118" s="127" t="s">
        <v>485</v>
      </c>
      <c r="D118" s="112"/>
      <c r="E118" s="112" t="str">
        <f t="shared" si="0"/>
        <v>LEMONTREE</v>
      </c>
      <c r="F118" s="112"/>
      <c r="G118" s="112"/>
      <c r="H118" s="112"/>
      <c r="I118" s="127" t="s">
        <v>461</v>
      </c>
      <c r="J118" s="126" t="s">
        <v>483</v>
      </c>
      <c r="K118" s="127"/>
      <c r="L118" s="127"/>
      <c r="M118" s="128">
        <v>200</v>
      </c>
      <c r="N118" s="129">
        <v>42.6</v>
      </c>
      <c r="O118" s="130">
        <f t="shared" si="39"/>
        <v>0</v>
      </c>
      <c r="P118" s="130">
        <f>N118-O118</f>
        <v>42.6</v>
      </c>
      <c r="Q118" s="130"/>
      <c r="R118" s="130">
        <f t="shared" si="3"/>
        <v>8520</v>
      </c>
      <c r="S118" s="131">
        <f t="shared" si="4"/>
        <v>4.4299999999999999E-2</v>
      </c>
      <c r="T118" s="131">
        <f t="shared" si="75"/>
        <v>0</v>
      </c>
      <c r="U118" s="131">
        <f t="shared" si="36"/>
        <v>0.05</v>
      </c>
      <c r="V118" s="131">
        <f t="shared" si="62"/>
        <v>8.52</v>
      </c>
      <c r="W118" s="131">
        <v>0</v>
      </c>
      <c r="X118" s="131">
        <f>ROUND(R118*H$1820,2)</f>
        <v>0.28999999999999998</v>
      </c>
      <c r="Y118" s="131">
        <f t="shared" si="99"/>
        <v>0</v>
      </c>
      <c r="Z118" s="131">
        <f t="shared" si="10"/>
        <v>8.86</v>
      </c>
      <c r="AA118" s="132">
        <f>ROUND(R118-SUM(T118:Y118),2)</f>
        <v>8511.14</v>
      </c>
      <c r="AB118" s="133">
        <v>8511</v>
      </c>
      <c r="AC118" s="134">
        <f t="shared" si="48"/>
        <v>-0.13999999999941792</v>
      </c>
      <c r="AD118" s="125"/>
      <c r="AE118" s="135">
        <f t="shared" si="13"/>
        <v>1.0399999999999999E-3</v>
      </c>
      <c r="AF118" s="136">
        <f t="shared" si="14"/>
        <v>0</v>
      </c>
      <c r="AG118" s="137" t="s">
        <v>416</v>
      </c>
      <c r="AH118" s="124"/>
    </row>
    <row r="119" spans="1:34" ht="12" customHeight="1">
      <c r="A119" s="154">
        <v>44342</v>
      </c>
      <c r="B119" s="140" t="s">
        <v>525</v>
      </c>
      <c r="C119" s="141" t="s">
        <v>485</v>
      </c>
      <c r="D119" s="140"/>
      <c r="E119" s="140" t="str">
        <f t="shared" si="0"/>
        <v>NATCOPHARM</v>
      </c>
      <c r="F119" s="140"/>
      <c r="G119" s="140"/>
      <c r="H119" s="140"/>
      <c r="I119" s="141" t="s">
        <v>467</v>
      </c>
      <c r="J119" s="139" t="s">
        <v>483</v>
      </c>
      <c r="K119" s="141"/>
      <c r="L119" s="141"/>
      <c r="M119" s="142">
        <v>10</v>
      </c>
      <c r="N119" s="143">
        <v>1085</v>
      </c>
      <c r="O119" s="144">
        <f t="shared" si="39"/>
        <v>0</v>
      </c>
      <c r="P119" s="144">
        <f t="shared" ref="P119:P120" si="117">N119+O119</f>
        <v>1085</v>
      </c>
      <c r="Q119" s="144"/>
      <c r="R119" s="144">
        <f t="shared" si="3"/>
        <v>10850</v>
      </c>
      <c r="S119" s="145">
        <f t="shared" si="4"/>
        <v>1.2830000000000001</v>
      </c>
      <c r="T119" s="145">
        <f t="shared" si="75"/>
        <v>0</v>
      </c>
      <c r="U119" s="145">
        <f t="shared" si="36"/>
        <v>0.05</v>
      </c>
      <c r="V119" s="145">
        <f t="shared" si="62"/>
        <v>10.85</v>
      </c>
      <c r="W119" s="145">
        <f t="shared" ref="W119:W120" si="118">ROUND(R119*F$1823,2)</f>
        <v>1.63</v>
      </c>
      <c r="X119" s="145">
        <f t="shared" ref="X119:X120" si="119">ROUND(R119*G$1820,2)</f>
        <v>0.3</v>
      </c>
      <c r="Y119" s="145">
        <f t="shared" si="99"/>
        <v>0</v>
      </c>
      <c r="Z119" s="146">
        <f t="shared" si="10"/>
        <v>12.830000000000002</v>
      </c>
      <c r="AA119" s="147">
        <f t="shared" ref="AA119:AA120" si="120">-ROUND(R119+SUM(T119:Y119),2)</f>
        <v>-10862.83</v>
      </c>
      <c r="AB119" s="148">
        <v>-10863</v>
      </c>
      <c r="AC119" s="149">
        <f t="shared" si="48"/>
        <v>-0.17000000000007276</v>
      </c>
      <c r="AD119" s="138">
        <v>44345</v>
      </c>
      <c r="AE119" s="150">
        <f t="shared" si="13"/>
        <v>1.1820000000000001E-3</v>
      </c>
      <c r="AF119" s="151">
        <f t="shared" si="14"/>
        <v>44345</v>
      </c>
      <c r="AG119" s="152" t="s">
        <v>416</v>
      </c>
      <c r="AH119" s="124"/>
    </row>
    <row r="120" spans="1:34" ht="12" customHeight="1">
      <c r="A120" s="154">
        <v>44342</v>
      </c>
      <c r="B120" s="140" t="s">
        <v>526</v>
      </c>
      <c r="C120" s="141" t="s">
        <v>485</v>
      </c>
      <c r="D120" s="140"/>
      <c r="E120" s="140" t="str">
        <f t="shared" si="0"/>
        <v>SHALPAINTS</v>
      </c>
      <c r="F120" s="140"/>
      <c r="G120" s="140"/>
      <c r="H120" s="140"/>
      <c r="I120" s="141" t="s">
        <v>467</v>
      </c>
      <c r="J120" s="139" t="s">
        <v>483</v>
      </c>
      <c r="K120" s="141"/>
      <c r="L120" s="141"/>
      <c r="M120" s="142">
        <v>100</v>
      </c>
      <c r="N120" s="143">
        <v>117</v>
      </c>
      <c r="O120" s="144">
        <f t="shared" si="39"/>
        <v>0</v>
      </c>
      <c r="P120" s="144">
        <f t="shared" si="117"/>
        <v>117</v>
      </c>
      <c r="Q120" s="144"/>
      <c r="R120" s="144">
        <f t="shared" si="3"/>
        <v>11700</v>
      </c>
      <c r="S120" s="145">
        <f t="shared" si="4"/>
        <v>0.1384</v>
      </c>
      <c r="T120" s="145">
        <f t="shared" si="75"/>
        <v>0</v>
      </c>
      <c r="U120" s="145">
        <f t="shared" si="36"/>
        <v>0.06</v>
      </c>
      <c r="V120" s="145">
        <f t="shared" si="62"/>
        <v>11.7</v>
      </c>
      <c r="W120" s="145">
        <f t="shared" si="118"/>
        <v>1.76</v>
      </c>
      <c r="X120" s="145">
        <f t="shared" si="119"/>
        <v>0.32</v>
      </c>
      <c r="Y120" s="145">
        <f t="shared" si="99"/>
        <v>0</v>
      </c>
      <c r="Z120" s="146">
        <f t="shared" si="10"/>
        <v>13.84</v>
      </c>
      <c r="AA120" s="147">
        <f t="shared" si="120"/>
        <v>-11713.84</v>
      </c>
      <c r="AB120" s="148">
        <v>-11714</v>
      </c>
      <c r="AC120" s="149">
        <f t="shared" si="48"/>
        <v>-0.15999999999985448</v>
      </c>
      <c r="AD120" s="138">
        <v>44345</v>
      </c>
      <c r="AE120" s="150">
        <f t="shared" si="13"/>
        <v>1.183E-3</v>
      </c>
      <c r="AF120" s="151">
        <f t="shared" si="14"/>
        <v>44345</v>
      </c>
      <c r="AG120" s="152" t="s">
        <v>416</v>
      </c>
      <c r="AH120" s="124"/>
    </row>
    <row r="121" spans="1:34" ht="12" customHeight="1">
      <c r="A121" s="155">
        <v>44343</v>
      </c>
      <c r="B121" s="155" t="s">
        <v>519</v>
      </c>
      <c r="C121" s="127" t="s">
        <v>485</v>
      </c>
      <c r="D121" s="155"/>
      <c r="E121" s="155" t="str">
        <f t="shared" si="0"/>
        <v>ABB</v>
      </c>
      <c r="F121" s="155"/>
      <c r="G121" s="155"/>
      <c r="H121" s="155"/>
      <c r="I121" s="127" t="s">
        <v>461</v>
      </c>
      <c r="J121" s="126" t="s">
        <v>483</v>
      </c>
      <c r="K121" s="127"/>
      <c r="L121" s="127"/>
      <c r="M121" s="128">
        <v>10</v>
      </c>
      <c r="N121" s="129">
        <v>1515</v>
      </c>
      <c r="O121" s="130">
        <f t="shared" si="39"/>
        <v>0</v>
      </c>
      <c r="P121" s="130">
        <f>N121-O121</f>
        <v>1515</v>
      </c>
      <c r="Q121" s="130"/>
      <c r="R121" s="130">
        <f t="shared" si="3"/>
        <v>15150</v>
      </c>
      <c r="S121" s="131">
        <f t="shared" si="4"/>
        <v>1.5760000000000001</v>
      </c>
      <c r="T121" s="131">
        <f t="shared" si="75"/>
        <v>0</v>
      </c>
      <c r="U121" s="131">
        <f t="shared" si="36"/>
        <v>0.09</v>
      </c>
      <c r="V121" s="131">
        <f t="shared" si="62"/>
        <v>15.15</v>
      </c>
      <c r="W121" s="131">
        <v>0</v>
      </c>
      <c r="X121" s="131">
        <f t="shared" ref="X121:X123" si="121">ROUND(R121*H$1820,2)</f>
        <v>0.52</v>
      </c>
      <c r="Y121" s="131">
        <f t="shared" si="99"/>
        <v>0</v>
      </c>
      <c r="Z121" s="131">
        <f t="shared" si="10"/>
        <v>15.76</v>
      </c>
      <c r="AA121" s="132">
        <f>ROUND(R121-SUM(T121:Y121),2)</f>
        <v>15134.24</v>
      </c>
      <c r="AB121" s="133">
        <v>15134</v>
      </c>
      <c r="AC121" s="134">
        <f t="shared" si="48"/>
        <v>-0.23999999999978172</v>
      </c>
      <c r="AD121" s="125">
        <v>44347</v>
      </c>
      <c r="AE121" s="135">
        <f t="shared" si="13"/>
        <v>1.0399999999999999E-3</v>
      </c>
      <c r="AF121" s="136">
        <f t="shared" si="14"/>
        <v>44347</v>
      </c>
      <c r="AG121" s="137" t="s">
        <v>416</v>
      </c>
      <c r="AH121" s="124"/>
    </row>
    <row r="122" spans="1:34" ht="12" customHeight="1">
      <c r="A122" s="154">
        <v>44343</v>
      </c>
      <c r="B122" s="140" t="s">
        <v>527</v>
      </c>
      <c r="C122" s="141" t="s">
        <v>485</v>
      </c>
      <c r="D122" s="140"/>
      <c r="E122" s="140" t="str">
        <f t="shared" si="0"/>
        <v>BPCL</v>
      </c>
      <c r="F122" s="140"/>
      <c r="G122" s="140"/>
      <c r="H122" s="140"/>
      <c r="I122" s="141" t="s">
        <v>467</v>
      </c>
      <c r="J122" s="139" t="s">
        <v>483</v>
      </c>
      <c r="K122" s="141"/>
      <c r="L122" s="141"/>
      <c r="M122" s="142">
        <v>50</v>
      </c>
      <c r="N122" s="143">
        <v>475</v>
      </c>
      <c r="O122" s="144">
        <f t="shared" si="39"/>
        <v>0</v>
      </c>
      <c r="P122" s="144">
        <f t="shared" ref="P122:P123" si="122">N122+O122</f>
        <v>475</v>
      </c>
      <c r="Q122" s="144"/>
      <c r="R122" s="144">
        <f t="shared" si="3"/>
        <v>23750</v>
      </c>
      <c r="S122" s="145">
        <f t="shared" si="4"/>
        <v>0.56559999999999999</v>
      </c>
      <c r="T122" s="145">
        <f t="shared" si="75"/>
        <v>0</v>
      </c>
      <c r="U122" s="145">
        <f t="shared" si="36"/>
        <v>0.15</v>
      </c>
      <c r="V122" s="145">
        <f t="shared" si="62"/>
        <v>23.75</v>
      </c>
      <c r="W122" s="145">
        <f t="shared" ref="W122:W123" si="123">ROUND(R122*F$1823,2)</f>
        <v>3.56</v>
      </c>
      <c r="X122" s="145">
        <f t="shared" si="121"/>
        <v>0.82</v>
      </c>
      <c r="Y122" s="145">
        <f t="shared" si="99"/>
        <v>0</v>
      </c>
      <c r="Z122" s="146">
        <f t="shared" si="10"/>
        <v>28.279999999999998</v>
      </c>
      <c r="AA122" s="147">
        <f t="shared" ref="AA122:AA123" si="124">-ROUND(R122+SUM(T122:Y122),2)</f>
        <v>-23778.28</v>
      </c>
      <c r="AB122" s="148">
        <v>-23778</v>
      </c>
      <c r="AC122" s="149">
        <f t="shared" si="48"/>
        <v>0.27999999999883585</v>
      </c>
      <c r="AD122" s="138">
        <v>44347</v>
      </c>
      <c r="AE122" s="150">
        <f t="shared" si="13"/>
        <v>1.191E-3</v>
      </c>
      <c r="AF122" s="151">
        <f t="shared" si="14"/>
        <v>44347</v>
      </c>
      <c r="AG122" s="152" t="s">
        <v>416</v>
      </c>
      <c r="AH122" s="124"/>
    </row>
    <row r="123" spans="1:34" ht="12" customHeight="1">
      <c r="A123" s="154">
        <v>44343</v>
      </c>
      <c r="B123" s="140" t="s">
        <v>528</v>
      </c>
      <c r="C123" s="141" t="s">
        <v>485</v>
      </c>
      <c r="D123" s="140"/>
      <c r="E123" s="140" t="str">
        <f t="shared" si="0"/>
        <v>ZEEL</v>
      </c>
      <c r="F123" s="140"/>
      <c r="G123" s="140"/>
      <c r="H123" s="140"/>
      <c r="I123" s="141" t="s">
        <v>467</v>
      </c>
      <c r="J123" s="139" t="s">
        <v>483</v>
      </c>
      <c r="K123" s="141"/>
      <c r="L123" s="141"/>
      <c r="M123" s="142">
        <v>50</v>
      </c>
      <c r="N123" s="143">
        <v>209</v>
      </c>
      <c r="O123" s="144">
        <f t="shared" si="39"/>
        <v>0</v>
      </c>
      <c r="P123" s="144">
        <f t="shared" si="122"/>
        <v>209</v>
      </c>
      <c r="Q123" s="144"/>
      <c r="R123" s="144">
        <f t="shared" si="3"/>
        <v>10450</v>
      </c>
      <c r="S123" s="145">
        <f t="shared" si="4"/>
        <v>0.24879999999999999</v>
      </c>
      <c r="T123" s="145">
        <f t="shared" si="75"/>
        <v>0</v>
      </c>
      <c r="U123" s="145">
        <f t="shared" si="36"/>
        <v>0.06</v>
      </c>
      <c r="V123" s="145">
        <f t="shared" si="62"/>
        <v>10.45</v>
      </c>
      <c r="W123" s="145">
        <f t="shared" si="123"/>
        <v>1.57</v>
      </c>
      <c r="X123" s="145">
        <f t="shared" si="121"/>
        <v>0.36</v>
      </c>
      <c r="Y123" s="145">
        <f t="shared" si="99"/>
        <v>0</v>
      </c>
      <c r="Z123" s="146">
        <f t="shared" si="10"/>
        <v>12.44</v>
      </c>
      <c r="AA123" s="147">
        <f t="shared" si="124"/>
        <v>-10462.44</v>
      </c>
      <c r="AB123" s="148">
        <v>-10462</v>
      </c>
      <c r="AC123" s="149">
        <f t="shared" si="48"/>
        <v>0.44000000000050932</v>
      </c>
      <c r="AD123" s="138"/>
      <c r="AE123" s="150">
        <f t="shared" si="13"/>
        <v>1.1900000000000001E-3</v>
      </c>
      <c r="AF123" s="151">
        <f t="shared" si="14"/>
        <v>0</v>
      </c>
      <c r="AG123" s="152" t="s">
        <v>416</v>
      </c>
      <c r="AH123" s="124"/>
    </row>
    <row r="124" spans="1:34" ht="12" customHeight="1">
      <c r="A124" s="155">
        <v>44344</v>
      </c>
      <c r="B124" s="155" t="s">
        <v>474</v>
      </c>
      <c r="C124" s="127" t="s">
        <v>485</v>
      </c>
      <c r="D124" s="155"/>
      <c r="E124" s="155" t="str">
        <f t="shared" si="0"/>
        <v>RELIANCE</v>
      </c>
      <c r="F124" s="155"/>
      <c r="G124" s="155"/>
      <c r="H124" s="155"/>
      <c r="I124" s="127" t="s">
        <v>461</v>
      </c>
      <c r="J124" s="126" t="s">
        <v>483</v>
      </c>
      <c r="K124" s="127"/>
      <c r="L124" s="127"/>
      <c r="M124" s="128">
        <v>10</v>
      </c>
      <c r="N124" s="129">
        <v>2050</v>
      </c>
      <c r="O124" s="130">
        <f t="shared" si="39"/>
        <v>0</v>
      </c>
      <c r="P124" s="130">
        <f t="shared" ref="P124:P125" si="125">N124-O124</f>
        <v>2050</v>
      </c>
      <c r="Q124" s="130"/>
      <c r="R124" s="130">
        <f t="shared" si="3"/>
        <v>20500</v>
      </c>
      <c r="S124" s="131">
        <f t="shared" si="4"/>
        <v>2.1160000000000001</v>
      </c>
      <c r="T124" s="131">
        <f t="shared" si="75"/>
        <v>0</v>
      </c>
      <c r="U124" s="131">
        <f t="shared" si="36"/>
        <v>0.1</v>
      </c>
      <c r="V124" s="131">
        <f t="shared" si="62"/>
        <v>20.5</v>
      </c>
      <c r="W124" s="131">
        <v>0</v>
      </c>
      <c r="X124" s="131">
        <f>ROUND(R124*G$1820,2)</f>
        <v>0.56000000000000005</v>
      </c>
      <c r="Y124" s="131">
        <f t="shared" si="99"/>
        <v>0</v>
      </c>
      <c r="Z124" s="131">
        <f t="shared" si="10"/>
        <v>21.16</v>
      </c>
      <c r="AA124" s="132">
        <f t="shared" ref="AA124:AA125" si="126">ROUND(R124-SUM(T124:Y124),2)</f>
        <v>20478.84</v>
      </c>
      <c r="AB124" s="133">
        <v>20479</v>
      </c>
      <c r="AC124" s="134">
        <f t="shared" si="48"/>
        <v>0.15999999999985448</v>
      </c>
      <c r="AD124" s="125">
        <v>44348</v>
      </c>
      <c r="AE124" s="135">
        <f t="shared" si="13"/>
        <v>1.0319999999999999E-3</v>
      </c>
      <c r="AF124" s="136">
        <f t="shared" si="14"/>
        <v>44348</v>
      </c>
      <c r="AG124" s="137" t="s">
        <v>416</v>
      </c>
      <c r="AH124" s="124"/>
    </row>
    <row r="125" spans="1:34" ht="12" customHeight="1">
      <c r="A125" s="155">
        <v>44344</v>
      </c>
      <c r="B125" s="112" t="s">
        <v>528</v>
      </c>
      <c r="C125" s="127" t="s">
        <v>485</v>
      </c>
      <c r="D125" s="112"/>
      <c r="E125" s="112" t="str">
        <f t="shared" si="0"/>
        <v>ZEEL</v>
      </c>
      <c r="F125" s="112"/>
      <c r="G125" s="112"/>
      <c r="H125" s="112"/>
      <c r="I125" s="127" t="s">
        <v>461</v>
      </c>
      <c r="J125" s="126" t="s">
        <v>483</v>
      </c>
      <c r="K125" s="127"/>
      <c r="L125" s="127"/>
      <c r="M125" s="128">
        <v>50</v>
      </c>
      <c r="N125" s="129">
        <v>214</v>
      </c>
      <c r="O125" s="130">
        <f t="shared" si="39"/>
        <v>0</v>
      </c>
      <c r="P125" s="130">
        <f t="shared" si="125"/>
        <v>214</v>
      </c>
      <c r="Q125" s="130"/>
      <c r="R125" s="130">
        <f t="shared" si="3"/>
        <v>10700</v>
      </c>
      <c r="S125" s="131">
        <f t="shared" si="4"/>
        <v>0.22279999999999997</v>
      </c>
      <c r="T125" s="131">
        <f t="shared" si="75"/>
        <v>0</v>
      </c>
      <c r="U125" s="131">
        <f t="shared" si="36"/>
        <v>7.0000000000000007E-2</v>
      </c>
      <c r="V125" s="131">
        <f t="shared" si="62"/>
        <v>10.7</v>
      </c>
      <c r="W125" s="131">
        <v>0</v>
      </c>
      <c r="X125" s="131">
        <f t="shared" ref="X125:X126" si="127">ROUND(R125*H$1820,2)</f>
        <v>0.37</v>
      </c>
      <c r="Y125" s="131">
        <f t="shared" si="99"/>
        <v>0</v>
      </c>
      <c r="Z125" s="131">
        <f t="shared" si="10"/>
        <v>11.139999999999999</v>
      </c>
      <c r="AA125" s="132">
        <f t="shared" si="126"/>
        <v>10688.86</v>
      </c>
      <c r="AB125" s="133">
        <v>10689</v>
      </c>
      <c r="AC125" s="134">
        <f t="shared" si="48"/>
        <v>0.13999999999941792</v>
      </c>
      <c r="AD125" s="125"/>
      <c r="AE125" s="135">
        <f t="shared" si="13"/>
        <v>1.041E-3</v>
      </c>
      <c r="AF125" s="136">
        <f t="shared" si="14"/>
        <v>0</v>
      </c>
      <c r="AG125" s="137" t="s">
        <v>416</v>
      </c>
      <c r="AH125" s="124"/>
    </row>
    <row r="126" spans="1:34" ht="12" customHeight="1">
      <c r="A126" s="154">
        <v>44344</v>
      </c>
      <c r="B126" s="140" t="s">
        <v>529</v>
      </c>
      <c r="C126" s="141" t="s">
        <v>485</v>
      </c>
      <c r="D126" s="140"/>
      <c r="E126" s="140" t="str">
        <f t="shared" si="0"/>
        <v>M&amp;M</v>
      </c>
      <c r="F126" s="140"/>
      <c r="G126" s="140"/>
      <c r="H126" s="140"/>
      <c r="I126" s="141" t="s">
        <v>467</v>
      </c>
      <c r="J126" s="139" t="s">
        <v>483</v>
      </c>
      <c r="K126" s="141"/>
      <c r="L126" s="141"/>
      <c r="M126" s="142">
        <v>15</v>
      </c>
      <c r="N126" s="143">
        <v>838</v>
      </c>
      <c r="O126" s="144">
        <f t="shared" si="39"/>
        <v>0</v>
      </c>
      <c r="P126" s="144">
        <f t="shared" ref="P126:P128" si="128">N126+O126</f>
        <v>838</v>
      </c>
      <c r="Q126" s="144"/>
      <c r="R126" s="144">
        <f t="shared" si="3"/>
        <v>12570</v>
      </c>
      <c r="S126" s="145">
        <f t="shared" si="4"/>
        <v>0.998</v>
      </c>
      <c r="T126" s="145">
        <f t="shared" si="75"/>
        <v>0</v>
      </c>
      <c r="U126" s="145">
        <f t="shared" si="36"/>
        <v>0.08</v>
      </c>
      <c r="V126" s="145">
        <f t="shared" si="62"/>
        <v>12.57</v>
      </c>
      <c r="W126" s="145">
        <f t="shared" ref="W126:W128" si="129">ROUND(R126*F$1823,2)</f>
        <v>1.89</v>
      </c>
      <c r="X126" s="145">
        <f t="shared" si="127"/>
        <v>0.43</v>
      </c>
      <c r="Y126" s="145">
        <f t="shared" si="99"/>
        <v>0</v>
      </c>
      <c r="Z126" s="146">
        <f t="shared" si="10"/>
        <v>14.97</v>
      </c>
      <c r="AA126" s="147">
        <f t="shared" ref="AA126:AA128" si="130">-ROUND(R126+SUM(T126:Y126),2)</f>
        <v>-12584.97</v>
      </c>
      <c r="AB126" s="148">
        <v>-12585</v>
      </c>
      <c r="AC126" s="149">
        <f t="shared" si="48"/>
        <v>-3.0000000000654836E-2</v>
      </c>
      <c r="AD126" s="138">
        <v>44348</v>
      </c>
      <c r="AE126" s="150">
        <f t="shared" si="13"/>
        <v>1.191E-3</v>
      </c>
      <c r="AF126" s="151">
        <f t="shared" si="14"/>
        <v>44348</v>
      </c>
      <c r="AG126" s="152" t="s">
        <v>416</v>
      </c>
      <c r="AH126" s="124"/>
    </row>
    <row r="127" spans="1:34" ht="12" customHeight="1">
      <c r="A127" s="154">
        <v>44344</v>
      </c>
      <c r="B127" s="140" t="s">
        <v>530</v>
      </c>
      <c r="C127" s="141" t="s">
        <v>485</v>
      </c>
      <c r="D127" s="140"/>
      <c r="E127" s="140" t="str">
        <f t="shared" si="0"/>
        <v>SUNTV</v>
      </c>
      <c r="F127" s="140"/>
      <c r="G127" s="140"/>
      <c r="H127" s="140"/>
      <c r="I127" s="141" t="s">
        <v>467</v>
      </c>
      <c r="J127" s="139" t="s">
        <v>483</v>
      </c>
      <c r="K127" s="141"/>
      <c r="L127" s="141"/>
      <c r="M127" s="142">
        <v>10</v>
      </c>
      <c r="N127" s="143">
        <v>550</v>
      </c>
      <c r="O127" s="144">
        <f t="shared" si="39"/>
        <v>0</v>
      </c>
      <c r="P127" s="144">
        <f t="shared" si="128"/>
        <v>550</v>
      </c>
      <c r="Q127" s="144"/>
      <c r="R127" s="144">
        <f t="shared" si="3"/>
        <v>5500</v>
      </c>
      <c r="S127" s="145">
        <f t="shared" si="4"/>
        <v>0.65100000000000002</v>
      </c>
      <c r="T127" s="145">
        <f t="shared" si="75"/>
        <v>0</v>
      </c>
      <c r="U127" s="145">
        <f t="shared" si="36"/>
        <v>0.03</v>
      </c>
      <c r="V127" s="145">
        <f t="shared" si="62"/>
        <v>5.5</v>
      </c>
      <c r="W127" s="145">
        <f t="shared" si="129"/>
        <v>0.83</v>
      </c>
      <c r="X127" s="145">
        <f>ROUND(R127*G$1820,2)</f>
        <v>0.15</v>
      </c>
      <c r="Y127" s="145">
        <f t="shared" si="99"/>
        <v>0</v>
      </c>
      <c r="Z127" s="146">
        <f t="shared" si="10"/>
        <v>6.5100000000000007</v>
      </c>
      <c r="AA127" s="147">
        <f t="shared" si="130"/>
        <v>-5506.51</v>
      </c>
      <c r="AB127" s="148">
        <v>-5507</v>
      </c>
      <c r="AC127" s="149">
        <f t="shared" si="48"/>
        <v>-0.48999999999978172</v>
      </c>
      <c r="AD127" s="138">
        <v>44348</v>
      </c>
      <c r="AE127" s="150">
        <f t="shared" si="13"/>
        <v>1.1839999999999999E-3</v>
      </c>
      <c r="AF127" s="151">
        <f t="shared" si="14"/>
        <v>44348</v>
      </c>
      <c r="AG127" s="152" t="s">
        <v>416</v>
      </c>
      <c r="AH127" s="124"/>
    </row>
    <row r="128" spans="1:34" ht="12" customHeight="1">
      <c r="A128" s="154">
        <v>44344</v>
      </c>
      <c r="B128" s="154" t="s">
        <v>531</v>
      </c>
      <c r="C128" s="141" t="s">
        <v>485</v>
      </c>
      <c r="D128" s="154"/>
      <c r="E128" s="154" t="str">
        <f t="shared" si="0"/>
        <v>TRENT</v>
      </c>
      <c r="F128" s="154"/>
      <c r="G128" s="154"/>
      <c r="H128" s="154"/>
      <c r="I128" s="141" t="s">
        <v>467</v>
      </c>
      <c r="J128" s="139" t="s">
        <v>483</v>
      </c>
      <c r="K128" s="141"/>
      <c r="L128" s="141"/>
      <c r="M128" s="142">
        <v>25</v>
      </c>
      <c r="N128" s="143">
        <v>843</v>
      </c>
      <c r="O128" s="144">
        <f t="shared" si="39"/>
        <v>0</v>
      </c>
      <c r="P128" s="144">
        <f t="shared" si="128"/>
        <v>843</v>
      </c>
      <c r="Q128" s="144"/>
      <c r="R128" s="144">
        <f t="shared" si="3"/>
        <v>21075</v>
      </c>
      <c r="S128" s="145">
        <f t="shared" si="4"/>
        <v>1.004</v>
      </c>
      <c r="T128" s="145">
        <f t="shared" si="75"/>
        <v>0</v>
      </c>
      <c r="U128" s="145">
        <f t="shared" si="36"/>
        <v>0.13</v>
      </c>
      <c r="V128" s="145">
        <f t="shared" si="62"/>
        <v>21.08</v>
      </c>
      <c r="W128" s="145">
        <f t="shared" si="129"/>
        <v>3.16</v>
      </c>
      <c r="X128" s="145">
        <f t="shared" ref="X128:X129" si="131">ROUND(R128*H$1820,2)</f>
        <v>0.73</v>
      </c>
      <c r="Y128" s="145">
        <f t="shared" si="99"/>
        <v>0</v>
      </c>
      <c r="Z128" s="146">
        <f t="shared" si="10"/>
        <v>25.099999999999998</v>
      </c>
      <c r="AA128" s="147">
        <f t="shared" si="130"/>
        <v>-21100.1</v>
      </c>
      <c r="AB128" s="148">
        <v>-21100</v>
      </c>
      <c r="AC128" s="149">
        <f t="shared" si="48"/>
        <v>9.9999999998544808E-2</v>
      </c>
      <c r="AD128" s="138">
        <v>44348</v>
      </c>
      <c r="AE128" s="150">
        <f t="shared" si="13"/>
        <v>1.191E-3</v>
      </c>
      <c r="AF128" s="151">
        <f t="shared" si="14"/>
        <v>44348</v>
      </c>
      <c r="AG128" s="152" t="s">
        <v>416</v>
      </c>
      <c r="AH128" s="124"/>
    </row>
    <row r="129" spans="1:34" ht="12" customHeight="1">
      <c r="A129" s="155">
        <v>44347</v>
      </c>
      <c r="B129" s="155" t="s">
        <v>501</v>
      </c>
      <c r="C129" s="127" t="s">
        <v>485</v>
      </c>
      <c r="D129" s="155"/>
      <c r="E129" s="155" t="str">
        <f t="shared" si="0"/>
        <v>ICICIBANK</v>
      </c>
      <c r="F129" s="155"/>
      <c r="G129" s="155"/>
      <c r="H129" s="155"/>
      <c r="I129" s="127" t="s">
        <v>461</v>
      </c>
      <c r="J129" s="126" t="s">
        <v>483</v>
      </c>
      <c r="K129" s="127"/>
      <c r="L129" s="127"/>
      <c r="M129" s="128">
        <v>25</v>
      </c>
      <c r="N129" s="129">
        <v>659</v>
      </c>
      <c r="O129" s="130">
        <f t="shared" si="39"/>
        <v>0</v>
      </c>
      <c r="P129" s="130">
        <f>N129-O129</f>
        <v>659</v>
      </c>
      <c r="Q129" s="130"/>
      <c r="R129" s="130">
        <f t="shared" si="3"/>
        <v>16475</v>
      </c>
      <c r="S129" s="131">
        <f t="shared" si="4"/>
        <v>0.68600000000000005</v>
      </c>
      <c r="T129" s="131">
        <f t="shared" si="75"/>
        <v>0</v>
      </c>
      <c r="U129" s="131">
        <f t="shared" si="36"/>
        <v>0.1</v>
      </c>
      <c r="V129" s="131">
        <f t="shared" si="62"/>
        <v>16.48</v>
      </c>
      <c r="W129" s="131">
        <v>0</v>
      </c>
      <c r="X129" s="131">
        <f t="shared" si="131"/>
        <v>0.56999999999999995</v>
      </c>
      <c r="Y129" s="131">
        <f t="shared" si="99"/>
        <v>0</v>
      </c>
      <c r="Z129" s="131">
        <f t="shared" si="10"/>
        <v>17.150000000000002</v>
      </c>
      <c r="AA129" s="132">
        <f>ROUND(R129-SUM(T129:Y129),2)</f>
        <v>16457.849999999999</v>
      </c>
      <c r="AB129" s="133">
        <v>16458</v>
      </c>
      <c r="AC129" s="134">
        <f t="shared" si="48"/>
        <v>0.15000000000145519</v>
      </c>
      <c r="AD129" s="125">
        <v>44349</v>
      </c>
      <c r="AE129" s="135">
        <f t="shared" si="13"/>
        <v>1.041E-3</v>
      </c>
      <c r="AF129" s="136">
        <f t="shared" si="14"/>
        <v>44349</v>
      </c>
      <c r="AG129" s="137" t="s">
        <v>416</v>
      </c>
      <c r="AH129" s="124"/>
    </row>
    <row r="130" spans="1:34" ht="12" customHeight="1">
      <c r="A130" s="154">
        <v>44348</v>
      </c>
      <c r="B130" s="154" t="s">
        <v>521</v>
      </c>
      <c r="C130" s="141" t="s">
        <v>485</v>
      </c>
      <c r="D130" s="154"/>
      <c r="E130" s="154" t="str">
        <f t="shared" si="0"/>
        <v>IDEA</v>
      </c>
      <c r="F130" s="154"/>
      <c r="G130" s="154"/>
      <c r="H130" s="154"/>
      <c r="I130" s="141" t="s">
        <v>467</v>
      </c>
      <c r="J130" s="139" t="s">
        <v>483</v>
      </c>
      <c r="K130" s="141"/>
      <c r="L130" s="141"/>
      <c r="M130" s="142">
        <v>2500</v>
      </c>
      <c r="N130" s="143">
        <v>8.5</v>
      </c>
      <c r="O130" s="144">
        <f t="shared" si="39"/>
        <v>0</v>
      </c>
      <c r="P130" s="144">
        <f t="shared" ref="P130:P131" si="132">N130+O130</f>
        <v>8.5</v>
      </c>
      <c r="Q130" s="144"/>
      <c r="R130" s="144">
        <f t="shared" si="3"/>
        <v>21250</v>
      </c>
      <c r="S130" s="145">
        <f t="shared" si="4"/>
        <v>1.0048E-2</v>
      </c>
      <c r="T130" s="145">
        <f t="shared" si="75"/>
        <v>0</v>
      </c>
      <c r="U130" s="145">
        <f t="shared" si="36"/>
        <v>0.1</v>
      </c>
      <c r="V130" s="145">
        <f t="shared" si="62"/>
        <v>21.25</v>
      </c>
      <c r="W130" s="145">
        <f t="shared" ref="W130:W131" si="133">ROUND(R130*F$1823,2)</f>
        <v>3.19</v>
      </c>
      <c r="X130" s="145">
        <f t="shared" ref="X130:X131" si="134">ROUND(R130*G$1820,2)</f>
        <v>0.57999999999999996</v>
      </c>
      <c r="Y130" s="145">
        <f t="shared" si="99"/>
        <v>0</v>
      </c>
      <c r="Z130" s="146">
        <f t="shared" si="10"/>
        <v>25.12</v>
      </c>
      <c r="AA130" s="147">
        <f t="shared" ref="AA130:AA131" si="135">-ROUND(R130+SUM(T130:Y130),2)</f>
        <v>-21275.119999999999</v>
      </c>
      <c r="AB130" s="148">
        <v>-21275</v>
      </c>
      <c r="AC130" s="149">
        <f t="shared" si="48"/>
        <v>0.11999999999898137</v>
      </c>
      <c r="AD130" s="138"/>
      <c r="AE130" s="150">
        <f t="shared" si="13"/>
        <v>1.1820000000000001E-3</v>
      </c>
      <c r="AF130" s="151">
        <f t="shared" si="14"/>
        <v>0</v>
      </c>
      <c r="AG130" s="152" t="s">
        <v>416</v>
      </c>
      <c r="AH130" s="124"/>
    </row>
    <row r="131" spans="1:34" ht="12" customHeight="1">
      <c r="A131" s="154">
        <v>44348</v>
      </c>
      <c r="B131" s="154" t="s">
        <v>532</v>
      </c>
      <c r="C131" s="141" t="s">
        <v>485</v>
      </c>
      <c r="D131" s="154"/>
      <c r="E131" s="154" t="str">
        <f t="shared" si="0"/>
        <v>SCHNEIDER</v>
      </c>
      <c r="F131" s="154"/>
      <c r="G131" s="154"/>
      <c r="H131" s="154"/>
      <c r="I131" s="141" t="s">
        <v>467</v>
      </c>
      <c r="J131" s="139" t="s">
        <v>483</v>
      </c>
      <c r="K131" s="141"/>
      <c r="L131" s="141"/>
      <c r="M131" s="142">
        <v>100</v>
      </c>
      <c r="N131" s="143">
        <v>125</v>
      </c>
      <c r="O131" s="144">
        <f t="shared" si="39"/>
        <v>0</v>
      </c>
      <c r="P131" s="144">
        <f t="shared" si="132"/>
        <v>125</v>
      </c>
      <c r="Q131" s="144"/>
      <c r="R131" s="144">
        <f t="shared" si="3"/>
        <v>12500</v>
      </c>
      <c r="S131" s="145">
        <f t="shared" si="4"/>
        <v>0.14780000000000001</v>
      </c>
      <c r="T131" s="145">
        <f t="shared" si="75"/>
        <v>0</v>
      </c>
      <c r="U131" s="145">
        <f t="shared" si="36"/>
        <v>0.06</v>
      </c>
      <c r="V131" s="145">
        <f t="shared" si="62"/>
        <v>12.5</v>
      </c>
      <c r="W131" s="145">
        <f t="shared" si="133"/>
        <v>1.88</v>
      </c>
      <c r="X131" s="145">
        <f t="shared" si="134"/>
        <v>0.34</v>
      </c>
      <c r="Y131" s="145">
        <f t="shared" si="99"/>
        <v>0</v>
      </c>
      <c r="Z131" s="146">
        <f t="shared" si="10"/>
        <v>14.780000000000001</v>
      </c>
      <c r="AA131" s="147">
        <f t="shared" si="135"/>
        <v>-12514.78</v>
      </c>
      <c r="AB131" s="148">
        <v>-12515</v>
      </c>
      <c r="AC131" s="149">
        <f t="shared" si="48"/>
        <v>-0.21999999999934516</v>
      </c>
      <c r="AD131" s="138">
        <v>44350</v>
      </c>
      <c r="AE131" s="150">
        <f t="shared" si="13"/>
        <v>1.1820000000000001E-3</v>
      </c>
      <c r="AF131" s="151">
        <f t="shared" si="14"/>
        <v>44350</v>
      </c>
      <c r="AG131" s="152" t="s">
        <v>416</v>
      </c>
      <c r="AH131" s="124"/>
    </row>
    <row r="132" spans="1:34" ht="12" customHeight="1">
      <c r="A132" s="155">
        <v>44349</v>
      </c>
      <c r="B132" s="155" t="s">
        <v>521</v>
      </c>
      <c r="C132" s="127" t="s">
        <v>485</v>
      </c>
      <c r="D132" s="155"/>
      <c r="E132" s="155" t="str">
        <f t="shared" si="0"/>
        <v>IDEA</v>
      </c>
      <c r="F132" s="155"/>
      <c r="G132" s="155"/>
      <c r="H132" s="155"/>
      <c r="I132" s="127" t="s">
        <v>461</v>
      </c>
      <c r="J132" s="126" t="s">
        <v>483</v>
      </c>
      <c r="K132" s="127"/>
      <c r="L132" s="127"/>
      <c r="M132" s="128">
        <v>2500</v>
      </c>
      <c r="N132" s="129">
        <v>8.6999999999999993</v>
      </c>
      <c r="O132" s="130">
        <f t="shared" si="39"/>
        <v>0</v>
      </c>
      <c r="P132" s="130">
        <f t="shared" ref="P132:P133" si="136">N132-O132</f>
        <v>8.6999999999999993</v>
      </c>
      <c r="Q132" s="130"/>
      <c r="R132" s="130">
        <f t="shared" si="3"/>
        <v>21750</v>
      </c>
      <c r="S132" s="131">
        <f t="shared" si="4"/>
        <v>9.0559999999999998E-3</v>
      </c>
      <c r="T132" s="131">
        <f t="shared" si="75"/>
        <v>0</v>
      </c>
      <c r="U132" s="131">
        <f t="shared" si="36"/>
        <v>0.14000000000000001</v>
      </c>
      <c r="V132" s="131">
        <f t="shared" si="62"/>
        <v>21.75</v>
      </c>
      <c r="W132" s="131">
        <v>0</v>
      </c>
      <c r="X132" s="131">
        <f t="shared" ref="X132:X134" si="137">ROUND(R132*H$1820,2)</f>
        <v>0.75</v>
      </c>
      <c r="Y132" s="131">
        <f t="shared" si="99"/>
        <v>0</v>
      </c>
      <c r="Z132" s="131">
        <f t="shared" si="10"/>
        <v>22.64</v>
      </c>
      <c r="AA132" s="132">
        <f t="shared" ref="AA132:AA133" si="138">ROUND(R132-SUM(T132:Y132),2)</f>
        <v>21727.360000000001</v>
      </c>
      <c r="AB132" s="133">
        <v>21727</v>
      </c>
      <c r="AC132" s="134">
        <f t="shared" si="48"/>
        <v>-0.36000000000058208</v>
      </c>
      <c r="AD132" s="125"/>
      <c r="AE132" s="135">
        <f t="shared" si="13"/>
        <v>1.041E-3</v>
      </c>
      <c r="AF132" s="136">
        <f t="shared" si="14"/>
        <v>0</v>
      </c>
      <c r="AG132" s="137" t="s">
        <v>416</v>
      </c>
      <c r="AH132" s="124"/>
    </row>
    <row r="133" spans="1:34" ht="12" customHeight="1">
      <c r="A133" s="155">
        <v>44349</v>
      </c>
      <c r="B133" s="155" t="s">
        <v>522</v>
      </c>
      <c r="C133" s="127" t="s">
        <v>485</v>
      </c>
      <c r="D133" s="155"/>
      <c r="E133" s="155" t="str">
        <f t="shared" si="0"/>
        <v>KEI</v>
      </c>
      <c r="F133" s="155"/>
      <c r="G133" s="155"/>
      <c r="H133" s="155"/>
      <c r="I133" s="127" t="s">
        <v>461</v>
      </c>
      <c r="J133" s="126" t="s">
        <v>483</v>
      </c>
      <c r="K133" s="127"/>
      <c r="L133" s="127"/>
      <c r="M133" s="128">
        <v>19</v>
      </c>
      <c r="N133" s="129">
        <v>636</v>
      </c>
      <c r="O133" s="130">
        <f t="shared" si="39"/>
        <v>0</v>
      </c>
      <c r="P133" s="130">
        <f t="shared" si="136"/>
        <v>636</v>
      </c>
      <c r="Q133" s="130"/>
      <c r="R133" s="130">
        <f t="shared" si="3"/>
        <v>12084</v>
      </c>
      <c r="S133" s="131">
        <f t="shared" si="4"/>
        <v>0.66210526315789475</v>
      </c>
      <c r="T133" s="131">
        <f t="shared" si="75"/>
        <v>0</v>
      </c>
      <c r="U133" s="131">
        <f t="shared" si="36"/>
        <v>0.08</v>
      </c>
      <c r="V133" s="131">
        <f t="shared" si="62"/>
        <v>12.08</v>
      </c>
      <c r="W133" s="131">
        <v>0</v>
      </c>
      <c r="X133" s="131">
        <f t="shared" si="137"/>
        <v>0.42</v>
      </c>
      <c r="Y133" s="131">
        <f t="shared" si="99"/>
        <v>0</v>
      </c>
      <c r="Z133" s="131">
        <f t="shared" si="10"/>
        <v>12.58</v>
      </c>
      <c r="AA133" s="132">
        <f t="shared" si="138"/>
        <v>12071.42</v>
      </c>
      <c r="AB133" s="133">
        <v>12071</v>
      </c>
      <c r="AC133" s="134">
        <f t="shared" si="48"/>
        <v>-0.42000000000007276</v>
      </c>
      <c r="AD133" s="125">
        <v>44351</v>
      </c>
      <c r="AE133" s="135">
        <f t="shared" si="13"/>
        <v>1.041E-3</v>
      </c>
      <c r="AF133" s="136">
        <f t="shared" si="14"/>
        <v>44351</v>
      </c>
      <c r="AG133" s="137" t="s">
        <v>416</v>
      </c>
      <c r="AH133" s="124"/>
    </row>
    <row r="134" spans="1:34" ht="12" customHeight="1">
      <c r="A134" s="154">
        <v>44349</v>
      </c>
      <c r="B134" s="154" t="s">
        <v>533</v>
      </c>
      <c r="C134" s="141" t="s">
        <v>485</v>
      </c>
      <c r="D134" s="154"/>
      <c r="E134" s="154" t="str">
        <f t="shared" si="0"/>
        <v>PNB</v>
      </c>
      <c r="F134" s="154"/>
      <c r="G134" s="154"/>
      <c r="H134" s="154"/>
      <c r="I134" s="141" t="s">
        <v>467</v>
      </c>
      <c r="J134" s="139" t="s">
        <v>483</v>
      </c>
      <c r="K134" s="141"/>
      <c r="L134" s="141"/>
      <c r="M134" s="142">
        <v>200</v>
      </c>
      <c r="N134" s="143">
        <v>44</v>
      </c>
      <c r="O134" s="144">
        <f t="shared" si="39"/>
        <v>0</v>
      </c>
      <c r="P134" s="144">
        <f t="shared" ref="P134:P136" si="139">N134+O134</f>
        <v>44</v>
      </c>
      <c r="Q134" s="144"/>
      <c r="R134" s="144">
        <f t="shared" si="3"/>
        <v>8800</v>
      </c>
      <c r="S134" s="145">
        <f t="shared" si="4"/>
        <v>5.2350000000000015E-2</v>
      </c>
      <c r="T134" s="145">
        <f t="shared" si="75"/>
        <v>0</v>
      </c>
      <c r="U134" s="145">
        <f t="shared" si="36"/>
        <v>0.05</v>
      </c>
      <c r="V134" s="145">
        <f t="shared" si="62"/>
        <v>8.8000000000000007</v>
      </c>
      <c r="W134" s="145">
        <f t="shared" ref="W134:W136" si="140">ROUND(R134*F$1823,2)</f>
        <v>1.32</v>
      </c>
      <c r="X134" s="145">
        <f t="shared" si="137"/>
        <v>0.3</v>
      </c>
      <c r="Y134" s="145">
        <f t="shared" si="99"/>
        <v>0</v>
      </c>
      <c r="Z134" s="146">
        <f t="shared" si="10"/>
        <v>10.470000000000002</v>
      </c>
      <c r="AA134" s="147">
        <f t="shared" ref="AA134:AA136" si="141">-ROUND(R134+SUM(T134:Y134),2)</f>
        <v>-8810.4699999999993</v>
      </c>
      <c r="AB134" s="148">
        <v>-8810</v>
      </c>
      <c r="AC134" s="149">
        <f t="shared" si="48"/>
        <v>0.46999999999934516</v>
      </c>
      <c r="AD134" s="138">
        <v>44351</v>
      </c>
      <c r="AE134" s="150">
        <f t="shared" si="13"/>
        <v>1.1900000000000001E-3</v>
      </c>
      <c r="AF134" s="151">
        <f t="shared" si="14"/>
        <v>44351</v>
      </c>
      <c r="AG134" s="152" t="s">
        <v>416</v>
      </c>
      <c r="AH134" s="124"/>
    </row>
    <row r="135" spans="1:34" ht="12" customHeight="1">
      <c r="A135" s="154">
        <v>44349</v>
      </c>
      <c r="B135" s="154" t="s">
        <v>534</v>
      </c>
      <c r="C135" s="141" t="s">
        <v>485</v>
      </c>
      <c r="D135" s="154"/>
      <c r="E135" s="154" t="str">
        <f t="shared" si="0"/>
        <v>TRITURBINE</v>
      </c>
      <c r="F135" s="154"/>
      <c r="G135" s="154"/>
      <c r="H135" s="154"/>
      <c r="I135" s="141" t="s">
        <v>467</v>
      </c>
      <c r="J135" s="139" t="s">
        <v>483</v>
      </c>
      <c r="K135" s="141"/>
      <c r="L135" s="141"/>
      <c r="M135" s="142">
        <v>100</v>
      </c>
      <c r="N135" s="143">
        <v>113.5</v>
      </c>
      <c r="O135" s="144">
        <f t="shared" si="39"/>
        <v>0</v>
      </c>
      <c r="P135" s="144">
        <f t="shared" si="139"/>
        <v>113.5</v>
      </c>
      <c r="Q135" s="144"/>
      <c r="R135" s="144">
        <f t="shared" si="3"/>
        <v>11350</v>
      </c>
      <c r="S135" s="145">
        <f t="shared" si="4"/>
        <v>0.13419999999999999</v>
      </c>
      <c r="T135" s="145">
        <f t="shared" si="75"/>
        <v>0</v>
      </c>
      <c r="U135" s="145">
        <f t="shared" si="36"/>
        <v>0.06</v>
      </c>
      <c r="V135" s="145">
        <f t="shared" si="62"/>
        <v>11.35</v>
      </c>
      <c r="W135" s="145">
        <f t="shared" si="140"/>
        <v>1.7</v>
      </c>
      <c r="X135" s="145">
        <f t="shared" ref="X135:X136" si="142">ROUND(R135*G$1820,2)</f>
        <v>0.31</v>
      </c>
      <c r="Y135" s="145">
        <f t="shared" si="99"/>
        <v>0</v>
      </c>
      <c r="Z135" s="146">
        <f t="shared" si="10"/>
        <v>13.42</v>
      </c>
      <c r="AA135" s="147">
        <f t="shared" si="141"/>
        <v>-11363.42</v>
      </c>
      <c r="AB135" s="148">
        <v>-11364</v>
      </c>
      <c r="AC135" s="149">
        <f t="shared" si="48"/>
        <v>-0.57999999999992724</v>
      </c>
      <c r="AD135" s="138">
        <v>44351</v>
      </c>
      <c r="AE135" s="150">
        <f t="shared" si="13"/>
        <v>1.1820000000000001E-3</v>
      </c>
      <c r="AF135" s="151">
        <f t="shared" si="14"/>
        <v>44351</v>
      </c>
      <c r="AG135" s="152" t="s">
        <v>416</v>
      </c>
      <c r="AH135" s="124"/>
    </row>
    <row r="136" spans="1:34" ht="12" customHeight="1">
      <c r="A136" s="154">
        <v>44350</v>
      </c>
      <c r="B136" s="154" t="s">
        <v>535</v>
      </c>
      <c r="C136" s="141" t="s">
        <v>485</v>
      </c>
      <c r="D136" s="154"/>
      <c r="E136" s="154" t="str">
        <f t="shared" si="0"/>
        <v>KNRCON</v>
      </c>
      <c r="F136" s="154"/>
      <c r="G136" s="154"/>
      <c r="H136" s="154"/>
      <c r="I136" s="141" t="s">
        <v>467</v>
      </c>
      <c r="J136" s="139" t="s">
        <v>483</v>
      </c>
      <c r="K136" s="141"/>
      <c r="L136" s="141"/>
      <c r="M136" s="142">
        <v>50</v>
      </c>
      <c r="N136" s="143">
        <v>229</v>
      </c>
      <c r="O136" s="144">
        <f t="shared" si="39"/>
        <v>0</v>
      </c>
      <c r="P136" s="144">
        <f t="shared" si="139"/>
        <v>229</v>
      </c>
      <c r="Q136" s="144"/>
      <c r="R136" s="144">
        <f t="shared" si="3"/>
        <v>11450</v>
      </c>
      <c r="S136" s="145">
        <f t="shared" si="4"/>
        <v>0.27080000000000004</v>
      </c>
      <c r="T136" s="145">
        <f t="shared" si="75"/>
        <v>0</v>
      </c>
      <c r="U136" s="145">
        <f t="shared" si="36"/>
        <v>0.06</v>
      </c>
      <c r="V136" s="145">
        <f t="shared" si="62"/>
        <v>11.45</v>
      </c>
      <c r="W136" s="145">
        <f t="shared" si="140"/>
        <v>1.72</v>
      </c>
      <c r="X136" s="145">
        <f t="shared" si="142"/>
        <v>0.31</v>
      </c>
      <c r="Y136" s="145">
        <f t="shared" si="99"/>
        <v>0</v>
      </c>
      <c r="Z136" s="146">
        <f t="shared" si="10"/>
        <v>13.540000000000001</v>
      </c>
      <c r="AA136" s="147">
        <f t="shared" si="141"/>
        <v>-11463.54</v>
      </c>
      <c r="AB136" s="148">
        <v>-11464</v>
      </c>
      <c r="AC136" s="149">
        <f t="shared" si="48"/>
        <v>-0.45999999999912689</v>
      </c>
      <c r="AD136" s="138">
        <v>44354</v>
      </c>
      <c r="AE136" s="150">
        <f t="shared" si="13"/>
        <v>1.183E-3</v>
      </c>
      <c r="AF136" s="151">
        <f t="shared" si="14"/>
        <v>44354</v>
      </c>
      <c r="AG136" s="152" t="s">
        <v>416</v>
      </c>
      <c r="AH136" s="124"/>
    </row>
    <row r="137" spans="1:34" ht="12" customHeight="1">
      <c r="A137" s="155">
        <v>44351</v>
      </c>
      <c r="B137" s="112" t="s">
        <v>527</v>
      </c>
      <c r="C137" s="127" t="s">
        <v>485</v>
      </c>
      <c r="D137" s="112"/>
      <c r="E137" s="112" t="str">
        <f t="shared" si="0"/>
        <v>BPCL</v>
      </c>
      <c r="F137" s="112"/>
      <c r="G137" s="112"/>
      <c r="H137" s="112"/>
      <c r="I137" s="127" t="s">
        <v>461</v>
      </c>
      <c r="J137" s="126" t="s">
        <v>483</v>
      </c>
      <c r="K137" s="127"/>
      <c r="L137" s="127"/>
      <c r="M137" s="128">
        <v>50</v>
      </c>
      <c r="N137" s="129">
        <v>482</v>
      </c>
      <c r="O137" s="130">
        <f t="shared" si="39"/>
        <v>0</v>
      </c>
      <c r="P137" s="130">
        <f>N137-O137</f>
        <v>482</v>
      </c>
      <c r="Q137" s="130"/>
      <c r="R137" s="130">
        <f t="shared" si="3"/>
        <v>24100</v>
      </c>
      <c r="S137" s="131">
        <f t="shared" si="4"/>
        <v>0.50159999999999993</v>
      </c>
      <c r="T137" s="131">
        <f t="shared" si="75"/>
        <v>0</v>
      </c>
      <c r="U137" s="131">
        <f t="shared" si="36"/>
        <v>0.15</v>
      </c>
      <c r="V137" s="131">
        <f t="shared" si="62"/>
        <v>24.1</v>
      </c>
      <c r="W137" s="131">
        <v>0</v>
      </c>
      <c r="X137" s="131">
        <f>ROUND(R137*H$1820,2)</f>
        <v>0.83</v>
      </c>
      <c r="Y137" s="131">
        <f t="shared" si="99"/>
        <v>0</v>
      </c>
      <c r="Z137" s="131">
        <f t="shared" si="10"/>
        <v>25.08</v>
      </c>
      <c r="AA137" s="132">
        <f>ROUND(R137-SUM(T137:Y137),2)</f>
        <v>24074.92</v>
      </c>
      <c r="AB137" s="133">
        <v>24075</v>
      </c>
      <c r="AC137" s="134">
        <f t="shared" si="48"/>
        <v>8.000000000174623E-2</v>
      </c>
      <c r="AD137" s="125">
        <v>44355</v>
      </c>
      <c r="AE137" s="135">
        <f t="shared" si="13"/>
        <v>1.041E-3</v>
      </c>
      <c r="AF137" s="136">
        <f t="shared" si="14"/>
        <v>44355</v>
      </c>
      <c r="AG137" s="137" t="s">
        <v>416</v>
      </c>
      <c r="AH137" s="124"/>
    </row>
    <row r="138" spans="1:34" ht="12" customHeight="1">
      <c r="A138" s="154">
        <v>44351</v>
      </c>
      <c r="B138" s="154" t="s">
        <v>536</v>
      </c>
      <c r="C138" s="141" t="s">
        <v>485</v>
      </c>
      <c r="D138" s="154"/>
      <c r="E138" s="154" t="str">
        <f t="shared" si="0"/>
        <v>APTECHT</v>
      </c>
      <c r="F138" s="154"/>
      <c r="G138" s="154"/>
      <c r="H138" s="154"/>
      <c r="I138" s="141" t="s">
        <v>467</v>
      </c>
      <c r="J138" s="139" t="s">
        <v>483</v>
      </c>
      <c r="K138" s="141"/>
      <c r="L138" s="141"/>
      <c r="M138" s="142">
        <v>100</v>
      </c>
      <c r="N138" s="143">
        <v>229</v>
      </c>
      <c r="O138" s="144">
        <f t="shared" si="39"/>
        <v>0</v>
      </c>
      <c r="P138" s="144">
        <f>N138+O138</f>
        <v>229</v>
      </c>
      <c r="Q138" s="144"/>
      <c r="R138" s="144">
        <f t="shared" si="3"/>
        <v>22900</v>
      </c>
      <c r="S138" s="145">
        <f t="shared" si="4"/>
        <v>0.27079999999999999</v>
      </c>
      <c r="T138" s="145">
        <f t="shared" si="75"/>
        <v>0</v>
      </c>
      <c r="U138" s="145">
        <f t="shared" si="36"/>
        <v>0.11</v>
      </c>
      <c r="V138" s="145">
        <f t="shared" si="62"/>
        <v>22.9</v>
      </c>
      <c r="W138" s="145">
        <f>ROUND(R138*F$1823,2)</f>
        <v>3.44</v>
      </c>
      <c r="X138" s="145">
        <f>ROUND(R138*G$1820,2)</f>
        <v>0.63</v>
      </c>
      <c r="Y138" s="145">
        <f t="shared" si="99"/>
        <v>0</v>
      </c>
      <c r="Z138" s="146">
        <f t="shared" si="10"/>
        <v>27.08</v>
      </c>
      <c r="AA138" s="147">
        <f>-ROUND(R138+SUM(T138:Y138),2)</f>
        <v>-22927.08</v>
      </c>
      <c r="AB138" s="148">
        <v>-22927</v>
      </c>
      <c r="AC138" s="149">
        <f t="shared" si="48"/>
        <v>8.000000000174623E-2</v>
      </c>
      <c r="AD138" s="138">
        <v>44355</v>
      </c>
      <c r="AE138" s="150">
        <f t="shared" si="13"/>
        <v>1.183E-3</v>
      </c>
      <c r="AF138" s="151">
        <f t="shared" si="14"/>
        <v>44355</v>
      </c>
      <c r="AG138" s="152" t="s">
        <v>416</v>
      </c>
      <c r="AH138" s="124"/>
    </row>
    <row r="139" spans="1:34" ht="12" customHeight="1">
      <c r="A139" s="155">
        <v>44354</v>
      </c>
      <c r="B139" s="155" t="s">
        <v>536</v>
      </c>
      <c r="C139" s="127" t="s">
        <v>485</v>
      </c>
      <c r="D139" s="155"/>
      <c r="E139" s="155" t="str">
        <f t="shared" si="0"/>
        <v>APTECHT</v>
      </c>
      <c r="F139" s="155"/>
      <c r="G139" s="155"/>
      <c r="H139" s="155"/>
      <c r="I139" s="127" t="s">
        <v>461</v>
      </c>
      <c r="J139" s="126" t="s">
        <v>483</v>
      </c>
      <c r="K139" s="127"/>
      <c r="L139" s="127"/>
      <c r="M139" s="128">
        <v>100</v>
      </c>
      <c r="N139" s="129">
        <v>238</v>
      </c>
      <c r="O139" s="130">
        <f t="shared" si="39"/>
        <v>0</v>
      </c>
      <c r="P139" s="130">
        <f t="shared" ref="P139:P140" si="143">N139-O139</f>
        <v>238</v>
      </c>
      <c r="Q139" s="130"/>
      <c r="R139" s="130">
        <f t="shared" si="3"/>
        <v>23800</v>
      </c>
      <c r="S139" s="131">
        <f t="shared" si="4"/>
        <v>0.2477</v>
      </c>
      <c r="T139" s="131">
        <f t="shared" si="75"/>
        <v>0</v>
      </c>
      <c r="U139" s="131">
        <f t="shared" si="36"/>
        <v>0.15</v>
      </c>
      <c r="V139" s="131">
        <f t="shared" si="62"/>
        <v>23.8</v>
      </c>
      <c r="W139" s="131">
        <v>0</v>
      </c>
      <c r="X139" s="131">
        <f>ROUND(R139*H$1820,2)</f>
        <v>0.82</v>
      </c>
      <c r="Y139" s="131">
        <f t="shared" si="99"/>
        <v>0</v>
      </c>
      <c r="Z139" s="131">
        <f t="shared" si="10"/>
        <v>24.77</v>
      </c>
      <c r="AA139" s="132">
        <f t="shared" ref="AA139:AA140" si="144">ROUND(R139-SUM(T139:Y139),2)</f>
        <v>23775.23</v>
      </c>
      <c r="AB139" s="133">
        <v>23775</v>
      </c>
      <c r="AC139" s="134">
        <f t="shared" si="48"/>
        <v>-0.22999999999956344</v>
      </c>
      <c r="AD139" s="125">
        <v>44356</v>
      </c>
      <c r="AE139" s="135">
        <f t="shared" si="13"/>
        <v>1.041E-3</v>
      </c>
      <c r="AF139" s="136">
        <f t="shared" si="14"/>
        <v>44356</v>
      </c>
      <c r="AG139" s="137" t="s">
        <v>416</v>
      </c>
      <c r="AH139" s="124"/>
    </row>
    <row r="140" spans="1:34" ht="12" customHeight="1">
      <c r="A140" s="155">
        <v>44354</v>
      </c>
      <c r="B140" s="155" t="s">
        <v>500</v>
      </c>
      <c r="C140" s="127" t="s">
        <v>485</v>
      </c>
      <c r="D140" s="155"/>
      <c r="E140" s="155" t="str">
        <f t="shared" si="0"/>
        <v>CHOLAFIN</v>
      </c>
      <c r="F140" s="155"/>
      <c r="G140" s="155"/>
      <c r="H140" s="155"/>
      <c r="I140" s="127" t="s">
        <v>461</v>
      </c>
      <c r="J140" s="126" t="s">
        <v>483</v>
      </c>
      <c r="K140" s="127"/>
      <c r="L140" s="127"/>
      <c r="M140" s="128">
        <v>30</v>
      </c>
      <c r="N140" s="129">
        <v>578</v>
      </c>
      <c r="O140" s="130">
        <f t="shared" si="39"/>
        <v>0</v>
      </c>
      <c r="P140" s="130">
        <f t="shared" si="143"/>
        <v>578</v>
      </c>
      <c r="Q140" s="130"/>
      <c r="R140" s="130">
        <f t="shared" si="3"/>
        <v>17340</v>
      </c>
      <c r="S140" s="131">
        <f t="shared" si="4"/>
        <v>0.59699999999999998</v>
      </c>
      <c r="T140" s="131">
        <f t="shared" si="75"/>
        <v>0</v>
      </c>
      <c r="U140" s="131">
        <f t="shared" si="36"/>
        <v>0.09</v>
      </c>
      <c r="V140" s="131">
        <f t="shared" si="62"/>
        <v>17.34</v>
      </c>
      <c r="W140" s="131">
        <v>0</v>
      </c>
      <c r="X140" s="131">
        <f t="shared" ref="X140:X146" si="145">ROUND(R140*G$1820,2)</f>
        <v>0.48</v>
      </c>
      <c r="Y140" s="131">
        <f t="shared" si="99"/>
        <v>0</v>
      </c>
      <c r="Z140" s="131">
        <f t="shared" si="10"/>
        <v>17.91</v>
      </c>
      <c r="AA140" s="132">
        <f t="shared" si="144"/>
        <v>17322.09</v>
      </c>
      <c r="AB140" s="133">
        <v>17322</v>
      </c>
      <c r="AC140" s="134">
        <f t="shared" si="48"/>
        <v>-9.0000000000145519E-2</v>
      </c>
      <c r="AD140" s="125">
        <v>44356</v>
      </c>
      <c r="AE140" s="135">
        <f t="shared" si="13"/>
        <v>1.0330000000000001E-3</v>
      </c>
      <c r="AF140" s="136">
        <f t="shared" si="14"/>
        <v>44356</v>
      </c>
      <c r="AG140" s="137" t="s">
        <v>416</v>
      </c>
      <c r="AH140" s="124"/>
    </row>
    <row r="141" spans="1:34" ht="12" customHeight="1">
      <c r="A141" s="154">
        <v>44355</v>
      </c>
      <c r="B141" s="154" t="s">
        <v>479</v>
      </c>
      <c r="C141" s="141" t="s">
        <v>485</v>
      </c>
      <c r="D141" s="154"/>
      <c r="E141" s="154" t="str">
        <f t="shared" si="0"/>
        <v>TATAPOWER</v>
      </c>
      <c r="F141" s="154"/>
      <c r="G141" s="154"/>
      <c r="H141" s="154"/>
      <c r="I141" s="141" t="s">
        <v>467</v>
      </c>
      <c r="J141" s="139" t="s">
        <v>483</v>
      </c>
      <c r="K141" s="141"/>
      <c r="L141" s="141"/>
      <c r="M141" s="142">
        <v>100</v>
      </c>
      <c r="N141" s="143">
        <v>117</v>
      </c>
      <c r="O141" s="144">
        <f t="shared" si="39"/>
        <v>0</v>
      </c>
      <c r="P141" s="144">
        <f>N141+O141</f>
        <v>117</v>
      </c>
      <c r="Q141" s="144"/>
      <c r="R141" s="144">
        <f t="shared" si="3"/>
        <v>11700</v>
      </c>
      <c r="S141" s="145">
        <f t="shared" si="4"/>
        <v>0.1384</v>
      </c>
      <c r="T141" s="145">
        <f t="shared" si="75"/>
        <v>0</v>
      </c>
      <c r="U141" s="145">
        <f t="shared" si="36"/>
        <v>0.06</v>
      </c>
      <c r="V141" s="145">
        <f t="shared" si="62"/>
        <v>11.7</v>
      </c>
      <c r="W141" s="145">
        <f>ROUND(R141*F$1823,2)</f>
        <v>1.76</v>
      </c>
      <c r="X141" s="145">
        <f t="shared" si="145"/>
        <v>0.32</v>
      </c>
      <c r="Y141" s="145">
        <f t="shared" si="99"/>
        <v>0</v>
      </c>
      <c r="Z141" s="146">
        <f t="shared" si="10"/>
        <v>13.84</v>
      </c>
      <c r="AA141" s="147">
        <f>-ROUND(R141+SUM(T141:Y141),2)</f>
        <v>-11713.84</v>
      </c>
      <c r="AB141" s="148">
        <v>-11714</v>
      </c>
      <c r="AC141" s="149">
        <f t="shared" si="48"/>
        <v>-0.15999999999985448</v>
      </c>
      <c r="AD141" s="138">
        <v>44357</v>
      </c>
      <c r="AE141" s="150">
        <f t="shared" si="13"/>
        <v>1.183E-3</v>
      </c>
      <c r="AF141" s="151">
        <f t="shared" si="14"/>
        <v>44357</v>
      </c>
      <c r="AG141" s="152" t="s">
        <v>416</v>
      </c>
      <c r="AH141" s="124"/>
    </row>
    <row r="142" spans="1:34" ht="12" customHeight="1">
      <c r="A142" s="155">
        <v>44356</v>
      </c>
      <c r="B142" s="155" t="s">
        <v>495</v>
      </c>
      <c r="C142" s="127" t="s">
        <v>485</v>
      </c>
      <c r="D142" s="155"/>
      <c r="E142" s="155" t="str">
        <f t="shared" si="0"/>
        <v>SAIL</v>
      </c>
      <c r="F142" s="155"/>
      <c r="G142" s="155"/>
      <c r="H142" s="155"/>
      <c r="I142" s="127" t="s">
        <v>461</v>
      </c>
      <c r="J142" s="126" t="s">
        <v>483</v>
      </c>
      <c r="K142" s="127"/>
      <c r="L142" s="127"/>
      <c r="M142" s="128">
        <v>100</v>
      </c>
      <c r="N142" s="129">
        <v>124.5</v>
      </c>
      <c r="O142" s="130">
        <f t="shared" si="39"/>
        <v>0</v>
      </c>
      <c r="P142" s="130">
        <f t="shared" ref="P142:P145" si="146">N142-O142</f>
        <v>124.5</v>
      </c>
      <c r="Q142" s="130"/>
      <c r="R142" s="130">
        <f t="shared" si="3"/>
        <v>12450</v>
      </c>
      <c r="S142" s="131">
        <f t="shared" si="4"/>
        <v>0.1285</v>
      </c>
      <c r="T142" s="131">
        <f t="shared" si="75"/>
        <v>0</v>
      </c>
      <c r="U142" s="131">
        <f t="shared" si="36"/>
        <v>0.06</v>
      </c>
      <c r="V142" s="131">
        <f t="shared" si="62"/>
        <v>12.45</v>
      </c>
      <c r="W142" s="131">
        <v>0</v>
      </c>
      <c r="X142" s="131">
        <f t="shared" si="145"/>
        <v>0.34</v>
      </c>
      <c r="Y142" s="131">
        <f t="shared" si="99"/>
        <v>0</v>
      </c>
      <c r="Z142" s="131">
        <f t="shared" si="10"/>
        <v>12.85</v>
      </c>
      <c r="AA142" s="132">
        <f t="shared" ref="AA142:AA145" si="147">ROUND(R142-SUM(T142:Y142),2)</f>
        <v>12437.15</v>
      </c>
      <c r="AB142" s="133">
        <v>12437</v>
      </c>
      <c r="AC142" s="134">
        <f t="shared" si="48"/>
        <v>-0.1499999999996362</v>
      </c>
      <c r="AD142" s="125">
        <v>44358</v>
      </c>
      <c r="AE142" s="135">
        <f t="shared" si="13"/>
        <v>1.0319999999999999E-3</v>
      </c>
      <c r="AF142" s="136">
        <f t="shared" si="14"/>
        <v>44358</v>
      </c>
      <c r="AG142" s="137" t="s">
        <v>416</v>
      </c>
      <c r="AH142" s="124"/>
    </row>
    <row r="143" spans="1:34" ht="12" customHeight="1">
      <c r="A143" s="155">
        <v>44356</v>
      </c>
      <c r="B143" s="155" t="s">
        <v>532</v>
      </c>
      <c r="C143" s="127" t="s">
        <v>485</v>
      </c>
      <c r="D143" s="155"/>
      <c r="E143" s="155" t="str">
        <f t="shared" si="0"/>
        <v>SCHNEIDER</v>
      </c>
      <c r="F143" s="155"/>
      <c r="G143" s="155"/>
      <c r="H143" s="155"/>
      <c r="I143" s="127" t="s">
        <v>461</v>
      </c>
      <c r="J143" s="126" t="s">
        <v>483</v>
      </c>
      <c r="K143" s="127"/>
      <c r="L143" s="127"/>
      <c r="M143" s="128">
        <v>100</v>
      </c>
      <c r="N143" s="129">
        <v>134.69999999999999</v>
      </c>
      <c r="O143" s="130">
        <f t="shared" si="39"/>
        <v>0</v>
      </c>
      <c r="P143" s="130">
        <f t="shared" si="146"/>
        <v>134.69999999999999</v>
      </c>
      <c r="Q143" s="130"/>
      <c r="R143" s="130">
        <f t="shared" si="3"/>
        <v>13470</v>
      </c>
      <c r="S143" s="131">
        <f t="shared" si="4"/>
        <v>0.1391</v>
      </c>
      <c r="T143" s="131">
        <f t="shared" si="75"/>
        <v>0</v>
      </c>
      <c r="U143" s="131">
        <f t="shared" si="36"/>
        <v>7.0000000000000007E-2</v>
      </c>
      <c r="V143" s="131">
        <f t="shared" si="62"/>
        <v>13.47</v>
      </c>
      <c r="W143" s="131">
        <v>0</v>
      </c>
      <c r="X143" s="131">
        <f t="shared" si="145"/>
        <v>0.37</v>
      </c>
      <c r="Y143" s="131">
        <f t="shared" si="99"/>
        <v>0</v>
      </c>
      <c r="Z143" s="131">
        <f t="shared" si="10"/>
        <v>13.91</v>
      </c>
      <c r="AA143" s="132">
        <f t="shared" si="147"/>
        <v>13456.09</v>
      </c>
      <c r="AB143" s="133">
        <v>13456</v>
      </c>
      <c r="AC143" s="134">
        <f t="shared" si="48"/>
        <v>-9.0000000000145519E-2</v>
      </c>
      <c r="AD143" s="125">
        <v>44358</v>
      </c>
      <c r="AE143" s="135">
        <f t="shared" si="13"/>
        <v>1.0330000000000001E-3</v>
      </c>
      <c r="AF143" s="136">
        <f t="shared" si="14"/>
        <v>44358</v>
      </c>
      <c r="AG143" s="137" t="s">
        <v>416</v>
      </c>
      <c r="AH143" s="124"/>
    </row>
    <row r="144" spans="1:34" ht="12" customHeight="1">
      <c r="A144" s="155">
        <v>44356</v>
      </c>
      <c r="B144" s="155" t="s">
        <v>531</v>
      </c>
      <c r="C144" s="127" t="s">
        <v>485</v>
      </c>
      <c r="D144" s="155"/>
      <c r="E144" s="155" t="str">
        <f t="shared" si="0"/>
        <v>TRENT</v>
      </c>
      <c r="F144" s="155"/>
      <c r="G144" s="155"/>
      <c r="H144" s="155"/>
      <c r="I144" s="127" t="s">
        <v>461</v>
      </c>
      <c r="J144" s="126" t="s">
        <v>483</v>
      </c>
      <c r="K144" s="127"/>
      <c r="L144" s="127"/>
      <c r="M144" s="128">
        <v>25</v>
      </c>
      <c r="N144" s="129">
        <v>870</v>
      </c>
      <c r="O144" s="130">
        <f t="shared" si="39"/>
        <v>0</v>
      </c>
      <c r="P144" s="130">
        <f t="shared" si="146"/>
        <v>870</v>
      </c>
      <c r="Q144" s="130"/>
      <c r="R144" s="130">
        <f t="shared" si="3"/>
        <v>21750</v>
      </c>
      <c r="S144" s="131">
        <f t="shared" si="4"/>
        <v>0.89840000000000009</v>
      </c>
      <c r="T144" s="131">
        <f t="shared" si="75"/>
        <v>0</v>
      </c>
      <c r="U144" s="131">
        <f t="shared" si="36"/>
        <v>0.11</v>
      </c>
      <c r="V144" s="131">
        <f t="shared" si="62"/>
        <v>21.75</v>
      </c>
      <c r="W144" s="131">
        <v>0</v>
      </c>
      <c r="X144" s="131">
        <f t="shared" si="145"/>
        <v>0.6</v>
      </c>
      <c r="Y144" s="131">
        <f t="shared" si="99"/>
        <v>0</v>
      </c>
      <c r="Z144" s="131">
        <f t="shared" si="10"/>
        <v>22.46</v>
      </c>
      <c r="AA144" s="132">
        <f t="shared" si="147"/>
        <v>21727.54</v>
      </c>
      <c r="AB144" s="133">
        <v>21727</v>
      </c>
      <c r="AC144" s="134">
        <f t="shared" si="48"/>
        <v>-0.54000000000087311</v>
      </c>
      <c r="AD144" s="125">
        <v>44358</v>
      </c>
      <c r="AE144" s="135">
        <f t="shared" si="13"/>
        <v>1.0330000000000001E-3</v>
      </c>
      <c r="AF144" s="136">
        <f t="shared" si="14"/>
        <v>44358</v>
      </c>
      <c r="AG144" s="137" t="s">
        <v>416</v>
      </c>
      <c r="AH144" s="124"/>
    </row>
    <row r="145" spans="1:34" ht="12" customHeight="1">
      <c r="A145" s="155">
        <v>44356</v>
      </c>
      <c r="B145" s="155" t="s">
        <v>479</v>
      </c>
      <c r="C145" s="127" t="s">
        <v>485</v>
      </c>
      <c r="D145" s="155"/>
      <c r="E145" s="155" t="str">
        <f t="shared" si="0"/>
        <v>TATAPOWER</v>
      </c>
      <c r="F145" s="155"/>
      <c r="G145" s="155"/>
      <c r="H145" s="155"/>
      <c r="I145" s="127" t="s">
        <v>461</v>
      </c>
      <c r="J145" s="126" t="s">
        <v>483</v>
      </c>
      <c r="K145" s="127"/>
      <c r="L145" s="127"/>
      <c r="M145" s="128">
        <v>100</v>
      </c>
      <c r="N145" s="129">
        <v>128</v>
      </c>
      <c r="O145" s="130">
        <f t="shared" si="39"/>
        <v>0</v>
      </c>
      <c r="P145" s="130">
        <f t="shared" si="146"/>
        <v>128</v>
      </c>
      <c r="Q145" s="130"/>
      <c r="R145" s="130">
        <f t="shared" si="3"/>
        <v>12800</v>
      </c>
      <c r="S145" s="131">
        <f t="shared" si="4"/>
        <v>0.1321</v>
      </c>
      <c r="T145" s="131">
        <f t="shared" si="75"/>
        <v>0</v>
      </c>
      <c r="U145" s="131">
        <f t="shared" si="36"/>
        <v>0.06</v>
      </c>
      <c r="V145" s="131">
        <f t="shared" si="62"/>
        <v>12.8</v>
      </c>
      <c r="W145" s="131">
        <v>0</v>
      </c>
      <c r="X145" s="131">
        <f t="shared" si="145"/>
        <v>0.35</v>
      </c>
      <c r="Y145" s="131">
        <f t="shared" si="99"/>
        <v>0</v>
      </c>
      <c r="Z145" s="131">
        <f t="shared" si="10"/>
        <v>13.21</v>
      </c>
      <c r="AA145" s="132">
        <f t="shared" si="147"/>
        <v>12786.79</v>
      </c>
      <c r="AB145" s="133">
        <v>12787</v>
      </c>
      <c r="AC145" s="134">
        <f t="shared" si="48"/>
        <v>0.20999999999912689</v>
      </c>
      <c r="AD145" s="125">
        <v>44358</v>
      </c>
      <c r="AE145" s="135">
        <f t="shared" si="13"/>
        <v>1.0319999999999999E-3</v>
      </c>
      <c r="AF145" s="136">
        <f t="shared" si="14"/>
        <v>44358</v>
      </c>
      <c r="AG145" s="137" t="s">
        <v>416</v>
      </c>
      <c r="AH145" s="124"/>
    </row>
    <row r="146" spans="1:34" ht="12" customHeight="1">
      <c r="A146" s="154">
        <v>44356</v>
      </c>
      <c r="B146" s="154" t="s">
        <v>508</v>
      </c>
      <c r="C146" s="141" t="s">
        <v>485</v>
      </c>
      <c r="D146" s="154"/>
      <c r="E146" s="154" t="str">
        <f t="shared" si="0"/>
        <v>BIOCON</v>
      </c>
      <c r="F146" s="154"/>
      <c r="G146" s="154"/>
      <c r="H146" s="154"/>
      <c r="I146" s="141" t="s">
        <v>467</v>
      </c>
      <c r="J146" s="139" t="s">
        <v>483</v>
      </c>
      <c r="K146" s="141"/>
      <c r="L146" s="141"/>
      <c r="M146" s="142">
        <v>50</v>
      </c>
      <c r="N146" s="143">
        <v>410</v>
      </c>
      <c r="O146" s="144">
        <f t="shared" si="39"/>
        <v>0</v>
      </c>
      <c r="P146" s="144">
        <f t="shared" ref="P146:P151" si="148">N146+O146</f>
        <v>410</v>
      </c>
      <c r="Q146" s="144"/>
      <c r="R146" s="144">
        <f t="shared" si="3"/>
        <v>20500</v>
      </c>
      <c r="S146" s="145">
        <f t="shared" si="4"/>
        <v>0.48479999999999995</v>
      </c>
      <c r="T146" s="145">
        <f t="shared" si="75"/>
        <v>0</v>
      </c>
      <c r="U146" s="145">
        <f t="shared" si="36"/>
        <v>0.1</v>
      </c>
      <c r="V146" s="145">
        <f t="shared" si="62"/>
        <v>20.5</v>
      </c>
      <c r="W146" s="145">
        <f t="shared" ref="W146:W151" si="149">ROUND(R146*F$1823,2)</f>
        <v>3.08</v>
      </c>
      <c r="X146" s="145">
        <f t="shared" si="145"/>
        <v>0.56000000000000005</v>
      </c>
      <c r="Y146" s="145">
        <f t="shared" si="99"/>
        <v>0</v>
      </c>
      <c r="Z146" s="146">
        <f t="shared" si="10"/>
        <v>24.24</v>
      </c>
      <c r="AA146" s="147">
        <f t="shared" ref="AA146:AA151" si="150">-ROUND(R146+SUM(T146:Y146),2)</f>
        <v>-20524.240000000002</v>
      </c>
      <c r="AB146" s="148">
        <v>-20524</v>
      </c>
      <c r="AC146" s="149">
        <f t="shared" si="48"/>
        <v>0.24000000000160071</v>
      </c>
      <c r="AD146" s="138">
        <v>44358</v>
      </c>
      <c r="AE146" s="150">
        <f t="shared" si="13"/>
        <v>1.1820000000000001E-3</v>
      </c>
      <c r="AF146" s="151">
        <f t="shared" si="14"/>
        <v>44358</v>
      </c>
      <c r="AG146" s="152" t="s">
        <v>416</v>
      </c>
      <c r="AH146" s="124"/>
    </row>
    <row r="147" spans="1:34" ht="12" customHeight="1">
      <c r="A147" s="154">
        <v>44356</v>
      </c>
      <c r="B147" s="140" t="s">
        <v>537</v>
      </c>
      <c r="C147" s="141" t="s">
        <v>485</v>
      </c>
      <c r="D147" s="140"/>
      <c r="E147" s="140" t="str">
        <f t="shared" si="0"/>
        <v>CYIENT</v>
      </c>
      <c r="F147" s="140"/>
      <c r="G147" s="140"/>
      <c r="H147" s="140"/>
      <c r="I147" s="141" t="s">
        <v>467</v>
      </c>
      <c r="J147" s="139" t="s">
        <v>483</v>
      </c>
      <c r="K147" s="141"/>
      <c r="L147" s="141"/>
      <c r="M147" s="142">
        <v>25</v>
      </c>
      <c r="N147" s="143">
        <v>816</v>
      </c>
      <c r="O147" s="144">
        <f t="shared" si="39"/>
        <v>0</v>
      </c>
      <c r="P147" s="144">
        <f t="shared" si="148"/>
        <v>816</v>
      </c>
      <c r="Q147" s="144"/>
      <c r="R147" s="144">
        <f t="shared" si="3"/>
        <v>20400</v>
      </c>
      <c r="S147" s="145">
        <f t="shared" si="4"/>
        <v>0.9715999999999998</v>
      </c>
      <c r="T147" s="145">
        <f t="shared" si="75"/>
        <v>0</v>
      </c>
      <c r="U147" s="145">
        <f t="shared" si="36"/>
        <v>0.13</v>
      </c>
      <c r="V147" s="145">
        <f t="shared" si="62"/>
        <v>20.399999999999999</v>
      </c>
      <c r="W147" s="145">
        <f t="shared" si="149"/>
        <v>3.06</v>
      </c>
      <c r="X147" s="145">
        <f>ROUND(R147*H$1820,2)</f>
        <v>0.7</v>
      </c>
      <c r="Y147" s="145">
        <f t="shared" si="99"/>
        <v>0</v>
      </c>
      <c r="Z147" s="146">
        <f t="shared" si="10"/>
        <v>24.289999999999996</v>
      </c>
      <c r="AA147" s="147">
        <f t="shared" si="150"/>
        <v>-20424.29</v>
      </c>
      <c r="AB147" s="148">
        <v>-20424</v>
      </c>
      <c r="AC147" s="149">
        <f t="shared" si="48"/>
        <v>0.29000000000087311</v>
      </c>
      <c r="AD147" s="138">
        <v>44358</v>
      </c>
      <c r="AE147" s="150">
        <f t="shared" si="13"/>
        <v>1.191E-3</v>
      </c>
      <c r="AF147" s="151">
        <f t="shared" si="14"/>
        <v>44358</v>
      </c>
      <c r="AG147" s="152" t="s">
        <v>416</v>
      </c>
      <c r="AH147" s="124"/>
    </row>
    <row r="148" spans="1:34" ht="12" customHeight="1">
      <c r="A148" s="154">
        <v>44357</v>
      </c>
      <c r="B148" s="140" t="s">
        <v>500</v>
      </c>
      <c r="C148" s="141" t="s">
        <v>485</v>
      </c>
      <c r="D148" s="140"/>
      <c r="E148" s="140" t="str">
        <f t="shared" si="0"/>
        <v>CHOLAFIN</v>
      </c>
      <c r="F148" s="140"/>
      <c r="G148" s="140"/>
      <c r="H148" s="140"/>
      <c r="I148" s="141" t="s">
        <v>467</v>
      </c>
      <c r="J148" s="139" t="s">
        <v>483</v>
      </c>
      <c r="K148" s="141"/>
      <c r="L148" s="141"/>
      <c r="M148" s="142">
        <v>50</v>
      </c>
      <c r="N148" s="143">
        <v>565.5</v>
      </c>
      <c r="O148" s="144">
        <f t="shared" si="39"/>
        <v>0</v>
      </c>
      <c r="P148" s="144">
        <f t="shared" si="148"/>
        <v>565.5</v>
      </c>
      <c r="Q148" s="144"/>
      <c r="R148" s="144">
        <f t="shared" si="3"/>
        <v>28275</v>
      </c>
      <c r="S148" s="145">
        <f t="shared" si="4"/>
        <v>0.66880000000000006</v>
      </c>
      <c r="T148" s="145">
        <f t="shared" si="75"/>
        <v>0</v>
      </c>
      <c r="U148" s="145">
        <f t="shared" si="36"/>
        <v>0.14000000000000001</v>
      </c>
      <c r="V148" s="145">
        <f t="shared" si="62"/>
        <v>28.28</v>
      </c>
      <c r="W148" s="145">
        <f t="shared" si="149"/>
        <v>4.24</v>
      </c>
      <c r="X148" s="145">
        <f t="shared" ref="X148:X151" si="151">ROUND(R148*G$1820,2)</f>
        <v>0.78</v>
      </c>
      <c r="Y148" s="145">
        <f t="shared" si="99"/>
        <v>0</v>
      </c>
      <c r="Z148" s="146">
        <f t="shared" si="10"/>
        <v>33.440000000000005</v>
      </c>
      <c r="AA148" s="147">
        <f t="shared" si="150"/>
        <v>-28308.44</v>
      </c>
      <c r="AB148" s="148">
        <v>-28309</v>
      </c>
      <c r="AC148" s="149">
        <f t="shared" si="48"/>
        <v>-0.56000000000130967</v>
      </c>
      <c r="AD148" s="138">
        <v>44361</v>
      </c>
      <c r="AE148" s="150">
        <f t="shared" si="13"/>
        <v>1.183E-3</v>
      </c>
      <c r="AF148" s="151">
        <f t="shared" si="14"/>
        <v>44361</v>
      </c>
      <c r="AG148" s="152" t="s">
        <v>416</v>
      </c>
      <c r="AH148" s="124"/>
    </row>
    <row r="149" spans="1:34" ht="12" customHeight="1">
      <c r="A149" s="154">
        <v>44357</v>
      </c>
      <c r="B149" s="140" t="s">
        <v>538</v>
      </c>
      <c r="C149" s="141" t="s">
        <v>485</v>
      </c>
      <c r="D149" s="140"/>
      <c r="E149" s="140" t="str">
        <f t="shared" si="0"/>
        <v>WELSPUNIND</v>
      </c>
      <c r="F149" s="140"/>
      <c r="G149" s="140"/>
      <c r="H149" s="140"/>
      <c r="I149" s="141" t="s">
        <v>467</v>
      </c>
      <c r="J149" s="139" t="s">
        <v>483</v>
      </c>
      <c r="K149" s="141"/>
      <c r="L149" s="141"/>
      <c r="M149" s="142">
        <v>100</v>
      </c>
      <c r="N149" s="143">
        <v>94.9</v>
      </c>
      <c r="O149" s="144">
        <f t="shared" si="39"/>
        <v>0</v>
      </c>
      <c r="P149" s="144">
        <f t="shared" si="148"/>
        <v>94.9</v>
      </c>
      <c r="Q149" s="144"/>
      <c r="R149" s="144">
        <f t="shared" si="3"/>
        <v>9490</v>
      </c>
      <c r="S149" s="145">
        <f t="shared" si="4"/>
        <v>0.11220000000000001</v>
      </c>
      <c r="T149" s="145">
        <f t="shared" si="75"/>
        <v>0</v>
      </c>
      <c r="U149" s="145">
        <f t="shared" si="36"/>
        <v>0.05</v>
      </c>
      <c r="V149" s="145">
        <f t="shared" si="62"/>
        <v>9.49</v>
      </c>
      <c r="W149" s="145">
        <f t="shared" si="149"/>
        <v>1.42</v>
      </c>
      <c r="X149" s="145">
        <f t="shared" si="151"/>
        <v>0.26</v>
      </c>
      <c r="Y149" s="145">
        <f t="shared" si="99"/>
        <v>0</v>
      </c>
      <c r="Z149" s="146">
        <f t="shared" si="10"/>
        <v>11.22</v>
      </c>
      <c r="AA149" s="147">
        <f t="shared" si="150"/>
        <v>-9501.2199999999993</v>
      </c>
      <c r="AB149" s="148">
        <v>-9501</v>
      </c>
      <c r="AC149" s="149">
        <f t="shared" si="48"/>
        <v>0.21999999999934516</v>
      </c>
      <c r="AD149" s="138">
        <v>44361</v>
      </c>
      <c r="AE149" s="150">
        <f t="shared" si="13"/>
        <v>1.1820000000000001E-3</v>
      </c>
      <c r="AF149" s="151">
        <f t="shared" si="14"/>
        <v>44361</v>
      </c>
      <c r="AG149" s="152" t="s">
        <v>416</v>
      </c>
      <c r="AH149" s="124"/>
    </row>
    <row r="150" spans="1:34" ht="12" customHeight="1">
      <c r="A150" s="154">
        <v>44358</v>
      </c>
      <c r="B150" s="154" t="s">
        <v>539</v>
      </c>
      <c r="C150" s="141" t="s">
        <v>485</v>
      </c>
      <c r="D150" s="154"/>
      <c r="E150" s="154" t="str">
        <f t="shared" si="0"/>
        <v>JSL</v>
      </c>
      <c r="F150" s="154"/>
      <c r="G150" s="154"/>
      <c r="H150" s="154"/>
      <c r="I150" s="141" t="s">
        <v>467</v>
      </c>
      <c r="J150" s="139" t="s">
        <v>483</v>
      </c>
      <c r="K150" s="141"/>
      <c r="L150" s="141"/>
      <c r="M150" s="142">
        <v>200</v>
      </c>
      <c r="N150" s="143">
        <v>105.3</v>
      </c>
      <c r="O150" s="144">
        <f t="shared" si="39"/>
        <v>0</v>
      </c>
      <c r="P150" s="144">
        <f t="shared" si="148"/>
        <v>105.3</v>
      </c>
      <c r="Q150" s="144"/>
      <c r="R150" s="144">
        <f t="shared" si="3"/>
        <v>21060</v>
      </c>
      <c r="S150" s="145">
        <f t="shared" si="4"/>
        <v>0.1245</v>
      </c>
      <c r="T150" s="145">
        <f t="shared" si="75"/>
        <v>0</v>
      </c>
      <c r="U150" s="145">
        <f t="shared" si="36"/>
        <v>0.1</v>
      </c>
      <c r="V150" s="145">
        <f t="shared" si="62"/>
        <v>21.06</v>
      </c>
      <c r="W150" s="145">
        <f t="shared" si="149"/>
        <v>3.16</v>
      </c>
      <c r="X150" s="145">
        <f t="shared" si="151"/>
        <v>0.57999999999999996</v>
      </c>
      <c r="Y150" s="145">
        <f t="shared" si="99"/>
        <v>0</v>
      </c>
      <c r="Z150" s="146">
        <f t="shared" si="10"/>
        <v>24.9</v>
      </c>
      <c r="AA150" s="147">
        <f t="shared" si="150"/>
        <v>-21084.9</v>
      </c>
      <c r="AB150" s="148">
        <v>-21085</v>
      </c>
      <c r="AC150" s="149">
        <f t="shared" si="48"/>
        <v>-9.9999999998544808E-2</v>
      </c>
      <c r="AD150" s="138">
        <v>44362</v>
      </c>
      <c r="AE150" s="150">
        <f t="shared" si="13"/>
        <v>1.1820000000000001E-3</v>
      </c>
      <c r="AF150" s="151">
        <f t="shared" si="14"/>
        <v>44362</v>
      </c>
      <c r="AG150" s="152" t="s">
        <v>416</v>
      </c>
      <c r="AH150" s="124"/>
    </row>
    <row r="151" spans="1:34" ht="12" customHeight="1">
      <c r="A151" s="154">
        <v>44358</v>
      </c>
      <c r="B151" s="154" t="s">
        <v>540</v>
      </c>
      <c r="C151" s="141" t="s">
        <v>485</v>
      </c>
      <c r="D151" s="154"/>
      <c r="E151" s="154" t="str">
        <f t="shared" si="0"/>
        <v>ITDCEM</v>
      </c>
      <c r="F151" s="154"/>
      <c r="G151" s="154"/>
      <c r="H151" s="154"/>
      <c r="I151" s="141" t="s">
        <v>467</v>
      </c>
      <c r="J151" s="139" t="s">
        <v>483</v>
      </c>
      <c r="K151" s="141"/>
      <c r="L151" s="141"/>
      <c r="M151" s="142">
        <v>50</v>
      </c>
      <c r="N151" s="143">
        <v>88.5</v>
      </c>
      <c r="O151" s="144">
        <f t="shared" si="39"/>
        <v>0</v>
      </c>
      <c r="P151" s="144">
        <f t="shared" si="148"/>
        <v>88.5</v>
      </c>
      <c r="Q151" s="144"/>
      <c r="R151" s="144">
        <f t="shared" si="3"/>
        <v>4425</v>
      </c>
      <c r="S151" s="145">
        <f t="shared" si="4"/>
        <v>0.10459999999999998</v>
      </c>
      <c r="T151" s="145">
        <f t="shared" si="75"/>
        <v>0</v>
      </c>
      <c r="U151" s="145">
        <f t="shared" si="36"/>
        <v>0.02</v>
      </c>
      <c r="V151" s="145">
        <f t="shared" si="62"/>
        <v>4.43</v>
      </c>
      <c r="W151" s="145">
        <f t="shared" si="149"/>
        <v>0.66</v>
      </c>
      <c r="X151" s="145">
        <f t="shared" si="151"/>
        <v>0.12</v>
      </c>
      <c r="Y151" s="145">
        <f t="shared" si="99"/>
        <v>0</v>
      </c>
      <c r="Z151" s="146">
        <f t="shared" si="10"/>
        <v>5.2299999999999995</v>
      </c>
      <c r="AA151" s="147">
        <f t="shared" si="150"/>
        <v>-4430.2299999999996</v>
      </c>
      <c r="AB151" s="148">
        <v>-4430</v>
      </c>
      <c r="AC151" s="149">
        <f t="shared" si="48"/>
        <v>0.22999999999956344</v>
      </c>
      <c r="AD151" s="138">
        <v>44362</v>
      </c>
      <c r="AE151" s="150">
        <f t="shared" si="13"/>
        <v>1.1820000000000001E-3</v>
      </c>
      <c r="AF151" s="151">
        <f t="shared" si="14"/>
        <v>44362</v>
      </c>
      <c r="AG151" s="152" t="s">
        <v>416</v>
      </c>
      <c r="AH151" s="124"/>
    </row>
    <row r="152" spans="1:34" ht="12" customHeight="1">
      <c r="A152" s="155">
        <v>44358</v>
      </c>
      <c r="B152" s="155" t="s">
        <v>508</v>
      </c>
      <c r="C152" s="127" t="s">
        <v>485</v>
      </c>
      <c r="D152" s="155"/>
      <c r="E152" s="155" t="str">
        <f t="shared" si="0"/>
        <v>BIOCON</v>
      </c>
      <c r="F152" s="155"/>
      <c r="G152" s="155"/>
      <c r="H152" s="155"/>
      <c r="I152" s="127" t="s">
        <v>461</v>
      </c>
      <c r="J152" s="126" t="s">
        <v>483</v>
      </c>
      <c r="K152" s="127"/>
      <c r="L152" s="127"/>
      <c r="M152" s="128">
        <v>50</v>
      </c>
      <c r="N152" s="129">
        <v>417</v>
      </c>
      <c r="O152" s="130">
        <f t="shared" si="39"/>
        <v>0</v>
      </c>
      <c r="P152" s="130">
        <f t="shared" ref="P152:P156" si="152">N152-O152</f>
        <v>417</v>
      </c>
      <c r="Q152" s="130"/>
      <c r="R152" s="130">
        <f t="shared" si="3"/>
        <v>20850</v>
      </c>
      <c r="S152" s="131">
        <f t="shared" si="4"/>
        <v>0.434</v>
      </c>
      <c r="T152" s="131">
        <f t="shared" si="75"/>
        <v>0</v>
      </c>
      <c r="U152" s="131">
        <f t="shared" si="36"/>
        <v>0.13</v>
      </c>
      <c r="V152" s="131">
        <f t="shared" si="62"/>
        <v>20.85</v>
      </c>
      <c r="W152" s="131">
        <v>0</v>
      </c>
      <c r="X152" s="131">
        <f>ROUND(R152*H$1820,2)</f>
        <v>0.72</v>
      </c>
      <c r="Y152" s="131">
        <f t="shared" si="99"/>
        <v>0</v>
      </c>
      <c r="Z152" s="131">
        <f t="shared" si="10"/>
        <v>21.7</v>
      </c>
      <c r="AA152" s="132">
        <f t="shared" ref="AA152:AA156" si="153">ROUND(R152-SUM(T152:Y152),2)</f>
        <v>20828.3</v>
      </c>
      <c r="AB152" s="133">
        <v>20828</v>
      </c>
      <c r="AC152" s="134">
        <f t="shared" si="48"/>
        <v>-0.2999999999992724</v>
      </c>
      <c r="AD152" s="125">
        <v>44362</v>
      </c>
      <c r="AE152" s="135">
        <f t="shared" si="13"/>
        <v>1.041E-3</v>
      </c>
      <c r="AF152" s="136">
        <f t="shared" si="14"/>
        <v>44362</v>
      </c>
      <c r="AG152" s="137" t="s">
        <v>416</v>
      </c>
      <c r="AH152" s="124"/>
    </row>
    <row r="153" spans="1:34" ht="12" customHeight="1">
      <c r="A153" s="155">
        <v>44358</v>
      </c>
      <c r="B153" s="155" t="s">
        <v>525</v>
      </c>
      <c r="C153" s="127" t="s">
        <v>485</v>
      </c>
      <c r="D153" s="155"/>
      <c r="E153" s="155" t="str">
        <f t="shared" si="0"/>
        <v>NATCOPHARM</v>
      </c>
      <c r="F153" s="155"/>
      <c r="G153" s="155"/>
      <c r="H153" s="155"/>
      <c r="I153" s="127" t="s">
        <v>461</v>
      </c>
      <c r="J153" s="126" t="s">
        <v>483</v>
      </c>
      <c r="K153" s="127"/>
      <c r="L153" s="127"/>
      <c r="M153" s="128">
        <v>10</v>
      </c>
      <c r="N153" s="129">
        <v>1096</v>
      </c>
      <c r="O153" s="130">
        <f t="shared" si="39"/>
        <v>0</v>
      </c>
      <c r="P153" s="130">
        <f t="shared" si="152"/>
        <v>1096</v>
      </c>
      <c r="Q153" s="130"/>
      <c r="R153" s="130">
        <f t="shared" si="3"/>
        <v>10960</v>
      </c>
      <c r="S153" s="131">
        <f t="shared" si="4"/>
        <v>1.1310000000000002</v>
      </c>
      <c r="T153" s="131">
        <f t="shared" si="75"/>
        <v>0</v>
      </c>
      <c r="U153" s="131">
        <f t="shared" si="36"/>
        <v>0.05</v>
      </c>
      <c r="V153" s="131">
        <f t="shared" si="62"/>
        <v>10.96</v>
      </c>
      <c r="W153" s="131">
        <v>0</v>
      </c>
      <c r="X153" s="131">
        <f t="shared" ref="X153:X157" si="154">ROUND(R153*G$1820,2)</f>
        <v>0.3</v>
      </c>
      <c r="Y153" s="131">
        <f t="shared" si="99"/>
        <v>0</v>
      </c>
      <c r="Z153" s="131">
        <f t="shared" si="10"/>
        <v>11.310000000000002</v>
      </c>
      <c r="AA153" s="132">
        <f t="shared" si="153"/>
        <v>10948.69</v>
      </c>
      <c r="AB153" s="133">
        <v>10949</v>
      </c>
      <c r="AC153" s="134">
        <f t="shared" si="48"/>
        <v>0.30999999999949068</v>
      </c>
      <c r="AD153" s="125">
        <v>44362</v>
      </c>
      <c r="AE153" s="135">
        <f t="shared" si="13"/>
        <v>1.0319999999999999E-3</v>
      </c>
      <c r="AF153" s="136">
        <f t="shared" si="14"/>
        <v>44362</v>
      </c>
      <c r="AG153" s="137" t="s">
        <v>416</v>
      </c>
      <c r="AH153" s="124"/>
    </row>
    <row r="154" spans="1:34" ht="12" customHeight="1">
      <c r="A154" s="155">
        <v>44358</v>
      </c>
      <c r="B154" s="155" t="s">
        <v>534</v>
      </c>
      <c r="C154" s="127" t="s">
        <v>485</v>
      </c>
      <c r="D154" s="155"/>
      <c r="E154" s="155" t="str">
        <f t="shared" si="0"/>
        <v>TRITURBINE</v>
      </c>
      <c r="F154" s="155"/>
      <c r="G154" s="155"/>
      <c r="H154" s="155"/>
      <c r="I154" s="127" t="s">
        <v>461</v>
      </c>
      <c r="J154" s="126" t="s">
        <v>483</v>
      </c>
      <c r="K154" s="127"/>
      <c r="L154" s="127"/>
      <c r="M154" s="128">
        <v>100</v>
      </c>
      <c r="N154" s="129">
        <v>117</v>
      </c>
      <c r="O154" s="130">
        <f t="shared" si="39"/>
        <v>0</v>
      </c>
      <c r="P154" s="130">
        <f t="shared" si="152"/>
        <v>117</v>
      </c>
      <c r="Q154" s="130"/>
      <c r="R154" s="130">
        <f t="shared" si="3"/>
        <v>11700</v>
      </c>
      <c r="S154" s="131">
        <f t="shared" si="4"/>
        <v>0.1208</v>
      </c>
      <c r="T154" s="131">
        <f t="shared" si="75"/>
        <v>0</v>
      </c>
      <c r="U154" s="131">
        <f t="shared" si="36"/>
        <v>0.06</v>
      </c>
      <c r="V154" s="131">
        <f t="shared" si="62"/>
        <v>11.7</v>
      </c>
      <c r="W154" s="131">
        <v>0</v>
      </c>
      <c r="X154" s="131">
        <f t="shared" si="154"/>
        <v>0.32</v>
      </c>
      <c r="Y154" s="131">
        <f t="shared" si="99"/>
        <v>0</v>
      </c>
      <c r="Z154" s="131">
        <f t="shared" si="10"/>
        <v>12.08</v>
      </c>
      <c r="AA154" s="132">
        <f t="shared" si="153"/>
        <v>11687.92</v>
      </c>
      <c r="AB154" s="133">
        <v>11688</v>
      </c>
      <c r="AC154" s="134">
        <f t="shared" si="48"/>
        <v>7.999999999992724E-2</v>
      </c>
      <c r="AD154" s="125">
        <v>44362</v>
      </c>
      <c r="AE154" s="135">
        <f t="shared" si="13"/>
        <v>1.0319999999999999E-3</v>
      </c>
      <c r="AF154" s="136">
        <f t="shared" si="14"/>
        <v>44362</v>
      </c>
      <c r="AG154" s="137" t="s">
        <v>416</v>
      </c>
      <c r="AH154" s="124"/>
    </row>
    <row r="155" spans="1:34" ht="12" customHeight="1">
      <c r="A155" s="155">
        <v>44361</v>
      </c>
      <c r="B155" s="112" t="s">
        <v>538</v>
      </c>
      <c r="C155" s="127" t="s">
        <v>485</v>
      </c>
      <c r="D155" s="112"/>
      <c r="E155" s="112" t="str">
        <f t="shared" si="0"/>
        <v>WELSPUNIND</v>
      </c>
      <c r="F155" s="112"/>
      <c r="G155" s="112"/>
      <c r="H155" s="112"/>
      <c r="I155" s="127" t="s">
        <v>461</v>
      </c>
      <c r="J155" s="126" t="s">
        <v>483</v>
      </c>
      <c r="K155" s="127"/>
      <c r="L155" s="127"/>
      <c r="M155" s="128">
        <v>100</v>
      </c>
      <c r="N155" s="129">
        <v>96.2</v>
      </c>
      <c r="O155" s="130">
        <f t="shared" si="39"/>
        <v>0</v>
      </c>
      <c r="P155" s="130">
        <f t="shared" si="152"/>
        <v>96.2</v>
      </c>
      <c r="Q155" s="130"/>
      <c r="R155" s="130">
        <f t="shared" si="3"/>
        <v>9620</v>
      </c>
      <c r="S155" s="131">
        <f t="shared" si="4"/>
        <v>9.9299999999999999E-2</v>
      </c>
      <c r="T155" s="131">
        <f t="shared" si="75"/>
        <v>0</v>
      </c>
      <c r="U155" s="131">
        <f t="shared" si="36"/>
        <v>0.05</v>
      </c>
      <c r="V155" s="131">
        <f t="shared" si="62"/>
        <v>9.6199999999999992</v>
      </c>
      <c r="W155" s="131">
        <v>0</v>
      </c>
      <c r="X155" s="131">
        <f t="shared" si="154"/>
        <v>0.26</v>
      </c>
      <c r="Y155" s="131">
        <f t="shared" si="99"/>
        <v>0</v>
      </c>
      <c r="Z155" s="131">
        <f t="shared" si="10"/>
        <v>9.93</v>
      </c>
      <c r="AA155" s="132">
        <f t="shared" si="153"/>
        <v>9610.07</v>
      </c>
      <c r="AB155" s="133">
        <v>9610</v>
      </c>
      <c r="AC155" s="134">
        <f t="shared" si="48"/>
        <v>-6.9999999999708962E-2</v>
      </c>
      <c r="AD155" s="125">
        <v>44363</v>
      </c>
      <c r="AE155" s="135">
        <f t="shared" si="13"/>
        <v>1.0319999999999999E-3</v>
      </c>
      <c r="AF155" s="136">
        <f t="shared" si="14"/>
        <v>44363</v>
      </c>
      <c r="AG155" s="137" t="s">
        <v>416</v>
      </c>
      <c r="AH155" s="124"/>
    </row>
    <row r="156" spans="1:34" ht="12" customHeight="1">
      <c r="A156" s="155">
        <v>44361</v>
      </c>
      <c r="B156" s="155" t="s">
        <v>523</v>
      </c>
      <c r="C156" s="127" t="s">
        <v>485</v>
      </c>
      <c r="D156" s="155"/>
      <c r="E156" s="155" t="str">
        <f t="shared" si="0"/>
        <v>FDC</v>
      </c>
      <c r="F156" s="155"/>
      <c r="G156" s="155"/>
      <c r="H156" s="155"/>
      <c r="I156" s="127" t="s">
        <v>461</v>
      </c>
      <c r="J156" s="126" t="s">
        <v>483</v>
      </c>
      <c r="K156" s="127"/>
      <c r="L156" s="127"/>
      <c r="M156" s="128">
        <v>50</v>
      </c>
      <c r="N156" s="129">
        <v>357</v>
      </c>
      <c r="O156" s="130">
        <f t="shared" si="39"/>
        <v>0</v>
      </c>
      <c r="P156" s="130">
        <f t="shared" si="152"/>
        <v>357</v>
      </c>
      <c r="Q156" s="130"/>
      <c r="R156" s="130">
        <f t="shared" si="3"/>
        <v>17850</v>
      </c>
      <c r="S156" s="131">
        <f t="shared" si="4"/>
        <v>0.36859999999999998</v>
      </c>
      <c r="T156" s="131">
        <f t="shared" si="75"/>
        <v>0</v>
      </c>
      <c r="U156" s="131">
        <f t="shared" si="36"/>
        <v>0.09</v>
      </c>
      <c r="V156" s="131">
        <f t="shared" si="62"/>
        <v>17.850000000000001</v>
      </c>
      <c r="W156" s="131">
        <v>0</v>
      </c>
      <c r="X156" s="131">
        <f t="shared" si="154"/>
        <v>0.49</v>
      </c>
      <c r="Y156" s="131">
        <f t="shared" si="99"/>
        <v>0</v>
      </c>
      <c r="Z156" s="131">
        <f t="shared" si="10"/>
        <v>18.43</v>
      </c>
      <c r="AA156" s="132">
        <f t="shared" si="153"/>
        <v>17831.57</v>
      </c>
      <c r="AB156" s="133">
        <v>17831</v>
      </c>
      <c r="AC156" s="134">
        <f t="shared" si="48"/>
        <v>-0.56999999999970896</v>
      </c>
      <c r="AD156" s="125">
        <v>44363</v>
      </c>
      <c r="AE156" s="135">
        <f t="shared" si="13"/>
        <v>1.0319999999999999E-3</v>
      </c>
      <c r="AF156" s="136">
        <f t="shared" si="14"/>
        <v>44363</v>
      </c>
      <c r="AG156" s="137" t="s">
        <v>416</v>
      </c>
      <c r="AH156" s="124"/>
    </row>
    <row r="157" spans="1:34" ht="12" customHeight="1">
      <c r="A157" s="154">
        <v>44361</v>
      </c>
      <c r="B157" s="154" t="s">
        <v>541</v>
      </c>
      <c r="C157" s="141" t="s">
        <v>485</v>
      </c>
      <c r="D157" s="154"/>
      <c r="E157" s="154" t="str">
        <f t="shared" si="0"/>
        <v>GREAVESCOT</v>
      </c>
      <c r="F157" s="154"/>
      <c r="G157" s="154"/>
      <c r="H157" s="154"/>
      <c r="I157" s="141" t="s">
        <v>467</v>
      </c>
      <c r="J157" s="139" t="s">
        <v>483</v>
      </c>
      <c r="K157" s="141"/>
      <c r="L157" s="141"/>
      <c r="M157" s="142">
        <v>50</v>
      </c>
      <c r="N157" s="143">
        <v>151.5</v>
      </c>
      <c r="O157" s="144">
        <f t="shared" si="39"/>
        <v>0</v>
      </c>
      <c r="P157" s="144">
        <f t="shared" ref="P157:P160" si="155">N157+O157</f>
        <v>151.5</v>
      </c>
      <c r="Q157" s="144"/>
      <c r="R157" s="144">
        <f t="shared" si="3"/>
        <v>7575</v>
      </c>
      <c r="S157" s="145">
        <f t="shared" si="4"/>
        <v>0.1794</v>
      </c>
      <c r="T157" s="145">
        <f t="shared" si="75"/>
        <v>0</v>
      </c>
      <c r="U157" s="145">
        <f t="shared" si="36"/>
        <v>0.04</v>
      </c>
      <c r="V157" s="145">
        <f t="shared" si="62"/>
        <v>7.58</v>
      </c>
      <c r="W157" s="145">
        <f t="shared" ref="W157:W160" si="156">ROUND(R157*F$1823,2)</f>
        <v>1.1399999999999999</v>
      </c>
      <c r="X157" s="145">
        <f t="shared" si="154"/>
        <v>0.21</v>
      </c>
      <c r="Y157" s="145">
        <f t="shared" si="99"/>
        <v>0</v>
      </c>
      <c r="Z157" s="146">
        <f t="shared" si="10"/>
        <v>8.9700000000000006</v>
      </c>
      <c r="AA157" s="147">
        <f t="shared" ref="AA157:AA160" si="157">-ROUND(R157+SUM(T157:Y157),2)</f>
        <v>-7583.97</v>
      </c>
      <c r="AB157" s="148">
        <v>-7584</v>
      </c>
      <c r="AC157" s="149">
        <f t="shared" si="48"/>
        <v>-2.9999999999745341E-2</v>
      </c>
      <c r="AD157" s="138">
        <v>44363</v>
      </c>
      <c r="AE157" s="150">
        <f t="shared" si="13"/>
        <v>1.1839999999999999E-3</v>
      </c>
      <c r="AF157" s="151">
        <f t="shared" si="14"/>
        <v>44363</v>
      </c>
      <c r="AG157" s="152" t="s">
        <v>416</v>
      </c>
      <c r="AH157" s="124"/>
    </row>
    <row r="158" spans="1:34" ht="12" customHeight="1">
      <c r="A158" s="154">
        <v>44361</v>
      </c>
      <c r="B158" s="154" t="s">
        <v>542</v>
      </c>
      <c r="C158" s="141" t="s">
        <v>485</v>
      </c>
      <c r="D158" s="154"/>
      <c r="E158" s="154" t="str">
        <f t="shared" si="0"/>
        <v>JPASSOCIAT</v>
      </c>
      <c r="F158" s="154"/>
      <c r="G158" s="154"/>
      <c r="H158" s="154"/>
      <c r="I158" s="141" t="s">
        <v>467</v>
      </c>
      <c r="J158" s="139" t="s">
        <v>483</v>
      </c>
      <c r="K158" s="141"/>
      <c r="L158" s="141"/>
      <c r="M158" s="142">
        <v>1000</v>
      </c>
      <c r="N158" s="143">
        <v>13.5</v>
      </c>
      <c r="O158" s="144">
        <f t="shared" si="39"/>
        <v>0</v>
      </c>
      <c r="P158" s="144">
        <f t="shared" si="155"/>
        <v>13.5</v>
      </c>
      <c r="Q158" s="144"/>
      <c r="R158" s="144">
        <f t="shared" si="3"/>
        <v>13500</v>
      </c>
      <c r="S158" s="145">
        <f t="shared" si="4"/>
        <v>1.6079999999999997E-2</v>
      </c>
      <c r="T158" s="145">
        <f t="shared" si="75"/>
        <v>0</v>
      </c>
      <c r="U158" s="145">
        <f t="shared" si="36"/>
        <v>0.08</v>
      </c>
      <c r="V158" s="145">
        <f t="shared" si="62"/>
        <v>13.5</v>
      </c>
      <c r="W158" s="145">
        <f t="shared" si="156"/>
        <v>2.0299999999999998</v>
      </c>
      <c r="X158" s="145">
        <f>ROUND(R158*H$1820,2)</f>
        <v>0.47</v>
      </c>
      <c r="Y158" s="145">
        <f t="shared" si="99"/>
        <v>0</v>
      </c>
      <c r="Z158" s="146">
        <f t="shared" si="10"/>
        <v>16.079999999999998</v>
      </c>
      <c r="AA158" s="147">
        <f t="shared" si="157"/>
        <v>-13516.08</v>
      </c>
      <c r="AB158" s="148">
        <v>-13516</v>
      </c>
      <c r="AC158" s="149">
        <f t="shared" si="48"/>
        <v>7.999999999992724E-2</v>
      </c>
      <c r="AD158" s="138">
        <v>44363</v>
      </c>
      <c r="AE158" s="150">
        <f t="shared" si="13"/>
        <v>1.191E-3</v>
      </c>
      <c r="AF158" s="151">
        <f t="shared" si="14"/>
        <v>44363</v>
      </c>
      <c r="AG158" s="152" t="s">
        <v>416</v>
      </c>
      <c r="AH158" s="124"/>
    </row>
    <row r="159" spans="1:34" ht="12" customHeight="1">
      <c r="A159" s="154">
        <v>44361</v>
      </c>
      <c r="B159" s="154" t="s">
        <v>543</v>
      </c>
      <c r="C159" s="141" t="s">
        <v>485</v>
      </c>
      <c r="D159" s="154"/>
      <c r="E159" s="154" t="str">
        <f t="shared" si="0"/>
        <v>NBCC</v>
      </c>
      <c r="F159" s="154"/>
      <c r="G159" s="154"/>
      <c r="H159" s="154"/>
      <c r="I159" s="141" t="s">
        <v>467</v>
      </c>
      <c r="J159" s="139" t="s">
        <v>483</v>
      </c>
      <c r="K159" s="141"/>
      <c r="L159" s="141"/>
      <c r="M159" s="142">
        <v>500</v>
      </c>
      <c r="N159" s="143">
        <v>54.8</v>
      </c>
      <c r="O159" s="144">
        <f t="shared" si="39"/>
        <v>0</v>
      </c>
      <c r="P159" s="144">
        <f t="shared" si="155"/>
        <v>54.8</v>
      </c>
      <c r="Q159" s="144"/>
      <c r="R159" s="144">
        <f t="shared" si="3"/>
        <v>27400</v>
      </c>
      <c r="S159" s="145">
        <f t="shared" si="4"/>
        <v>6.4799999999999996E-2</v>
      </c>
      <c r="T159" s="145">
        <f t="shared" si="75"/>
        <v>0</v>
      </c>
      <c r="U159" s="145">
        <f t="shared" si="36"/>
        <v>0.14000000000000001</v>
      </c>
      <c r="V159" s="145">
        <f t="shared" si="62"/>
        <v>27.4</v>
      </c>
      <c r="W159" s="145">
        <f t="shared" si="156"/>
        <v>4.1100000000000003</v>
      </c>
      <c r="X159" s="145">
        <f t="shared" ref="X159:X160" si="158">ROUND(R159*G$1820,2)</f>
        <v>0.75</v>
      </c>
      <c r="Y159" s="145">
        <f t="shared" si="99"/>
        <v>0</v>
      </c>
      <c r="Z159" s="146">
        <f t="shared" si="10"/>
        <v>32.4</v>
      </c>
      <c r="AA159" s="147">
        <f t="shared" si="157"/>
        <v>-27432.400000000001</v>
      </c>
      <c r="AB159" s="148">
        <v>-27433</v>
      </c>
      <c r="AC159" s="149">
        <f t="shared" si="48"/>
        <v>-0.59999999999854481</v>
      </c>
      <c r="AD159" s="138">
        <v>44363</v>
      </c>
      <c r="AE159" s="150">
        <f t="shared" si="13"/>
        <v>1.1820000000000001E-3</v>
      </c>
      <c r="AF159" s="151">
        <f t="shared" si="14"/>
        <v>44363</v>
      </c>
      <c r="AG159" s="152" t="s">
        <v>416</v>
      </c>
      <c r="AH159" s="124"/>
    </row>
    <row r="160" spans="1:34" ht="12" customHeight="1">
      <c r="A160" s="154">
        <v>44362</v>
      </c>
      <c r="B160" s="140" t="s">
        <v>544</v>
      </c>
      <c r="C160" s="141" t="s">
        <v>485</v>
      </c>
      <c r="D160" s="140"/>
      <c r="E160" s="140" t="str">
        <f t="shared" si="0"/>
        <v>CREDITACC</v>
      </c>
      <c r="F160" s="140"/>
      <c r="G160" s="140"/>
      <c r="H160" s="140"/>
      <c r="I160" s="141" t="s">
        <v>467</v>
      </c>
      <c r="J160" s="139" t="s">
        <v>483</v>
      </c>
      <c r="K160" s="141"/>
      <c r="L160" s="141"/>
      <c r="M160" s="142">
        <v>20</v>
      </c>
      <c r="N160" s="143">
        <v>745</v>
      </c>
      <c r="O160" s="144">
        <f t="shared" si="39"/>
        <v>0</v>
      </c>
      <c r="P160" s="144">
        <f t="shared" si="155"/>
        <v>745</v>
      </c>
      <c r="Q160" s="144"/>
      <c r="R160" s="144">
        <f t="shared" si="3"/>
        <v>14900</v>
      </c>
      <c r="S160" s="145">
        <f t="shared" si="4"/>
        <v>0.88100000000000001</v>
      </c>
      <c r="T160" s="145">
        <f t="shared" si="75"/>
        <v>0</v>
      </c>
      <c r="U160" s="145">
        <f t="shared" si="36"/>
        <v>7.0000000000000007E-2</v>
      </c>
      <c r="V160" s="145">
        <f t="shared" si="62"/>
        <v>14.9</v>
      </c>
      <c r="W160" s="145">
        <f t="shared" si="156"/>
        <v>2.2400000000000002</v>
      </c>
      <c r="X160" s="145">
        <f t="shared" si="158"/>
        <v>0.41</v>
      </c>
      <c r="Y160" s="145">
        <f t="shared" si="99"/>
        <v>0</v>
      </c>
      <c r="Z160" s="146">
        <f t="shared" si="10"/>
        <v>17.62</v>
      </c>
      <c r="AA160" s="147">
        <f t="shared" si="157"/>
        <v>-14917.62</v>
      </c>
      <c r="AB160" s="148">
        <v>-14918</v>
      </c>
      <c r="AC160" s="149">
        <f t="shared" si="48"/>
        <v>-0.37999999999919964</v>
      </c>
      <c r="AD160" s="138">
        <v>44364</v>
      </c>
      <c r="AE160" s="150">
        <f t="shared" si="13"/>
        <v>1.183E-3</v>
      </c>
      <c r="AF160" s="151">
        <f t="shared" si="14"/>
        <v>44364</v>
      </c>
      <c r="AG160" s="152" t="s">
        <v>416</v>
      </c>
      <c r="AH160" s="124"/>
    </row>
    <row r="161" spans="1:34" ht="12" customHeight="1">
      <c r="A161" s="155">
        <v>44363</v>
      </c>
      <c r="B161" s="112" t="s">
        <v>537</v>
      </c>
      <c r="C161" s="127" t="s">
        <v>485</v>
      </c>
      <c r="D161" s="112"/>
      <c r="E161" s="112" t="str">
        <f t="shared" si="0"/>
        <v>CYIENT</v>
      </c>
      <c r="F161" s="112"/>
      <c r="G161" s="112"/>
      <c r="H161" s="112"/>
      <c r="I161" s="127" t="s">
        <v>461</v>
      </c>
      <c r="J161" s="126" t="s">
        <v>483</v>
      </c>
      <c r="K161" s="127"/>
      <c r="L161" s="127"/>
      <c r="M161" s="128">
        <v>25</v>
      </c>
      <c r="N161" s="129">
        <v>849</v>
      </c>
      <c r="O161" s="130">
        <f t="shared" si="39"/>
        <v>0</v>
      </c>
      <c r="P161" s="130">
        <f t="shared" ref="P161:P163" si="159">N161-O161</f>
        <v>849</v>
      </c>
      <c r="Q161" s="130"/>
      <c r="R161" s="130">
        <f t="shared" si="3"/>
        <v>21225</v>
      </c>
      <c r="S161" s="131">
        <f t="shared" si="4"/>
        <v>0.88359999999999994</v>
      </c>
      <c r="T161" s="131">
        <f t="shared" si="75"/>
        <v>0</v>
      </c>
      <c r="U161" s="131">
        <f t="shared" si="36"/>
        <v>0.13</v>
      </c>
      <c r="V161" s="131">
        <f t="shared" si="62"/>
        <v>21.23</v>
      </c>
      <c r="W161" s="131">
        <v>0</v>
      </c>
      <c r="X161" s="131">
        <f>ROUND(R161*H$1820,2)</f>
        <v>0.73</v>
      </c>
      <c r="Y161" s="131">
        <f t="shared" si="99"/>
        <v>0</v>
      </c>
      <c r="Z161" s="131">
        <f t="shared" si="10"/>
        <v>22.09</v>
      </c>
      <c r="AA161" s="132">
        <f t="shared" ref="AA161:AA163" si="160">ROUND(R161-SUM(T161:Y161),2)</f>
        <v>21202.91</v>
      </c>
      <c r="AB161" s="133">
        <v>21203</v>
      </c>
      <c r="AC161" s="134">
        <f t="shared" si="48"/>
        <v>9.0000000000145519E-2</v>
      </c>
      <c r="AD161" s="125">
        <v>44365</v>
      </c>
      <c r="AE161" s="135">
        <f t="shared" si="13"/>
        <v>1.041E-3</v>
      </c>
      <c r="AF161" s="136">
        <f t="shared" si="14"/>
        <v>44365</v>
      </c>
      <c r="AG161" s="137" t="s">
        <v>416</v>
      </c>
      <c r="AH161" s="124"/>
    </row>
    <row r="162" spans="1:34" ht="12" customHeight="1">
      <c r="A162" s="155">
        <v>44364</v>
      </c>
      <c r="B162" s="112" t="s">
        <v>541</v>
      </c>
      <c r="C162" s="127" t="s">
        <v>485</v>
      </c>
      <c r="D162" s="112"/>
      <c r="E162" s="112" t="str">
        <f t="shared" si="0"/>
        <v>GREAVESCOT</v>
      </c>
      <c r="F162" s="112"/>
      <c r="G162" s="112"/>
      <c r="H162" s="112"/>
      <c r="I162" s="127" t="s">
        <v>461</v>
      </c>
      <c r="J162" s="126" t="s">
        <v>483</v>
      </c>
      <c r="K162" s="127"/>
      <c r="L162" s="127"/>
      <c r="M162" s="128">
        <v>50</v>
      </c>
      <c r="N162" s="129">
        <v>161</v>
      </c>
      <c r="O162" s="130">
        <f t="shared" si="39"/>
        <v>0</v>
      </c>
      <c r="P162" s="130">
        <f t="shared" si="159"/>
        <v>161</v>
      </c>
      <c r="Q162" s="130"/>
      <c r="R162" s="130">
        <f t="shared" si="3"/>
        <v>8050</v>
      </c>
      <c r="S162" s="131">
        <f t="shared" si="4"/>
        <v>0.16620000000000001</v>
      </c>
      <c r="T162" s="131">
        <f t="shared" si="75"/>
        <v>0</v>
      </c>
      <c r="U162" s="131">
        <f t="shared" si="36"/>
        <v>0.04</v>
      </c>
      <c r="V162" s="131">
        <f t="shared" si="62"/>
        <v>8.0500000000000007</v>
      </c>
      <c r="W162" s="131">
        <v>0</v>
      </c>
      <c r="X162" s="131">
        <f>ROUND(R162*G$1820,2)</f>
        <v>0.22</v>
      </c>
      <c r="Y162" s="131">
        <f t="shared" si="99"/>
        <v>0</v>
      </c>
      <c r="Z162" s="131">
        <f t="shared" si="10"/>
        <v>8.31</v>
      </c>
      <c r="AA162" s="132">
        <f t="shared" si="160"/>
        <v>8041.69</v>
      </c>
      <c r="AB162" s="133">
        <v>8042</v>
      </c>
      <c r="AC162" s="134">
        <f t="shared" si="48"/>
        <v>0.31000000000040018</v>
      </c>
      <c r="AD162" s="125">
        <v>44368</v>
      </c>
      <c r="AE162" s="135">
        <f t="shared" si="13"/>
        <v>1.0319999999999999E-3</v>
      </c>
      <c r="AF162" s="136">
        <f t="shared" si="14"/>
        <v>44368</v>
      </c>
      <c r="AG162" s="137" t="s">
        <v>416</v>
      </c>
      <c r="AH162" s="124"/>
    </row>
    <row r="163" spans="1:34" ht="12" customHeight="1">
      <c r="A163" s="155">
        <v>44364</v>
      </c>
      <c r="B163" s="112" t="s">
        <v>543</v>
      </c>
      <c r="C163" s="127" t="s">
        <v>485</v>
      </c>
      <c r="D163" s="112"/>
      <c r="E163" s="112" t="str">
        <f t="shared" si="0"/>
        <v>NBCC</v>
      </c>
      <c r="F163" s="112"/>
      <c r="G163" s="112"/>
      <c r="H163" s="112"/>
      <c r="I163" s="127" t="s">
        <v>461</v>
      </c>
      <c r="J163" s="126" t="s">
        <v>483</v>
      </c>
      <c r="K163" s="127"/>
      <c r="L163" s="127"/>
      <c r="M163" s="128">
        <v>500</v>
      </c>
      <c r="N163" s="129">
        <v>55.5</v>
      </c>
      <c r="O163" s="130">
        <f t="shared" si="39"/>
        <v>0</v>
      </c>
      <c r="P163" s="130">
        <f t="shared" si="159"/>
        <v>55.5</v>
      </c>
      <c r="Q163" s="130"/>
      <c r="R163" s="130">
        <f t="shared" si="3"/>
        <v>27750</v>
      </c>
      <c r="S163" s="131">
        <f t="shared" si="4"/>
        <v>5.7760000000000006E-2</v>
      </c>
      <c r="T163" s="131">
        <f t="shared" si="75"/>
        <v>0</v>
      </c>
      <c r="U163" s="131">
        <f t="shared" si="36"/>
        <v>0.17</v>
      </c>
      <c r="V163" s="131">
        <f t="shared" si="62"/>
        <v>27.75</v>
      </c>
      <c r="W163" s="131">
        <v>0</v>
      </c>
      <c r="X163" s="131">
        <f t="shared" ref="X163:X164" si="161">ROUND(R163*H$1820,2)</f>
        <v>0.96</v>
      </c>
      <c r="Y163" s="131">
        <f t="shared" si="99"/>
        <v>0</v>
      </c>
      <c r="Z163" s="131">
        <f t="shared" si="10"/>
        <v>28.880000000000003</v>
      </c>
      <c r="AA163" s="132">
        <f t="shared" si="160"/>
        <v>27721.119999999999</v>
      </c>
      <c r="AB163" s="133">
        <v>27721</v>
      </c>
      <c r="AC163" s="134">
        <f t="shared" si="48"/>
        <v>-0.11999999999898137</v>
      </c>
      <c r="AD163" s="125">
        <v>44368</v>
      </c>
      <c r="AE163" s="135">
        <f t="shared" si="13"/>
        <v>1.041E-3</v>
      </c>
      <c r="AF163" s="136">
        <f t="shared" si="14"/>
        <v>44368</v>
      </c>
      <c r="AG163" s="137" t="s">
        <v>416</v>
      </c>
      <c r="AH163" s="124"/>
    </row>
    <row r="164" spans="1:34" ht="12" customHeight="1">
      <c r="A164" s="154">
        <v>44364</v>
      </c>
      <c r="B164" s="140" t="s">
        <v>545</v>
      </c>
      <c r="C164" s="141" t="s">
        <v>485</v>
      </c>
      <c r="D164" s="140"/>
      <c r="E164" s="140" t="str">
        <f t="shared" si="0"/>
        <v>DCBBANK</v>
      </c>
      <c r="F164" s="140"/>
      <c r="G164" s="140"/>
      <c r="H164" s="140"/>
      <c r="I164" s="141" t="s">
        <v>467</v>
      </c>
      <c r="J164" s="139" t="s">
        <v>483</v>
      </c>
      <c r="K164" s="141"/>
      <c r="L164" s="141"/>
      <c r="M164" s="142">
        <v>200</v>
      </c>
      <c r="N164" s="143">
        <v>113.75</v>
      </c>
      <c r="O164" s="144">
        <f t="shared" si="39"/>
        <v>0</v>
      </c>
      <c r="P164" s="144">
        <f t="shared" ref="P164:P165" si="162">N164+O164</f>
        <v>113.75</v>
      </c>
      <c r="Q164" s="144"/>
      <c r="R164" s="144">
        <f t="shared" si="3"/>
        <v>22750</v>
      </c>
      <c r="S164" s="145">
        <f t="shared" si="4"/>
        <v>0.13540000000000002</v>
      </c>
      <c r="T164" s="145">
        <f t="shared" si="75"/>
        <v>0</v>
      </c>
      <c r="U164" s="145">
        <f t="shared" si="36"/>
        <v>0.14000000000000001</v>
      </c>
      <c r="V164" s="145">
        <f t="shared" si="62"/>
        <v>22.75</v>
      </c>
      <c r="W164" s="145">
        <f t="shared" ref="W164:W165" si="163">ROUND(R164*F$1823,2)</f>
        <v>3.41</v>
      </c>
      <c r="X164" s="145">
        <f t="shared" si="161"/>
        <v>0.78</v>
      </c>
      <c r="Y164" s="145">
        <f t="shared" si="99"/>
        <v>0</v>
      </c>
      <c r="Z164" s="146">
        <f t="shared" si="10"/>
        <v>27.080000000000002</v>
      </c>
      <c r="AA164" s="147">
        <f t="shared" ref="AA164:AA165" si="164">-ROUND(R164+SUM(T164:Y164),2)</f>
        <v>-22777.08</v>
      </c>
      <c r="AB164" s="148">
        <v>-22777</v>
      </c>
      <c r="AC164" s="149">
        <f t="shared" si="48"/>
        <v>8.000000000174623E-2</v>
      </c>
      <c r="AD164" s="138">
        <v>44368</v>
      </c>
      <c r="AE164" s="150">
        <f t="shared" si="13"/>
        <v>1.1900000000000001E-3</v>
      </c>
      <c r="AF164" s="151">
        <f t="shared" si="14"/>
        <v>44368</v>
      </c>
      <c r="AG164" s="152" t="s">
        <v>416</v>
      </c>
      <c r="AH164" s="124"/>
    </row>
    <row r="165" spans="1:34" ht="12" customHeight="1">
      <c r="A165" s="154">
        <v>44364</v>
      </c>
      <c r="B165" s="140" t="s">
        <v>546</v>
      </c>
      <c r="C165" s="141" t="s">
        <v>485</v>
      </c>
      <c r="D165" s="140"/>
      <c r="E165" s="140" t="str">
        <f t="shared" si="0"/>
        <v>ADANIPORTS</v>
      </c>
      <c r="F165" s="140"/>
      <c r="G165" s="140"/>
      <c r="H165" s="140"/>
      <c r="I165" s="141" t="s">
        <v>467</v>
      </c>
      <c r="J165" s="139" t="s">
        <v>483</v>
      </c>
      <c r="K165" s="141"/>
      <c r="L165" s="141"/>
      <c r="M165" s="142">
        <v>8</v>
      </c>
      <c r="N165" s="143">
        <v>655</v>
      </c>
      <c r="O165" s="144">
        <f t="shared" si="39"/>
        <v>0</v>
      </c>
      <c r="P165" s="144">
        <f t="shared" si="162"/>
        <v>655</v>
      </c>
      <c r="Q165" s="144"/>
      <c r="R165" s="144">
        <f t="shared" si="3"/>
        <v>5240</v>
      </c>
      <c r="S165" s="145">
        <f t="shared" si="4"/>
        <v>0.77500000000000002</v>
      </c>
      <c r="T165" s="145">
        <f t="shared" si="75"/>
        <v>0</v>
      </c>
      <c r="U165" s="145">
        <f t="shared" si="36"/>
        <v>0.03</v>
      </c>
      <c r="V165" s="145">
        <f t="shared" si="62"/>
        <v>5.24</v>
      </c>
      <c r="W165" s="145">
        <f t="shared" si="163"/>
        <v>0.79</v>
      </c>
      <c r="X165" s="145">
        <f>ROUND(R165*G$1820,2)</f>
        <v>0.14000000000000001</v>
      </c>
      <c r="Y165" s="145">
        <f t="shared" si="99"/>
        <v>0</v>
      </c>
      <c r="Z165" s="146">
        <f t="shared" si="10"/>
        <v>6.2</v>
      </c>
      <c r="AA165" s="147">
        <f t="shared" si="164"/>
        <v>-5246.2</v>
      </c>
      <c r="AB165" s="148">
        <v>-5246</v>
      </c>
      <c r="AC165" s="149">
        <f t="shared" si="48"/>
        <v>0.1999999999998181</v>
      </c>
      <c r="AD165" s="138">
        <v>44368</v>
      </c>
      <c r="AE165" s="150">
        <f t="shared" si="13"/>
        <v>1.183E-3</v>
      </c>
      <c r="AF165" s="151">
        <f t="shared" si="14"/>
        <v>44368</v>
      </c>
      <c r="AG165" s="152" t="s">
        <v>416</v>
      </c>
      <c r="AH165" s="124"/>
    </row>
    <row r="166" spans="1:34" ht="12" customHeight="1">
      <c r="A166" s="155">
        <v>44365</v>
      </c>
      <c r="B166" s="112" t="s">
        <v>504</v>
      </c>
      <c r="C166" s="127" t="s">
        <v>485</v>
      </c>
      <c r="D166" s="112"/>
      <c r="E166" s="112" t="str">
        <f t="shared" si="0"/>
        <v>HINDUNILVR</v>
      </c>
      <c r="F166" s="112"/>
      <c r="G166" s="112"/>
      <c r="H166" s="112"/>
      <c r="I166" s="127" t="s">
        <v>461</v>
      </c>
      <c r="J166" s="126" t="s">
        <v>483</v>
      </c>
      <c r="K166" s="127"/>
      <c r="L166" s="127"/>
      <c r="M166" s="128">
        <v>5</v>
      </c>
      <c r="N166" s="129">
        <v>2420</v>
      </c>
      <c r="O166" s="130">
        <f t="shared" si="39"/>
        <v>0</v>
      </c>
      <c r="P166" s="130">
        <f t="shared" ref="P166:P167" si="165">N166-O166</f>
        <v>2420</v>
      </c>
      <c r="Q166" s="130"/>
      <c r="R166" s="130">
        <f t="shared" si="3"/>
        <v>12100</v>
      </c>
      <c r="S166" s="131">
        <f t="shared" si="4"/>
        <v>2.52</v>
      </c>
      <c r="T166" s="131">
        <f t="shared" si="75"/>
        <v>0</v>
      </c>
      <c r="U166" s="131">
        <f t="shared" si="36"/>
        <v>0.08</v>
      </c>
      <c r="V166" s="131">
        <f t="shared" si="62"/>
        <v>12.1</v>
      </c>
      <c r="W166" s="131">
        <v>0</v>
      </c>
      <c r="X166" s="131">
        <f>ROUND(R166*H$1820,2)</f>
        <v>0.42</v>
      </c>
      <c r="Y166" s="131">
        <f t="shared" si="99"/>
        <v>0</v>
      </c>
      <c r="Z166" s="131">
        <f t="shared" si="10"/>
        <v>12.6</v>
      </c>
      <c r="AA166" s="132">
        <f t="shared" ref="AA166:AA167" si="166">ROUND(R166-SUM(T166:Y166),2)</f>
        <v>12087.4</v>
      </c>
      <c r="AB166" s="133">
        <v>12087</v>
      </c>
      <c r="AC166" s="134">
        <f t="shared" si="48"/>
        <v>-0.3999999999996362</v>
      </c>
      <c r="AD166" s="125">
        <v>44369</v>
      </c>
      <c r="AE166" s="135">
        <f t="shared" si="13"/>
        <v>1.041E-3</v>
      </c>
      <c r="AF166" s="136">
        <f t="shared" si="14"/>
        <v>44369</v>
      </c>
      <c r="AG166" s="137" t="s">
        <v>416</v>
      </c>
      <c r="AH166" s="124"/>
    </row>
    <row r="167" spans="1:34" ht="12" customHeight="1">
      <c r="A167" s="155">
        <v>44365</v>
      </c>
      <c r="B167" s="112" t="s">
        <v>530</v>
      </c>
      <c r="C167" s="127" t="s">
        <v>485</v>
      </c>
      <c r="D167" s="112"/>
      <c r="E167" s="112" t="str">
        <f t="shared" si="0"/>
        <v>SUNTV</v>
      </c>
      <c r="F167" s="112"/>
      <c r="G167" s="112"/>
      <c r="H167" s="112"/>
      <c r="I167" s="127" t="s">
        <v>461</v>
      </c>
      <c r="J167" s="126" t="s">
        <v>483</v>
      </c>
      <c r="K167" s="127"/>
      <c r="L167" s="127"/>
      <c r="M167" s="128">
        <v>10</v>
      </c>
      <c r="N167" s="129">
        <v>553</v>
      </c>
      <c r="O167" s="130">
        <f t="shared" si="39"/>
        <v>0</v>
      </c>
      <c r="P167" s="130">
        <f t="shared" si="165"/>
        <v>553</v>
      </c>
      <c r="Q167" s="130"/>
      <c r="R167" s="130">
        <f t="shared" si="3"/>
        <v>5530</v>
      </c>
      <c r="S167" s="131">
        <f t="shared" si="4"/>
        <v>0.57100000000000006</v>
      </c>
      <c r="T167" s="131">
        <f t="shared" si="75"/>
        <v>0</v>
      </c>
      <c r="U167" s="131">
        <f t="shared" si="36"/>
        <v>0.03</v>
      </c>
      <c r="V167" s="131">
        <f t="shared" si="62"/>
        <v>5.53</v>
      </c>
      <c r="W167" s="131">
        <v>0</v>
      </c>
      <c r="X167" s="131">
        <f t="shared" ref="X167:X168" si="167">ROUND(R167*G$1820,2)</f>
        <v>0.15</v>
      </c>
      <c r="Y167" s="131">
        <f t="shared" si="99"/>
        <v>0</v>
      </c>
      <c r="Z167" s="131">
        <f t="shared" si="10"/>
        <v>5.7100000000000009</v>
      </c>
      <c r="AA167" s="132">
        <f t="shared" si="166"/>
        <v>5524.29</v>
      </c>
      <c r="AB167" s="133">
        <v>5524</v>
      </c>
      <c r="AC167" s="134">
        <f t="shared" si="48"/>
        <v>-0.28999999999996362</v>
      </c>
      <c r="AD167" s="125">
        <v>44369</v>
      </c>
      <c r="AE167" s="135">
        <f t="shared" si="13"/>
        <v>1.0330000000000001E-3</v>
      </c>
      <c r="AF167" s="136">
        <f t="shared" si="14"/>
        <v>44369</v>
      </c>
      <c r="AG167" s="137" t="s">
        <v>416</v>
      </c>
      <c r="AH167" s="124"/>
    </row>
    <row r="168" spans="1:34" ht="12" customHeight="1">
      <c r="A168" s="154">
        <v>44365</v>
      </c>
      <c r="B168" s="140" t="s">
        <v>547</v>
      </c>
      <c r="C168" s="141" t="s">
        <v>485</v>
      </c>
      <c r="D168" s="140"/>
      <c r="E168" s="140" t="str">
        <f t="shared" si="0"/>
        <v>NCC</v>
      </c>
      <c r="F168" s="140"/>
      <c r="G168" s="140"/>
      <c r="H168" s="140"/>
      <c r="I168" s="141" t="s">
        <v>467</v>
      </c>
      <c r="J168" s="139" t="s">
        <v>483</v>
      </c>
      <c r="K168" s="141"/>
      <c r="L168" s="141"/>
      <c r="M168" s="142">
        <v>200</v>
      </c>
      <c r="N168" s="143">
        <v>81.75</v>
      </c>
      <c r="O168" s="144">
        <f t="shared" si="39"/>
        <v>0</v>
      </c>
      <c r="P168" s="144">
        <f>N168+O168</f>
        <v>81.75</v>
      </c>
      <c r="Q168" s="144"/>
      <c r="R168" s="144">
        <f t="shared" si="3"/>
        <v>16350</v>
      </c>
      <c r="S168" s="145">
        <f t="shared" si="4"/>
        <v>9.6649999999999986E-2</v>
      </c>
      <c r="T168" s="145">
        <f t="shared" si="75"/>
        <v>0</v>
      </c>
      <c r="U168" s="145">
        <f t="shared" si="36"/>
        <v>0.08</v>
      </c>
      <c r="V168" s="145">
        <f t="shared" si="62"/>
        <v>16.350000000000001</v>
      </c>
      <c r="W168" s="145">
        <f>ROUND(R168*F$1823,2)</f>
        <v>2.4500000000000002</v>
      </c>
      <c r="X168" s="145">
        <f t="shared" si="167"/>
        <v>0.45</v>
      </c>
      <c r="Y168" s="145">
        <f t="shared" si="99"/>
        <v>0</v>
      </c>
      <c r="Z168" s="146">
        <f t="shared" si="10"/>
        <v>19.329999999999998</v>
      </c>
      <c r="AA168" s="147">
        <f>-ROUND(R168+SUM(T168:Y168),2)</f>
        <v>-16369.33</v>
      </c>
      <c r="AB168" s="148">
        <v>-16369</v>
      </c>
      <c r="AC168" s="149">
        <f t="shared" si="48"/>
        <v>0.32999999999992724</v>
      </c>
      <c r="AD168" s="138">
        <v>44369</v>
      </c>
      <c r="AE168" s="150">
        <f t="shared" si="13"/>
        <v>1.1820000000000001E-3</v>
      </c>
      <c r="AF168" s="151">
        <f t="shared" si="14"/>
        <v>44369</v>
      </c>
      <c r="AG168" s="152" t="s">
        <v>416</v>
      </c>
      <c r="AH168" s="124"/>
    </row>
    <row r="169" spans="1:34" ht="12" customHeight="1">
      <c r="A169" s="155">
        <v>44368</v>
      </c>
      <c r="B169" s="112" t="s">
        <v>546</v>
      </c>
      <c r="C169" s="127" t="s">
        <v>485</v>
      </c>
      <c r="D169" s="112"/>
      <c r="E169" s="112" t="str">
        <f t="shared" si="0"/>
        <v>ADANIPORTS</v>
      </c>
      <c r="F169" s="112"/>
      <c r="G169" s="112"/>
      <c r="H169" s="112"/>
      <c r="I169" s="127" t="s">
        <v>461</v>
      </c>
      <c r="J169" s="126" t="s">
        <v>483</v>
      </c>
      <c r="K169" s="127"/>
      <c r="L169" s="127"/>
      <c r="M169" s="128">
        <v>8</v>
      </c>
      <c r="N169" s="129">
        <v>714</v>
      </c>
      <c r="O169" s="130">
        <f t="shared" si="39"/>
        <v>0</v>
      </c>
      <c r="P169" s="130">
        <f>N169-O169</f>
        <v>714</v>
      </c>
      <c r="Q169" s="130"/>
      <c r="R169" s="130">
        <f t="shared" si="3"/>
        <v>5712</v>
      </c>
      <c r="S169" s="131">
        <f t="shared" si="4"/>
        <v>0.74375000000000002</v>
      </c>
      <c r="T169" s="131">
        <f t="shared" si="75"/>
        <v>0</v>
      </c>
      <c r="U169" s="131">
        <f t="shared" si="36"/>
        <v>0.04</v>
      </c>
      <c r="V169" s="131">
        <f t="shared" si="62"/>
        <v>5.71</v>
      </c>
      <c r="W169" s="131">
        <v>0</v>
      </c>
      <c r="X169" s="131">
        <f>ROUND(R169*H$1820,2)</f>
        <v>0.2</v>
      </c>
      <c r="Y169" s="131">
        <f t="shared" si="99"/>
        <v>0</v>
      </c>
      <c r="Z169" s="131">
        <f t="shared" si="10"/>
        <v>5.95</v>
      </c>
      <c r="AA169" s="132">
        <f>ROUND(R169-SUM(T169:Y169),2)</f>
        <v>5706.05</v>
      </c>
      <c r="AB169" s="133">
        <v>5706</v>
      </c>
      <c r="AC169" s="134">
        <f t="shared" si="48"/>
        <v>-5.0000000000181899E-2</v>
      </c>
      <c r="AD169" s="125">
        <v>44370</v>
      </c>
      <c r="AE169" s="135">
        <f t="shared" si="13"/>
        <v>1.042E-3</v>
      </c>
      <c r="AF169" s="136">
        <f t="shared" si="14"/>
        <v>44370</v>
      </c>
      <c r="AG169" s="137" t="s">
        <v>416</v>
      </c>
      <c r="AH169" s="124"/>
    </row>
    <row r="170" spans="1:34" ht="12" customHeight="1">
      <c r="A170" s="154">
        <v>44368</v>
      </c>
      <c r="B170" s="140" t="s">
        <v>548</v>
      </c>
      <c r="C170" s="141" t="s">
        <v>485</v>
      </c>
      <c r="D170" s="140"/>
      <c r="E170" s="140" t="str">
        <f t="shared" si="0"/>
        <v>JUBLPHARMA</v>
      </c>
      <c r="F170" s="140"/>
      <c r="G170" s="140"/>
      <c r="H170" s="140"/>
      <c r="I170" s="141" t="s">
        <v>467</v>
      </c>
      <c r="J170" s="139" t="s">
        <v>483</v>
      </c>
      <c r="K170" s="141"/>
      <c r="L170" s="141"/>
      <c r="M170" s="142">
        <v>25</v>
      </c>
      <c r="N170" s="143">
        <v>752</v>
      </c>
      <c r="O170" s="144">
        <f t="shared" si="39"/>
        <v>0</v>
      </c>
      <c r="P170" s="144">
        <f t="shared" ref="P170:P172" si="168">N170+O170</f>
        <v>752</v>
      </c>
      <c r="Q170" s="144"/>
      <c r="R170" s="144">
        <f t="shared" si="3"/>
        <v>18800</v>
      </c>
      <c r="S170" s="145">
        <f t="shared" si="4"/>
        <v>0.88919999999999999</v>
      </c>
      <c r="T170" s="145">
        <f t="shared" si="75"/>
        <v>0</v>
      </c>
      <c r="U170" s="145">
        <f t="shared" si="36"/>
        <v>0.09</v>
      </c>
      <c r="V170" s="145">
        <f t="shared" si="62"/>
        <v>18.8</v>
      </c>
      <c r="W170" s="145">
        <f t="shared" ref="W170:W172" si="169">ROUND(R170*F$1823,2)</f>
        <v>2.82</v>
      </c>
      <c r="X170" s="145">
        <f t="shared" ref="X170:X171" si="170">ROUND(R170*G$1820,2)</f>
        <v>0.52</v>
      </c>
      <c r="Y170" s="145">
        <f t="shared" si="99"/>
        <v>0</v>
      </c>
      <c r="Z170" s="146">
        <f t="shared" si="10"/>
        <v>22.23</v>
      </c>
      <c r="AA170" s="147">
        <f t="shared" ref="AA170:AA172" si="171">-ROUND(R170+SUM(T170:Y170),2)</f>
        <v>-18822.23</v>
      </c>
      <c r="AB170" s="148">
        <v>-18822</v>
      </c>
      <c r="AC170" s="149">
        <f t="shared" si="48"/>
        <v>0.22999999999956344</v>
      </c>
      <c r="AD170" s="138">
        <v>44370</v>
      </c>
      <c r="AE170" s="150">
        <f t="shared" si="13"/>
        <v>1.1820000000000001E-3</v>
      </c>
      <c r="AF170" s="151">
        <f t="shared" si="14"/>
        <v>44370</v>
      </c>
      <c r="AG170" s="152" t="s">
        <v>416</v>
      </c>
      <c r="AH170" s="124"/>
    </row>
    <row r="171" spans="1:34" ht="12" customHeight="1">
      <c r="A171" s="154">
        <v>44369</v>
      </c>
      <c r="B171" s="140" t="s">
        <v>549</v>
      </c>
      <c r="C171" s="141" t="s">
        <v>485</v>
      </c>
      <c r="D171" s="140"/>
      <c r="E171" s="140" t="str">
        <f t="shared" si="0"/>
        <v>GICHSGFIN</v>
      </c>
      <c r="F171" s="140"/>
      <c r="G171" s="140"/>
      <c r="H171" s="140"/>
      <c r="I171" s="141" t="s">
        <v>467</v>
      </c>
      <c r="J171" s="139" t="s">
        <v>483</v>
      </c>
      <c r="K171" s="141"/>
      <c r="L171" s="141"/>
      <c r="M171" s="142">
        <v>100</v>
      </c>
      <c r="N171" s="143">
        <v>147</v>
      </c>
      <c r="O171" s="144">
        <f t="shared" si="39"/>
        <v>0</v>
      </c>
      <c r="P171" s="144">
        <f t="shared" si="168"/>
        <v>147</v>
      </c>
      <c r="Q171" s="144"/>
      <c r="R171" s="144">
        <f t="shared" si="3"/>
        <v>14700</v>
      </c>
      <c r="S171" s="145">
        <f t="shared" si="4"/>
        <v>0.17379999999999998</v>
      </c>
      <c r="T171" s="145">
        <f t="shared" si="75"/>
        <v>0</v>
      </c>
      <c r="U171" s="145">
        <f t="shared" si="36"/>
        <v>7.0000000000000007E-2</v>
      </c>
      <c r="V171" s="145">
        <f t="shared" si="62"/>
        <v>14.7</v>
      </c>
      <c r="W171" s="145">
        <f t="shared" si="169"/>
        <v>2.21</v>
      </c>
      <c r="X171" s="145">
        <f t="shared" si="170"/>
        <v>0.4</v>
      </c>
      <c r="Y171" s="145">
        <f t="shared" si="99"/>
        <v>0</v>
      </c>
      <c r="Z171" s="146">
        <f t="shared" si="10"/>
        <v>17.38</v>
      </c>
      <c r="AA171" s="147">
        <f t="shared" si="171"/>
        <v>-14717.38</v>
      </c>
      <c r="AB171" s="148">
        <v>-14718</v>
      </c>
      <c r="AC171" s="149">
        <f t="shared" si="48"/>
        <v>-0.62000000000080036</v>
      </c>
      <c r="AD171" s="138">
        <v>44371</v>
      </c>
      <c r="AE171" s="150">
        <f t="shared" si="13"/>
        <v>1.1820000000000001E-3</v>
      </c>
      <c r="AF171" s="151">
        <f t="shared" si="14"/>
        <v>44371</v>
      </c>
      <c r="AG171" s="152" t="s">
        <v>416</v>
      </c>
      <c r="AH171" s="124"/>
    </row>
    <row r="172" spans="1:34" ht="12" customHeight="1">
      <c r="A172" s="154">
        <v>44371</v>
      </c>
      <c r="B172" s="140" t="s">
        <v>521</v>
      </c>
      <c r="C172" s="141" t="s">
        <v>485</v>
      </c>
      <c r="D172" s="140"/>
      <c r="E172" s="140" t="str">
        <f t="shared" si="0"/>
        <v>IDEA</v>
      </c>
      <c r="F172" s="140"/>
      <c r="G172" s="140"/>
      <c r="H172" s="140"/>
      <c r="I172" s="141" t="s">
        <v>467</v>
      </c>
      <c r="J172" s="139" t="s">
        <v>483</v>
      </c>
      <c r="K172" s="141"/>
      <c r="L172" s="141"/>
      <c r="M172" s="142">
        <v>2500</v>
      </c>
      <c r="N172" s="143">
        <v>9.75</v>
      </c>
      <c r="O172" s="144">
        <f t="shared" si="39"/>
        <v>0</v>
      </c>
      <c r="P172" s="144">
        <f t="shared" si="168"/>
        <v>9.75</v>
      </c>
      <c r="Q172" s="144"/>
      <c r="R172" s="144">
        <f t="shared" si="3"/>
        <v>24375</v>
      </c>
      <c r="S172" s="145">
        <f t="shared" si="4"/>
        <v>1.1611999999999999E-2</v>
      </c>
      <c r="T172" s="145">
        <f t="shared" si="75"/>
        <v>0</v>
      </c>
      <c r="U172" s="145">
        <f t="shared" si="36"/>
        <v>0.15</v>
      </c>
      <c r="V172" s="145">
        <f t="shared" si="62"/>
        <v>24.38</v>
      </c>
      <c r="W172" s="145">
        <f t="shared" si="169"/>
        <v>3.66</v>
      </c>
      <c r="X172" s="145">
        <f>ROUND(R172*H$1820,2)</f>
        <v>0.84</v>
      </c>
      <c r="Y172" s="145">
        <f t="shared" si="99"/>
        <v>0</v>
      </c>
      <c r="Z172" s="146">
        <f t="shared" si="10"/>
        <v>29.029999999999998</v>
      </c>
      <c r="AA172" s="147">
        <f t="shared" si="171"/>
        <v>-24404.03</v>
      </c>
      <c r="AB172" s="148">
        <v>-24404</v>
      </c>
      <c r="AC172" s="149">
        <f t="shared" si="48"/>
        <v>2.9999999998835847E-2</v>
      </c>
      <c r="AD172" s="138">
        <v>44375</v>
      </c>
      <c r="AE172" s="150">
        <f t="shared" si="13"/>
        <v>1.191E-3</v>
      </c>
      <c r="AF172" s="151">
        <f t="shared" si="14"/>
        <v>44375</v>
      </c>
      <c r="AG172" s="152" t="s">
        <v>416</v>
      </c>
      <c r="AH172" s="124"/>
    </row>
    <row r="173" spans="1:34" ht="12" customHeight="1">
      <c r="A173" s="155">
        <v>44371</v>
      </c>
      <c r="B173" s="112" t="s">
        <v>550</v>
      </c>
      <c r="C173" s="127" t="s">
        <v>485</v>
      </c>
      <c r="D173" s="112"/>
      <c r="E173" s="112" t="str">
        <f t="shared" si="0"/>
        <v>SONACOMS</v>
      </c>
      <c r="F173" s="112"/>
      <c r="G173" s="112"/>
      <c r="H173" s="112"/>
      <c r="I173" s="127" t="s">
        <v>461</v>
      </c>
      <c r="J173" s="126" t="s">
        <v>483</v>
      </c>
      <c r="K173" s="127"/>
      <c r="L173" s="127"/>
      <c r="M173" s="128">
        <v>51</v>
      </c>
      <c r="N173" s="129">
        <v>319</v>
      </c>
      <c r="O173" s="130">
        <f t="shared" si="39"/>
        <v>0</v>
      </c>
      <c r="P173" s="130">
        <f t="shared" ref="P173:P175" si="172">N173-O173</f>
        <v>319</v>
      </c>
      <c r="Q173" s="130"/>
      <c r="R173" s="130">
        <f t="shared" si="3"/>
        <v>16269</v>
      </c>
      <c r="S173" s="131">
        <f t="shared" si="4"/>
        <v>0.32941176470588229</v>
      </c>
      <c r="T173" s="131">
        <f t="shared" si="75"/>
        <v>0</v>
      </c>
      <c r="U173" s="131">
        <f t="shared" si="36"/>
        <v>0.08</v>
      </c>
      <c r="V173" s="131">
        <f t="shared" si="62"/>
        <v>16.27</v>
      </c>
      <c r="W173" s="131">
        <v>0</v>
      </c>
      <c r="X173" s="131">
        <f>ROUND(R173*G$1820,2)</f>
        <v>0.45</v>
      </c>
      <c r="Y173" s="131">
        <f t="shared" si="99"/>
        <v>0</v>
      </c>
      <c r="Z173" s="131">
        <f t="shared" si="10"/>
        <v>16.799999999999997</v>
      </c>
      <c r="AA173" s="132">
        <f t="shared" ref="AA173:AA175" si="173">ROUND(R173-SUM(T173:Y173),2)</f>
        <v>16252.2</v>
      </c>
      <c r="AB173" s="133">
        <v>16252</v>
      </c>
      <c r="AC173" s="134">
        <f t="shared" si="48"/>
        <v>-0.2000000000007276</v>
      </c>
      <c r="AD173" s="125">
        <v>44375</v>
      </c>
      <c r="AE173" s="135">
        <f t="shared" si="13"/>
        <v>1.0330000000000001E-3</v>
      </c>
      <c r="AF173" s="136">
        <f t="shared" si="14"/>
        <v>44375</v>
      </c>
      <c r="AG173" s="137" t="s">
        <v>416</v>
      </c>
      <c r="AH173" s="124"/>
    </row>
    <row r="174" spans="1:34" ht="12" customHeight="1">
      <c r="A174" s="155">
        <v>44372</v>
      </c>
      <c r="B174" s="155" t="s">
        <v>521</v>
      </c>
      <c r="C174" s="127" t="s">
        <v>485</v>
      </c>
      <c r="D174" s="155"/>
      <c r="E174" s="155" t="str">
        <f t="shared" si="0"/>
        <v>IDEA</v>
      </c>
      <c r="F174" s="155"/>
      <c r="G174" s="155"/>
      <c r="H174" s="155"/>
      <c r="I174" s="127" t="s">
        <v>461</v>
      </c>
      <c r="J174" s="126" t="s">
        <v>483</v>
      </c>
      <c r="K174" s="127"/>
      <c r="L174" s="127"/>
      <c r="M174" s="128">
        <v>2500</v>
      </c>
      <c r="N174" s="129">
        <v>9.7755299999999998</v>
      </c>
      <c r="O174" s="130">
        <f t="shared" si="39"/>
        <v>0</v>
      </c>
      <c r="P174" s="130">
        <f t="shared" si="172"/>
        <v>9.7755299999999998</v>
      </c>
      <c r="Q174" s="130"/>
      <c r="R174" s="130">
        <f t="shared" si="3"/>
        <v>24438.83</v>
      </c>
      <c r="S174" s="131">
        <f t="shared" si="4"/>
        <v>1.0172E-2</v>
      </c>
      <c r="T174" s="131">
        <f t="shared" si="75"/>
        <v>0</v>
      </c>
      <c r="U174" s="131">
        <f t="shared" si="36"/>
        <v>0.15</v>
      </c>
      <c r="V174" s="131">
        <f t="shared" si="62"/>
        <v>24.44</v>
      </c>
      <c r="W174" s="131">
        <v>0</v>
      </c>
      <c r="X174" s="131">
        <f t="shared" ref="X174:X175" si="174">ROUND(R174*H$1820,2)</f>
        <v>0.84</v>
      </c>
      <c r="Y174" s="131">
        <f t="shared" si="99"/>
        <v>0</v>
      </c>
      <c r="Z174" s="131">
        <f t="shared" si="10"/>
        <v>25.43</v>
      </c>
      <c r="AA174" s="132">
        <f t="shared" si="173"/>
        <v>24413.4</v>
      </c>
      <c r="AB174" s="133">
        <v>24413</v>
      </c>
      <c r="AC174" s="134">
        <f t="shared" si="48"/>
        <v>-0.40000000000145519</v>
      </c>
      <c r="AD174" s="125">
        <v>44376</v>
      </c>
      <c r="AE174" s="135">
        <f t="shared" si="13"/>
        <v>1.041E-3</v>
      </c>
      <c r="AF174" s="136">
        <f t="shared" si="14"/>
        <v>44376</v>
      </c>
      <c r="AG174" s="137" t="s">
        <v>416</v>
      </c>
      <c r="AH174" s="124"/>
    </row>
    <row r="175" spans="1:34" ht="12" customHeight="1">
      <c r="A175" s="155">
        <v>44372</v>
      </c>
      <c r="B175" s="112" t="s">
        <v>542</v>
      </c>
      <c r="C175" s="127" t="s">
        <v>485</v>
      </c>
      <c r="D175" s="112"/>
      <c r="E175" s="112" t="str">
        <f t="shared" si="0"/>
        <v>JPASSOCIAT</v>
      </c>
      <c r="F175" s="112"/>
      <c r="G175" s="112"/>
      <c r="H175" s="112"/>
      <c r="I175" s="127" t="s">
        <v>461</v>
      </c>
      <c r="J175" s="126" t="s">
        <v>483</v>
      </c>
      <c r="K175" s="127"/>
      <c r="L175" s="127"/>
      <c r="M175" s="128">
        <v>1000</v>
      </c>
      <c r="N175" s="129">
        <v>13.75</v>
      </c>
      <c r="O175" s="130">
        <f t="shared" si="39"/>
        <v>0</v>
      </c>
      <c r="P175" s="130">
        <f t="shared" si="172"/>
        <v>13.75</v>
      </c>
      <c r="Q175" s="130"/>
      <c r="R175" s="130">
        <f t="shared" si="3"/>
        <v>13750</v>
      </c>
      <c r="S175" s="131">
        <f t="shared" si="4"/>
        <v>1.43E-2</v>
      </c>
      <c r="T175" s="131">
        <f t="shared" si="75"/>
        <v>0</v>
      </c>
      <c r="U175" s="131">
        <f t="shared" si="36"/>
        <v>0.08</v>
      </c>
      <c r="V175" s="131">
        <f t="shared" si="62"/>
        <v>13.75</v>
      </c>
      <c r="W175" s="131">
        <v>0</v>
      </c>
      <c r="X175" s="131">
        <f t="shared" si="174"/>
        <v>0.47</v>
      </c>
      <c r="Y175" s="131">
        <f t="shared" si="99"/>
        <v>0</v>
      </c>
      <c r="Z175" s="131">
        <f t="shared" si="10"/>
        <v>14.3</v>
      </c>
      <c r="AA175" s="132">
        <f t="shared" si="173"/>
        <v>13735.7</v>
      </c>
      <c r="AB175" s="133">
        <v>13736</v>
      </c>
      <c r="AC175" s="134">
        <f t="shared" si="48"/>
        <v>0.2999999999992724</v>
      </c>
      <c r="AD175" s="125">
        <v>44376</v>
      </c>
      <c r="AE175" s="135">
        <f t="shared" si="13"/>
        <v>1.0399999999999999E-3</v>
      </c>
      <c r="AF175" s="136">
        <f t="shared" si="14"/>
        <v>44376</v>
      </c>
      <c r="AG175" s="137" t="s">
        <v>416</v>
      </c>
      <c r="AH175" s="124"/>
    </row>
    <row r="176" spans="1:34" ht="12" customHeight="1">
      <c r="A176" s="154">
        <v>44372</v>
      </c>
      <c r="B176" s="154" t="s">
        <v>550</v>
      </c>
      <c r="C176" s="141" t="s">
        <v>485</v>
      </c>
      <c r="D176" s="154"/>
      <c r="E176" s="154" t="str">
        <f t="shared" si="0"/>
        <v>SONACOMS</v>
      </c>
      <c r="F176" s="154"/>
      <c r="G176" s="154"/>
      <c r="H176" s="154"/>
      <c r="I176" s="141" t="s">
        <v>467</v>
      </c>
      <c r="J176" s="139" t="s">
        <v>483</v>
      </c>
      <c r="K176" s="141"/>
      <c r="L176" s="141"/>
      <c r="M176" s="142">
        <v>50</v>
      </c>
      <c r="N176" s="143">
        <v>405</v>
      </c>
      <c r="O176" s="144">
        <f t="shared" si="39"/>
        <v>0</v>
      </c>
      <c r="P176" s="144">
        <f t="shared" ref="P176:P177" si="175">N176+O176</f>
        <v>405</v>
      </c>
      <c r="Q176" s="144"/>
      <c r="R176" s="144">
        <f t="shared" si="3"/>
        <v>20250</v>
      </c>
      <c r="S176" s="145">
        <f t="shared" si="4"/>
        <v>0.47899999999999998</v>
      </c>
      <c r="T176" s="145">
        <f t="shared" si="75"/>
        <v>0</v>
      </c>
      <c r="U176" s="145">
        <f t="shared" si="36"/>
        <v>0.1</v>
      </c>
      <c r="V176" s="145">
        <f t="shared" si="62"/>
        <v>20.25</v>
      </c>
      <c r="W176" s="145">
        <f t="shared" ref="W176:W177" si="176">ROUND(R176*F$1823,2)</f>
        <v>3.04</v>
      </c>
      <c r="X176" s="145">
        <f>ROUND(R176*G$1820,2)</f>
        <v>0.56000000000000005</v>
      </c>
      <c r="Y176" s="145">
        <f t="shared" si="99"/>
        <v>0</v>
      </c>
      <c r="Z176" s="146">
        <f t="shared" si="10"/>
        <v>23.95</v>
      </c>
      <c r="AA176" s="147">
        <f t="shared" ref="AA176:AA177" si="177">-ROUND(R176+SUM(T176:Y176),2)</f>
        <v>-20273.95</v>
      </c>
      <c r="AB176" s="148">
        <v>-20274</v>
      </c>
      <c r="AC176" s="149">
        <f t="shared" si="48"/>
        <v>-4.9999999999272404E-2</v>
      </c>
      <c r="AD176" s="138">
        <v>44376</v>
      </c>
      <c r="AE176" s="150">
        <f t="shared" si="13"/>
        <v>1.183E-3</v>
      </c>
      <c r="AF176" s="151">
        <f t="shared" si="14"/>
        <v>44376</v>
      </c>
      <c r="AG176" s="152" t="s">
        <v>416</v>
      </c>
      <c r="AH176" s="124"/>
    </row>
    <row r="177" spans="1:34" ht="12" customHeight="1">
      <c r="A177" s="154">
        <v>44372</v>
      </c>
      <c r="B177" s="140" t="s">
        <v>542</v>
      </c>
      <c r="C177" s="141" t="s">
        <v>485</v>
      </c>
      <c r="D177" s="140"/>
      <c r="E177" s="140" t="str">
        <f t="shared" si="0"/>
        <v>JPASSOCIAT</v>
      </c>
      <c r="F177" s="140"/>
      <c r="G177" s="140"/>
      <c r="H177" s="140"/>
      <c r="I177" s="141" t="s">
        <v>467</v>
      </c>
      <c r="J177" s="139" t="s">
        <v>483</v>
      </c>
      <c r="K177" s="141"/>
      <c r="L177" s="141"/>
      <c r="M177" s="142">
        <v>1000</v>
      </c>
      <c r="N177" s="143">
        <v>13.65</v>
      </c>
      <c r="O177" s="144">
        <f t="shared" si="39"/>
        <v>0</v>
      </c>
      <c r="P177" s="144">
        <f t="shared" si="175"/>
        <v>13.65</v>
      </c>
      <c r="Q177" s="144"/>
      <c r="R177" s="144">
        <f t="shared" si="3"/>
        <v>13650</v>
      </c>
      <c r="S177" s="145">
        <f t="shared" si="4"/>
        <v>1.6250000000000001E-2</v>
      </c>
      <c r="T177" s="145">
        <f t="shared" si="75"/>
        <v>0</v>
      </c>
      <c r="U177" s="145">
        <f t="shared" si="36"/>
        <v>0.08</v>
      </c>
      <c r="V177" s="145">
        <f t="shared" si="62"/>
        <v>13.65</v>
      </c>
      <c r="W177" s="145">
        <f t="shared" si="176"/>
        <v>2.0499999999999998</v>
      </c>
      <c r="X177" s="145">
        <f>ROUND(R177*H$1820,2)</f>
        <v>0.47</v>
      </c>
      <c r="Y177" s="145">
        <f t="shared" si="99"/>
        <v>0</v>
      </c>
      <c r="Z177" s="146">
        <f t="shared" si="10"/>
        <v>16.25</v>
      </c>
      <c r="AA177" s="147">
        <f t="shared" si="177"/>
        <v>-13666.25</v>
      </c>
      <c r="AB177" s="148">
        <v>-13666</v>
      </c>
      <c r="AC177" s="149">
        <f t="shared" si="48"/>
        <v>0.25</v>
      </c>
      <c r="AD177" s="138">
        <v>44376</v>
      </c>
      <c r="AE177" s="150">
        <f t="shared" si="13"/>
        <v>1.1900000000000001E-3</v>
      </c>
      <c r="AF177" s="151">
        <f t="shared" si="14"/>
        <v>44376</v>
      </c>
      <c r="AG177" s="152" t="s">
        <v>416</v>
      </c>
      <c r="AH177" s="124"/>
    </row>
    <row r="178" spans="1:34" ht="12" customHeight="1">
      <c r="A178" s="155">
        <v>44375</v>
      </c>
      <c r="B178" s="155" t="s">
        <v>551</v>
      </c>
      <c r="C178" s="127" t="s">
        <v>485</v>
      </c>
      <c r="D178" s="155"/>
      <c r="E178" s="155" t="str">
        <f t="shared" si="0"/>
        <v>DODLA</v>
      </c>
      <c r="F178" s="155"/>
      <c r="G178" s="155"/>
      <c r="H178" s="155"/>
      <c r="I178" s="127" t="s">
        <v>461</v>
      </c>
      <c r="J178" s="126" t="s">
        <v>483</v>
      </c>
      <c r="K178" s="127"/>
      <c r="L178" s="127"/>
      <c r="M178" s="128">
        <v>35</v>
      </c>
      <c r="N178" s="129">
        <v>587</v>
      </c>
      <c r="O178" s="130">
        <f t="shared" si="39"/>
        <v>0</v>
      </c>
      <c r="P178" s="130">
        <f t="shared" ref="P178:P180" si="178">N178-O178</f>
        <v>587</v>
      </c>
      <c r="Q178" s="130"/>
      <c r="R178" s="130">
        <f t="shared" si="3"/>
        <v>20545</v>
      </c>
      <c r="S178" s="131">
        <f t="shared" si="4"/>
        <v>0.60599999999999998</v>
      </c>
      <c r="T178" s="131">
        <f t="shared" si="75"/>
        <v>0</v>
      </c>
      <c r="U178" s="131">
        <f t="shared" si="36"/>
        <v>0.1</v>
      </c>
      <c r="V178" s="131">
        <f t="shared" si="62"/>
        <v>20.55</v>
      </c>
      <c r="W178" s="131">
        <v>0</v>
      </c>
      <c r="X178" s="131">
        <f t="shared" ref="X178:X179" si="179">ROUND(R178*G$1820,2)</f>
        <v>0.56000000000000005</v>
      </c>
      <c r="Y178" s="131">
        <f t="shared" si="99"/>
        <v>0</v>
      </c>
      <c r="Z178" s="131">
        <f t="shared" si="10"/>
        <v>21.21</v>
      </c>
      <c r="AA178" s="132">
        <f t="shared" ref="AA178:AA180" si="180">ROUND(R178-SUM(T178:Y178),2)</f>
        <v>20523.79</v>
      </c>
      <c r="AB178" s="133">
        <v>20524</v>
      </c>
      <c r="AC178" s="134">
        <f t="shared" si="48"/>
        <v>0.20999999999912689</v>
      </c>
      <c r="AD178" s="125">
        <v>44377</v>
      </c>
      <c r="AE178" s="135">
        <f t="shared" si="13"/>
        <v>1.0319999999999999E-3</v>
      </c>
      <c r="AF178" s="136">
        <f t="shared" si="14"/>
        <v>44377</v>
      </c>
      <c r="AG178" s="137" t="s">
        <v>416</v>
      </c>
      <c r="AH178" s="124"/>
    </row>
    <row r="179" spans="1:34" ht="12" customHeight="1">
      <c r="A179" s="155">
        <v>44375</v>
      </c>
      <c r="B179" s="155" t="s">
        <v>549</v>
      </c>
      <c r="C179" s="127" t="s">
        <v>485</v>
      </c>
      <c r="D179" s="155"/>
      <c r="E179" s="155" t="str">
        <f t="shared" si="0"/>
        <v>GICHSGFIN</v>
      </c>
      <c r="F179" s="155"/>
      <c r="G179" s="155"/>
      <c r="H179" s="155"/>
      <c r="I179" s="127" t="s">
        <v>461</v>
      </c>
      <c r="J179" s="126" t="s">
        <v>483</v>
      </c>
      <c r="K179" s="127"/>
      <c r="L179" s="127"/>
      <c r="M179" s="128">
        <v>100</v>
      </c>
      <c r="N179" s="129">
        <v>151.5</v>
      </c>
      <c r="O179" s="130">
        <f t="shared" si="39"/>
        <v>0</v>
      </c>
      <c r="P179" s="130">
        <f t="shared" si="178"/>
        <v>151.5</v>
      </c>
      <c r="Q179" s="130"/>
      <c r="R179" s="130">
        <f t="shared" si="3"/>
        <v>15150</v>
      </c>
      <c r="S179" s="131">
        <f t="shared" si="4"/>
        <v>0.1565</v>
      </c>
      <c r="T179" s="131">
        <f t="shared" si="75"/>
        <v>0</v>
      </c>
      <c r="U179" s="131">
        <f t="shared" si="36"/>
        <v>0.08</v>
      </c>
      <c r="V179" s="131">
        <f t="shared" si="62"/>
        <v>15.15</v>
      </c>
      <c r="W179" s="131">
        <v>0</v>
      </c>
      <c r="X179" s="131">
        <f t="shared" si="179"/>
        <v>0.42</v>
      </c>
      <c r="Y179" s="131">
        <f t="shared" si="99"/>
        <v>0</v>
      </c>
      <c r="Z179" s="131">
        <f t="shared" si="10"/>
        <v>15.65</v>
      </c>
      <c r="AA179" s="132">
        <f t="shared" si="180"/>
        <v>15134.35</v>
      </c>
      <c r="AB179" s="133">
        <v>15134</v>
      </c>
      <c r="AC179" s="134">
        <f t="shared" si="48"/>
        <v>-0.3500000000003638</v>
      </c>
      <c r="AD179" s="125">
        <v>44377</v>
      </c>
      <c r="AE179" s="135">
        <f t="shared" si="13"/>
        <v>1.0330000000000001E-3</v>
      </c>
      <c r="AF179" s="136">
        <f t="shared" si="14"/>
        <v>44377</v>
      </c>
      <c r="AG179" s="137" t="s">
        <v>416</v>
      </c>
      <c r="AH179" s="124"/>
    </row>
    <row r="180" spans="1:34" ht="12" customHeight="1">
      <c r="A180" s="155">
        <v>44375</v>
      </c>
      <c r="B180" s="155" t="s">
        <v>552</v>
      </c>
      <c r="C180" s="127" t="s">
        <v>485</v>
      </c>
      <c r="D180" s="155"/>
      <c r="E180" s="155" t="str">
        <f t="shared" si="0"/>
        <v>SHYMMETAL</v>
      </c>
      <c r="F180" s="155"/>
      <c r="G180" s="155"/>
      <c r="H180" s="155"/>
      <c r="I180" s="127" t="s">
        <v>461</v>
      </c>
      <c r="J180" s="126" t="s">
        <v>483</v>
      </c>
      <c r="K180" s="127"/>
      <c r="L180" s="127"/>
      <c r="M180" s="128">
        <v>45</v>
      </c>
      <c r="N180" s="129">
        <v>383</v>
      </c>
      <c r="O180" s="130">
        <f t="shared" si="39"/>
        <v>0</v>
      </c>
      <c r="P180" s="130">
        <f t="shared" si="178"/>
        <v>383</v>
      </c>
      <c r="Q180" s="130"/>
      <c r="R180" s="130">
        <f t="shared" si="3"/>
        <v>17235</v>
      </c>
      <c r="S180" s="131">
        <f t="shared" si="4"/>
        <v>0.39866666666666661</v>
      </c>
      <c r="T180" s="131">
        <f t="shared" si="75"/>
        <v>0</v>
      </c>
      <c r="U180" s="131">
        <f t="shared" si="36"/>
        <v>0.11</v>
      </c>
      <c r="V180" s="131">
        <f t="shared" si="62"/>
        <v>17.239999999999998</v>
      </c>
      <c r="W180" s="131">
        <v>0</v>
      </c>
      <c r="X180" s="131">
        <f t="shared" ref="X180:X182" si="181">ROUND(R180*H$1820,2)</f>
        <v>0.59</v>
      </c>
      <c r="Y180" s="131">
        <f t="shared" si="99"/>
        <v>0</v>
      </c>
      <c r="Z180" s="131">
        <f t="shared" si="10"/>
        <v>17.939999999999998</v>
      </c>
      <c r="AA180" s="132">
        <f t="shared" si="180"/>
        <v>17217.060000000001</v>
      </c>
      <c r="AB180" s="133">
        <v>17217</v>
      </c>
      <c r="AC180" s="134">
        <f t="shared" si="48"/>
        <v>-6.0000000001309672E-2</v>
      </c>
      <c r="AD180" s="125">
        <v>44377</v>
      </c>
      <c r="AE180" s="135">
        <f t="shared" si="13"/>
        <v>1.041E-3</v>
      </c>
      <c r="AF180" s="136">
        <f t="shared" si="14"/>
        <v>44377</v>
      </c>
      <c r="AG180" s="137" t="s">
        <v>416</v>
      </c>
      <c r="AH180" s="124"/>
    </row>
    <row r="181" spans="1:34" ht="12" customHeight="1">
      <c r="A181" s="154">
        <v>44375</v>
      </c>
      <c r="B181" s="154" t="s">
        <v>481</v>
      </c>
      <c r="C181" s="141" t="s">
        <v>485</v>
      </c>
      <c r="D181" s="154"/>
      <c r="E181" s="154" t="str">
        <f t="shared" si="0"/>
        <v>HINDALCO</v>
      </c>
      <c r="F181" s="154"/>
      <c r="G181" s="154"/>
      <c r="H181" s="154"/>
      <c r="I181" s="141" t="s">
        <v>467</v>
      </c>
      <c r="J181" s="139" t="s">
        <v>483</v>
      </c>
      <c r="K181" s="141"/>
      <c r="L181" s="141"/>
      <c r="M181" s="142">
        <v>50</v>
      </c>
      <c r="N181" s="143">
        <v>380</v>
      </c>
      <c r="O181" s="144">
        <f t="shared" si="39"/>
        <v>0</v>
      </c>
      <c r="P181" s="144">
        <f t="shared" ref="P181:P183" si="182">N181+O181</f>
        <v>380</v>
      </c>
      <c r="Q181" s="144"/>
      <c r="R181" s="144">
        <f t="shared" si="3"/>
        <v>19000</v>
      </c>
      <c r="S181" s="145">
        <f t="shared" si="4"/>
        <v>0.45260000000000006</v>
      </c>
      <c r="T181" s="145">
        <f t="shared" si="75"/>
        <v>0</v>
      </c>
      <c r="U181" s="145">
        <f t="shared" si="36"/>
        <v>0.12</v>
      </c>
      <c r="V181" s="145">
        <f t="shared" si="62"/>
        <v>19</v>
      </c>
      <c r="W181" s="145">
        <f t="shared" ref="W181:W183" si="183">ROUND(R181*F$1823,2)</f>
        <v>2.85</v>
      </c>
      <c r="X181" s="145">
        <f t="shared" si="181"/>
        <v>0.66</v>
      </c>
      <c r="Y181" s="145">
        <f t="shared" si="99"/>
        <v>0</v>
      </c>
      <c r="Z181" s="146">
        <f t="shared" si="10"/>
        <v>22.630000000000003</v>
      </c>
      <c r="AA181" s="147">
        <f t="shared" ref="AA181:AA183" si="184">-ROUND(R181+SUM(T181:Y181),2)</f>
        <v>-19022.63</v>
      </c>
      <c r="AB181" s="148">
        <v>-19023</v>
      </c>
      <c r="AC181" s="149">
        <f t="shared" si="48"/>
        <v>-0.36999999999898137</v>
      </c>
      <c r="AD181" s="138">
        <v>44377</v>
      </c>
      <c r="AE181" s="150">
        <f t="shared" si="13"/>
        <v>1.191E-3</v>
      </c>
      <c r="AF181" s="151">
        <f t="shared" si="14"/>
        <v>44377</v>
      </c>
      <c r="AG181" s="152" t="s">
        <v>416</v>
      </c>
      <c r="AH181" s="124"/>
    </row>
    <row r="182" spans="1:34" ht="12" customHeight="1">
      <c r="A182" s="154">
        <v>44375</v>
      </c>
      <c r="B182" s="154" t="s">
        <v>521</v>
      </c>
      <c r="C182" s="141" t="s">
        <v>485</v>
      </c>
      <c r="D182" s="154"/>
      <c r="E182" s="154" t="str">
        <f t="shared" si="0"/>
        <v>IDEA</v>
      </c>
      <c r="F182" s="154"/>
      <c r="G182" s="154"/>
      <c r="H182" s="154"/>
      <c r="I182" s="141" t="s">
        <v>467</v>
      </c>
      <c r="J182" s="139" t="s">
        <v>483</v>
      </c>
      <c r="K182" s="141"/>
      <c r="L182" s="141"/>
      <c r="M182" s="142">
        <v>2000</v>
      </c>
      <c r="N182" s="143">
        <v>10.45</v>
      </c>
      <c r="O182" s="144">
        <f t="shared" si="39"/>
        <v>0</v>
      </c>
      <c r="P182" s="144">
        <f t="shared" si="182"/>
        <v>10.45</v>
      </c>
      <c r="Q182" s="144"/>
      <c r="R182" s="144">
        <f t="shared" si="3"/>
        <v>20900</v>
      </c>
      <c r="S182" s="145">
        <f t="shared" si="4"/>
        <v>1.2444999999999998E-2</v>
      </c>
      <c r="T182" s="145">
        <f t="shared" si="75"/>
        <v>0</v>
      </c>
      <c r="U182" s="145">
        <f t="shared" si="36"/>
        <v>0.13</v>
      </c>
      <c r="V182" s="145">
        <f t="shared" si="62"/>
        <v>20.9</v>
      </c>
      <c r="W182" s="145">
        <f t="shared" si="183"/>
        <v>3.14</v>
      </c>
      <c r="X182" s="145">
        <f t="shared" si="181"/>
        <v>0.72</v>
      </c>
      <c r="Y182" s="145">
        <f t="shared" si="99"/>
        <v>0</v>
      </c>
      <c r="Z182" s="146">
        <f t="shared" si="10"/>
        <v>24.889999999999997</v>
      </c>
      <c r="AA182" s="147">
        <f t="shared" si="184"/>
        <v>-20924.89</v>
      </c>
      <c r="AB182" s="148">
        <v>-20925</v>
      </c>
      <c r="AC182" s="149">
        <f t="shared" si="48"/>
        <v>-0.11000000000058208</v>
      </c>
      <c r="AD182" s="138">
        <v>44377</v>
      </c>
      <c r="AE182" s="150">
        <f t="shared" si="13"/>
        <v>1.191E-3</v>
      </c>
      <c r="AF182" s="151">
        <f t="shared" si="14"/>
        <v>44377</v>
      </c>
      <c r="AG182" s="152" t="s">
        <v>416</v>
      </c>
      <c r="AH182" s="124"/>
    </row>
    <row r="183" spans="1:34" ht="12" customHeight="1">
      <c r="A183" s="154">
        <v>44375</v>
      </c>
      <c r="B183" s="140" t="s">
        <v>553</v>
      </c>
      <c r="C183" s="141" t="s">
        <v>485</v>
      </c>
      <c r="D183" s="140"/>
      <c r="E183" s="140" t="str">
        <f t="shared" si="0"/>
        <v>NMDC</v>
      </c>
      <c r="F183" s="140"/>
      <c r="G183" s="140"/>
      <c r="H183" s="140"/>
      <c r="I183" s="141" t="s">
        <v>467</v>
      </c>
      <c r="J183" s="139" t="s">
        <v>483</v>
      </c>
      <c r="K183" s="141"/>
      <c r="L183" s="141"/>
      <c r="M183" s="142">
        <v>50</v>
      </c>
      <c r="N183" s="143">
        <v>184.5</v>
      </c>
      <c r="O183" s="144">
        <f t="shared" si="39"/>
        <v>0</v>
      </c>
      <c r="P183" s="144">
        <f t="shared" si="182"/>
        <v>184.5</v>
      </c>
      <c r="Q183" s="144"/>
      <c r="R183" s="144">
        <f t="shared" si="3"/>
        <v>9225</v>
      </c>
      <c r="S183" s="145">
        <f t="shared" si="4"/>
        <v>0.21820000000000001</v>
      </c>
      <c r="T183" s="145">
        <f t="shared" si="75"/>
        <v>0</v>
      </c>
      <c r="U183" s="145">
        <f t="shared" si="36"/>
        <v>0.05</v>
      </c>
      <c r="V183" s="145">
        <f t="shared" si="62"/>
        <v>9.23</v>
      </c>
      <c r="W183" s="145">
        <f t="shared" si="183"/>
        <v>1.38</v>
      </c>
      <c r="X183" s="145">
        <f t="shared" ref="X183:X188" si="185">ROUND(R183*G$1820,2)</f>
        <v>0.25</v>
      </c>
      <c r="Y183" s="145">
        <f t="shared" si="99"/>
        <v>0</v>
      </c>
      <c r="Z183" s="146">
        <f t="shared" si="10"/>
        <v>10.91</v>
      </c>
      <c r="AA183" s="147">
        <f t="shared" si="184"/>
        <v>-9235.91</v>
      </c>
      <c r="AB183" s="148">
        <v>-9236</v>
      </c>
      <c r="AC183" s="149">
        <f t="shared" si="48"/>
        <v>-9.0000000000145519E-2</v>
      </c>
      <c r="AD183" s="138">
        <v>44377</v>
      </c>
      <c r="AE183" s="150">
        <f t="shared" si="13"/>
        <v>1.183E-3</v>
      </c>
      <c r="AF183" s="151">
        <f t="shared" si="14"/>
        <v>44377</v>
      </c>
      <c r="AG183" s="152" t="s">
        <v>416</v>
      </c>
      <c r="AH183" s="124"/>
    </row>
    <row r="184" spans="1:34" ht="12" customHeight="1">
      <c r="A184" s="155">
        <v>44376</v>
      </c>
      <c r="B184" s="112" t="s">
        <v>544</v>
      </c>
      <c r="C184" s="127" t="s">
        <v>485</v>
      </c>
      <c r="D184" s="112"/>
      <c r="E184" s="112" t="str">
        <f t="shared" si="0"/>
        <v>CREDITACC</v>
      </c>
      <c r="F184" s="112"/>
      <c r="G184" s="112"/>
      <c r="H184" s="112"/>
      <c r="I184" s="127" t="s">
        <v>461</v>
      </c>
      <c r="J184" s="126" t="s">
        <v>483</v>
      </c>
      <c r="K184" s="127"/>
      <c r="L184" s="127"/>
      <c r="M184" s="128">
        <v>20</v>
      </c>
      <c r="N184" s="129">
        <v>757</v>
      </c>
      <c r="O184" s="130">
        <f t="shared" si="39"/>
        <v>0</v>
      </c>
      <c r="P184" s="130">
        <f t="shared" ref="P184:P185" si="186">N184-O184</f>
        <v>757</v>
      </c>
      <c r="Q184" s="130"/>
      <c r="R184" s="130">
        <f t="shared" si="3"/>
        <v>15140</v>
      </c>
      <c r="S184" s="131">
        <f t="shared" si="4"/>
        <v>0.78200000000000003</v>
      </c>
      <c r="T184" s="131">
        <f t="shared" si="75"/>
        <v>0</v>
      </c>
      <c r="U184" s="131">
        <f t="shared" si="36"/>
        <v>0.08</v>
      </c>
      <c r="V184" s="131">
        <f t="shared" si="62"/>
        <v>15.14</v>
      </c>
      <c r="W184" s="131">
        <v>0</v>
      </c>
      <c r="X184" s="131">
        <f t="shared" si="185"/>
        <v>0.42</v>
      </c>
      <c r="Y184" s="131">
        <f t="shared" si="99"/>
        <v>0</v>
      </c>
      <c r="Z184" s="131">
        <f t="shared" si="10"/>
        <v>15.64</v>
      </c>
      <c r="AA184" s="132">
        <f t="shared" ref="AA184:AA185" si="187">ROUND(R184-SUM(T184:Y184),2)</f>
        <v>15124.36</v>
      </c>
      <c r="AB184" s="133">
        <v>15124</v>
      </c>
      <c r="AC184" s="134">
        <f t="shared" si="48"/>
        <v>-0.36000000000058208</v>
      </c>
      <c r="AD184" s="125">
        <v>44378</v>
      </c>
      <c r="AE184" s="135">
        <f t="shared" si="13"/>
        <v>1.0330000000000001E-3</v>
      </c>
      <c r="AF184" s="136">
        <f t="shared" si="14"/>
        <v>44378</v>
      </c>
      <c r="AG184" s="137" t="s">
        <v>416</v>
      </c>
      <c r="AH184" s="124"/>
    </row>
    <row r="185" spans="1:34" ht="12" customHeight="1">
      <c r="A185" s="155">
        <v>44376</v>
      </c>
      <c r="B185" s="112" t="s">
        <v>547</v>
      </c>
      <c r="C185" s="127" t="s">
        <v>485</v>
      </c>
      <c r="D185" s="112"/>
      <c r="E185" s="112" t="str">
        <f t="shared" si="0"/>
        <v>NCC</v>
      </c>
      <c r="F185" s="112"/>
      <c r="G185" s="112"/>
      <c r="H185" s="112"/>
      <c r="I185" s="127" t="s">
        <v>461</v>
      </c>
      <c r="J185" s="126" t="s">
        <v>483</v>
      </c>
      <c r="K185" s="127"/>
      <c r="L185" s="127"/>
      <c r="M185" s="128">
        <v>200</v>
      </c>
      <c r="N185" s="129">
        <v>85.6</v>
      </c>
      <c r="O185" s="130">
        <f t="shared" si="39"/>
        <v>0</v>
      </c>
      <c r="P185" s="130">
        <f t="shared" si="186"/>
        <v>85.6</v>
      </c>
      <c r="Q185" s="130"/>
      <c r="R185" s="130">
        <f t="shared" si="3"/>
        <v>17120</v>
      </c>
      <c r="S185" s="131">
        <f t="shared" si="4"/>
        <v>8.8349999999999984E-2</v>
      </c>
      <c r="T185" s="131">
        <f t="shared" si="75"/>
        <v>0</v>
      </c>
      <c r="U185" s="131">
        <f t="shared" si="36"/>
        <v>0.08</v>
      </c>
      <c r="V185" s="131">
        <f t="shared" si="62"/>
        <v>17.12</v>
      </c>
      <c r="W185" s="131">
        <v>0</v>
      </c>
      <c r="X185" s="131">
        <f t="shared" si="185"/>
        <v>0.47</v>
      </c>
      <c r="Y185" s="131">
        <f t="shared" si="99"/>
        <v>0</v>
      </c>
      <c r="Z185" s="131">
        <f t="shared" si="10"/>
        <v>17.669999999999998</v>
      </c>
      <c r="AA185" s="132">
        <f t="shared" si="187"/>
        <v>17102.330000000002</v>
      </c>
      <c r="AB185" s="133">
        <v>17102</v>
      </c>
      <c r="AC185" s="134">
        <f t="shared" si="48"/>
        <v>-0.33000000000174623</v>
      </c>
      <c r="AD185" s="125">
        <v>44378</v>
      </c>
      <c r="AE185" s="135">
        <f t="shared" si="13"/>
        <v>1.0319999999999999E-3</v>
      </c>
      <c r="AF185" s="136">
        <f t="shared" si="14"/>
        <v>44378</v>
      </c>
      <c r="AG185" s="137" t="s">
        <v>416</v>
      </c>
      <c r="AH185" s="124"/>
    </row>
    <row r="186" spans="1:34" ht="12" customHeight="1">
      <c r="A186" s="154">
        <v>44376</v>
      </c>
      <c r="B186" s="140" t="s">
        <v>554</v>
      </c>
      <c r="C186" s="141" t="s">
        <v>485</v>
      </c>
      <c r="D186" s="140"/>
      <c r="E186" s="140" t="str">
        <f t="shared" si="0"/>
        <v>GUJAPOLLO</v>
      </c>
      <c r="F186" s="140"/>
      <c r="G186" s="140"/>
      <c r="H186" s="140"/>
      <c r="I186" s="141" t="s">
        <v>467</v>
      </c>
      <c r="J186" s="139" t="s">
        <v>483</v>
      </c>
      <c r="K186" s="141"/>
      <c r="L186" s="141"/>
      <c r="M186" s="142">
        <v>50</v>
      </c>
      <c r="N186" s="143">
        <v>250</v>
      </c>
      <c r="O186" s="144">
        <f t="shared" si="39"/>
        <v>0</v>
      </c>
      <c r="P186" s="144">
        <f t="shared" ref="P186:P188" si="188">N186+O186</f>
        <v>250</v>
      </c>
      <c r="Q186" s="144"/>
      <c r="R186" s="144">
        <f t="shared" si="3"/>
        <v>12500</v>
      </c>
      <c r="S186" s="145">
        <f t="shared" si="4"/>
        <v>0.29560000000000003</v>
      </c>
      <c r="T186" s="145">
        <f t="shared" si="75"/>
        <v>0</v>
      </c>
      <c r="U186" s="145">
        <f t="shared" si="36"/>
        <v>0.06</v>
      </c>
      <c r="V186" s="145">
        <f t="shared" si="62"/>
        <v>12.5</v>
      </c>
      <c r="W186" s="145">
        <f t="shared" ref="W186:W188" si="189">ROUND(R186*F$1823,2)</f>
        <v>1.88</v>
      </c>
      <c r="X186" s="145">
        <f t="shared" si="185"/>
        <v>0.34</v>
      </c>
      <c r="Y186" s="145">
        <f t="shared" si="99"/>
        <v>0</v>
      </c>
      <c r="Z186" s="146">
        <f t="shared" si="10"/>
        <v>14.780000000000001</v>
      </c>
      <c r="AA186" s="147">
        <f t="shared" ref="AA186:AA188" si="190">-ROUND(R186+SUM(T186:Y186),2)</f>
        <v>-12514.78</v>
      </c>
      <c r="AB186" s="148">
        <v>-12515</v>
      </c>
      <c r="AC186" s="149">
        <f t="shared" si="48"/>
        <v>-0.21999999999934516</v>
      </c>
      <c r="AD186" s="138">
        <v>44378</v>
      </c>
      <c r="AE186" s="150">
        <f t="shared" si="13"/>
        <v>1.1820000000000001E-3</v>
      </c>
      <c r="AF186" s="151">
        <f t="shared" si="14"/>
        <v>44378</v>
      </c>
      <c r="AG186" s="152" t="s">
        <v>416</v>
      </c>
      <c r="AH186" s="124"/>
    </row>
    <row r="187" spans="1:34" ht="12" customHeight="1">
      <c r="A187" s="154">
        <v>44376</v>
      </c>
      <c r="B187" s="140" t="s">
        <v>554</v>
      </c>
      <c r="C187" s="141" t="s">
        <v>485</v>
      </c>
      <c r="D187" s="140"/>
      <c r="E187" s="140" t="str">
        <f t="shared" si="0"/>
        <v>GUJAPOLLO</v>
      </c>
      <c r="F187" s="140"/>
      <c r="G187" s="140"/>
      <c r="H187" s="140"/>
      <c r="I187" s="141" t="s">
        <v>467</v>
      </c>
      <c r="J187" s="139" t="s">
        <v>483</v>
      </c>
      <c r="K187" s="141"/>
      <c r="L187" s="141"/>
      <c r="M187" s="142">
        <v>20</v>
      </c>
      <c r="N187" s="143">
        <v>228</v>
      </c>
      <c r="O187" s="144">
        <f t="shared" si="39"/>
        <v>0</v>
      </c>
      <c r="P187" s="144">
        <f t="shared" si="188"/>
        <v>228</v>
      </c>
      <c r="Q187" s="144"/>
      <c r="R187" s="144">
        <f t="shared" si="3"/>
        <v>4560</v>
      </c>
      <c r="S187" s="145">
        <f t="shared" si="4"/>
        <v>0.26949999999999996</v>
      </c>
      <c r="T187" s="145">
        <f t="shared" si="75"/>
        <v>0</v>
      </c>
      <c r="U187" s="145">
        <f t="shared" si="36"/>
        <v>0.02</v>
      </c>
      <c r="V187" s="145">
        <f t="shared" si="62"/>
        <v>4.5599999999999996</v>
      </c>
      <c r="W187" s="145">
        <f t="shared" si="189"/>
        <v>0.68</v>
      </c>
      <c r="X187" s="145">
        <f t="shared" si="185"/>
        <v>0.13</v>
      </c>
      <c r="Y187" s="145">
        <f t="shared" si="99"/>
        <v>0</v>
      </c>
      <c r="Z187" s="146">
        <f t="shared" si="10"/>
        <v>5.3899999999999988</v>
      </c>
      <c r="AA187" s="147">
        <f t="shared" si="190"/>
        <v>-4565.3900000000003</v>
      </c>
      <c r="AB187" s="148">
        <v>-4565</v>
      </c>
      <c r="AC187" s="149">
        <f t="shared" si="48"/>
        <v>0.39000000000032742</v>
      </c>
      <c r="AD187" s="138">
        <v>44378</v>
      </c>
      <c r="AE187" s="150">
        <f t="shared" si="13"/>
        <v>1.1820000000000001E-3</v>
      </c>
      <c r="AF187" s="151">
        <f t="shared" si="14"/>
        <v>44378</v>
      </c>
      <c r="AG187" s="152" t="s">
        <v>416</v>
      </c>
      <c r="AH187" s="124"/>
    </row>
    <row r="188" spans="1:34" ht="12" customHeight="1">
      <c r="A188" s="154">
        <v>44376</v>
      </c>
      <c r="B188" s="140" t="s">
        <v>521</v>
      </c>
      <c r="C188" s="141" t="s">
        <v>485</v>
      </c>
      <c r="D188" s="140"/>
      <c r="E188" s="140" t="str">
        <f t="shared" si="0"/>
        <v>IDEA</v>
      </c>
      <c r="F188" s="140"/>
      <c r="G188" s="140"/>
      <c r="H188" s="140"/>
      <c r="I188" s="141" t="s">
        <v>467</v>
      </c>
      <c r="J188" s="139" t="s">
        <v>483</v>
      </c>
      <c r="K188" s="141"/>
      <c r="L188" s="141"/>
      <c r="M188" s="142">
        <v>1000</v>
      </c>
      <c r="N188" s="143">
        <v>10.3</v>
      </c>
      <c r="O188" s="144">
        <f t="shared" si="39"/>
        <v>0</v>
      </c>
      <c r="P188" s="144">
        <f t="shared" si="188"/>
        <v>10.3</v>
      </c>
      <c r="Q188" s="144"/>
      <c r="R188" s="144">
        <f t="shared" si="3"/>
        <v>10300</v>
      </c>
      <c r="S188" s="145">
        <f t="shared" si="4"/>
        <v>1.2180000000000002E-2</v>
      </c>
      <c r="T188" s="145">
        <f t="shared" si="75"/>
        <v>0</v>
      </c>
      <c r="U188" s="145">
        <f t="shared" si="36"/>
        <v>0.05</v>
      </c>
      <c r="V188" s="145">
        <f t="shared" si="62"/>
        <v>10.3</v>
      </c>
      <c r="W188" s="145">
        <f t="shared" si="189"/>
        <v>1.55</v>
      </c>
      <c r="X188" s="145">
        <f t="shared" si="185"/>
        <v>0.28000000000000003</v>
      </c>
      <c r="Y188" s="145">
        <f t="shared" si="99"/>
        <v>0</v>
      </c>
      <c r="Z188" s="146">
        <f t="shared" si="10"/>
        <v>12.180000000000001</v>
      </c>
      <c r="AA188" s="147">
        <f t="shared" si="190"/>
        <v>-10312.18</v>
      </c>
      <c r="AB188" s="148">
        <v>-10312</v>
      </c>
      <c r="AC188" s="149">
        <f t="shared" si="48"/>
        <v>0.18000000000029104</v>
      </c>
      <c r="AD188" s="138">
        <v>44378</v>
      </c>
      <c r="AE188" s="150">
        <f t="shared" si="13"/>
        <v>1.183E-3</v>
      </c>
      <c r="AF188" s="151">
        <f t="shared" si="14"/>
        <v>44378</v>
      </c>
      <c r="AG188" s="152" t="s">
        <v>416</v>
      </c>
      <c r="AH188" s="124"/>
    </row>
    <row r="189" spans="1:34" ht="12" customHeight="1">
      <c r="A189" s="155">
        <v>44377</v>
      </c>
      <c r="B189" s="112" t="s">
        <v>535</v>
      </c>
      <c r="C189" s="127" t="s">
        <v>485</v>
      </c>
      <c r="D189" s="112"/>
      <c r="E189" s="112" t="str">
        <f t="shared" si="0"/>
        <v>KNRCON</v>
      </c>
      <c r="F189" s="112"/>
      <c r="G189" s="112"/>
      <c r="H189" s="112"/>
      <c r="I189" s="127" t="s">
        <v>461</v>
      </c>
      <c r="J189" s="126" t="s">
        <v>483</v>
      </c>
      <c r="K189" s="127"/>
      <c r="L189" s="127"/>
      <c r="M189" s="128">
        <v>50</v>
      </c>
      <c r="N189" s="129">
        <v>234.35</v>
      </c>
      <c r="O189" s="130">
        <f t="shared" si="39"/>
        <v>0</v>
      </c>
      <c r="P189" s="130">
        <f t="shared" ref="P189:P191" si="191">N189-O189</f>
        <v>234.35</v>
      </c>
      <c r="Q189" s="130"/>
      <c r="R189" s="130">
        <f t="shared" si="3"/>
        <v>11717.5</v>
      </c>
      <c r="S189" s="131">
        <f t="shared" si="4"/>
        <v>0.24380000000000002</v>
      </c>
      <c r="T189" s="131">
        <f t="shared" si="75"/>
        <v>0</v>
      </c>
      <c r="U189" s="131">
        <f t="shared" si="36"/>
        <v>7.0000000000000007E-2</v>
      </c>
      <c r="V189" s="131">
        <f t="shared" si="62"/>
        <v>11.72</v>
      </c>
      <c r="W189" s="131">
        <v>0</v>
      </c>
      <c r="X189" s="131">
        <f>ROUND(R189*H$1820,2)</f>
        <v>0.4</v>
      </c>
      <c r="Y189" s="131">
        <f t="shared" si="99"/>
        <v>0</v>
      </c>
      <c r="Z189" s="131">
        <f t="shared" si="10"/>
        <v>12.190000000000001</v>
      </c>
      <c r="AA189" s="132">
        <f t="shared" ref="AA189:AA191" si="192">ROUND(R189-SUM(T189:Y189),2)</f>
        <v>11705.31</v>
      </c>
      <c r="AB189" s="133">
        <v>11705</v>
      </c>
      <c r="AC189" s="134">
        <f t="shared" si="48"/>
        <v>-0.30999999999949068</v>
      </c>
      <c r="AD189" s="125">
        <v>44379</v>
      </c>
      <c r="AE189" s="135">
        <f t="shared" si="13"/>
        <v>1.0399999999999999E-3</v>
      </c>
      <c r="AF189" s="136">
        <f t="shared" si="14"/>
        <v>44379</v>
      </c>
      <c r="AG189" s="137" t="s">
        <v>416</v>
      </c>
      <c r="AH189" s="124"/>
    </row>
    <row r="190" spans="1:34" ht="12" customHeight="1">
      <c r="A190" s="155">
        <v>44377</v>
      </c>
      <c r="B190" s="112" t="s">
        <v>510</v>
      </c>
      <c r="C190" s="127" t="s">
        <v>485</v>
      </c>
      <c r="D190" s="112"/>
      <c r="E190" s="112" t="str">
        <f t="shared" si="0"/>
        <v>CYBERTECH</v>
      </c>
      <c r="F190" s="112"/>
      <c r="G190" s="112"/>
      <c r="H190" s="112"/>
      <c r="I190" s="127" t="s">
        <v>461</v>
      </c>
      <c r="J190" s="126" t="s">
        <v>483</v>
      </c>
      <c r="K190" s="127"/>
      <c r="L190" s="127"/>
      <c r="M190" s="128">
        <v>50</v>
      </c>
      <c r="N190" s="129">
        <v>155</v>
      </c>
      <c r="O190" s="130">
        <f t="shared" si="39"/>
        <v>0</v>
      </c>
      <c r="P190" s="130">
        <f t="shared" si="191"/>
        <v>155</v>
      </c>
      <c r="Q190" s="130"/>
      <c r="R190" s="130">
        <f t="shared" si="3"/>
        <v>7750</v>
      </c>
      <c r="S190" s="131">
        <f t="shared" si="4"/>
        <v>0.16</v>
      </c>
      <c r="T190" s="131">
        <f t="shared" si="75"/>
        <v>0</v>
      </c>
      <c r="U190" s="131">
        <f t="shared" si="36"/>
        <v>0.04</v>
      </c>
      <c r="V190" s="131">
        <f t="shared" si="62"/>
        <v>7.75</v>
      </c>
      <c r="W190" s="131">
        <v>0</v>
      </c>
      <c r="X190" s="131">
        <f t="shared" ref="X190:X191" si="193">ROUND(R190*G$1820,2)</f>
        <v>0.21</v>
      </c>
      <c r="Y190" s="131">
        <f t="shared" si="99"/>
        <v>0</v>
      </c>
      <c r="Z190" s="131">
        <f t="shared" si="10"/>
        <v>8</v>
      </c>
      <c r="AA190" s="132">
        <f t="shared" si="192"/>
        <v>7742</v>
      </c>
      <c r="AB190" s="133">
        <v>7742</v>
      </c>
      <c r="AC190" s="134">
        <f t="shared" si="48"/>
        <v>0</v>
      </c>
      <c r="AD190" s="125">
        <v>44379</v>
      </c>
      <c r="AE190" s="135">
        <f t="shared" si="13"/>
        <v>1.0319999999999999E-3</v>
      </c>
      <c r="AF190" s="136">
        <f t="shared" si="14"/>
        <v>44379</v>
      </c>
      <c r="AG190" s="137" t="s">
        <v>416</v>
      </c>
      <c r="AH190" s="124"/>
    </row>
    <row r="191" spans="1:34" ht="12" customHeight="1">
      <c r="A191" s="155">
        <v>44377</v>
      </c>
      <c r="B191" s="112" t="s">
        <v>539</v>
      </c>
      <c r="C191" s="127" t="s">
        <v>485</v>
      </c>
      <c r="D191" s="112"/>
      <c r="E191" s="112" t="str">
        <f t="shared" si="0"/>
        <v>JSL</v>
      </c>
      <c r="F191" s="112"/>
      <c r="G191" s="112"/>
      <c r="H191" s="112"/>
      <c r="I191" s="127" t="s">
        <v>461</v>
      </c>
      <c r="J191" s="126" t="s">
        <v>483</v>
      </c>
      <c r="K191" s="127"/>
      <c r="L191" s="127"/>
      <c r="M191" s="128">
        <v>200</v>
      </c>
      <c r="N191" s="129">
        <v>108.7</v>
      </c>
      <c r="O191" s="130">
        <f t="shared" si="39"/>
        <v>0</v>
      </c>
      <c r="P191" s="130">
        <f t="shared" si="191"/>
        <v>108.7</v>
      </c>
      <c r="Q191" s="130"/>
      <c r="R191" s="130">
        <f t="shared" si="3"/>
        <v>21740</v>
      </c>
      <c r="S191" s="131">
        <f t="shared" si="4"/>
        <v>0.11225</v>
      </c>
      <c r="T191" s="131">
        <f t="shared" si="75"/>
        <v>0</v>
      </c>
      <c r="U191" s="131">
        <f t="shared" si="36"/>
        <v>0.11</v>
      </c>
      <c r="V191" s="131">
        <f t="shared" si="62"/>
        <v>21.74</v>
      </c>
      <c r="W191" s="131">
        <v>0</v>
      </c>
      <c r="X191" s="131">
        <f t="shared" si="193"/>
        <v>0.6</v>
      </c>
      <c r="Y191" s="131">
        <f t="shared" si="99"/>
        <v>0</v>
      </c>
      <c r="Z191" s="131">
        <f t="shared" si="10"/>
        <v>22.45</v>
      </c>
      <c r="AA191" s="132">
        <f t="shared" si="192"/>
        <v>21717.55</v>
      </c>
      <c r="AB191" s="133">
        <v>21717</v>
      </c>
      <c r="AC191" s="134">
        <f t="shared" si="48"/>
        <v>-0.5499999999992724</v>
      </c>
      <c r="AD191" s="125">
        <v>44379</v>
      </c>
      <c r="AE191" s="135">
        <f t="shared" si="13"/>
        <v>1.0330000000000001E-3</v>
      </c>
      <c r="AF191" s="136">
        <f t="shared" si="14"/>
        <v>44379</v>
      </c>
      <c r="AG191" s="137" t="s">
        <v>416</v>
      </c>
      <c r="AH191" s="124"/>
    </row>
    <row r="192" spans="1:34" ht="12" customHeight="1">
      <c r="A192" s="154">
        <v>44377</v>
      </c>
      <c r="B192" s="140" t="s">
        <v>512</v>
      </c>
      <c r="C192" s="141" t="s">
        <v>485</v>
      </c>
      <c r="D192" s="140"/>
      <c r="E192" s="140" t="str">
        <f t="shared" si="0"/>
        <v>IRFC</v>
      </c>
      <c r="F192" s="140"/>
      <c r="G192" s="140"/>
      <c r="H192" s="140"/>
      <c r="I192" s="141" t="s">
        <v>467</v>
      </c>
      <c r="J192" s="139" t="s">
        <v>483</v>
      </c>
      <c r="K192" s="141"/>
      <c r="L192" s="141"/>
      <c r="M192" s="142">
        <v>500</v>
      </c>
      <c r="N192" s="143">
        <v>25</v>
      </c>
      <c r="O192" s="144">
        <f t="shared" si="39"/>
        <v>0</v>
      </c>
      <c r="P192" s="144">
        <f t="shared" ref="P192:P193" si="194">N192+O192</f>
        <v>25</v>
      </c>
      <c r="Q192" s="144"/>
      <c r="R192" s="144">
        <f t="shared" si="3"/>
        <v>12500</v>
      </c>
      <c r="S192" s="145">
        <f t="shared" si="4"/>
        <v>2.9780000000000001E-2</v>
      </c>
      <c r="T192" s="145">
        <f t="shared" si="75"/>
        <v>0</v>
      </c>
      <c r="U192" s="145">
        <f t="shared" si="36"/>
        <v>0.08</v>
      </c>
      <c r="V192" s="145">
        <f t="shared" si="62"/>
        <v>12.5</v>
      </c>
      <c r="W192" s="145">
        <f t="shared" ref="W192:W193" si="195">ROUND(R192*F$1823,2)</f>
        <v>1.88</v>
      </c>
      <c r="X192" s="145">
        <f t="shared" ref="X192:X193" si="196">ROUND(R192*H$1820,2)</f>
        <v>0.43</v>
      </c>
      <c r="Y192" s="145">
        <f t="shared" si="99"/>
        <v>0</v>
      </c>
      <c r="Z192" s="146">
        <f t="shared" si="10"/>
        <v>14.89</v>
      </c>
      <c r="AA192" s="147">
        <f t="shared" ref="AA192:AA193" si="197">-ROUND(R192+SUM(T192:Y192),2)</f>
        <v>-12514.89</v>
      </c>
      <c r="AB192" s="148">
        <v>-12515</v>
      </c>
      <c r="AC192" s="149">
        <f t="shared" si="48"/>
        <v>-0.11000000000058208</v>
      </c>
      <c r="AD192" s="138">
        <v>44379</v>
      </c>
      <c r="AE192" s="150">
        <f t="shared" si="13"/>
        <v>1.191E-3</v>
      </c>
      <c r="AF192" s="151">
        <f t="shared" si="14"/>
        <v>44379</v>
      </c>
      <c r="AG192" s="152" t="s">
        <v>416</v>
      </c>
      <c r="AH192" s="124"/>
    </row>
    <row r="193" spans="1:34" ht="12" customHeight="1">
      <c r="A193" s="154">
        <v>44377</v>
      </c>
      <c r="B193" s="140" t="s">
        <v>555</v>
      </c>
      <c r="C193" s="141" t="s">
        <v>485</v>
      </c>
      <c r="D193" s="140"/>
      <c r="E193" s="140" t="str">
        <f t="shared" si="0"/>
        <v>PNBGILTS</v>
      </c>
      <c r="F193" s="140"/>
      <c r="G193" s="140"/>
      <c r="H193" s="140"/>
      <c r="I193" s="141" t="s">
        <v>467</v>
      </c>
      <c r="J193" s="139" t="s">
        <v>483</v>
      </c>
      <c r="K193" s="141"/>
      <c r="L193" s="141"/>
      <c r="M193" s="142">
        <v>200</v>
      </c>
      <c r="N193" s="143">
        <v>74.849999999999994</v>
      </c>
      <c r="O193" s="144">
        <f t="shared" si="39"/>
        <v>0</v>
      </c>
      <c r="P193" s="144">
        <f t="shared" si="194"/>
        <v>74.849999999999994</v>
      </c>
      <c r="Q193" s="144"/>
      <c r="R193" s="144">
        <f t="shared" si="3"/>
        <v>14970</v>
      </c>
      <c r="S193" s="145">
        <f t="shared" si="4"/>
        <v>8.9150000000000007E-2</v>
      </c>
      <c r="T193" s="145">
        <f t="shared" si="75"/>
        <v>0</v>
      </c>
      <c r="U193" s="145">
        <f t="shared" si="36"/>
        <v>0.09</v>
      </c>
      <c r="V193" s="145">
        <f t="shared" si="62"/>
        <v>14.97</v>
      </c>
      <c r="W193" s="145">
        <f t="shared" si="195"/>
        <v>2.25</v>
      </c>
      <c r="X193" s="145">
        <f t="shared" si="196"/>
        <v>0.52</v>
      </c>
      <c r="Y193" s="145">
        <f t="shared" si="99"/>
        <v>0</v>
      </c>
      <c r="Z193" s="146">
        <f t="shared" si="10"/>
        <v>17.830000000000002</v>
      </c>
      <c r="AA193" s="147">
        <f t="shared" si="197"/>
        <v>-14987.83</v>
      </c>
      <c r="AB193" s="148">
        <v>-14988</v>
      </c>
      <c r="AC193" s="149">
        <f t="shared" si="48"/>
        <v>-0.17000000000007276</v>
      </c>
      <c r="AD193" s="138">
        <v>44379</v>
      </c>
      <c r="AE193" s="150">
        <f t="shared" si="13"/>
        <v>1.191E-3</v>
      </c>
      <c r="AF193" s="151">
        <f t="shared" si="14"/>
        <v>44379</v>
      </c>
      <c r="AG193" s="152" t="s">
        <v>416</v>
      </c>
      <c r="AH193" s="124"/>
    </row>
    <row r="194" spans="1:34" ht="12" customHeight="1">
      <c r="A194" s="155">
        <v>44378</v>
      </c>
      <c r="B194" s="112" t="s">
        <v>542</v>
      </c>
      <c r="C194" s="127" t="s">
        <v>485</v>
      </c>
      <c r="D194" s="112"/>
      <c r="E194" s="112" t="str">
        <f t="shared" si="0"/>
        <v>JPASSOCIAT</v>
      </c>
      <c r="F194" s="112"/>
      <c r="G194" s="112"/>
      <c r="H194" s="112"/>
      <c r="I194" s="127" t="s">
        <v>461</v>
      </c>
      <c r="J194" s="126" t="s">
        <v>483</v>
      </c>
      <c r="K194" s="127"/>
      <c r="L194" s="127"/>
      <c r="M194" s="128">
        <v>1000</v>
      </c>
      <c r="N194" s="129">
        <v>11.94</v>
      </c>
      <c r="O194" s="130">
        <f t="shared" si="39"/>
        <v>0</v>
      </c>
      <c r="P194" s="130">
        <f>N194-O194</f>
        <v>11.94</v>
      </c>
      <c r="Q194" s="130"/>
      <c r="R194" s="130">
        <f t="shared" si="3"/>
        <v>11940</v>
      </c>
      <c r="S194" s="131">
        <f t="shared" si="4"/>
        <v>1.2330000000000001E-2</v>
      </c>
      <c r="T194" s="131">
        <f t="shared" si="75"/>
        <v>0</v>
      </c>
      <c r="U194" s="131">
        <f t="shared" si="36"/>
        <v>0.06</v>
      </c>
      <c r="V194" s="131">
        <f t="shared" si="62"/>
        <v>11.94</v>
      </c>
      <c r="W194" s="131">
        <v>0</v>
      </c>
      <c r="X194" s="131">
        <f t="shared" ref="X194:X195" si="198">ROUND(R194*G$1820,2)</f>
        <v>0.33</v>
      </c>
      <c r="Y194" s="131">
        <f t="shared" si="99"/>
        <v>0</v>
      </c>
      <c r="Z194" s="131">
        <f t="shared" si="10"/>
        <v>12.33</v>
      </c>
      <c r="AA194" s="132">
        <f>ROUND(R194-SUM(T194:Y194),2)</f>
        <v>11927.67</v>
      </c>
      <c r="AB194" s="133">
        <v>11928</v>
      </c>
      <c r="AC194" s="134">
        <f t="shared" si="48"/>
        <v>0.32999999999992724</v>
      </c>
      <c r="AD194" s="125">
        <v>44382</v>
      </c>
      <c r="AE194" s="135">
        <f t="shared" si="13"/>
        <v>1.0330000000000001E-3</v>
      </c>
      <c r="AF194" s="136">
        <f t="shared" si="14"/>
        <v>44382</v>
      </c>
      <c r="AG194" s="137" t="s">
        <v>416</v>
      </c>
      <c r="AH194" s="124"/>
    </row>
    <row r="195" spans="1:34" ht="12" customHeight="1">
      <c r="A195" s="154">
        <v>44378</v>
      </c>
      <c r="B195" s="140" t="s">
        <v>542</v>
      </c>
      <c r="C195" s="141" t="s">
        <v>485</v>
      </c>
      <c r="D195" s="140"/>
      <c r="E195" s="140" t="str">
        <f t="shared" si="0"/>
        <v>JPASSOCIAT</v>
      </c>
      <c r="F195" s="140"/>
      <c r="G195" s="140"/>
      <c r="H195" s="140"/>
      <c r="I195" s="141" t="s">
        <v>467</v>
      </c>
      <c r="J195" s="139" t="s">
        <v>483</v>
      </c>
      <c r="K195" s="141"/>
      <c r="L195" s="141"/>
      <c r="M195" s="142">
        <v>1000</v>
      </c>
      <c r="N195" s="143">
        <v>12.45</v>
      </c>
      <c r="O195" s="144">
        <f t="shared" si="39"/>
        <v>0</v>
      </c>
      <c r="P195" s="144">
        <f t="shared" ref="P195:P197" si="199">N195+O195</f>
        <v>12.45</v>
      </c>
      <c r="Q195" s="144"/>
      <c r="R195" s="144">
        <f t="shared" si="3"/>
        <v>12450</v>
      </c>
      <c r="S195" s="145">
        <f t="shared" si="4"/>
        <v>1.4719999999999999E-2</v>
      </c>
      <c r="T195" s="145">
        <f t="shared" si="75"/>
        <v>0</v>
      </c>
      <c r="U195" s="145">
        <f t="shared" si="36"/>
        <v>0.06</v>
      </c>
      <c r="V195" s="145">
        <f t="shared" si="62"/>
        <v>12.45</v>
      </c>
      <c r="W195" s="145">
        <f t="shared" ref="W195:W197" si="200">ROUND(R195*F$1823,2)</f>
        <v>1.87</v>
      </c>
      <c r="X195" s="145">
        <f t="shared" si="198"/>
        <v>0.34</v>
      </c>
      <c r="Y195" s="145">
        <f t="shared" si="99"/>
        <v>0</v>
      </c>
      <c r="Z195" s="146">
        <f t="shared" si="10"/>
        <v>14.719999999999999</v>
      </c>
      <c r="AA195" s="147">
        <f t="shared" ref="AA195:AA197" si="201">-ROUND(R195+SUM(T195:Y195),2)</f>
        <v>-12464.72</v>
      </c>
      <c r="AB195" s="148">
        <v>-12465</v>
      </c>
      <c r="AC195" s="149">
        <f t="shared" si="48"/>
        <v>-0.28000000000065484</v>
      </c>
      <c r="AD195" s="138">
        <v>44382</v>
      </c>
      <c r="AE195" s="150">
        <f t="shared" si="13"/>
        <v>1.1820000000000001E-3</v>
      </c>
      <c r="AF195" s="151">
        <f t="shared" si="14"/>
        <v>44382</v>
      </c>
      <c r="AG195" s="152" t="s">
        <v>416</v>
      </c>
      <c r="AH195" s="124"/>
    </row>
    <row r="196" spans="1:34" ht="12" customHeight="1">
      <c r="A196" s="154">
        <v>44378</v>
      </c>
      <c r="B196" s="140" t="s">
        <v>505</v>
      </c>
      <c r="C196" s="141" t="s">
        <v>485</v>
      </c>
      <c r="D196" s="140"/>
      <c r="E196" s="140" t="str">
        <f t="shared" si="0"/>
        <v>CARBORUNIV</v>
      </c>
      <c r="F196" s="140"/>
      <c r="G196" s="140"/>
      <c r="H196" s="140"/>
      <c r="I196" s="141" t="s">
        <v>467</v>
      </c>
      <c r="J196" s="139" t="s">
        <v>483</v>
      </c>
      <c r="K196" s="141"/>
      <c r="L196" s="141"/>
      <c r="M196" s="142">
        <v>25</v>
      </c>
      <c r="N196" s="143">
        <v>635</v>
      </c>
      <c r="O196" s="144">
        <f t="shared" si="39"/>
        <v>0</v>
      </c>
      <c r="P196" s="144">
        <f t="shared" si="199"/>
        <v>635</v>
      </c>
      <c r="Q196" s="144"/>
      <c r="R196" s="144">
        <f t="shared" si="3"/>
        <v>15875</v>
      </c>
      <c r="S196" s="145">
        <f t="shared" si="4"/>
        <v>0.75639999999999996</v>
      </c>
      <c r="T196" s="145">
        <f t="shared" si="75"/>
        <v>0</v>
      </c>
      <c r="U196" s="145">
        <f t="shared" si="36"/>
        <v>0.1</v>
      </c>
      <c r="V196" s="145">
        <f t="shared" si="62"/>
        <v>15.88</v>
      </c>
      <c r="W196" s="145">
        <f t="shared" si="200"/>
        <v>2.38</v>
      </c>
      <c r="X196" s="145">
        <f t="shared" ref="X196:X198" si="202">ROUND(R196*H$1820,2)</f>
        <v>0.55000000000000004</v>
      </c>
      <c r="Y196" s="145">
        <f t="shared" si="99"/>
        <v>0</v>
      </c>
      <c r="Z196" s="146">
        <f t="shared" si="10"/>
        <v>18.91</v>
      </c>
      <c r="AA196" s="147">
        <f t="shared" si="201"/>
        <v>-15893.91</v>
      </c>
      <c r="AB196" s="148">
        <v>-15894</v>
      </c>
      <c r="AC196" s="149">
        <f t="shared" si="48"/>
        <v>-9.0000000000145519E-2</v>
      </c>
      <c r="AD196" s="138">
        <v>44382</v>
      </c>
      <c r="AE196" s="150">
        <f t="shared" si="13"/>
        <v>1.191E-3</v>
      </c>
      <c r="AF196" s="151">
        <f t="shared" si="14"/>
        <v>44382</v>
      </c>
      <c r="AG196" s="152" t="s">
        <v>416</v>
      </c>
      <c r="AH196" s="124"/>
    </row>
    <row r="197" spans="1:34" ht="12" customHeight="1">
      <c r="A197" s="154">
        <v>44378</v>
      </c>
      <c r="B197" s="140" t="s">
        <v>556</v>
      </c>
      <c r="C197" s="141" t="s">
        <v>485</v>
      </c>
      <c r="D197" s="140"/>
      <c r="E197" s="140" t="str">
        <f t="shared" si="0"/>
        <v>SRF</v>
      </c>
      <c r="F197" s="140"/>
      <c r="G197" s="140"/>
      <c r="H197" s="140"/>
      <c r="I197" s="141" t="s">
        <v>467</v>
      </c>
      <c r="J197" s="139" t="s">
        <v>483</v>
      </c>
      <c r="K197" s="141"/>
      <c r="L197" s="141"/>
      <c r="M197" s="142">
        <v>2</v>
      </c>
      <c r="N197" s="143">
        <v>7310</v>
      </c>
      <c r="O197" s="144">
        <f t="shared" si="39"/>
        <v>0</v>
      </c>
      <c r="P197" s="144">
        <f t="shared" si="199"/>
        <v>7310</v>
      </c>
      <c r="Q197" s="144"/>
      <c r="R197" s="144">
        <f t="shared" si="3"/>
        <v>14620</v>
      </c>
      <c r="S197" s="145">
        <f t="shared" si="4"/>
        <v>8.6999999999999993</v>
      </c>
      <c r="T197" s="145">
        <f t="shared" si="75"/>
        <v>0</v>
      </c>
      <c r="U197" s="145">
        <f t="shared" si="36"/>
        <v>0.09</v>
      </c>
      <c r="V197" s="145">
        <f t="shared" si="62"/>
        <v>14.62</v>
      </c>
      <c r="W197" s="145">
        <f t="shared" si="200"/>
        <v>2.19</v>
      </c>
      <c r="X197" s="145">
        <f t="shared" si="202"/>
        <v>0.5</v>
      </c>
      <c r="Y197" s="145">
        <f t="shared" si="99"/>
        <v>0</v>
      </c>
      <c r="Z197" s="146">
        <f t="shared" si="10"/>
        <v>17.399999999999999</v>
      </c>
      <c r="AA197" s="147">
        <f t="shared" si="201"/>
        <v>-14637.4</v>
      </c>
      <c r="AB197" s="148">
        <v>-14637</v>
      </c>
      <c r="AC197" s="149">
        <f t="shared" si="48"/>
        <v>0.3999999999996362</v>
      </c>
      <c r="AD197" s="138">
        <v>44382</v>
      </c>
      <c r="AE197" s="150">
        <f t="shared" si="13"/>
        <v>1.1900000000000001E-3</v>
      </c>
      <c r="AF197" s="151">
        <f t="shared" si="14"/>
        <v>44382</v>
      </c>
      <c r="AG197" s="152" t="s">
        <v>416</v>
      </c>
      <c r="AH197" s="124"/>
    </row>
    <row r="198" spans="1:34" ht="12" customHeight="1">
      <c r="A198" s="155">
        <v>44379</v>
      </c>
      <c r="B198" s="112" t="s">
        <v>505</v>
      </c>
      <c r="C198" s="127" t="s">
        <v>485</v>
      </c>
      <c r="D198" s="112"/>
      <c r="E198" s="112" t="str">
        <f t="shared" si="0"/>
        <v>CARBORUNIV</v>
      </c>
      <c r="F198" s="112"/>
      <c r="G198" s="112"/>
      <c r="H198" s="112"/>
      <c r="I198" s="127" t="s">
        <v>461</v>
      </c>
      <c r="J198" s="126" t="s">
        <v>483</v>
      </c>
      <c r="K198" s="127"/>
      <c r="L198" s="127"/>
      <c r="M198" s="128">
        <v>25</v>
      </c>
      <c r="N198" s="129">
        <v>661</v>
      </c>
      <c r="O198" s="130">
        <f t="shared" si="39"/>
        <v>0</v>
      </c>
      <c r="P198" s="130">
        <f>N198-O198</f>
        <v>661</v>
      </c>
      <c r="Q198" s="130"/>
      <c r="R198" s="130">
        <f t="shared" si="3"/>
        <v>16525</v>
      </c>
      <c r="S198" s="131">
        <f t="shared" si="4"/>
        <v>0.68800000000000017</v>
      </c>
      <c r="T198" s="131">
        <f t="shared" si="75"/>
        <v>0</v>
      </c>
      <c r="U198" s="131">
        <f t="shared" si="36"/>
        <v>0.1</v>
      </c>
      <c r="V198" s="131">
        <f t="shared" si="62"/>
        <v>16.53</v>
      </c>
      <c r="W198" s="131">
        <v>0</v>
      </c>
      <c r="X198" s="131">
        <f t="shared" si="202"/>
        <v>0.56999999999999995</v>
      </c>
      <c r="Y198" s="131">
        <f t="shared" si="99"/>
        <v>0</v>
      </c>
      <c r="Z198" s="131">
        <f t="shared" si="10"/>
        <v>17.200000000000003</v>
      </c>
      <c r="AA198" s="132">
        <f>ROUND(R198-SUM(T198:Y198),2)</f>
        <v>16507.8</v>
      </c>
      <c r="AB198" s="133">
        <v>16508</v>
      </c>
      <c r="AC198" s="134">
        <f t="shared" si="48"/>
        <v>0.2000000000007276</v>
      </c>
      <c r="AD198" s="125">
        <v>44383</v>
      </c>
      <c r="AE198" s="135">
        <f t="shared" si="13"/>
        <v>1.041E-3</v>
      </c>
      <c r="AF198" s="136">
        <f t="shared" si="14"/>
        <v>44383</v>
      </c>
      <c r="AG198" s="137" t="s">
        <v>416</v>
      </c>
      <c r="AH198" s="124"/>
    </row>
    <row r="199" spans="1:34" ht="12" customHeight="1">
      <c r="A199" s="154">
        <v>44379</v>
      </c>
      <c r="B199" s="140" t="s">
        <v>521</v>
      </c>
      <c r="C199" s="141" t="s">
        <v>485</v>
      </c>
      <c r="D199" s="140"/>
      <c r="E199" s="140" t="str">
        <f t="shared" si="0"/>
        <v>IDEA</v>
      </c>
      <c r="F199" s="140"/>
      <c r="G199" s="140"/>
      <c r="H199" s="140"/>
      <c r="I199" s="141" t="s">
        <v>467</v>
      </c>
      <c r="J199" s="139" t="s">
        <v>483</v>
      </c>
      <c r="K199" s="141"/>
      <c r="L199" s="141"/>
      <c r="M199" s="142">
        <v>1000</v>
      </c>
      <c r="N199" s="143">
        <v>8.8000000000000007</v>
      </c>
      <c r="O199" s="144">
        <f t="shared" si="39"/>
        <v>0</v>
      </c>
      <c r="P199" s="144">
        <f t="shared" ref="P199:P201" si="203">N199+O199</f>
        <v>8.8000000000000007</v>
      </c>
      <c r="Q199" s="144"/>
      <c r="R199" s="144">
        <f t="shared" si="3"/>
        <v>8800</v>
      </c>
      <c r="S199" s="145">
        <f t="shared" si="4"/>
        <v>1.04E-2</v>
      </c>
      <c r="T199" s="145">
        <f t="shared" si="75"/>
        <v>0</v>
      </c>
      <c r="U199" s="145">
        <f t="shared" si="36"/>
        <v>0.04</v>
      </c>
      <c r="V199" s="145">
        <f t="shared" si="62"/>
        <v>8.8000000000000007</v>
      </c>
      <c r="W199" s="145">
        <f t="shared" ref="W199:W201" si="204">ROUND(R199*F$1823,2)</f>
        <v>1.32</v>
      </c>
      <c r="X199" s="145">
        <f>ROUND(R199*G$1820,2)</f>
        <v>0.24</v>
      </c>
      <c r="Y199" s="145">
        <f t="shared" si="99"/>
        <v>0</v>
      </c>
      <c r="Z199" s="146">
        <f t="shared" si="10"/>
        <v>10.4</v>
      </c>
      <c r="AA199" s="147">
        <f t="shared" ref="AA199:AA201" si="205">-ROUND(R199+SUM(T199:Y199),2)</f>
        <v>-8810.4</v>
      </c>
      <c r="AB199" s="148">
        <v>-8810</v>
      </c>
      <c r="AC199" s="149">
        <f t="shared" si="48"/>
        <v>0.3999999999996362</v>
      </c>
      <c r="AD199" s="138">
        <v>44383</v>
      </c>
      <c r="AE199" s="150">
        <f t="shared" si="13"/>
        <v>1.1820000000000001E-3</v>
      </c>
      <c r="AF199" s="151">
        <f t="shared" si="14"/>
        <v>44383</v>
      </c>
      <c r="AG199" s="152" t="s">
        <v>416</v>
      </c>
      <c r="AH199" s="124"/>
    </row>
    <row r="200" spans="1:34" ht="12" customHeight="1">
      <c r="A200" s="154">
        <v>44379</v>
      </c>
      <c r="B200" s="140" t="s">
        <v>498</v>
      </c>
      <c r="C200" s="141" t="s">
        <v>485</v>
      </c>
      <c r="D200" s="140"/>
      <c r="E200" s="140" t="str">
        <f t="shared" si="0"/>
        <v>BAJFINANCE</v>
      </c>
      <c r="F200" s="140"/>
      <c r="G200" s="140"/>
      <c r="H200" s="140"/>
      <c r="I200" s="141" t="s">
        <v>467</v>
      </c>
      <c r="J200" s="139" t="s">
        <v>483</v>
      </c>
      <c r="K200" s="141"/>
      <c r="L200" s="141"/>
      <c r="M200" s="142">
        <v>2</v>
      </c>
      <c r="N200" s="143">
        <v>5980</v>
      </c>
      <c r="O200" s="144">
        <f t="shared" si="39"/>
        <v>0</v>
      </c>
      <c r="P200" s="144">
        <f t="shared" si="203"/>
        <v>5980</v>
      </c>
      <c r="Q200" s="144"/>
      <c r="R200" s="144">
        <f t="shared" si="3"/>
        <v>11960</v>
      </c>
      <c r="S200" s="145">
        <f t="shared" si="4"/>
        <v>7.1150000000000002</v>
      </c>
      <c r="T200" s="145">
        <f t="shared" si="75"/>
        <v>0</v>
      </c>
      <c r="U200" s="145">
        <f t="shared" si="36"/>
        <v>7.0000000000000007E-2</v>
      </c>
      <c r="V200" s="145">
        <f t="shared" si="62"/>
        <v>11.96</v>
      </c>
      <c r="W200" s="145">
        <f t="shared" si="204"/>
        <v>1.79</v>
      </c>
      <c r="X200" s="145">
        <f t="shared" ref="X200:X202" si="206">ROUND(R200*H$1820,2)</f>
        <v>0.41</v>
      </c>
      <c r="Y200" s="145">
        <f t="shared" si="99"/>
        <v>0</v>
      </c>
      <c r="Z200" s="146">
        <f t="shared" si="10"/>
        <v>14.23</v>
      </c>
      <c r="AA200" s="147">
        <f t="shared" si="205"/>
        <v>-11974.23</v>
      </c>
      <c r="AB200" s="148">
        <v>-11974</v>
      </c>
      <c r="AC200" s="149">
        <f t="shared" si="48"/>
        <v>0.22999999999956344</v>
      </c>
      <c r="AD200" s="138">
        <v>44383</v>
      </c>
      <c r="AE200" s="150">
        <f t="shared" si="13"/>
        <v>1.1900000000000001E-3</v>
      </c>
      <c r="AF200" s="151">
        <f t="shared" si="14"/>
        <v>44383</v>
      </c>
      <c r="AG200" s="152" t="s">
        <v>416</v>
      </c>
      <c r="AH200" s="124"/>
    </row>
    <row r="201" spans="1:34" ht="12" customHeight="1">
      <c r="A201" s="154">
        <v>44379</v>
      </c>
      <c r="B201" s="140" t="s">
        <v>557</v>
      </c>
      <c r="C201" s="141" t="s">
        <v>485</v>
      </c>
      <c r="D201" s="140"/>
      <c r="E201" s="140" t="str">
        <f t="shared" si="0"/>
        <v>SKIPPER</v>
      </c>
      <c r="F201" s="140"/>
      <c r="G201" s="140"/>
      <c r="H201" s="140"/>
      <c r="I201" s="141" t="s">
        <v>467</v>
      </c>
      <c r="J201" s="139" t="s">
        <v>483</v>
      </c>
      <c r="K201" s="141"/>
      <c r="L201" s="141"/>
      <c r="M201" s="142">
        <v>100</v>
      </c>
      <c r="N201" s="143">
        <v>91.5</v>
      </c>
      <c r="O201" s="144">
        <f t="shared" si="39"/>
        <v>0</v>
      </c>
      <c r="P201" s="144">
        <f t="shared" si="203"/>
        <v>91.5</v>
      </c>
      <c r="Q201" s="144"/>
      <c r="R201" s="144">
        <f t="shared" si="3"/>
        <v>9150</v>
      </c>
      <c r="S201" s="145">
        <f t="shared" si="4"/>
        <v>0.10900000000000003</v>
      </c>
      <c r="T201" s="145">
        <f t="shared" si="75"/>
        <v>0</v>
      </c>
      <c r="U201" s="145">
        <f t="shared" si="36"/>
        <v>0.06</v>
      </c>
      <c r="V201" s="145">
        <f t="shared" si="62"/>
        <v>9.15</v>
      </c>
      <c r="W201" s="145">
        <f t="shared" si="204"/>
        <v>1.37</v>
      </c>
      <c r="X201" s="145">
        <f t="shared" si="206"/>
        <v>0.32</v>
      </c>
      <c r="Y201" s="145">
        <f t="shared" si="99"/>
        <v>0</v>
      </c>
      <c r="Z201" s="146">
        <f t="shared" si="10"/>
        <v>10.900000000000002</v>
      </c>
      <c r="AA201" s="147">
        <f t="shared" si="205"/>
        <v>-9160.9</v>
      </c>
      <c r="AB201" s="148">
        <v>-9161</v>
      </c>
      <c r="AC201" s="149">
        <f t="shared" si="48"/>
        <v>-0.1000000000003638</v>
      </c>
      <c r="AD201" s="138">
        <v>44383</v>
      </c>
      <c r="AE201" s="150">
        <f t="shared" si="13"/>
        <v>1.191E-3</v>
      </c>
      <c r="AF201" s="151">
        <f t="shared" si="14"/>
        <v>44383</v>
      </c>
      <c r="AG201" s="152" t="s">
        <v>416</v>
      </c>
      <c r="AH201" s="124"/>
    </row>
    <row r="202" spans="1:34" ht="12" customHeight="1">
      <c r="A202" s="155">
        <v>44382</v>
      </c>
      <c r="B202" s="112" t="s">
        <v>481</v>
      </c>
      <c r="C202" s="127" t="s">
        <v>485</v>
      </c>
      <c r="D202" s="112"/>
      <c r="E202" s="112" t="str">
        <f t="shared" si="0"/>
        <v>HINDALCO</v>
      </c>
      <c r="F202" s="112"/>
      <c r="G202" s="112"/>
      <c r="H202" s="112"/>
      <c r="I202" s="127" t="s">
        <v>461</v>
      </c>
      <c r="J202" s="126" t="s">
        <v>483</v>
      </c>
      <c r="K202" s="127"/>
      <c r="L202" s="127"/>
      <c r="M202" s="128">
        <v>50</v>
      </c>
      <c r="N202" s="129">
        <v>389</v>
      </c>
      <c r="O202" s="130">
        <f t="shared" si="39"/>
        <v>0</v>
      </c>
      <c r="P202" s="130">
        <f t="shared" ref="P202:P203" si="207">N202-O202</f>
        <v>389</v>
      </c>
      <c r="Q202" s="130"/>
      <c r="R202" s="130">
        <f t="shared" si="3"/>
        <v>19450</v>
      </c>
      <c r="S202" s="131">
        <f t="shared" si="4"/>
        <v>0.40480000000000005</v>
      </c>
      <c r="T202" s="131">
        <f t="shared" si="75"/>
        <v>0</v>
      </c>
      <c r="U202" s="131">
        <f t="shared" si="36"/>
        <v>0.12</v>
      </c>
      <c r="V202" s="131">
        <f t="shared" si="62"/>
        <v>19.45</v>
      </c>
      <c r="W202" s="131">
        <v>0</v>
      </c>
      <c r="X202" s="131">
        <f t="shared" si="206"/>
        <v>0.67</v>
      </c>
      <c r="Y202" s="131">
        <f t="shared" si="99"/>
        <v>0</v>
      </c>
      <c r="Z202" s="131">
        <f t="shared" si="10"/>
        <v>20.240000000000002</v>
      </c>
      <c r="AA202" s="132">
        <f t="shared" ref="AA202:AA203" si="208">ROUND(R202-SUM(T202:Y202),2)</f>
        <v>19429.759999999998</v>
      </c>
      <c r="AB202" s="133">
        <v>19430</v>
      </c>
      <c r="AC202" s="134">
        <f t="shared" si="48"/>
        <v>0.24000000000160071</v>
      </c>
      <c r="AD202" s="125">
        <v>44384</v>
      </c>
      <c r="AE202" s="135">
        <f t="shared" si="13"/>
        <v>1.041E-3</v>
      </c>
      <c r="AF202" s="136">
        <f t="shared" si="14"/>
        <v>44384</v>
      </c>
      <c r="AG202" s="137" t="s">
        <v>416</v>
      </c>
      <c r="AH202" s="124"/>
    </row>
    <row r="203" spans="1:34" ht="12" customHeight="1">
      <c r="A203" s="155">
        <v>44382</v>
      </c>
      <c r="B203" s="112" t="s">
        <v>510</v>
      </c>
      <c r="C203" s="127" t="s">
        <v>485</v>
      </c>
      <c r="D203" s="112"/>
      <c r="E203" s="112" t="str">
        <f t="shared" si="0"/>
        <v>CYBERTECH</v>
      </c>
      <c r="F203" s="112"/>
      <c r="G203" s="112"/>
      <c r="H203" s="112"/>
      <c r="I203" s="127" t="s">
        <v>461</v>
      </c>
      <c r="J203" s="126" t="s">
        <v>483</v>
      </c>
      <c r="K203" s="127"/>
      <c r="L203" s="127"/>
      <c r="M203" s="128">
        <v>50</v>
      </c>
      <c r="N203" s="129">
        <v>162.25</v>
      </c>
      <c r="O203" s="130">
        <f t="shared" si="39"/>
        <v>0</v>
      </c>
      <c r="P203" s="130">
        <f t="shared" si="207"/>
        <v>162.25</v>
      </c>
      <c r="Q203" s="130"/>
      <c r="R203" s="130">
        <f t="shared" si="3"/>
        <v>8112.5</v>
      </c>
      <c r="S203" s="131">
        <f t="shared" si="4"/>
        <v>0.16739999999999999</v>
      </c>
      <c r="T203" s="131">
        <f t="shared" si="75"/>
        <v>0</v>
      </c>
      <c r="U203" s="131">
        <f t="shared" si="36"/>
        <v>0.04</v>
      </c>
      <c r="V203" s="131">
        <f t="shared" si="62"/>
        <v>8.11</v>
      </c>
      <c r="W203" s="131">
        <v>0</v>
      </c>
      <c r="X203" s="131">
        <f t="shared" ref="X203:X208" si="209">ROUND(R203*G$1820,2)</f>
        <v>0.22</v>
      </c>
      <c r="Y203" s="131">
        <f t="shared" si="99"/>
        <v>0</v>
      </c>
      <c r="Z203" s="131">
        <f t="shared" si="10"/>
        <v>8.3699999999999992</v>
      </c>
      <c r="AA203" s="132">
        <f t="shared" si="208"/>
        <v>8104.13</v>
      </c>
      <c r="AB203" s="133">
        <v>8104</v>
      </c>
      <c r="AC203" s="134">
        <f t="shared" si="48"/>
        <v>-0.13000000000010914</v>
      </c>
      <c r="AD203" s="125">
        <v>44384</v>
      </c>
      <c r="AE203" s="135">
        <f t="shared" si="13"/>
        <v>1.0319999999999999E-3</v>
      </c>
      <c r="AF203" s="136">
        <f t="shared" si="14"/>
        <v>44384</v>
      </c>
      <c r="AG203" s="137" t="s">
        <v>416</v>
      </c>
      <c r="AH203" s="124"/>
    </row>
    <row r="204" spans="1:34" ht="12" customHeight="1">
      <c r="A204" s="154">
        <v>44382</v>
      </c>
      <c r="B204" s="140" t="s">
        <v>541</v>
      </c>
      <c r="C204" s="141" t="s">
        <v>485</v>
      </c>
      <c r="D204" s="140"/>
      <c r="E204" s="140" t="str">
        <f t="shared" si="0"/>
        <v>GREAVESCOT</v>
      </c>
      <c r="F204" s="140"/>
      <c r="G204" s="140"/>
      <c r="H204" s="140"/>
      <c r="I204" s="141" t="s">
        <v>467</v>
      </c>
      <c r="J204" s="139" t="s">
        <v>483</v>
      </c>
      <c r="K204" s="141"/>
      <c r="L204" s="141"/>
      <c r="M204" s="142">
        <v>50</v>
      </c>
      <c r="N204" s="143">
        <v>175.5</v>
      </c>
      <c r="O204" s="144">
        <f t="shared" si="39"/>
        <v>0</v>
      </c>
      <c r="P204" s="144">
        <f>N204+O204</f>
        <v>175.5</v>
      </c>
      <c r="Q204" s="144"/>
      <c r="R204" s="144">
        <f t="shared" si="3"/>
        <v>8775</v>
      </c>
      <c r="S204" s="145">
        <f t="shared" si="4"/>
        <v>0.20759999999999998</v>
      </c>
      <c r="T204" s="145">
        <f t="shared" si="75"/>
        <v>0</v>
      </c>
      <c r="U204" s="145">
        <f t="shared" si="36"/>
        <v>0.04</v>
      </c>
      <c r="V204" s="145">
        <f t="shared" si="62"/>
        <v>8.7799999999999994</v>
      </c>
      <c r="W204" s="145">
        <f>ROUND(R204*F$1823,2)</f>
        <v>1.32</v>
      </c>
      <c r="X204" s="145">
        <f t="shared" si="209"/>
        <v>0.24</v>
      </c>
      <c r="Y204" s="145">
        <f t="shared" si="99"/>
        <v>0</v>
      </c>
      <c r="Z204" s="146">
        <f t="shared" si="10"/>
        <v>10.379999999999999</v>
      </c>
      <c r="AA204" s="147">
        <f>-ROUND(R204+SUM(T204:Y204),2)</f>
        <v>-8785.3799999999992</v>
      </c>
      <c r="AB204" s="148">
        <v>-8785</v>
      </c>
      <c r="AC204" s="149">
        <f t="shared" si="48"/>
        <v>0.37999999999919964</v>
      </c>
      <c r="AD204" s="138">
        <v>44384</v>
      </c>
      <c r="AE204" s="150">
        <f t="shared" si="13"/>
        <v>1.183E-3</v>
      </c>
      <c r="AF204" s="151">
        <f t="shared" si="14"/>
        <v>44384</v>
      </c>
      <c r="AG204" s="152" t="s">
        <v>416</v>
      </c>
      <c r="AH204" s="124"/>
    </row>
    <row r="205" spans="1:34" ht="12" customHeight="1">
      <c r="A205" s="155">
        <v>44383</v>
      </c>
      <c r="B205" s="112" t="s">
        <v>498</v>
      </c>
      <c r="C205" s="127" t="s">
        <v>485</v>
      </c>
      <c r="D205" s="112"/>
      <c r="E205" s="112" t="str">
        <f t="shared" si="0"/>
        <v>BAJFINANCE</v>
      </c>
      <c r="F205" s="112"/>
      <c r="G205" s="112"/>
      <c r="H205" s="112"/>
      <c r="I205" s="127" t="s">
        <v>461</v>
      </c>
      <c r="J205" s="126" t="s">
        <v>483</v>
      </c>
      <c r="K205" s="127"/>
      <c r="L205" s="127"/>
      <c r="M205" s="128">
        <v>2</v>
      </c>
      <c r="N205" s="129">
        <v>6115</v>
      </c>
      <c r="O205" s="130">
        <f t="shared" si="39"/>
        <v>0</v>
      </c>
      <c r="P205" s="130">
        <f>N205-O205</f>
        <v>6115</v>
      </c>
      <c r="Q205" s="130"/>
      <c r="R205" s="130">
        <f t="shared" si="3"/>
        <v>12230</v>
      </c>
      <c r="S205" s="131">
        <f t="shared" si="4"/>
        <v>6.3150000000000004</v>
      </c>
      <c r="T205" s="131">
        <f t="shared" si="75"/>
        <v>0</v>
      </c>
      <c r="U205" s="131">
        <f t="shared" si="36"/>
        <v>0.06</v>
      </c>
      <c r="V205" s="131">
        <f t="shared" si="62"/>
        <v>12.23</v>
      </c>
      <c r="W205" s="131">
        <v>0</v>
      </c>
      <c r="X205" s="131">
        <f t="shared" si="209"/>
        <v>0.34</v>
      </c>
      <c r="Y205" s="131">
        <f t="shared" si="99"/>
        <v>0</v>
      </c>
      <c r="Z205" s="131">
        <f t="shared" si="10"/>
        <v>12.63</v>
      </c>
      <c r="AA205" s="132">
        <f>ROUND(R205-SUM(T205:Y205),2)</f>
        <v>12217.37</v>
      </c>
      <c r="AB205" s="133">
        <v>12217</v>
      </c>
      <c r="AC205" s="134">
        <f t="shared" si="48"/>
        <v>-0.37000000000080036</v>
      </c>
      <c r="AD205" s="125">
        <v>44385</v>
      </c>
      <c r="AE205" s="135">
        <f t="shared" si="13"/>
        <v>1.0330000000000001E-3</v>
      </c>
      <c r="AF205" s="136">
        <f t="shared" si="14"/>
        <v>44385</v>
      </c>
      <c r="AG205" s="137" t="s">
        <v>416</v>
      </c>
      <c r="AH205" s="124"/>
    </row>
    <row r="206" spans="1:34" ht="12" customHeight="1">
      <c r="A206" s="154">
        <v>44383</v>
      </c>
      <c r="B206" s="140" t="s">
        <v>558</v>
      </c>
      <c r="C206" s="141" t="s">
        <v>485</v>
      </c>
      <c r="D206" s="140"/>
      <c r="E206" s="140" t="str">
        <f t="shared" si="0"/>
        <v>GENUSPOWER</v>
      </c>
      <c r="F206" s="140"/>
      <c r="G206" s="140"/>
      <c r="H206" s="140"/>
      <c r="I206" s="141" t="s">
        <v>467</v>
      </c>
      <c r="J206" s="139" t="s">
        <v>483</v>
      </c>
      <c r="K206" s="141"/>
      <c r="L206" s="141"/>
      <c r="M206" s="142">
        <v>100</v>
      </c>
      <c r="N206" s="143">
        <v>73.7</v>
      </c>
      <c r="O206" s="144">
        <f t="shared" si="39"/>
        <v>0</v>
      </c>
      <c r="P206" s="144">
        <f t="shared" ref="P206:P210" si="210">N206+O206</f>
        <v>73.7</v>
      </c>
      <c r="Q206" s="144"/>
      <c r="R206" s="144">
        <f t="shared" si="3"/>
        <v>7370</v>
      </c>
      <c r="S206" s="145">
        <f t="shared" si="4"/>
        <v>8.7199999999999986E-2</v>
      </c>
      <c r="T206" s="145">
        <f t="shared" si="75"/>
        <v>0</v>
      </c>
      <c r="U206" s="145">
        <f t="shared" si="36"/>
        <v>0.04</v>
      </c>
      <c r="V206" s="145">
        <f t="shared" si="62"/>
        <v>7.37</v>
      </c>
      <c r="W206" s="145">
        <f t="shared" ref="W206:W210" si="211">ROUND(R206*F$1823,2)</f>
        <v>1.1100000000000001</v>
      </c>
      <c r="X206" s="145">
        <f t="shared" si="209"/>
        <v>0.2</v>
      </c>
      <c r="Y206" s="145">
        <f t="shared" si="99"/>
        <v>0</v>
      </c>
      <c r="Z206" s="146">
        <f t="shared" si="10"/>
        <v>8.7199999999999989</v>
      </c>
      <c r="AA206" s="147">
        <f t="shared" ref="AA206:AA210" si="212">-ROUND(R206+SUM(T206:Y206),2)</f>
        <v>-7378.72</v>
      </c>
      <c r="AB206" s="147">
        <v>-7379</v>
      </c>
      <c r="AC206" s="149">
        <f t="shared" si="48"/>
        <v>-0.27999999999974534</v>
      </c>
      <c r="AD206" s="138">
        <v>44385</v>
      </c>
      <c r="AE206" s="150">
        <f t="shared" si="13"/>
        <v>1.183E-3</v>
      </c>
      <c r="AF206" s="151">
        <f t="shared" si="14"/>
        <v>44385</v>
      </c>
      <c r="AG206" s="152" t="s">
        <v>416</v>
      </c>
      <c r="AH206" s="124"/>
    </row>
    <row r="207" spans="1:34" ht="12" customHeight="1">
      <c r="A207" s="154">
        <v>44383</v>
      </c>
      <c r="B207" s="140" t="s">
        <v>559</v>
      </c>
      <c r="C207" s="141" t="s">
        <v>485</v>
      </c>
      <c r="D207" s="140"/>
      <c r="E207" s="140" t="str">
        <f t="shared" si="0"/>
        <v>HBLPOWER</v>
      </c>
      <c r="F207" s="140"/>
      <c r="G207" s="140"/>
      <c r="H207" s="140"/>
      <c r="I207" s="141" t="s">
        <v>467</v>
      </c>
      <c r="J207" s="139" t="s">
        <v>483</v>
      </c>
      <c r="K207" s="141"/>
      <c r="L207" s="141"/>
      <c r="M207" s="142">
        <v>100</v>
      </c>
      <c r="N207" s="143">
        <v>55.1</v>
      </c>
      <c r="O207" s="144">
        <f t="shared" si="39"/>
        <v>0</v>
      </c>
      <c r="P207" s="144">
        <f t="shared" si="210"/>
        <v>55.1</v>
      </c>
      <c r="Q207" s="144"/>
      <c r="R207" s="144">
        <f t="shared" si="3"/>
        <v>5510</v>
      </c>
      <c r="S207" s="145">
        <f t="shared" si="4"/>
        <v>6.5200000000000008E-2</v>
      </c>
      <c r="T207" s="145">
        <f t="shared" si="75"/>
        <v>0</v>
      </c>
      <c r="U207" s="145">
        <f t="shared" si="36"/>
        <v>0.03</v>
      </c>
      <c r="V207" s="145">
        <f t="shared" si="62"/>
        <v>5.51</v>
      </c>
      <c r="W207" s="145">
        <f t="shared" si="211"/>
        <v>0.83</v>
      </c>
      <c r="X207" s="145">
        <f t="shared" si="209"/>
        <v>0.15</v>
      </c>
      <c r="Y207" s="145">
        <f t="shared" si="99"/>
        <v>0</v>
      </c>
      <c r="Z207" s="146">
        <f t="shared" si="10"/>
        <v>6.5200000000000005</v>
      </c>
      <c r="AA207" s="147">
        <f t="shared" si="212"/>
        <v>-5516.52</v>
      </c>
      <c r="AB207" s="147">
        <v>-5517</v>
      </c>
      <c r="AC207" s="149">
        <f t="shared" si="48"/>
        <v>-0.47999999999956344</v>
      </c>
      <c r="AD207" s="138">
        <v>44385</v>
      </c>
      <c r="AE207" s="150">
        <f t="shared" si="13"/>
        <v>1.183E-3</v>
      </c>
      <c r="AF207" s="151">
        <f t="shared" si="14"/>
        <v>44385</v>
      </c>
      <c r="AG207" s="152" t="s">
        <v>416</v>
      </c>
      <c r="AH207" s="124"/>
    </row>
    <row r="208" spans="1:34" ht="12" customHeight="1">
      <c r="A208" s="154">
        <v>44383</v>
      </c>
      <c r="B208" s="140" t="s">
        <v>560</v>
      </c>
      <c r="C208" s="141" t="s">
        <v>485</v>
      </c>
      <c r="D208" s="140"/>
      <c r="E208" s="140" t="str">
        <f t="shared" si="0"/>
        <v>EASEMYTRIP</v>
      </c>
      <c r="F208" s="140"/>
      <c r="G208" s="140"/>
      <c r="H208" s="140"/>
      <c r="I208" s="141" t="s">
        <v>467</v>
      </c>
      <c r="J208" s="139" t="s">
        <v>483</v>
      </c>
      <c r="K208" s="141"/>
      <c r="L208" s="141"/>
      <c r="M208" s="142">
        <v>10</v>
      </c>
      <c r="N208" s="143">
        <v>458.18</v>
      </c>
      <c r="O208" s="144">
        <f t="shared" si="39"/>
        <v>0</v>
      </c>
      <c r="P208" s="144">
        <f t="shared" si="210"/>
        <v>458.18</v>
      </c>
      <c r="Q208" s="144"/>
      <c r="R208" s="144">
        <f t="shared" si="3"/>
        <v>4581.8</v>
      </c>
      <c r="S208" s="145">
        <f t="shared" si="4"/>
        <v>0.54199999999999993</v>
      </c>
      <c r="T208" s="145">
        <f t="shared" si="75"/>
        <v>0</v>
      </c>
      <c r="U208" s="145">
        <f t="shared" si="36"/>
        <v>0.02</v>
      </c>
      <c r="V208" s="145">
        <f t="shared" si="62"/>
        <v>4.58</v>
      </c>
      <c r="W208" s="145">
        <f t="shared" si="211"/>
        <v>0.69</v>
      </c>
      <c r="X208" s="145">
        <f t="shared" si="209"/>
        <v>0.13</v>
      </c>
      <c r="Y208" s="145">
        <f t="shared" si="99"/>
        <v>0</v>
      </c>
      <c r="Z208" s="146">
        <f t="shared" si="10"/>
        <v>5.419999999999999</v>
      </c>
      <c r="AA208" s="147">
        <f t="shared" si="212"/>
        <v>-4587.22</v>
      </c>
      <c r="AB208" s="147">
        <v>-4587</v>
      </c>
      <c r="AC208" s="149">
        <f t="shared" si="48"/>
        <v>0.22000000000025466</v>
      </c>
      <c r="AD208" s="138">
        <v>44385</v>
      </c>
      <c r="AE208" s="150">
        <f t="shared" si="13"/>
        <v>1.183E-3</v>
      </c>
      <c r="AF208" s="151">
        <f t="shared" si="14"/>
        <v>44385</v>
      </c>
      <c r="AG208" s="152" t="s">
        <v>416</v>
      </c>
      <c r="AH208" s="124"/>
    </row>
    <row r="209" spans="1:34" ht="12" customHeight="1">
      <c r="A209" s="154">
        <v>44383</v>
      </c>
      <c r="B209" s="140" t="s">
        <v>561</v>
      </c>
      <c r="C209" s="141" t="s">
        <v>485</v>
      </c>
      <c r="D209" s="140"/>
      <c r="E209" s="140" t="str">
        <f t="shared" si="0"/>
        <v>RENUKA</v>
      </c>
      <c r="F209" s="140"/>
      <c r="G209" s="140"/>
      <c r="H209" s="140"/>
      <c r="I209" s="141" t="s">
        <v>467</v>
      </c>
      <c r="J209" s="139" t="s">
        <v>483</v>
      </c>
      <c r="K209" s="141"/>
      <c r="L209" s="141"/>
      <c r="M209" s="142">
        <v>300</v>
      </c>
      <c r="N209" s="143">
        <v>46.916649999999997</v>
      </c>
      <c r="O209" s="144">
        <f t="shared" si="39"/>
        <v>0</v>
      </c>
      <c r="P209" s="144">
        <f t="shared" si="210"/>
        <v>46.916649999999997</v>
      </c>
      <c r="Q209" s="144"/>
      <c r="R209" s="144">
        <f t="shared" si="3"/>
        <v>14075</v>
      </c>
      <c r="S209" s="145">
        <f t="shared" si="4"/>
        <v>5.5899999999999998E-2</v>
      </c>
      <c r="T209" s="145">
        <f t="shared" si="75"/>
        <v>0</v>
      </c>
      <c r="U209" s="145">
        <f t="shared" si="36"/>
        <v>0.09</v>
      </c>
      <c r="V209" s="145">
        <f t="shared" si="62"/>
        <v>14.08</v>
      </c>
      <c r="W209" s="145">
        <f t="shared" si="211"/>
        <v>2.11</v>
      </c>
      <c r="X209" s="145">
        <f t="shared" ref="X209:X211" si="213">ROUND(R209*H$1820,2)</f>
        <v>0.49</v>
      </c>
      <c r="Y209" s="145">
        <f t="shared" si="99"/>
        <v>0</v>
      </c>
      <c r="Z209" s="146">
        <f t="shared" si="10"/>
        <v>16.77</v>
      </c>
      <c r="AA209" s="147">
        <f t="shared" si="212"/>
        <v>-14091.77</v>
      </c>
      <c r="AB209" s="147">
        <v>-14092</v>
      </c>
      <c r="AC209" s="149">
        <f t="shared" si="48"/>
        <v>-0.22999999999956344</v>
      </c>
      <c r="AD209" s="138">
        <v>44385</v>
      </c>
      <c r="AE209" s="150">
        <f t="shared" si="13"/>
        <v>1.191E-3</v>
      </c>
      <c r="AF209" s="151">
        <f t="shared" si="14"/>
        <v>44385</v>
      </c>
      <c r="AG209" s="152" t="s">
        <v>416</v>
      </c>
      <c r="AH209" s="124"/>
    </row>
    <row r="210" spans="1:34" ht="12" customHeight="1">
      <c r="A210" s="154">
        <v>44385</v>
      </c>
      <c r="B210" s="140" t="s">
        <v>503</v>
      </c>
      <c r="C210" s="141" t="s">
        <v>485</v>
      </c>
      <c r="D210" s="140"/>
      <c r="E210" s="140" t="str">
        <f t="shared" si="0"/>
        <v>MAWANASUG</v>
      </c>
      <c r="F210" s="140"/>
      <c r="G210" s="140"/>
      <c r="H210" s="140"/>
      <c r="I210" s="141" t="s">
        <v>467</v>
      </c>
      <c r="J210" s="139" t="s">
        <v>483</v>
      </c>
      <c r="K210" s="141"/>
      <c r="L210" s="141"/>
      <c r="M210" s="142">
        <v>20</v>
      </c>
      <c r="N210" s="143">
        <v>101.5</v>
      </c>
      <c r="O210" s="144">
        <f t="shared" si="39"/>
        <v>0</v>
      </c>
      <c r="P210" s="144">
        <f t="shared" si="210"/>
        <v>101.5</v>
      </c>
      <c r="Q210" s="144"/>
      <c r="R210" s="144">
        <f t="shared" si="3"/>
        <v>2030</v>
      </c>
      <c r="S210" s="145">
        <f t="shared" si="4"/>
        <v>0.12049999999999997</v>
      </c>
      <c r="T210" s="145">
        <f t="shared" si="75"/>
        <v>0</v>
      </c>
      <c r="U210" s="145">
        <f t="shared" si="36"/>
        <v>0.01</v>
      </c>
      <c r="V210" s="145">
        <f t="shared" si="62"/>
        <v>2.0299999999999998</v>
      </c>
      <c r="W210" s="145">
        <f t="shared" si="211"/>
        <v>0.3</v>
      </c>
      <c r="X210" s="145">
        <f t="shared" si="213"/>
        <v>7.0000000000000007E-2</v>
      </c>
      <c r="Y210" s="145">
        <f t="shared" si="99"/>
        <v>0</v>
      </c>
      <c r="Z210" s="146">
        <f t="shared" si="10"/>
        <v>2.4099999999999993</v>
      </c>
      <c r="AA210" s="147">
        <f t="shared" si="212"/>
        <v>-2032.41</v>
      </c>
      <c r="AB210" s="148">
        <v>-2032</v>
      </c>
      <c r="AC210" s="149">
        <f t="shared" si="48"/>
        <v>0.41000000000008185</v>
      </c>
      <c r="AD210" s="138">
        <v>44389</v>
      </c>
      <c r="AE210" s="150">
        <f t="shared" si="13"/>
        <v>1.1869999999999999E-3</v>
      </c>
      <c r="AF210" s="151">
        <f t="shared" si="14"/>
        <v>44389</v>
      </c>
      <c r="AG210" s="152" t="s">
        <v>416</v>
      </c>
      <c r="AH210" s="124"/>
    </row>
    <row r="211" spans="1:34" ht="12" customHeight="1">
      <c r="A211" s="155">
        <v>44386</v>
      </c>
      <c r="B211" s="112" t="s">
        <v>542</v>
      </c>
      <c r="C211" s="127" t="s">
        <v>485</v>
      </c>
      <c r="D211" s="112"/>
      <c r="E211" s="112" t="str">
        <f t="shared" si="0"/>
        <v>JPASSOCIAT</v>
      </c>
      <c r="F211" s="112"/>
      <c r="G211" s="112"/>
      <c r="H211" s="112"/>
      <c r="I211" s="127" t="s">
        <v>461</v>
      </c>
      <c r="J211" s="126" t="s">
        <v>483</v>
      </c>
      <c r="K211" s="127"/>
      <c r="L211" s="127"/>
      <c r="M211" s="128">
        <v>1000</v>
      </c>
      <c r="N211" s="129">
        <v>13.1</v>
      </c>
      <c r="O211" s="130">
        <f t="shared" si="39"/>
        <v>0</v>
      </c>
      <c r="P211" s="130">
        <f t="shared" ref="P211:P212" si="214">N211-O211</f>
        <v>13.1</v>
      </c>
      <c r="Q211" s="130"/>
      <c r="R211" s="130">
        <f t="shared" si="3"/>
        <v>13100</v>
      </c>
      <c r="S211" s="131">
        <f t="shared" si="4"/>
        <v>1.363E-2</v>
      </c>
      <c r="T211" s="131">
        <f t="shared" si="75"/>
        <v>0</v>
      </c>
      <c r="U211" s="131">
        <f t="shared" si="36"/>
        <v>0.08</v>
      </c>
      <c r="V211" s="131">
        <f t="shared" si="62"/>
        <v>13.1</v>
      </c>
      <c r="W211" s="131">
        <v>0</v>
      </c>
      <c r="X211" s="131">
        <f t="shared" si="213"/>
        <v>0.45</v>
      </c>
      <c r="Y211" s="131">
        <f t="shared" si="99"/>
        <v>0</v>
      </c>
      <c r="Z211" s="131">
        <f t="shared" si="10"/>
        <v>13.629999999999999</v>
      </c>
      <c r="AA211" s="132">
        <f t="shared" ref="AA211:AA212" si="215">ROUND(R211-SUM(T211:Y211),2)</f>
        <v>13086.37</v>
      </c>
      <c r="AB211" s="133">
        <v>13086</v>
      </c>
      <c r="AC211" s="134">
        <f t="shared" si="48"/>
        <v>-0.37000000000080036</v>
      </c>
      <c r="AD211" s="125">
        <v>44390</v>
      </c>
      <c r="AE211" s="135">
        <f t="shared" si="13"/>
        <v>1.0399999999999999E-3</v>
      </c>
      <c r="AF211" s="136">
        <f t="shared" si="14"/>
        <v>44390</v>
      </c>
      <c r="AG211" s="137" t="s">
        <v>416</v>
      </c>
      <c r="AH211" s="124"/>
    </row>
    <row r="212" spans="1:34" ht="12" customHeight="1">
      <c r="A212" s="155">
        <v>44386</v>
      </c>
      <c r="B212" s="112" t="s">
        <v>550</v>
      </c>
      <c r="C212" s="127" t="s">
        <v>485</v>
      </c>
      <c r="D212" s="112"/>
      <c r="E212" s="112" t="str">
        <f t="shared" si="0"/>
        <v>SONACOMS</v>
      </c>
      <c r="F212" s="112"/>
      <c r="G212" s="112"/>
      <c r="H212" s="112"/>
      <c r="I212" s="127" t="s">
        <v>461</v>
      </c>
      <c r="J212" s="126" t="s">
        <v>483</v>
      </c>
      <c r="K212" s="127"/>
      <c r="L212" s="127"/>
      <c r="M212" s="128">
        <v>50</v>
      </c>
      <c r="N212" s="129">
        <v>417</v>
      </c>
      <c r="O212" s="130">
        <f t="shared" si="39"/>
        <v>0</v>
      </c>
      <c r="P212" s="130">
        <f t="shared" si="214"/>
        <v>417</v>
      </c>
      <c r="Q212" s="130"/>
      <c r="R212" s="130">
        <f t="shared" si="3"/>
        <v>20850</v>
      </c>
      <c r="S212" s="131">
        <f t="shared" si="4"/>
        <v>0.43040000000000006</v>
      </c>
      <c r="T212" s="131">
        <f t="shared" si="75"/>
        <v>0</v>
      </c>
      <c r="U212" s="131">
        <f t="shared" si="36"/>
        <v>0.1</v>
      </c>
      <c r="V212" s="131">
        <f t="shared" si="62"/>
        <v>20.85</v>
      </c>
      <c r="W212" s="131">
        <v>0</v>
      </c>
      <c r="X212" s="131">
        <f>ROUND(R212*G$1820,2)</f>
        <v>0.56999999999999995</v>
      </c>
      <c r="Y212" s="131">
        <f t="shared" si="99"/>
        <v>0</v>
      </c>
      <c r="Z212" s="131">
        <f t="shared" si="10"/>
        <v>21.520000000000003</v>
      </c>
      <c r="AA212" s="132">
        <f t="shared" si="215"/>
        <v>20828.48</v>
      </c>
      <c r="AB212" s="133">
        <v>20828</v>
      </c>
      <c r="AC212" s="134">
        <f t="shared" si="48"/>
        <v>-0.47999999999956344</v>
      </c>
      <c r="AD212" s="125">
        <v>44390</v>
      </c>
      <c r="AE212" s="135">
        <f t="shared" si="13"/>
        <v>1.0319999999999999E-3</v>
      </c>
      <c r="AF212" s="136">
        <f t="shared" si="14"/>
        <v>44390</v>
      </c>
      <c r="AG212" s="137" t="s">
        <v>416</v>
      </c>
      <c r="AH212" s="124"/>
    </row>
    <row r="213" spans="1:34" ht="12" customHeight="1">
      <c r="A213" s="154">
        <v>44389</v>
      </c>
      <c r="B213" s="140" t="s">
        <v>562</v>
      </c>
      <c r="C213" s="141" t="s">
        <v>485</v>
      </c>
      <c r="D213" s="140"/>
      <c r="E213" s="140" t="str">
        <f t="shared" si="0"/>
        <v>BAJAJHIND</v>
      </c>
      <c r="F213" s="140"/>
      <c r="G213" s="140"/>
      <c r="H213" s="140"/>
      <c r="I213" s="141" t="s">
        <v>467</v>
      </c>
      <c r="J213" s="139" t="s">
        <v>483</v>
      </c>
      <c r="K213" s="141"/>
      <c r="L213" s="141"/>
      <c r="M213" s="142">
        <v>200</v>
      </c>
      <c r="N213" s="143">
        <v>24.3</v>
      </c>
      <c r="O213" s="144">
        <f t="shared" si="39"/>
        <v>0</v>
      </c>
      <c r="P213" s="144">
        <f t="shared" ref="P213:P218" si="216">N213+O213</f>
        <v>24.3</v>
      </c>
      <c r="Q213" s="144"/>
      <c r="R213" s="144">
        <f t="shared" si="3"/>
        <v>4860</v>
      </c>
      <c r="S213" s="145">
        <f t="shared" si="4"/>
        <v>2.8950000000000004E-2</v>
      </c>
      <c r="T213" s="145">
        <f t="shared" si="75"/>
        <v>0</v>
      </c>
      <c r="U213" s="145">
        <f t="shared" si="36"/>
        <v>0.03</v>
      </c>
      <c r="V213" s="145">
        <f t="shared" si="62"/>
        <v>4.8600000000000003</v>
      </c>
      <c r="W213" s="145">
        <f t="shared" ref="W213:W218" si="217">ROUND(R213*F$1823,2)</f>
        <v>0.73</v>
      </c>
      <c r="X213" s="145">
        <f>ROUND(R213*H$1820,2)</f>
        <v>0.17</v>
      </c>
      <c r="Y213" s="145">
        <f t="shared" ref="Y213:Y838" si="218">ROUND(R213*C$1826,2)</f>
        <v>0</v>
      </c>
      <c r="Z213" s="146">
        <f t="shared" si="10"/>
        <v>5.7900000000000009</v>
      </c>
      <c r="AA213" s="147">
        <f t="shared" ref="AA213:AA218" si="219">-ROUND(R213+SUM(T213:Y213),2)</f>
        <v>-4865.79</v>
      </c>
      <c r="AB213" s="148">
        <v>-4866</v>
      </c>
      <c r="AC213" s="149">
        <f t="shared" si="48"/>
        <v>-0.21000000000003638</v>
      </c>
      <c r="AD213" s="138">
        <v>44391</v>
      </c>
      <c r="AE213" s="150">
        <f t="shared" si="13"/>
        <v>1.191E-3</v>
      </c>
      <c r="AF213" s="151">
        <f t="shared" si="14"/>
        <v>44391</v>
      </c>
      <c r="AG213" s="152" t="s">
        <v>416</v>
      </c>
      <c r="AH213" s="124"/>
    </row>
    <row r="214" spans="1:34" ht="12" customHeight="1">
      <c r="A214" s="154">
        <v>44389</v>
      </c>
      <c r="B214" s="140" t="s">
        <v>563</v>
      </c>
      <c r="C214" s="141" t="s">
        <v>485</v>
      </c>
      <c r="D214" s="140"/>
      <c r="E214" s="140" t="str">
        <f t="shared" si="0"/>
        <v>L&amp;TFH</v>
      </c>
      <c r="F214" s="140"/>
      <c r="G214" s="140"/>
      <c r="H214" s="140"/>
      <c r="I214" s="141" t="s">
        <v>467</v>
      </c>
      <c r="J214" s="139" t="s">
        <v>483</v>
      </c>
      <c r="K214" s="141"/>
      <c r="L214" s="141"/>
      <c r="M214" s="142">
        <v>50</v>
      </c>
      <c r="N214" s="143">
        <v>93.7</v>
      </c>
      <c r="O214" s="144">
        <f t="shared" si="39"/>
        <v>0</v>
      </c>
      <c r="P214" s="144">
        <f t="shared" si="216"/>
        <v>93.7</v>
      </c>
      <c r="Q214" s="144"/>
      <c r="R214" s="144">
        <f t="shared" si="3"/>
        <v>4685</v>
      </c>
      <c r="S214" s="145">
        <f t="shared" si="4"/>
        <v>0.1108</v>
      </c>
      <c r="T214" s="145">
        <f t="shared" si="75"/>
        <v>0</v>
      </c>
      <c r="U214" s="145">
        <f t="shared" si="36"/>
        <v>0.02</v>
      </c>
      <c r="V214" s="145">
        <f t="shared" si="62"/>
        <v>4.6900000000000004</v>
      </c>
      <c r="W214" s="145">
        <f t="shared" si="217"/>
        <v>0.7</v>
      </c>
      <c r="X214" s="145">
        <f t="shared" ref="X214:X216" si="220">ROUND(R214*G$1820,2)</f>
        <v>0.13</v>
      </c>
      <c r="Y214" s="145">
        <f t="shared" si="218"/>
        <v>0</v>
      </c>
      <c r="Z214" s="146">
        <f t="shared" si="10"/>
        <v>5.54</v>
      </c>
      <c r="AA214" s="147">
        <f t="shared" si="219"/>
        <v>-4690.54</v>
      </c>
      <c r="AB214" s="148">
        <v>-4691</v>
      </c>
      <c r="AC214" s="149">
        <f t="shared" si="48"/>
        <v>-0.46000000000003638</v>
      </c>
      <c r="AD214" s="138">
        <v>44391</v>
      </c>
      <c r="AE214" s="150">
        <f t="shared" si="13"/>
        <v>1.1820000000000001E-3</v>
      </c>
      <c r="AF214" s="151">
        <f t="shared" si="14"/>
        <v>44391</v>
      </c>
      <c r="AG214" s="152" t="s">
        <v>416</v>
      </c>
      <c r="AH214" s="124"/>
    </row>
    <row r="215" spans="1:34" ht="12" customHeight="1">
      <c r="A215" s="154">
        <v>44389</v>
      </c>
      <c r="B215" s="140" t="s">
        <v>564</v>
      </c>
      <c r="C215" s="141" t="s">
        <v>485</v>
      </c>
      <c r="D215" s="140"/>
      <c r="E215" s="140" t="str">
        <f t="shared" si="0"/>
        <v>PNCINFRA</v>
      </c>
      <c r="F215" s="140"/>
      <c r="G215" s="140"/>
      <c r="H215" s="140"/>
      <c r="I215" s="141" t="s">
        <v>467</v>
      </c>
      <c r="J215" s="139" t="s">
        <v>483</v>
      </c>
      <c r="K215" s="141"/>
      <c r="L215" s="141"/>
      <c r="M215" s="142">
        <v>25</v>
      </c>
      <c r="N215" s="143">
        <v>310</v>
      </c>
      <c r="O215" s="144">
        <f t="shared" si="39"/>
        <v>0</v>
      </c>
      <c r="P215" s="144">
        <f t="shared" si="216"/>
        <v>310</v>
      </c>
      <c r="Q215" s="144"/>
      <c r="R215" s="144">
        <f t="shared" si="3"/>
        <v>7750</v>
      </c>
      <c r="S215" s="145">
        <f t="shared" si="4"/>
        <v>0.36680000000000001</v>
      </c>
      <c r="T215" s="145">
        <f t="shared" si="75"/>
        <v>0</v>
      </c>
      <c r="U215" s="145">
        <f t="shared" si="36"/>
        <v>0.04</v>
      </c>
      <c r="V215" s="145">
        <f t="shared" si="62"/>
        <v>7.75</v>
      </c>
      <c r="W215" s="145">
        <f t="shared" si="217"/>
        <v>1.1599999999999999</v>
      </c>
      <c r="X215" s="145">
        <f t="shared" si="220"/>
        <v>0.21</v>
      </c>
      <c r="Y215" s="145">
        <f t="shared" si="218"/>
        <v>0.01</v>
      </c>
      <c r="Z215" s="146">
        <f t="shared" si="10"/>
        <v>9.17</v>
      </c>
      <c r="AA215" s="147">
        <f t="shared" si="219"/>
        <v>-7759.17</v>
      </c>
      <c r="AB215" s="148">
        <v>-7759</v>
      </c>
      <c r="AC215" s="149">
        <f t="shared" si="48"/>
        <v>0.17000000000007276</v>
      </c>
      <c r="AD215" s="138">
        <v>44391</v>
      </c>
      <c r="AE215" s="150">
        <f t="shared" si="13"/>
        <v>1.183E-3</v>
      </c>
      <c r="AF215" s="151">
        <f t="shared" si="14"/>
        <v>44391</v>
      </c>
      <c r="AG215" s="152" t="s">
        <v>416</v>
      </c>
      <c r="AH215" s="124"/>
    </row>
    <row r="216" spans="1:34" ht="12" customHeight="1">
      <c r="A216" s="154">
        <v>44390</v>
      </c>
      <c r="B216" s="140" t="s">
        <v>547</v>
      </c>
      <c r="C216" s="141" t="s">
        <v>485</v>
      </c>
      <c r="D216" s="140"/>
      <c r="E216" s="140" t="str">
        <f t="shared" si="0"/>
        <v>NCC</v>
      </c>
      <c r="F216" s="140"/>
      <c r="G216" s="140"/>
      <c r="H216" s="140"/>
      <c r="I216" s="141" t="s">
        <v>467</v>
      </c>
      <c r="J216" s="139" t="s">
        <v>483</v>
      </c>
      <c r="K216" s="141"/>
      <c r="L216" s="141"/>
      <c r="M216" s="142">
        <v>50</v>
      </c>
      <c r="N216" s="143">
        <v>95.5</v>
      </c>
      <c r="O216" s="144">
        <f t="shared" si="39"/>
        <v>0</v>
      </c>
      <c r="P216" s="144">
        <f t="shared" si="216"/>
        <v>95.5</v>
      </c>
      <c r="Q216" s="144"/>
      <c r="R216" s="144">
        <f t="shared" si="3"/>
        <v>4775</v>
      </c>
      <c r="S216" s="145">
        <f t="shared" si="4"/>
        <v>0.11299999999999999</v>
      </c>
      <c r="T216" s="145">
        <f t="shared" si="75"/>
        <v>0</v>
      </c>
      <c r="U216" s="145">
        <f t="shared" si="36"/>
        <v>0.02</v>
      </c>
      <c r="V216" s="145">
        <f t="shared" si="62"/>
        <v>4.78</v>
      </c>
      <c r="W216" s="145">
        <f t="shared" si="217"/>
        <v>0.72</v>
      </c>
      <c r="X216" s="145">
        <f t="shared" si="220"/>
        <v>0.13</v>
      </c>
      <c r="Y216" s="145">
        <f t="shared" si="218"/>
        <v>0</v>
      </c>
      <c r="Z216" s="146">
        <f t="shared" si="10"/>
        <v>5.6499999999999995</v>
      </c>
      <c r="AA216" s="147">
        <f t="shared" si="219"/>
        <v>-4780.6499999999996</v>
      </c>
      <c r="AB216" s="148">
        <v>-4781</v>
      </c>
      <c r="AC216" s="149">
        <f t="shared" si="48"/>
        <v>-0.3500000000003638</v>
      </c>
      <c r="AD216" s="138">
        <v>44392</v>
      </c>
      <c r="AE216" s="150">
        <f t="shared" si="13"/>
        <v>1.183E-3</v>
      </c>
      <c r="AF216" s="151">
        <f t="shared" si="14"/>
        <v>44392</v>
      </c>
      <c r="AG216" s="152" t="s">
        <v>416</v>
      </c>
      <c r="AH216" s="124"/>
    </row>
    <row r="217" spans="1:34" ht="12" customHeight="1">
      <c r="A217" s="154">
        <v>44391</v>
      </c>
      <c r="B217" s="140" t="s">
        <v>542</v>
      </c>
      <c r="C217" s="141" t="s">
        <v>485</v>
      </c>
      <c r="D217" s="140"/>
      <c r="E217" s="140" t="str">
        <f t="shared" si="0"/>
        <v>JPASSOCIAT</v>
      </c>
      <c r="F217" s="140"/>
      <c r="G217" s="140"/>
      <c r="H217" s="140"/>
      <c r="I217" s="141" t="s">
        <v>467</v>
      </c>
      <c r="J217" s="139" t="s">
        <v>483</v>
      </c>
      <c r="K217" s="141"/>
      <c r="L217" s="141"/>
      <c r="M217" s="142">
        <v>500</v>
      </c>
      <c r="N217" s="143">
        <v>12.9</v>
      </c>
      <c r="O217" s="144">
        <f t="shared" si="39"/>
        <v>0</v>
      </c>
      <c r="P217" s="144">
        <f t="shared" si="216"/>
        <v>12.9</v>
      </c>
      <c r="Q217" s="144"/>
      <c r="R217" s="144">
        <f t="shared" si="3"/>
        <v>6450</v>
      </c>
      <c r="S217" s="145">
        <f t="shared" si="4"/>
        <v>1.538E-2</v>
      </c>
      <c r="T217" s="145">
        <f t="shared" si="75"/>
        <v>0</v>
      </c>
      <c r="U217" s="145">
        <f t="shared" si="36"/>
        <v>0.04</v>
      </c>
      <c r="V217" s="145">
        <f t="shared" si="62"/>
        <v>6.45</v>
      </c>
      <c r="W217" s="145">
        <f t="shared" si="217"/>
        <v>0.97</v>
      </c>
      <c r="X217" s="145">
        <f>ROUND(R217*H$1820,2)</f>
        <v>0.22</v>
      </c>
      <c r="Y217" s="145">
        <f t="shared" si="218"/>
        <v>0.01</v>
      </c>
      <c r="Z217" s="146">
        <f t="shared" si="10"/>
        <v>7.6899999999999995</v>
      </c>
      <c r="AA217" s="147">
        <f t="shared" si="219"/>
        <v>-6457.69</v>
      </c>
      <c r="AB217" s="148">
        <v>-6458</v>
      </c>
      <c r="AC217" s="149">
        <f t="shared" si="48"/>
        <v>-0.31000000000040018</v>
      </c>
      <c r="AD217" s="138">
        <v>44393</v>
      </c>
      <c r="AE217" s="150">
        <f t="shared" si="13"/>
        <v>1.1919999999999999E-3</v>
      </c>
      <c r="AF217" s="151">
        <f t="shared" si="14"/>
        <v>44393</v>
      </c>
      <c r="AG217" s="152" t="s">
        <v>416</v>
      </c>
      <c r="AH217" s="124"/>
    </row>
    <row r="218" spans="1:34" ht="12" customHeight="1">
      <c r="A218" s="154">
        <v>44391</v>
      </c>
      <c r="B218" s="140" t="s">
        <v>565</v>
      </c>
      <c r="C218" s="141" t="s">
        <v>485</v>
      </c>
      <c r="D218" s="140"/>
      <c r="E218" s="140" t="str">
        <f t="shared" si="0"/>
        <v>BRNL</v>
      </c>
      <c r="F218" s="140"/>
      <c r="G218" s="140"/>
      <c r="H218" s="140"/>
      <c r="I218" s="141" t="s">
        <v>467</v>
      </c>
      <c r="J218" s="139" t="s">
        <v>483</v>
      </c>
      <c r="K218" s="141"/>
      <c r="L218" s="141"/>
      <c r="M218" s="142">
        <v>100</v>
      </c>
      <c r="N218" s="143">
        <v>36.5</v>
      </c>
      <c r="O218" s="144">
        <f t="shared" si="39"/>
        <v>0</v>
      </c>
      <c r="P218" s="144">
        <f t="shared" si="216"/>
        <v>36.5</v>
      </c>
      <c r="Q218" s="144"/>
      <c r="R218" s="144">
        <f t="shared" si="3"/>
        <v>3650</v>
      </c>
      <c r="S218" s="145">
        <f t="shared" si="4"/>
        <v>4.3199999999999995E-2</v>
      </c>
      <c r="T218" s="145">
        <f t="shared" si="75"/>
        <v>0</v>
      </c>
      <c r="U218" s="145">
        <f t="shared" si="36"/>
        <v>0.02</v>
      </c>
      <c r="V218" s="145">
        <f t="shared" si="62"/>
        <v>3.65</v>
      </c>
      <c r="W218" s="145">
        <f t="shared" si="217"/>
        <v>0.55000000000000004</v>
      </c>
      <c r="X218" s="145">
        <f t="shared" ref="X218:X219" si="221">ROUND(R218*G$1820,2)</f>
        <v>0.1</v>
      </c>
      <c r="Y218" s="145">
        <f t="shared" si="218"/>
        <v>0</v>
      </c>
      <c r="Z218" s="146">
        <f t="shared" si="10"/>
        <v>4.3199999999999994</v>
      </c>
      <c r="AA218" s="147">
        <f t="shared" si="219"/>
        <v>-3654.32</v>
      </c>
      <c r="AB218" s="148">
        <v>-3654</v>
      </c>
      <c r="AC218" s="149">
        <f t="shared" si="48"/>
        <v>0.32000000000016371</v>
      </c>
      <c r="AD218" s="138">
        <v>44393</v>
      </c>
      <c r="AE218" s="150">
        <f t="shared" si="13"/>
        <v>1.1839999999999999E-3</v>
      </c>
      <c r="AF218" s="151">
        <f t="shared" si="14"/>
        <v>44393</v>
      </c>
      <c r="AG218" s="152" t="s">
        <v>416</v>
      </c>
      <c r="AH218" s="124"/>
    </row>
    <row r="219" spans="1:34" ht="12" customHeight="1">
      <c r="A219" s="155">
        <v>44392</v>
      </c>
      <c r="B219" s="112" t="s">
        <v>503</v>
      </c>
      <c r="C219" s="127" t="s">
        <v>485</v>
      </c>
      <c r="D219" s="112"/>
      <c r="E219" s="112" t="str">
        <f t="shared" si="0"/>
        <v>MAWANASUG</v>
      </c>
      <c r="F219" s="112"/>
      <c r="G219" s="112"/>
      <c r="H219" s="112"/>
      <c r="I219" s="127" t="s">
        <v>461</v>
      </c>
      <c r="J219" s="126" t="s">
        <v>483</v>
      </c>
      <c r="K219" s="127"/>
      <c r="L219" s="127"/>
      <c r="M219" s="128">
        <v>20</v>
      </c>
      <c r="N219" s="129">
        <v>109.6</v>
      </c>
      <c r="O219" s="130">
        <f t="shared" si="39"/>
        <v>0</v>
      </c>
      <c r="P219" s="130">
        <f t="shared" ref="P219:P220" si="222">N219-O219</f>
        <v>109.6</v>
      </c>
      <c r="Q219" s="130"/>
      <c r="R219" s="130">
        <f t="shared" si="3"/>
        <v>2192</v>
      </c>
      <c r="S219" s="131">
        <f t="shared" si="4"/>
        <v>0.11299999999999999</v>
      </c>
      <c r="T219" s="131">
        <f t="shared" si="75"/>
        <v>0</v>
      </c>
      <c r="U219" s="131">
        <f t="shared" si="36"/>
        <v>0.01</v>
      </c>
      <c r="V219" s="131">
        <f t="shared" si="62"/>
        <v>2.19</v>
      </c>
      <c r="W219" s="131">
        <v>0</v>
      </c>
      <c r="X219" s="131">
        <f t="shared" si="221"/>
        <v>0.06</v>
      </c>
      <c r="Y219" s="131">
        <f t="shared" si="218"/>
        <v>0</v>
      </c>
      <c r="Z219" s="131">
        <f t="shared" si="10"/>
        <v>2.2599999999999998</v>
      </c>
      <c r="AA219" s="132">
        <f t="shared" ref="AA219:AA220" si="223">ROUND(R219-SUM(T219:Y219),2)</f>
        <v>2189.7399999999998</v>
      </c>
      <c r="AB219" s="133">
        <v>2190</v>
      </c>
      <c r="AC219" s="134">
        <f t="shared" si="48"/>
        <v>0.26000000000021828</v>
      </c>
      <c r="AD219" s="125">
        <v>44396</v>
      </c>
      <c r="AE219" s="135">
        <f t="shared" si="13"/>
        <v>1.031E-3</v>
      </c>
      <c r="AF219" s="136">
        <f t="shared" si="14"/>
        <v>44396</v>
      </c>
      <c r="AG219" s="137" t="s">
        <v>416</v>
      </c>
      <c r="AH219" s="124"/>
    </row>
    <row r="220" spans="1:34" ht="12" customHeight="1">
      <c r="A220" s="155">
        <v>44393</v>
      </c>
      <c r="B220" s="112" t="s">
        <v>556</v>
      </c>
      <c r="C220" s="127" t="s">
        <v>485</v>
      </c>
      <c r="D220" s="112"/>
      <c r="E220" s="112" t="str">
        <f t="shared" si="0"/>
        <v>SRF</v>
      </c>
      <c r="F220" s="112"/>
      <c r="G220" s="112"/>
      <c r="H220" s="112"/>
      <c r="I220" s="127" t="s">
        <v>461</v>
      </c>
      <c r="J220" s="126" t="s">
        <v>483</v>
      </c>
      <c r="K220" s="127"/>
      <c r="L220" s="127"/>
      <c r="M220" s="128">
        <v>2</v>
      </c>
      <c r="N220" s="129">
        <v>7690</v>
      </c>
      <c r="O220" s="130">
        <f t="shared" si="39"/>
        <v>0</v>
      </c>
      <c r="P220" s="130">
        <f t="shared" si="222"/>
        <v>7690</v>
      </c>
      <c r="Q220" s="130"/>
      <c r="R220" s="130">
        <f t="shared" si="3"/>
        <v>15380</v>
      </c>
      <c r="S220" s="131">
        <f t="shared" si="4"/>
        <v>8.0150000000000006</v>
      </c>
      <c r="T220" s="131">
        <f t="shared" si="75"/>
        <v>0</v>
      </c>
      <c r="U220" s="131">
        <f t="shared" si="36"/>
        <v>0.1</v>
      </c>
      <c r="V220" s="131">
        <f t="shared" si="62"/>
        <v>15.38</v>
      </c>
      <c r="W220" s="131">
        <v>0</v>
      </c>
      <c r="X220" s="131">
        <f>ROUND(R220*H$1820,2)</f>
        <v>0.53</v>
      </c>
      <c r="Y220" s="131">
        <f t="shared" si="218"/>
        <v>0.02</v>
      </c>
      <c r="Z220" s="131">
        <f t="shared" si="10"/>
        <v>16.03</v>
      </c>
      <c r="AA220" s="132">
        <f t="shared" si="223"/>
        <v>15363.97</v>
      </c>
      <c r="AB220" s="133">
        <v>15364</v>
      </c>
      <c r="AC220" s="134">
        <f t="shared" si="48"/>
        <v>3.0000000000654836E-2</v>
      </c>
      <c r="AD220" s="125">
        <v>44397</v>
      </c>
      <c r="AE220" s="135">
        <f t="shared" si="13"/>
        <v>1.042E-3</v>
      </c>
      <c r="AF220" s="136">
        <f t="shared" si="14"/>
        <v>44397</v>
      </c>
      <c r="AG220" s="137" t="s">
        <v>416</v>
      </c>
      <c r="AH220" s="124"/>
    </row>
    <row r="221" spans="1:34" ht="12" customHeight="1">
      <c r="A221" s="154">
        <v>44393</v>
      </c>
      <c r="B221" s="140" t="s">
        <v>566</v>
      </c>
      <c r="C221" s="141" t="s">
        <v>485</v>
      </c>
      <c r="D221" s="140"/>
      <c r="E221" s="140" t="str">
        <f t="shared" si="0"/>
        <v>NOCIL</v>
      </c>
      <c r="F221" s="140"/>
      <c r="G221" s="140"/>
      <c r="H221" s="140"/>
      <c r="I221" s="141" t="s">
        <v>467</v>
      </c>
      <c r="J221" s="139" t="s">
        <v>483</v>
      </c>
      <c r="K221" s="141"/>
      <c r="L221" s="141"/>
      <c r="M221" s="142">
        <v>50</v>
      </c>
      <c r="N221" s="143">
        <v>266</v>
      </c>
      <c r="O221" s="144">
        <f t="shared" si="39"/>
        <v>0</v>
      </c>
      <c r="P221" s="144">
        <f t="shared" ref="P221:P223" si="224">N221+O221</f>
        <v>266</v>
      </c>
      <c r="Q221" s="144"/>
      <c r="R221" s="144">
        <f t="shared" si="3"/>
        <v>13300</v>
      </c>
      <c r="S221" s="145">
        <f t="shared" si="4"/>
        <v>0.315</v>
      </c>
      <c r="T221" s="145">
        <f t="shared" si="75"/>
        <v>0</v>
      </c>
      <c r="U221" s="145">
        <f t="shared" si="36"/>
        <v>7.0000000000000007E-2</v>
      </c>
      <c r="V221" s="145">
        <f t="shared" si="62"/>
        <v>13.3</v>
      </c>
      <c r="W221" s="145">
        <f t="shared" ref="W221:W223" si="225">ROUND(R221*F$1823,2)</f>
        <v>2</v>
      </c>
      <c r="X221" s="145">
        <f t="shared" ref="X221:X229" si="226">ROUND(R221*G$1820,2)</f>
        <v>0.37</v>
      </c>
      <c r="Y221" s="145">
        <f t="shared" si="218"/>
        <v>0.01</v>
      </c>
      <c r="Z221" s="146">
        <f t="shared" si="10"/>
        <v>15.75</v>
      </c>
      <c r="AA221" s="147">
        <f t="shared" ref="AA221:AA223" si="227">-ROUND(R221+SUM(T221:Y221),2)</f>
        <v>-13315.75</v>
      </c>
      <c r="AB221" s="148">
        <v>-13316</v>
      </c>
      <c r="AC221" s="149">
        <f t="shared" si="48"/>
        <v>-0.25</v>
      </c>
      <c r="AD221" s="138">
        <v>44397</v>
      </c>
      <c r="AE221" s="150">
        <f t="shared" si="13"/>
        <v>1.1839999999999999E-3</v>
      </c>
      <c r="AF221" s="151">
        <f t="shared" si="14"/>
        <v>44397</v>
      </c>
      <c r="AG221" s="152" t="s">
        <v>416</v>
      </c>
      <c r="AH221" s="124"/>
    </row>
    <row r="222" spans="1:34" ht="12" customHeight="1">
      <c r="A222" s="154">
        <v>44396</v>
      </c>
      <c r="B222" s="140" t="s">
        <v>567</v>
      </c>
      <c r="C222" s="141" t="s">
        <v>485</v>
      </c>
      <c r="D222" s="140"/>
      <c r="E222" s="140" t="str">
        <f t="shared" si="0"/>
        <v>YESBANK</v>
      </c>
      <c r="F222" s="140"/>
      <c r="G222" s="140"/>
      <c r="H222" s="140"/>
      <c r="I222" s="141" t="s">
        <v>467</v>
      </c>
      <c r="J222" s="139" t="s">
        <v>483</v>
      </c>
      <c r="K222" s="141"/>
      <c r="L222" s="141"/>
      <c r="M222" s="142">
        <v>200</v>
      </c>
      <c r="N222" s="143">
        <v>13.15</v>
      </c>
      <c r="O222" s="144">
        <f t="shared" si="39"/>
        <v>0</v>
      </c>
      <c r="P222" s="144">
        <f t="shared" si="224"/>
        <v>13.15</v>
      </c>
      <c r="Q222" s="144"/>
      <c r="R222" s="144">
        <f t="shared" si="3"/>
        <v>2630</v>
      </c>
      <c r="S222" s="145">
        <f t="shared" si="4"/>
        <v>1.5499999999999998E-2</v>
      </c>
      <c r="T222" s="145">
        <f t="shared" si="75"/>
        <v>0</v>
      </c>
      <c r="U222" s="145">
        <f t="shared" si="36"/>
        <v>0.01</v>
      </c>
      <c r="V222" s="145">
        <f t="shared" si="62"/>
        <v>2.63</v>
      </c>
      <c r="W222" s="145">
        <f t="shared" si="225"/>
        <v>0.39</v>
      </c>
      <c r="X222" s="145">
        <f t="shared" si="226"/>
        <v>7.0000000000000007E-2</v>
      </c>
      <c r="Y222" s="145">
        <f t="shared" si="218"/>
        <v>0</v>
      </c>
      <c r="Z222" s="146">
        <f t="shared" si="10"/>
        <v>3.0999999999999996</v>
      </c>
      <c r="AA222" s="147">
        <f t="shared" si="227"/>
        <v>-2633.1</v>
      </c>
      <c r="AB222" s="148">
        <v>-2633</v>
      </c>
      <c r="AC222" s="149">
        <f t="shared" si="48"/>
        <v>9.9999999999909051E-2</v>
      </c>
      <c r="AD222" s="138">
        <v>44399</v>
      </c>
      <c r="AE222" s="150">
        <f t="shared" si="13"/>
        <v>1.1789999999999999E-3</v>
      </c>
      <c r="AF222" s="151">
        <f t="shared" si="14"/>
        <v>44399</v>
      </c>
      <c r="AG222" s="152" t="s">
        <v>416</v>
      </c>
      <c r="AH222" s="124"/>
    </row>
    <row r="223" spans="1:34" ht="12" customHeight="1">
      <c r="A223" s="154">
        <v>44400</v>
      </c>
      <c r="B223" s="140" t="s">
        <v>568</v>
      </c>
      <c r="C223" s="141" t="s">
        <v>485</v>
      </c>
      <c r="D223" s="140"/>
      <c r="E223" s="140" t="str">
        <f t="shared" si="0"/>
        <v>KUANTUM</v>
      </c>
      <c r="F223" s="140"/>
      <c r="G223" s="140"/>
      <c r="H223" s="140"/>
      <c r="I223" s="141" t="s">
        <v>467</v>
      </c>
      <c r="J223" s="139" t="s">
        <v>483</v>
      </c>
      <c r="K223" s="141"/>
      <c r="L223" s="141"/>
      <c r="M223" s="142">
        <v>25</v>
      </c>
      <c r="N223" s="143">
        <v>83.5</v>
      </c>
      <c r="O223" s="144">
        <f t="shared" si="39"/>
        <v>0</v>
      </c>
      <c r="P223" s="144">
        <f t="shared" si="224"/>
        <v>83.5</v>
      </c>
      <c r="Q223" s="144"/>
      <c r="R223" s="144">
        <f t="shared" si="3"/>
        <v>2087.5</v>
      </c>
      <c r="S223" s="145">
        <f t="shared" si="4"/>
        <v>9.8799999999999985E-2</v>
      </c>
      <c r="T223" s="145">
        <f t="shared" si="75"/>
        <v>0</v>
      </c>
      <c r="U223" s="145">
        <f t="shared" si="36"/>
        <v>0.01</v>
      </c>
      <c r="V223" s="145">
        <f t="shared" si="62"/>
        <v>2.09</v>
      </c>
      <c r="W223" s="145">
        <f t="shared" si="225"/>
        <v>0.31</v>
      </c>
      <c r="X223" s="145">
        <f t="shared" si="226"/>
        <v>0.06</v>
      </c>
      <c r="Y223" s="145">
        <f t="shared" si="218"/>
        <v>0</v>
      </c>
      <c r="Z223" s="146">
        <f t="shared" si="10"/>
        <v>2.4699999999999998</v>
      </c>
      <c r="AA223" s="147">
        <f t="shared" si="227"/>
        <v>-2089.9699999999998</v>
      </c>
      <c r="AB223" s="148">
        <v>-2090</v>
      </c>
      <c r="AC223" s="149">
        <f t="shared" si="48"/>
        <v>-3.0000000000200089E-2</v>
      </c>
      <c r="AD223" s="138">
        <v>44404</v>
      </c>
      <c r="AE223" s="150">
        <f t="shared" si="13"/>
        <v>1.183E-3</v>
      </c>
      <c r="AF223" s="151">
        <f t="shared" si="14"/>
        <v>44404</v>
      </c>
      <c r="AG223" s="152" t="s">
        <v>416</v>
      </c>
      <c r="AH223" s="124"/>
    </row>
    <row r="224" spans="1:34" ht="12" customHeight="1">
      <c r="A224" s="155">
        <v>44405</v>
      </c>
      <c r="B224" s="112" t="s">
        <v>568</v>
      </c>
      <c r="C224" s="127" t="s">
        <v>485</v>
      </c>
      <c r="D224" s="112"/>
      <c r="E224" s="112" t="str">
        <f t="shared" si="0"/>
        <v>KUANTUM</v>
      </c>
      <c r="F224" s="112"/>
      <c r="G224" s="112"/>
      <c r="H224" s="112"/>
      <c r="I224" s="127" t="s">
        <v>461</v>
      </c>
      <c r="J224" s="126" t="s">
        <v>483</v>
      </c>
      <c r="K224" s="127"/>
      <c r="L224" s="127"/>
      <c r="M224" s="128">
        <v>25</v>
      </c>
      <c r="N224" s="129">
        <v>95</v>
      </c>
      <c r="O224" s="130">
        <f t="shared" si="39"/>
        <v>0</v>
      </c>
      <c r="P224" s="130">
        <f>N224-O224</f>
        <v>95</v>
      </c>
      <c r="Q224" s="130"/>
      <c r="R224" s="130">
        <f t="shared" si="3"/>
        <v>2375</v>
      </c>
      <c r="S224" s="131">
        <f t="shared" si="4"/>
        <v>9.8399999999999987E-2</v>
      </c>
      <c r="T224" s="131">
        <f t="shared" si="75"/>
        <v>0</v>
      </c>
      <c r="U224" s="131">
        <f t="shared" si="36"/>
        <v>0.01</v>
      </c>
      <c r="V224" s="131">
        <f t="shared" si="62"/>
        <v>2.38</v>
      </c>
      <c r="W224" s="131">
        <v>0</v>
      </c>
      <c r="X224" s="131">
        <f t="shared" si="226"/>
        <v>7.0000000000000007E-2</v>
      </c>
      <c r="Y224" s="131">
        <f t="shared" si="218"/>
        <v>0</v>
      </c>
      <c r="Z224" s="131">
        <f t="shared" si="10"/>
        <v>2.4599999999999995</v>
      </c>
      <c r="AA224" s="132">
        <f>ROUND(R224-SUM(T224:Y224),2)</f>
        <v>2372.54</v>
      </c>
      <c r="AB224" s="133">
        <v>2373</v>
      </c>
      <c r="AC224" s="134">
        <f t="shared" si="48"/>
        <v>0.46000000000003638</v>
      </c>
      <c r="AD224" s="125">
        <v>44407</v>
      </c>
      <c r="AE224" s="135">
        <f t="shared" si="13"/>
        <v>1.036E-3</v>
      </c>
      <c r="AF224" s="136">
        <f t="shared" si="14"/>
        <v>44407</v>
      </c>
      <c r="AG224" s="137" t="s">
        <v>416</v>
      </c>
      <c r="AH224" s="124"/>
    </row>
    <row r="225" spans="1:34" ht="12" customHeight="1">
      <c r="A225" s="154">
        <v>44406</v>
      </c>
      <c r="B225" s="140" t="s">
        <v>569</v>
      </c>
      <c r="C225" s="141" t="s">
        <v>485</v>
      </c>
      <c r="D225" s="140"/>
      <c r="E225" s="140" t="str">
        <f t="shared" si="0"/>
        <v>TATVA</v>
      </c>
      <c r="F225" s="140"/>
      <c r="G225" s="140"/>
      <c r="H225" s="140"/>
      <c r="I225" s="141" t="s">
        <v>467</v>
      </c>
      <c r="J225" s="139" t="s">
        <v>483</v>
      </c>
      <c r="K225" s="141"/>
      <c r="L225" s="141"/>
      <c r="M225" s="142">
        <v>1</v>
      </c>
      <c r="N225" s="143">
        <v>2300</v>
      </c>
      <c r="O225" s="144">
        <f t="shared" si="39"/>
        <v>0</v>
      </c>
      <c r="P225" s="144">
        <f t="shared" ref="P225:P228" si="228">N225+O225</f>
        <v>2300</v>
      </c>
      <c r="Q225" s="144"/>
      <c r="R225" s="144">
        <f t="shared" si="3"/>
        <v>2300</v>
      </c>
      <c r="S225" s="145">
        <f t="shared" si="4"/>
        <v>2.7199999999999998</v>
      </c>
      <c r="T225" s="145">
        <f t="shared" si="75"/>
        <v>0</v>
      </c>
      <c r="U225" s="145">
        <f t="shared" si="36"/>
        <v>0.01</v>
      </c>
      <c r="V225" s="145">
        <f t="shared" si="62"/>
        <v>2.2999999999999998</v>
      </c>
      <c r="W225" s="145">
        <f t="shared" ref="W225:W228" si="229">ROUND(R225*F$1823,2)</f>
        <v>0.35</v>
      </c>
      <c r="X225" s="145">
        <f t="shared" si="226"/>
        <v>0.06</v>
      </c>
      <c r="Y225" s="145">
        <f t="shared" si="218"/>
        <v>0</v>
      </c>
      <c r="Z225" s="146">
        <f t="shared" si="10"/>
        <v>2.7199999999999998</v>
      </c>
      <c r="AA225" s="147">
        <f t="shared" ref="AA225:AA228" si="230">-ROUND(R225+SUM(T225:Y225),2)</f>
        <v>-2302.7199999999998</v>
      </c>
      <c r="AB225" s="148">
        <v>-2303</v>
      </c>
      <c r="AC225" s="149">
        <f t="shared" si="48"/>
        <v>-0.28000000000020009</v>
      </c>
      <c r="AD225" s="138">
        <v>44410</v>
      </c>
      <c r="AE225" s="150">
        <f t="shared" si="13"/>
        <v>1.183E-3</v>
      </c>
      <c r="AF225" s="151">
        <f t="shared" si="14"/>
        <v>44410</v>
      </c>
      <c r="AG225" s="152" t="s">
        <v>416</v>
      </c>
      <c r="AH225" s="124"/>
    </row>
    <row r="226" spans="1:34" ht="12" customHeight="1">
      <c r="A226" s="154">
        <v>44407</v>
      </c>
      <c r="B226" s="140" t="s">
        <v>570</v>
      </c>
      <c r="C226" s="141" t="s">
        <v>485</v>
      </c>
      <c r="D226" s="140"/>
      <c r="E226" s="140" t="str">
        <f t="shared" si="0"/>
        <v>ELGIEQUIP</v>
      </c>
      <c r="F226" s="140"/>
      <c r="G226" s="140"/>
      <c r="H226" s="140"/>
      <c r="I226" s="141" t="s">
        <v>467</v>
      </c>
      <c r="J226" s="139" t="s">
        <v>483</v>
      </c>
      <c r="K226" s="141"/>
      <c r="L226" s="141"/>
      <c r="M226" s="142">
        <v>10</v>
      </c>
      <c r="N226" s="143">
        <v>225</v>
      </c>
      <c r="O226" s="144">
        <f t="shared" si="39"/>
        <v>0</v>
      </c>
      <c r="P226" s="144">
        <f t="shared" si="228"/>
        <v>225</v>
      </c>
      <c r="Q226" s="144"/>
      <c r="R226" s="144">
        <f t="shared" si="3"/>
        <v>2250</v>
      </c>
      <c r="S226" s="145">
        <f t="shared" si="4"/>
        <v>0.26599999999999996</v>
      </c>
      <c r="T226" s="145">
        <f t="shared" si="75"/>
        <v>0</v>
      </c>
      <c r="U226" s="145">
        <f t="shared" si="36"/>
        <v>0.01</v>
      </c>
      <c r="V226" s="145">
        <f t="shared" si="62"/>
        <v>2.25</v>
      </c>
      <c r="W226" s="145">
        <f t="shared" si="229"/>
        <v>0.34</v>
      </c>
      <c r="X226" s="145">
        <f t="shared" si="226"/>
        <v>0.06</v>
      </c>
      <c r="Y226" s="145">
        <f t="shared" si="218"/>
        <v>0</v>
      </c>
      <c r="Z226" s="146">
        <f t="shared" si="10"/>
        <v>2.6599999999999997</v>
      </c>
      <c r="AA226" s="147">
        <f t="shared" si="230"/>
        <v>-2252.66</v>
      </c>
      <c r="AB226" s="148">
        <v>-2253</v>
      </c>
      <c r="AC226" s="149">
        <f t="shared" si="48"/>
        <v>-0.34000000000014552</v>
      </c>
      <c r="AD226" s="138">
        <v>44412</v>
      </c>
      <c r="AE226" s="150">
        <f t="shared" si="13"/>
        <v>1.1820000000000001E-3</v>
      </c>
      <c r="AF226" s="151">
        <f t="shared" si="14"/>
        <v>44412</v>
      </c>
      <c r="AG226" s="152" t="s">
        <v>416</v>
      </c>
      <c r="AH226" s="124"/>
    </row>
    <row r="227" spans="1:34" ht="12" customHeight="1">
      <c r="A227" s="154">
        <v>44407</v>
      </c>
      <c r="B227" s="140" t="s">
        <v>571</v>
      </c>
      <c r="C227" s="141" t="s">
        <v>485</v>
      </c>
      <c r="D227" s="140"/>
      <c r="E227" s="140" t="str">
        <f t="shared" si="0"/>
        <v>TRIDENT</v>
      </c>
      <c r="F227" s="140"/>
      <c r="G227" s="140"/>
      <c r="H227" s="140"/>
      <c r="I227" s="141" t="s">
        <v>467</v>
      </c>
      <c r="J227" s="139" t="s">
        <v>483</v>
      </c>
      <c r="K227" s="141"/>
      <c r="L227" s="141"/>
      <c r="M227" s="142">
        <v>50</v>
      </c>
      <c r="N227" s="143">
        <v>20.5</v>
      </c>
      <c r="O227" s="144">
        <f t="shared" si="39"/>
        <v>0</v>
      </c>
      <c r="P227" s="144">
        <f t="shared" si="228"/>
        <v>20.5</v>
      </c>
      <c r="Q227" s="144"/>
      <c r="R227" s="144">
        <f t="shared" si="3"/>
        <v>1025</v>
      </c>
      <c r="S227" s="145">
        <f t="shared" si="4"/>
        <v>2.4399999999999998E-2</v>
      </c>
      <c r="T227" s="145">
        <f t="shared" si="75"/>
        <v>0</v>
      </c>
      <c r="U227" s="145">
        <f t="shared" si="36"/>
        <v>0.01</v>
      </c>
      <c r="V227" s="145">
        <f t="shared" si="62"/>
        <v>1.03</v>
      </c>
      <c r="W227" s="145">
        <f t="shared" si="229"/>
        <v>0.15</v>
      </c>
      <c r="X227" s="145">
        <f t="shared" si="226"/>
        <v>0.03</v>
      </c>
      <c r="Y227" s="145">
        <f t="shared" si="218"/>
        <v>0</v>
      </c>
      <c r="Z227" s="146">
        <f t="shared" si="10"/>
        <v>1.22</v>
      </c>
      <c r="AA227" s="147">
        <f t="shared" si="230"/>
        <v>-1026.22</v>
      </c>
      <c r="AB227" s="148">
        <v>-1026</v>
      </c>
      <c r="AC227" s="149">
        <f t="shared" si="48"/>
        <v>0.22000000000002728</v>
      </c>
      <c r="AD227" s="138">
        <v>44411</v>
      </c>
      <c r="AE227" s="150">
        <f t="shared" si="13"/>
        <v>1.1900000000000001E-3</v>
      </c>
      <c r="AF227" s="151">
        <f t="shared" si="14"/>
        <v>44411</v>
      </c>
      <c r="AG227" s="152" t="s">
        <v>416</v>
      </c>
      <c r="AH227" s="124"/>
    </row>
    <row r="228" spans="1:34" ht="12" customHeight="1">
      <c r="A228" s="154">
        <v>44410</v>
      </c>
      <c r="B228" s="140" t="s">
        <v>572</v>
      </c>
      <c r="C228" s="141" t="s">
        <v>485</v>
      </c>
      <c r="D228" s="140"/>
      <c r="E228" s="140" t="str">
        <f t="shared" si="0"/>
        <v>INSECTICID</v>
      </c>
      <c r="F228" s="140"/>
      <c r="G228" s="140"/>
      <c r="H228" s="140"/>
      <c r="I228" s="141" t="s">
        <v>467</v>
      </c>
      <c r="J228" s="139" t="s">
        <v>483</v>
      </c>
      <c r="K228" s="141"/>
      <c r="L228" s="141"/>
      <c r="M228" s="142">
        <v>4</v>
      </c>
      <c r="N228" s="143">
        <v>810</v>
      </c>
      <c r="O228" s="144">
        <f t="shared" si="39"/>
        <v>0</v>
      </c>
      <c r="P228" s="144">
        <f t="shared" si="228"/>
        <v>810</v>
      </c>
      <c r="Q228" s="144"/>
      <c r="R228" s="144">
        <f t="shared" si="3"/>
        <v>3240</v>
      </c>
      <c r="S228" s="145">
        <f t="shared" si="4"/>
        <v>0.96</v>
      </c>
      <c r="T228" s="145">
        <f t="shared" si="75"/>
        <v>0</v>
      </c>
      <c r="U228" s="145">
        <f t="shared" si="36"/>
        <v>0.02</v>
      </c>
      <c r="V228" s="145">
        <f t="shared" si="62"/>
        <v>3.24</v>
      </c>
      <c r="W228" s="145">
        <f t="shared" si="229"/>
        <v>0.49</v>
      </c>
      <c r="X228" s="145">
        <f t="shared" si="226"/>
        <v>0.09</v>
      </c>
      <c r="Y228" s="145">
        <f t="shared" si="218"/>
        <v>0</v>
      </c>
      <c r="Z228" s="146">
        <f t="shared" si="10"/>
        <v>3.84</v>
      </c>
      <c r="AA228" s="147">
        <f t="shared" si="230"/>
        <v>-3243.84</v>
      </c>
      <c r="AB228" s="148">
        <f t="shared" ref="AB228:AB437" si="231">ROUND(AA228,0)</f>
        <v>-3244</v>
      </c>
      <c r="AC228" s="149">
        <f t="shared" si="48"/>
        <v>-0.15999999999985448</v>
      </c>
      <c r="AD228" s="138">
        <v>44412</v>
      </c>
      <c r="AE228" s="150">
        <f t="shared" si="13"/>
        <v>1.1850000000000001E-3</v>
      </c>
      <c r="AF228" s="151">
        <f t="shared" si="14"/>
        <v>44412</v>
      </c>
      <c r="AG228" s="152" t="s">
        <v>416</v>
      </c>
      <c r="AH228" s="124"/>
    </row>
    <row r="229" spans="1:34" ht="12" customHeight="1">
      <c r="A229" s="155">
        <v>44410</v>
      </c>
      <c r="B229" s="112" t="s">
        <v>566</v>
      </c>
      <c r="C229" s="127" t="s">
        <v>485</v>
      </c>
      <c r="D229" s="112"/>
      <c r="E229" s="112" t="str">
        <f t="shared" si="0"/>
        <v>NOCIL</v>
      </c>
      <c r="F229" s="112"/>
      <c r="G229" s="112"/>
      <c r="H229" s="112"/>
      <c r="I229" s="127" t="s">
        <v>461</v>
      </c>
      <c r="J229" s="126" t="s">
        <v>483</v>
      </c>
      <c r="K229" s="127"/>
      <c r="L229" s="127"/>
      <c r="M229" s="128">
        <v>50</v>
      </c>
      <c r="N229" s="129">
        <v>268.5</v>
      </c>
      <c r="O229" s="130">
        <f t="shared" si="39"/>
        <v>0</v>
      </c>
      <c r="P229" s="130">
        <f>N229-O229</f>
        <v>268.5</v>
      </c>
      <c r="Q229" s="130"/>
      <c r="R229" s="130">
        <f t="shared" si="3"/>
        <v>13425</v>
      </c>
      <c r="S229" s="131">
        <f t="shared" si="4"/>
        <v>0.27759999999999996</v>
      </c>
      <c r="T229" s="131">
        <f t="shared" si="75"/>
        <v>0</v>
      </c>
      <c r="U229" s="131">
        <f t="shared" si="36"/>
        <v>7.0000000000000007E-2</v>
      </c>
      <c r="V229" s="131">
        <f t="shared" si="62"/>
        <v>13.43</v>
      </c>
      <c r="W229" s="131">
        <v>0</v>
      </c>
      <c r="X229" s="131">
        <f t="shared" si="226"/>
        <v>0.37</v>
      </c>
      <c r="Y229" s="131">
        <f t="shared" si="218"/>
        <v>0.01</v>
      </c>
      <c r="Z229" s="131">
        <f t="shared" si="10"/>
        <v>13.879999999999999</v>
      </c>
      <c r="AA229" s="132">
        <f>ROUND(R229-SUM(T229:Y229),2)</f>
        <v>13411.12</v>
      </c>
      <c r="AB229" s="133">
        <f t="shared" si="231"/>
        <v>13411</v>
      </c>
      <c r="AC229" s="134">
        <f t="shared" si="48"/>
        <v>-0.12000000000080036</v>
      </c>
      <c r="AD229" s="125">
        <v>44412</v>
      </c>
      <c r="AE229" s="135">
        <f t="shared" si="13"/>
        <v>1.034E-3</v>
      </c>
      <c r="AF229" s="136">
        <f t="shared" si="14"/>
        <v>44412</v>
      </c>
      <c r="AG229" s="137" t="s">
        <v>416</v>
      </c>
      <c r="AH229" s="124"/>
    </row>
    <row r="230" spans="1:34" ht="12" customHeight="1">
      <c r="A230" s="154">
        <v>44411</v>
      </c>
      <c r="B230" s="140" t="s">
        <v>573</v>
      </c>
      <c r="C230" s="141" t="s">
        <v>485</v>
      </c>
      <c r="D230" s="140"/>
      <c r="E230" s="140" t="str">
        <f t="shared" si="0"/>
        <v>INDSUCR</v>
      </c>
      <c r="F230" s="140"/>
      <c r="G230" s="140"/>
      <c r="H230" s="140"/>
      <c r="I230" s="141" t="s">
        <v>467</v>
      </c>
      <c r="J230" s="139" t="s">
        <v>483</v>
      </c>
      <c r="K230" s="141"/>
      <c r="L230" s="141"/>
      <c r="M230" s="142">
        <v>50</v>
      </c>
      <c r="N230" s="143">
        <v>62.75</v>
      </c>
      <c r="O230" s="144">
        <f t="shared" si="39"/>
        <v>0</v>
      </c>
      <c r="P230" s="144">
        <f>N230+O230</f>
        <v>62.75</v>
      </c>
      <c r="Q230" s="144"/>
      <c r="R230" s="144">
        <f t="shared" si="3"/>
        <v>3137.5</v>
      </c>
      <c r="S230" s="145">
        <f t="shared" si="4"/>
        <v>0.1464</v>
      </c>
      <c r="T230" s="145">
        <f t="shared" si="75"/>
        <v>0</v>
      </c>
      <c r="U230" s="145">
        <f t="shared" si="36"/>
        <v>0.56999999999999995</v>
      </c>
      <c r="V230" s="145">
        <f t="shared" si="62"/>
        <v>3.14</v>
      </c>
      <c r="W230" s="145">
        <f>ROUND(R230*F$1823,2)</f>
        <v>0.47</v>
      </c>
      <c r="X230" s="145">
        <f>ROUND(R230*0.001,2)</f>
        <v>3.14</v>
      </c>
      <c r="Y230" s="145">
        <f t="shared" si="218"/>
        <v>0</v>
      </c>
      <c r="Z230" s="146">
        <f t="shared" si="10"/>
        <v>7.32</v>
      </c>
      <c r="AA230" s="147">
        <f>-ROUND(R230+SUM(T230:Y230),2)</f>
        <v>-3144.82</v>
      </c>
      <c r="AB230" s="148">
        <f t="shared" si="231"/>
        <v>-3145</v>
      </c>
      <c r="AC230" s="149">
        <f t="shared" si="48"/>
        <v>-0.17999999999983629</v>
      </c>
      <c r="AD230" s="138">
        <v>44413</v>
      </c>
      <c r="AE230" s="150">
        <f t="shared" si="13"/>
        <v>2.333E-3</v>
      </c>
      <c r="AF230" s="151">
        <f t="shared" si="14"/>
        <v>44413</v>
      </c>
      <c r="AG230" s="152" t="s">
        <v>416</v>
      </c>
      <c r="AH230" s="124"/>
    </row>
    <row r="231" spans="1:34" ht="12" customHeight="1">
      <c r="A231" s="155">
        <v>44412</v>
      </c>
      <c r="B231" s="112" t="s">
        <v>560</v>
      </c>
      <c r="C231" s="127" t="s">
        <v>485</v>
      </c>
      <c r="D231" s="112"/>
      <c r="E231" s="112" t="str">
        <f t="shared" si="0"/>
        <v>EASEMYTRIP</v>
      </c>
      <c r="F231" s="112"/>
      <c r="G231" s="112"/>
      <c r="H231" s="112"/>
      <c r="I231" s="127" t="s">
        <v>461</v>
      </c>
      <c r="J231" s="126" t="s">
        <v>483</v>
      </c>
      <c r="K231" s="127"/>
      <c r="L231" s="127"/>
      <c r="M231" s="128">
        <v>10</v>
      </c>
      <c r="N231" s="129">
        <v>485</v>
      </c>
      <c r="O231" s="130">
        <f t="shared" si="39"/>
        <v>0</v>
      </c>
      <c r="P231" s="130">
        <f>N231-O231</f>
        <v>485</v>
      </c>
      <c r="Q231" s="130"/>
      <c r="R231" s="130">
        <f t="shared" si="3"/>
        <v>4850</v>
      </c>
      <c r="S231" s="131">
        <f t="shared" si="4"/>
        <v>0.49999999999999989</v>
      </c>
      <c r="T231" s="131">
        <f t="shared" si="75"/>
        <v>0</v>
      </c>
      <c r="U231" s="131">
        <f t="shared" si="36"/>
        <v>0.02</v>
      </c>
      <c r="V231" s="131">
        <f t="shared" si="62"/>
        <v>4.8499999999999996</v>
      </c>
      <c r="W231" s="131">
        <v>0</v>
      </c>
      <c r="X231" s="131">
        <f t="shared" ref="X231:X238" si="232">ROUND(R231*G$1820,2)</f>
        <v>0.13</v>
      </c>
      <c r="Y231" s="131">
        <f t="shared" si="218"/>
        <v>0</v>
      </c>
      <c r="Z231" s="131">
        <f t="shared" si="10"/>
        <v>4.9999999999999991</v>
      </c>
      <c r="AA231" s="132">
        <f>ROUND(R231-SUM(T231:Y231),2)</f>
        <v>4845</v>
      </c>
      <c r="AB231" s="133">
        <f t="shared" si="231"/>
        <v>4845</v>
      </c>
      <c r="AC231" s="134">
        <f t="shared" si="48"/>
        <v>0</v>
      </c>
      <c r="AD231" s="125">
        <v>44414</v>
      </c>
      <c r="AE231" s="135">
        <f t="shared" si="13"/>
        <v>1.031E-3</v>
      </c>
      <c r="AF231" s="136">
        <f t="shared" si="14"/>
        <v>44414</v>
      </c>
      <c r="AG231" s="137" t="s">
        <v>416</v>
      </c>
      <c r="AH231" s="124"/>
    </row>
    <row r="232" spans="1:34" ht="12" customHeight="1">
      <c r="A232" s="154">
        <v>44417</v>
      </c>
      <c r="B232" s="140" t="s">
        <v>496</v>
      </c>
      <c r="C232" s="141" t="s">
        <v>485</v>
      </c>
      <c r="D232" s="140"/>
      <c r="E232" s="140" t="str">
        <f t="shared" si="0"/>
        <v>NATIONALUM</v>
      </c>
      <c r="F232" s="140"/>
      <c r="G232" s="140"/>
      <c r="H232" s="140"/>
      <c r="I232" s="141" t="s">
        <v>467</v>
      </c>
      <c r="J232" s="139" t="s">
        <v>483</v>
      </c>
      <c r="K232" s="141"/>
      <c r="L232" s="141"/>
      <c r="M232" s="142">
        <v>100</v>
      </c>
      <c r="N232" s="143">
        <v>84.9</v>
      </c>
      <c r="O232" s="144">
        <f t="shared" si="39"/>
        <v>0</v>
      </c>
      <c r="P232" s="144">
        <f t="shared" ref="P232:P234" si="233">N232+O232</f>
        <v>84.9</v>
      </c>
      <c r="Q232" s="144"/>
      <c r="R232" s="144">
        <f t="shared" si="3"/>
        <v>8490</v>
      </c>
      <c r="S232" s="145">
        <f t="shared" si="4"/>
        <v>0.10039999999999999</v>
      </c>
      <c r="T232" s="145">
        <f t="shared" si="75"/>
        <v>0</v>
      </c>
      <c r="U232" s="145">
        <f t="shared" si="36"/>
        <v>0.04</v>
      </c>
      <c r="V232" s="145">
        <f t="shared" si="62"/>
        <v>8.49</v>
      </c>
      <c r="W232" s="145">
        <f t="shared" ref="W232:W234" si="234">ROUND(R232*F$1823,2)</f>
        <v>1.27</v>
      </c>
      <c r="X232" s="145">
        <f t="shared" si="232"/>
        <v>0.23</v>
      </c>
      <c r="Y232" s="145">
        <f t="shared" si="218"/>
        <v>0.01</v>
      </c>
      <c r="Z232" s="146">
        <f t="shared" si="10"/>
        <v>10.039999999999999</v>
      </c>
      <c r="AA232" s="147">
        <f t="shared" ref="AA232:AA234" si="235">-ROUND(R232+SUM(T232:Y232),2)</f>
        <v>-8500.0400000000009</v>
      </c>
      <c r="AB232" s="148">
        <f t="shared" si="231"/>
        <v>-8500</v>
      </c>
      <c r="AC232" s="149">
        <f t="shared" si="48"/>
        <v>4.0000000000873115E-2</v>
      </c>
      <c r="AD232" s="138">
        <v>44419</v>
      </c>
      <c r="AE232" s="150">
        <f t="shared" si="13"/>
        <v>1.183E-3</v>
      </c>
      <c r="AF232" s="151">
        <f t="shared" si="14"/>
        <v>44419</v>
      </c>
      <c r="AG232" s="152" t="s">
        <v>416</v>
      </c>
      <c r="AH232" s="124"/>
    </row>
    <row r="233" spans="1:34" ht="12" customHeight="1">
      <c r="A233" s="154">
        <v>44424</v>
      </c>
      <c r="B233" s="140" t="s">
        <v>493</v>
      </c>
      <c r="C233" s="141" t="s">
        <v>485</v>
      </c>
      <c r="D233" s="140"/>
      <c r="E233" s="140" t="str">
        <f t="shared" si="0"/>
        <v>SBIN</v>
      </c>
      <c r="F233" s="140"/>
      <c r="G233" s="140"/>
      <c r="H233" s="140"/>
      <c r="I233" s="141" t="s">
        <v>467</v>
      </c>
      <c r="J233" s="139" t="s">
        <v>483</v>
      </c>
      <c r="K233" s="141"/>
      <c r="L233" s="141"/>
      <c r="M233" s="142">
        <v>10</v>
      </c>
      <c r="N233" s="143">
        <v>426.5</v>
      </c>
      <c r="O233" s="144">
        <f t="shared" si="39"/>
        <v>0</v>
      </c>
      <c r="P233" s="144">
        <f t="shared" si="233"/>
        <v>426.5</v>
      </c>
      <c r="Q233" s="144"/>
      <c r="R233" s="144">
        <f t="shared" si="3"/>
        <v>4265</v>
      </c>
      <c r="S233" s="145">
        <f t="shared" si="4"/>
        <v>0.50499999999999989</v>
      </c>
      <c r="T233" s="145">
        <f t="shared" si="75"/>
        <v>0</v>
      </c>
      <c r="U233" s="145">
        <f t="shared" si="36"/>
        <v>0.02</v>
      </c>
      <c r="V233" s="145">
        <f t="shared" si="62"/>
        <v>4.2699999999999996</v>
      </c>
      <c r="W233" s="145">
        <f t="shared" si="234"/>
        <v>0.64</v>
      </c>
      <c r="X233" s="145">
        <f t="shared" si="232"/>
        <v>0.12</v>
      </c>
      <c r="Y233" s="145">
        <f t="shared" si="218"/>
        <v>0</v>
      </c>
      <c r="Z233" s="146">
        <f t="shared" si="10"/>
        <v>5.0499999999999989</v>
      </c>
      <c r="AA233" s="147">
        <f t="shared" si="235"/>
        <v>-4270.05</v>
      </c>
      <c r="AB233" s="148">
        <f t="shared" si="231"/>
        <v>-4270</v>
      </c>
      <c r="AC233" s="149">
        <f t="shared" si="48"/>
        <v>5.0000000000181899E-2</v>
      </c>
      <c r="AD233" s="138">
        <v>44426</v>
      </c>
      <c r="AE233" s="150">
        <f t="shared" si="13"/>
        <v>1.1839999999999999E-3</v>
      </c>
      <c r="AF233" s="151">
        <f t="shared" si="14"/>
        <v>44426</v>
      </c>
      <c r="AG233" s="152" t="s">
        <v>416</v>
      </c>
      <c r="AH233" s="124"/>
    </row>
    <row r="234" spans="1:34" ht="12" customHeight="1">
      <c r="A234" s="154">
        <v>44433</v>
      </c>
      <c r="B234" s="140" t="s">
        <v>574</v>
      </c>
      <c r="C234" s="141" t="s">
        <v>485</v>
      </c>
      <c r="D234" s="140"/>
      <c r="E234" s="140" t="str">
        <f t="shared" si="0"/>
        <v>TIGERLOGS</v>
      </c>
      <c r="F234" s="140"/>
      <c r="G234" s="140"/>
      <c r="H234" s="140"/>
      <c r="I234" s="141" t="s">
        <v>467</v>
      </c>
      <c r="J234" s="139" t="s">
        <v>483</v>
      </c>
      <c r="K234" s="141"/>
      <c r="L234" s="141"/>
      <c r="M234" s="142">
        <v>11</v>
      </c>
      <c r="N234" s="143">
        <v>77</v>
      </c>
      <c r="O234" s="144">
        <f t="shared" si="39"/>
        <v>0</v>
      </c>
      <c r="P234" s="144">
        <f t="shared" si="233"/>
        <v>77</v>
      </c>
      <c r="Q234" s="144"/>
      <c r="R234" s="144">
        <f t="shared" si="3"/>
        <v>847</v>
      </c>
      <c r="S234" s="145">
        <f t="shared" si="4"/>
        <v>9.0909090909090912E-2</v>
      </c>
      <c r="T234" s="145">
        <f t="shared" si="75"/>
        <v>0</v>
      </c>
      <c r="U234" s="145">
        <f t="shared" si="36"/>
        <v>0</v>
      </c>
      <c r="V234" s="145">
        <f t="shared" si="62"/>
        <v>0.85</v>
      </c>
      <c r="W234" s="145">
        <f t="shared" si="234"/>
        <v>0.13</v>
      </c>
      <c r="X234" s="145">
        <f t="shared" si="232"/>
        <v>0.02</v>
      </c>
      <c r="Y234" s="145">
        <f t="shared" si="218"/>
        <v>0</v>
      </c>
      <c r="Z234" s="146">
        <f t="shared" si="10"/>
        <v>1</v>
      </c>
      <c r="AA234" s="147">
        <f t="shared" si="235"/>
        <v>-848</v>
      </c>
      <c r="AB234" s="148">
        <f t="shared" si="231"/>
        <v>-848</v>
      </c>
      <c r="AC234" s="149">
        <f t="shared" si="48"/>
        <v>0</v>
      </c>
      <c r="AD234" s="138">
        <v>44435</v>
      </c>
      <c r="AE234" s="150">
        <f t="shared" si="13"/>
        <v>1.181E-3</v>
      </c>
      <c r="AF234" s="151">
        <f t="shared" si="14"/>
        <v>44435</v>
      </c>
      <c r="AG234" s="152" t="s">
        <v>416</v>
      </c>
      <c r="AH234" s="124"/>
    </row>
    <row r="235" spans="1:34" ht="12" customHeight="1">
      <c r="A235" s="155">
        <v>44434</v>
      </c>
      <c r="B235" s="112" t="s">
        <v>571</v>
      </c>
      <c r="C235" s="127" t="s">
        <v>485</v>
      </c>
      <c r="D235" s="112"/>
      <c r="E235" s="112" t="str">
        <f t="shared" si="0"/>
        <v>TRIDENT</v>
      </c>
      <c r="F235" s="112"/>
      <c r="G235" s="112"/>
      <c r="H235" s="112"/>
      <c r="I235" s="127" t="s">
        <v>461</v>
      </c>
      <c r="J235" s="126" t="s">
        <v>483</v>
      </c>
      <c r="K235" s="127"/>
      <c r="L235" s="127"/>
      <c r="M235" s="128">
        <v>50</v>
      </c>
      <c r="N235" s="129">
        <v>20.65</v>
      </c>
      <c r="O235" s="130">
        <f t="shared" si="39"/>
        <v>0</v>
      </c>
      <c r="P235" s="130">
        <f t="shared" ref="P235:P238" si="236">N235-O235</f>
        <v>20.65</v>
      </c>
      <c r="Q235" s="130"/>
      <c r="R235" s="130">
        <f t="shared" si="3"/>
        <v>1032.5</v>
      </c>
      <c r="S235" s="131">
        <f t="shared" si="4"/>
        <v>2.1400000000000002E-2</v>
      </c>
      <c r="T235" s="131">
        <f t="shared" si="75"/>
        <v>0</v>
      </c>
      <c r="U235" s="131">
        <f t="shared" si="36"/>
        <v>0.01</v>
      </c>
      <c r="V235" s="131">
        <f t="shared" si="62"/>
        <v>1.03</v>
      </c>
      <c r="W235" s="131">
        <v>0</v>
      </c>
      <c r="X235" s="131">
        <f t="shared" si="232"/>
        <v>0.03</v>
      </c>
      <c r="Y235" s="131">
        <f t="shared" si="218"/>
        <v>0</v>
      </c>
      <c r="Z235" s="131">
        <f t="shared" si="10"/>
        <v>1.07</v>
      </c>
      <c r="AA235" s="132">
        <f t="shared" ref="AA235:AA238" si="237">ROUND(R235-SUM(T235:Y235),2)</f>
        <v>1031.43</v>
      </c>
      <c r="AB235" s="133">
        <f t="shared" si="231"/>
        <v>1031</v>
      </c>
      <c r="AC235" s="134">
        <f t="shared" si="48"/>
        <v>-0.43000000000006366</v>
      </c>
      <c r="AD235" s="125">
        <v>44438</v>
      </c>
      <c r="AE235" s="135">
        <f t="shared" si="13"/>
        <v>1.036E-3</v>
      </c>
      <c r="AF235" s="136">
        <f t="shared" si="14"/>
        <v>44438</v>
      </c>
      <c r="AG235" s="137" t="s">
        <v>416</v>
      </c>
      <c r="AH235" s="124"/>
    </row>
    <row r="236" spans="1:34" ht="12" customHeight="1">
      <c r="A236" s="155">
        <v>44439</v>
      </c>
      <c r="B236" s="112" t="s">
        <v>496</v>
      </c>
      <c r="C236" s="127" t="s">
        <v>485</v>
      </c>
      <c r="D236" s="112"/>
      <c r="E236" s="112" t="str">
        <f t="shared" si="0"/>
        <v>NATIONALUM</v>
      </c>
      <c r="F236" s="112"/>
      <c r="G236" s="112"/>
      <c r="H236" s="112"/>
      <c r="I236" s="127" t="s">
        <v>461</v>
      </c>
      <c r="J236" s="126" t="s">
        <v>483</v>
      </c>
      <c r="K236" s="127"/>
      <c r="L236" s="127"/>
      <c r="M236" s="128">
        <v>100</v>
      </c>
      <c r="N236" s="129">
        <v>90</v>
      </c>
      <c r="O236" s="130">
        <f t="shared" si="39"/>
        <v>0</v>
      </c>
      <c r="P236" s="130">
        <f t="shared" si="236"/>
        <v>90</v>
      </c>
      <c r="Q236" s="130"/>
      <c r="R236" s="130">
        <f t="shared" si="3"/>
        <v>9000</v>
      </c>
      <c r="S236" s="131">
        <f t="shared" si="4"/>
        <v>9.3100000000000002E-2</v>
      </c>
      <c r="T236" s="131">
        <f t="shared" si="75"/>
        <v>0</v>
      </c>
      <c r="U236" s="131">
        <f t="shared" si="36"/>
        <v>0.05</v>
      </c>
      <c r="V236" s="131">
        <f t="shared" si="62"/>
        <v>9</v>
      </c>
      <c r="W236" s="131">
        <v>0</v>
      </c>
      <c r="X236" s="131">
        <f t="shared" si="232"/>
        <v>0.25</v>
      </c>
      <c r="Y236" s="131">
        <f t="shared" si="218"/>
        <v>0.01</v>
      </c>
      <c r="Z236" s="131">
        <f t="shared" si="10"/>
        <v>9.31</v>
      </c>
      <c r="AA236" s="132">
        <f t="shared" si="237"/>
        <v>8990.69</v>
      </c>
      <c r="AB236" s="133">
        <f t="shared" si="231"/>
        <v>8991</v>
      </c>
      <c r="AC236" s="134">
        <f t="shared" si="48"/>
        <v>0.30999999999949068</v>
      </c>
      <c r="AD236" s="125">
        <v>44441</v>
      </c>
      <c r="AE236" s="135">
        <f t="shared" si="13"/>
        <v>1.034E-3</v>
      </c>
      <c r="AF236" s="136">
        <f t="shared" si="14"/>
        <v>44441</v>
      </c>
      <c r="AG236" s="137" t="s">
        <v>416</v>
      </c>
      <c r="AH236" s="124"/>
    </row>
    <row r="237" spans="1:34" ht="12" customHeight="1">
      <c r="A237" s="155">
        <v>44440</v>
      </c>
      <c r="B237" s="112" t="s">
        <v>564</v>
      </c>
      <c r="C237" s="127" t="s">
        <v>485</v>
      </c>
      <c r="D237" s="112"/>
      <c r="E237" s="112" t="str">
        <f t="shared" si="0"/>
        <v>PNCINFRA</v>
      </c>
      <c r="F237" s="112"/>
      <c r="G237" s="112"/>
      <c r="H237" s="112"/>
      <c r="I237" s="127" t="s">
        <v>461</v>
      </c>
      <c r="J237" s="126" t="s">
        <v>483</v>
      </c>
      <c r="K237" s="127"/>
      <c r="L237" s="127"/>
      <c r="M237" s="128">
        <v>25</v>
      </c>
      <c r="N237" s="129">
        <v>323.05</v>
      </c>
      <c r="O237" s="130">
        <f t="shared" si="39"/>
        <v>0</v>
      </c>
      <c r="P237" s="130">
        <f t="shared" si="236"/>
        <v>323.05</v>
      </c>
      <c r="Q237" s="130"/>
      <c r="R237" s="130">
        <f t="shared" si="3"/>
        <v>8076.25</v>
      </c>
      <c r="S237" s="131">
        <f t="shared" si="4"/>
        <v>0.33399999999999996</v>
      </c>
      <c r="T237" s="131">
        <f t="shared" si="75"/>
        <v>0</v>
      </c>
      <c r="U237" s="131">
        <f t="shared" si="36"/>
        <v>0.04</v>
      </c>
      <c r="V237" s="131">
        <f t="shared" si="62"/>
        <v>8.08</v>
      </c>
      <c r="W237" s="131">
        <v>0</v>
      </c>
      <c r="X237" s="131">
        <f t="shared" si="232"/>
        <v>0.22</v>
      </c>
      <c r="Y237" s="131">
        <f t="shared" si="218"/>
        <v>0.01</v>
      </c>
      <c r="Z237" s="131">
        <f t="shared" si="10"/>
        <v>8.35</v>
      </c>
      <c r="AA237" s="132">
        <f t="shared" si="237"/>
        <v>8067.9</v>
      </c>
      <c r="AB237" s="133">
        <f t="shared" si="231"/>
        <v>8068</v>
      </c>
      <c r="AC237" s="134">
        <f t="shared" si="48"/>
        <v>0.1000000000003638</v>
      </c>
      <c r="AD237" s="125">
        <v>44442</v>
      </c>
      <c r="AE237" s="135">
        <f t="shared" si="13"/>
        <v>1.034E-3</v>
      </c>
      <c r="AF237" s="136">
        <f t="shared" si="14"/>
        <v>44442</v>
      </c>
      <c r="AG237" s="137" t="s">
        <v>416</v>
      </c>
      <c r="AH237" s="124"/>
    </row>
    <row r="238" spans="1:34" ht="12" customHeight="1">
      <c r="A238" s="155">
        <v>44440</v>
      </c>
      <c r="B238" s="112" t="s">
        <v>542</v>
      </c>
      <c r="C238" s="127" t="s">
        <v>485</v>
      </c>
      <c r="D238" s="112"/>
      <c r="E238" s="112" t="str">
        <f t="shared" si="0"/>
        <v>JPASSOCIAT</v>
      </c>
      <c r="F238" s="112"/>
      <c r="G238" s="112"/>
      <c r="H238" s="112"/>
      <c r="I238" s="127" t="s">
        <v>461</v>
      </c>
      <c r="J238" s="126" t="s">
        <v>483</v>
      </c>
      <c r="K238" s="127"/>
      <c r="L238" s="127"/>
      <c r="M238" s="128">
        <v>500</v>
      </c>
      <c r="N238" s="129">
        <v>7.8299000000000003</v>
      </c>
      <c r="O238" s="130">
        <f t="shared" si="39"/>
        <v>0</v>
      </c>
      <c r="P238" s="130">
        <f t="shared" si="236"/>
        <v>7.8299000000000003</v>
      </c>
      <c r="Q238" s="130"/>
      <c r="R238" s="130">
        <f t="shared" si="3"/>
        <v>3914.95</v>
      </c>
      <c r="S238" s="131">
        <f t="shared" si="4"/>
        <v>8.0800000000000004E-3</v>
      </c>
      <c r="T238" s="131">
        <f t="shared" si="75"/>
        <v>0</v>
      </c>
      <c r="U238" s="131">
        <f t="shared" si="36"/>
        <v>0.02</v>
      </c>
      <c r="V238" s="131">
        <f t="shared" si="62"/>
        <v>3.91</v>
      </c>
      <c r="W238" s="131">
        <v>0</v>
      </c>
      <c r="X238" s="131">
        <f t="shared" si="232"/>
        <v>0.11</v>
      </c>
      <c r="Y238" s="131">
        <f t="shared" si="218"/>
        <v>0</v>
      </c>
      <c r="Z238" s="131">
        <f t="shared" si="10"/>
        <v>4.04</v>
      </c>
      <c r="AA238" s="132">
        <f t="shared" si="237"/>
        <v>3910.91</v>
      </c>
      <c r="AB238" s="133">
        <f t="shared" si="231"/>
        <v>3911</v>
      </c>
      <c r="AC238" s="134">
        <f t="shared" si="48"/>
        <v>9.0000000000145519E-2</v>
      </c>
      <c r="AD238" s="125">
        <v>44442</v>
      </c>
      <c r="AE238" s="135">
        <f t="shared" si="13"/>
        <v>1.0319999999999999E-3</v>
      </c>
      <c r="AF238" s="136">
        <f t="shared" si="14"/>
        <v>44442</v>
      </c>
      <c r="AG238" s="137" t="s">
        <v>416</v>
      </c>
      <c r="AH238" s="124"/>
    </row>
    <row r="239" spans="1:34" ht="12" customHeight="1">
      <c r="A239" s="154">
        <v>44441</v>
      </c>
      <c r="B239" s="140" t="s">
        <v>474</v>
      </c>
      <c r="C239" s="141" t="s">
        <v>485</v>
      </c>
      <c r="D239" s="140"/>
      <c r="E239" s="140" t="str">
        <f t="shared" si="0"/>
        <v>RELIANCE</v>
      </c>
      <c r="F239" s="140"/>
      <c r="G239" s="140"/>
      <c r="H239" s="140"/>
      <c r="I239" s="141" t="s">
        <v>467</v>
      </c>
      <c r="J239" s="139" t="s">
        <v>483</v>
      </c>
      <c r="K239" s="141"/>
      <c r="L239" s="141"/>
      <c r="M239" s="142">
        <v>5</v>
      </c>
      <c r="N239" s="143">
        <v>2275</v>
      </c>
      <c r="O239" s="144">
        <f t="shared" si="39"/>
        <v>0</v>
      </c>
      <c r="P239" s="144">
        <f t="shared" ref="P239:P240" si="238">N239+O239</f>
        <v>2275</v>
      </c>
      <c r="Q239" s="144"/>
      <c r="R239" s="144">
        <f t="shared" si="3"/>
        <v>11375</v>
      </c>
      <c r="S239" s="145">
        <f t="shared" si="4"/>
        <v>2.7120000000000002</v>
      </c>
      <c r="T239" s="145">
        <f t="shared" si="75"/>
        <v>0</v>
      </c>
      <c r="U239" s="145">
        <f t="shared" si="36"/>
        <v>7.0000000000000007E-2</v>
      </c>
      <c r="V239" s="145">
        <f t="shared" si="62"/>
        <v>11.38</v>
      </c>
      <c r="W239" s="145">
        <f t="shared" ref="W239:W240" si="239">ROUND(R239*F$1823,2)</f>
        <v>1.71</v>
      </c>
      <c r="X239" s="145">
        <f t="shared" ref="X239:X244" si="240">ROUND(R239*H$1820,2)</f>
        <v>0.39</v>
      </c>
      <c r="Y239" s="145">
        <f t="shared" si="218"/>
        <v>0.01</v>
      </c>
      <c r="Z239" s="146">
        <f t="shared" si="10"/>
        <v>13.56</v>
      </c>
      <c r="AA239" s="147">
        <f t="shared" ref="AA239:AA240" si="241">-ROUND(R239+SUM(T239:Y239),2)</f>
        <v>-11388.56</v>
      </c>
      <c r="AB239" s="148">
        <f t="shared" si="231"/>
        <v>-11389</v>
      </c>
      <c r="AC239" s="149">
        <f t="shared" si="48"/>
        <v>-0.44000000000050932</v>
      </c>
      <c r="AD239" s="138">
        <v>44445</v>
      </c>
      <c r="AE239" s="150">
        <f t="shared" si="13"/>
        <v>1.1919999999999999E-3</v>
      </c>
      <c r="AF239" s="151">
        <f t="shared" si="14"/>
        <v>44445</v>
      </c>
      <c r="AG239" s="152" t="s">
        <v>416</v>
      </c>
      <c r="AH239" s="124"/>
    </row>
    <row r="240" spans="1:34" ht="12" customHeight="1">
      <c r="A240" s="154">
        <v>44441</v>
      </c>
      <c r="B240" s="140" t="s">
        <v>575</v>
      </c>
      <c r="C240" s="141" t="s">
        <v>485</v>
      </c>
      <c r="D240" s="140"/>
      <c r="E240" s="140" t="str">
        <f t="shared" si="0"/>
        <v>LXCHEM</v>
      </c>
      <c r="F240" s="140"/>
      <c r="G240" s="140"/>
      <c r="H240" s="140"/>
      <c r="I240" s="141" t="s">
        <v>467</v>
      </c>
      <c r="J240" s="139" t="s">
        <v>483</v>
      </c>
      <c r="K240" s="141"/>
      <c r="L240" s="141"/>
      <c r="M240" s="142">
        <v>20</v>
      </c>
      <c r="N240" s="143">
        <v>495.5</v>
      </c>
      <c r="O240" s="144">
        <f t="shared" si="39"/>
        <v>0</v>
      </c>
      <c r="P240" s="144">
        <f t="shared" si="238"/>
        <v>495.5</v>
      </c>
      <c r="Q240" s="144"/>
      <c r="R240" s="144">
        <f t="shared" si="3"/>
        <v>9910</v>
      </c>
      <c r="S240" s="145">
        <f t="shared" si="4"/>
        <v>0.59050000000000002</v>
      </c>
      <c r="T240" s="145">
        <f t="shared" si="75"/>
        <v>0</v>
      </c>
      <c r="U240" s="145">
        <f t="shared" si="36"/>
        <v>0.06</v>
      </c>
      <c r="V240" s="145">
        <f t="shared" si="62"/>
        <v>9.91</v>
      </c>
      <c r="W240" s="145">
        <f t="shared" si="239"/>
        <v>1.49</v>
      </c>
      <c r="X240" s="145">
        <f t="shared" si="240"/>
        <v>0.34</v>
      </c>
      <c r="Y240" s="145">
        <f t="shared" si="218"/>
        <v>0.01</v>
      </c>
      <c r="Z240" s="146">
        <f t="shared" si="10"/>
        <v>11.81</v>
      </c>
      <c r="AA240" s="147">
        <f t="shared" si="241"/>
        <v>-9921.81</v>
      </c>
      <c r="AB240" s="148">
        <f t="shared" si="231"/>
        <v>-9922</v>
      </c>
      <c r="AC240" s="149">
        <f t="shared" si="48"/>
        <v>-0.19000000000050932</v>
      </c>
      <c r="AD240" s="138">
        <v>44445</v>
      </c>
      <c r="AE240" s="150">
        <f t="shared" si="13"/>
        <v>1.1919999999999999E-3</v>
      </c>
      <c r="AF240" s="151">
        <f t="shared" si="14"/>
        <v>44445</v>
      </c>
      <c r="AG240" s="152" t="s">
        <v>416</v>
      </c>
      <c r="AH240" s="124"/>
    </row>
    <row r="241" spans="1:34" ht="12" customHeight="1">
      <c r="A241" s="155">
        <v>44442</v>
      </c>
      <c r="B241" s="112" t="s">
        <v>474</v>
      </c>
      <c r="C241" s="127" t="s">
        <v>485</v>
      </c>
      <c r="D241" s="112"/>
      <c r="E241" s="112" t="str">
        <f t="shared" si="0"/>
        <v>RELIANCE</v>
      </c>
      <c r="F241" s="112"/>
      <c r="G241" s="112"/>
      <c r="H241" s="112"/>
      <c r="I241" s="127" t="s">
        <v>461</v>
      </c>
      <c r="J241" s="126" t="s">
        <v>483</v>
      </c>
      <c r="K241" s="127"/>
      <c r="L241" s="127"/>
      <c r="M241" s="128">
        <v>5</v>
      </c>
      <c r="N241" s="129">
        <v>2389.5</v>
      </c>
      <c r="O241" s="130">
        <f t="shared" si="39"/>
        <v>0</v>
      </c>
      <c r="P241" s="130">
        <f t="shared" ref="P241:P242" si="242">N241-O241</f>
        <v>2389.5</v>
      </c>
      <c r="Q241" s="130"/>
      <c r="R241" s="130">
        <f t="shared" si="3"/>
        <v>11947.5</v>
      </c>
      <c r="S241" s="131">
        <f t="shared" si="4"/>
        <v>2.488</v>
      </c>
      <c r="T241" s="131">
        <f t="shared" si="75"/>
        <v>0</v>
      </c>
      <c r="U241" s="131">
        <f t="shared" si="36"/>
        <v>7.0000000000000007E-2</v>
      </c>
      <c r="V241" s="131">
        <f t="shared" si="62"/>
        <v>11.95</v>
      </c>
      <c r="W241" s="131">
        <v>0</v>
      </c>
      <c r="X241" s="131">
        <f t="shared" si="240"/>
        <v>0.41</v>
      </c>
      <c r="Y241" s="131">
        <f t="shared" si="218"/>
        <v>0.01</v>
      </c>
      <c r="Z241" s="131">
        <f t="shared" si="10"/>
        <v>12.44</v>
      </c>
      <c r="AA241" s="132">
        <f t="shared" ref="AA241:AA242" si="243">ROUND(R241-SUM(T241:Y241),2)</f>
        <v>11935.06</v>
      </c>
      <c r="AB241" s="133">
        <f t="shared" si="231"/>
        <v>11935</v>
      </c>
      <c r="AC241" s="134">
        <f t="shared" si="48"/>
        <v>-5.9999999999490683E-2</v>
      </c>
      <c r="AD241" s="125">
        <v>44446</v>
      </c>
      <c r="AE241" s="135">
        <f t="shared" si="13"/>
        <v>1.041E-3</v>
      </c>
      <c r="AF241" s="136">
        <f t="shared" si="14"/>
        <v>44446</v>
      </c>
      <c r="AG241" s="137" t="s">
        <v>416</v>
      </c>
      <c r="AH241" s="124"/>
    </row>
    <row r="242" spans="1:34" ht="12" customHeight="1">
      <c r="A242" s="155">
        <v>44445</v>
      </c>
      <c r="B242" s="112" t="s">
        <v>574</v>
      </c>
      <c r="C242" s="127" t="s">
        <v>485</v>
      </c>
      <c r="D242" s="112"/>
      <c r="E242" s="112" t="str">
        <f t="shared" si="0"/>
        <v>TIGERLOGS</v>
      </c>
      <c r="F242" s="112"/>
      <c r="G242" s="112"/>
      <c r="H242" s="112"/>
      <c r="I242" s="127" t="s">
        <v>461</v>
      </c>
      <c r="J242" s="126" t="s">
        <v>483</v>
      </c>
      <c r="K242" s="127"/>
      <c r="L242" s="127"/>
      <c r="M242" s="128">
        <v>11</v>
      </c>
      <c r="N242" s="129">
        <v>103.15</v>
      </c>
      <c r="O242" s="130">
        <f t="shared" si="39"/>
        <v>0</v>
      </c>
      <c r="P242" s="130">
        <f t="shared" si="242"/>
        <v>103.15</v>
      </c>
      <c r="Q242" s="130"/>
      <c r="R242" s="130">
        <f t="shared" si="3"/>
        <v>1134.6500000000001</v>
      </c>
      <c r="S242" s="131">
        <f t="shared" si="4"/>
        <v>0.10727272727272727</v>
      </c>
      <c r="T242" s="131">
        <f t="shared" si="75"/>
        <v>0</v>
      </c>
      <c r="U242" s="131">
        <f t="shared" si="36"/>
        <v>0.01</v>
      </c>
      <c r="V242" s="131">
        <f t="shared" si="62"/>
        <v>1.1299999999999999</v>
      </c>
      <c r="W242" s="131">
        <v>0</v>
      </c>
      <c r="X242" s="131">
        <f t="shared" si="240"/>
        <v>0.04</v>
      </c>
      <c r="Y242" s="131">
        <f t="shared" si="218"/>
        <v>0</v>
      </c>
      <c r="Z242" s="131">
        <f t="shared" si="10"/>
        <v>1.18</v>
      </c>
      <c r="AA242" s="132">
        <f t="shared" si="243"/>
        <v>1133.47</v>
      </c>
      <c r="AB242" s="133">
        <f t="shared" si="231"/>
        <v>1133</v>
      </c>
      <c r="AC242" s="134">
        <f t="shared" si="48"/>
        <v>-0.47000000000002728</v>
      </c>
      <c r="AD242" s="125">
        <v>44447</v>
      </c>
      <c r="AE242" s="135">
        <f t="shared" si="13"/>
        <v>1.0399999999999999E-3</v>
      </c>
      <c r="AF242" s="136">
        <f t="shared" si="14"/>
        <v>44447</v>
      </c>
      <c r="AG242" s="137" t="s">
        <v>416</v>
      </c>
      <c r="AH242" s="124"/>
    </row>
    <row r="243" spans="1:34" ht="12" customHeight="1">
      <c r="A243" s="154">
        <v>44445</v>
      </c>
      <c r="B243" s="140" t="s">
        <v>498</v>
      </c>
      <c r="C243" s="141" t="s">
        <v>485</v>
      </c>
      <c r="D243" s="140"/>
      <c r="E243" s="140" t="str">
        <f t="shared" si="0"/>
        <v>BAJFINANCE</v>
      </c>
      <c r="F243" s="140"/>
      <c r="G243" s="140"/>
      <c r="H243" s="140"/>
      <c r="I243" s="141" t="s">
        <v>467</v>
      </c>
      <c r="J243" s="139" t="s">
        <v>483</v>
      </c>
      <c r="K243" s="141"/>
      <c r="L243" s="141"/>
      <c r="M243" s="142">
        <v>2</v>
      </c>
      <c r="N243" s="143">
        <v>7546</v>
      </c>
      <c r="O243" s="144">
        <f t="shared" si="39"/>
        <v>0</v>
      </c>
      <c r="P243" s="144">
        <f t="shared" ref="P243:P244" si="244">N243+O243</f>
        <v>7546</v>
      </c>
      <c r="Q243" s="144"/>
      <c r="R243" s="144">
        <f t="shared" si="3"/>
        <v>15092</v>
      </c>
      <c r="S243" s="145">
        <f t="shared" si="4"/>
        <v>8.9899999999999984</v>
      </c>
      <c r="T243" s="145">
        <f t="shared" si="75"/>
        <v>0</v>
      </c>
      <c r="U243" s="145">
        <f t="shared" si="36"/>
        <v>0.09</v>
      </c>
      <c r="V243" s="145">
        <f t="shared" si="62"/>
        <v>15.09</v>
      </c>
      <c r="W243" s="145">
        <f t="shared" ref="W243:W244" si="245">ROUND(R243*F$1823,2)</f>
        <v>2.2599999999999998</v>
      </c>
      <c r="X243" s="145">
        <f t="shared" si="240"/>
        <v>0.52</v>
      </c>
      <c r="Y243" s="145">
        <f t="shared" si="218"/>
        <v>0.02</v>
      </c>
      <c r="Z243" s="146">
        <f t="shared" si="10"/>
        <v>17.979999999999997</v>
      </c>
      <c r="AA243" s="147">
        <f t="shared" ref="AA243:AA244" si="246">-ROUND(R243+SUM(T243:Y243),2)</f>
        <v>-15109.98</v>
      </c>
      <c r="AB243" s="148">
        <f t="shared" si="231"/>
        <v>-15110</v>
      </c>
      <c r="AC243" s="149">
        <f t="shared" si="48"/>
        <v>-2.0000000000436557E-2</v>
      </c>
      <c r="AD243" s="138">
        <v>44447</v>
      </c>
      <c r="AE243" s="150">
        <f t="shared" si="13"/>
        <v>1.191E-3</v>
      </c>
      <c r="AF243" s="151">
        <f t="shared" si="14"/>
        <v>44447</v>
      </c>
      <c r="AG243" s="152" t="s">
        <v>416</v>
      </c>
      <c r="AH243" s="124"/>
    </row>
    <row r="244" spans="1:34" ht="12" customHeight="1">
      <c r="A244" s="154">
        <v>44445</v>
      </c>
      <c r="B244" s="140" t="s">
        <v>576</v>
      </c>
      <c r="C244" s="141" t="s">
        <v>485</v>
      </c>
      <c r="D244" s="140"/>
      <c r="E244" s="140" t="str">
        <f t="shared" si="0"/>
        <v>CDSL</v>
      </c>
      <c r="F244" s="140"/>
      <c r="G244" s="140"/>
      <c r="H244" s="140"/>
      <c r="I244" s="141" t="s">
        <v>467</v>
      </c>
      <c r="J244" s="139" t="s">
        <v>483</v>
      </c>
      <c r="K244" s="141"/>
      <c r="L244" s="141"/>
      <c r="M244" s="142">
        <v>5</v>
      </c>
      <c r="N244" s="143">
        <v>1210</v>
      </c>
      <c r="O244" s="144">
        <f t="shared" si="39"/>
        <v>0</v>
      </c>
      <c r="P244" s="144">
        <f t="shared" si="244"/>
        <v>1210</v>
      </c>
      <c r="Q244" s="144"/>
      <c r="R244" s="144">
        <f t="shared" si="3"/>
        <v>6050</v>
      </c>
      <c r="S244" s="145">
        <f t="shared" si="4"/>
        <v>1.444</v>
      </c>
      <c r="T244" s="145">
        <f t="shared" si="75"/>
        <v>0</v>
      </c>
      <c r="U244" s="145">
        <f t="shared" si="36"/>
        <v>0.04</v>
      </c>
      <c r="V244" s="145">
        <f t="shared" si="62"/>
        <v>6.05</v>
      </c>
      <c r="W244" s="145">
        <f t="shared" si="245"/>
        <v>0.91</v>
      </c>
      <c r="X244" s="145">
        <f t="shared" si="240"/>
        <v>0.21</v>
      </c>
      <c r="Y244" s="145">
        <f t="shared" si="218"/>
        <v>0.01</v>
      </c>
      <c r="Z244" s="146">
        <f t="shared" si="10"/>
        <v>7.22</v>
      </c>
      <c r="AA244" s="147">
        <f t="shared" si="246"/>
        <v>-6057.22</v>
      </c>
      <c r="AB244" s="148">
        <f t="shared" si="231"/>
        <v>-6057</v>
      </c>
      <c r="AC244" s="149">
        <f t="shared" si="48"/>
        <v>0.22000000000025466</v>
      </c>
      <c r="AD244" s="138">
        <v>44447</v>
      </c>
      <c r="AE244" s="150">
        <f t="shared" si="13"/>
        <v>1.193E-3</v>
      </c>
      <c r="AF244" s="151">
        <f t="shared" si="14"/>
        <v>44447</v>
      </c>
      <c r="AG244" s="152" t="s">
        <v>416</v>
      </c>
      <c r="AH244" s="124"/>
    </row>
    <row r="245" spans="1:34" ht="12" customHeight="1">
      <c r="A245" s="155">
        <v>44452</v>
      </c>
      <c r="B245" s="112" t="s">
        <v>500</v>
      </c>
      <c r="C245" s="127" t="s">
        <v>485</v>
      </c>
      <c r="D245" s="112"/>
      <c r="E245" s="112" t="str">
        <f t="shared" si="0"/>
        <v>CHOLAFIN</v>
      </c>
      <c r="F245" s="112"/>
      <c r="G245" s="112"/>
      <c r="H245" s="112"/>
      <c r="I245" s="127" t="s">
        <v>461</v>
      </c>
      <c r="J245" s="126" t="s">
        <v>483</v>
      </c>
      <c r="K245" s="127"/>
      <c r="L245" s="127"/>
      <c r="M245" s="128">
        <v>50</v>
      </c>
      <c r="N245" s="129">
        <v>582</v>
      </c>
      <c r="O245" s="130">
        <f t="shared" si="39"/>
        <v>0</v>
      </c>
      <c r="P245" s="130">
        <f>N245-O245</f>
        <v>582</v>
      </c>
      <c r="Q245" s="130"/>
      <c r="R245" s="130">
        <f t="shared" si="3"/>
        <v>29100</v>
      </c>
      <c r="S245" s="131">
        <f t="shared" si="4"/>
        <v>0.60140000000000005</v>
      </c>
      <c r="T245" s="131">
        <f t="shared" si="75"/>
        <v>0</v>
      </c>
      <c r="U245" s="131">
        <f t="shared" si="36"/>
        <v>0.14000000000000001</v>
      </c>
      <c r="V245" s="131">
        <f t="shared" si="62"/>
        <v>29.1</v>
      </c>
      <c r="W245" s="131">
        <v>0</v>
      </c>
      <c r="X245" s="131">
        <f t="shared" ref="X245:X253" si="247">ROUND(R245*G$1820,2)</f>
        <v>0.8</v>
      </c>
      <c r="Y245" s="131">
        <f t="shared" si="218"/>
        <v>0.03</v>
      </c>
      <c r="Z245" s="131">
        <f t="shared" si="10"/>
        <v>30.070000000000004</v>
      </c>
      <c r="AA245" s="132">
        <f>ROUND(R245-SUM(T245:Y245),2)</f>
        <v>29069.93</v>
      </c>
      <c r="AB245" s="133">
        <f t="shared" si="231"/>
        <v>29070</v>
      </c>
      <c r="AC245" s="134">
        <f t="shared" si="48"/>
        <v>6.9999999999708962E-2</v>
      </c>
      <c r="AD245" s="125">
        <v>44454</v>
      </c>
      <c r="AE245" s="135">
        <f t="shared" si="13"/>
        <v>1.0330000000000001E-3</v>
      </c>
      <c r="AF245" s="136">
        <f t="shared" si="14"/>
        <v>44454</v>
      </c>
      <c r="AG245" s="137" t="s">
        <v>416</v>
      </c>
      <c r="AH245" s="124"/>
    </row>
    <row r="246" spans="1:34" ht="12" customHeight="1">
      <c r="A246" s="154">
        <v>44452</v>
      </c>
      <c r="B246" s="140" t="s">
        <v>474</v>
      </c>
      <c r="C246" s="141" t="s">
        <v>485</v>
      </c>
      <c r="D246" s="140"/>
      <c r="E246" s="140" t="str">
        <f t="shared" si="0"/>
        <v>RELIANCE</v>
      </c>
      <c r="F246" s="140"/>
      <c r="G246" s="140"/>
      <c r="H246" s="140"/>
      <c r="I246" s="141" t="s">
        <v>467</v>
      </c>
      <c r="J246" s="139" t="s">
        <v>483</v>
      </c>
      <c r="K246" s="141"/>
      <c r="L246" s="141"/>
      <c r="M246" s="142">
        <v>2</v>
      </c>
      <c r="N246" s="143">
        <v>2376</v>
      </c>
      <c r="O246" s="144">
        <f t="shared" si="39"/>
        <v>0</v>
      </c>
      <c r="P246" s="144">
        <f t="shared" ref="P246:P249" si="248">N246+O246</f>
        <v>2376</v>
      </c>
      <c r="Q246" s="144"/>
      <c r="R246" s="144">
        <f t="shared" si="3"/>
        <v>4752</v>
      </c>
      <c r="S246" s="145">
        <f t="shared" si="4"/>
        <v>2.8049999999999997</v>
      </c>
      <c r="T246" s="145">
        <f t="shared" si="75"/>
        <v>0</v>
      </c>
      <c r="U246" s="145">
        <f t="shared" si="36"/>
        <v>0.02</v>
      </c>
      <c r="V246" s="145">
        <f t="shared" si="62"/>
        <v>4.75</v>
      </c>
      <c r="W246" s="145">
        <f t="shared" ref="W246:W249" si="249">ROUND(R246*F$1823,2)</f>
        <v>0.71</v>
      </c>
      <c r="X246" s="145">
        <f t="shared" si="247"/>
        <v>0.13</v>
      </c>
      <c r="Y246" s="145">
        <f t="shared" si="218"/>
        <v>0</v>
      </c>
      <c r="Z246" s="146">
        <f t="shared" si="10"/>
        <v>5.6099999999999994</v>
      </c>
      <c r="AA246" s="147">
        <f t="shared" ref="AA246:AA249" si="250">-ROUND(R246+SUM(T246:Y246),2)</f>
        <v>-4757.6099999999997</v>
      </c>
      <c r="AB246" s="148">
        <f t="shared" si="231"/>
        <v>-4758</v>
      </c>
      <c r="AC246" s="149">
        <f t="shared" si="48"/>
        <v>-0.39000000000032742</v>
      </c>
      <c r="AD246" s="138">
        <v>44454</v>
      </c>
      <c r="AE246" s="150">
        <f t="shared" si="13"/>
        <v>1.181E-3</v>
      </c>
      <c r="AF246" s="151">
        <f t="shared" si="14"/>
        <v>44454</v>
      </c>
      <c r="AG246" s="152" t="s">
        <v>416</v>
      </c>
      <c r="AH246" s="124"/>
    </row>
    <row r="247" spans="1:34" ht="12" customHeight="1">
      <c r="A247" s="154">
        <v>44452</v>
      </c>
      <c r="B247" s="140" t="s">
        <v>577</v>
      </c>
      <c r="C247" s="141" t="s">
        <v>485</v>
      </c>
      <c r="D247" s="140"/>
      <c r="E247" s="140" t="str">
        <f t="shared" si="0"/>
        <v>ZENTEC</v>
      </c>
      <c r="F247" s="140"/>
      <c r="G247" s="140"/>
      <c r="H247" s="140"/>
      <c r="I247" s="141" t="s">
        <v>467</v>
      </c>
      <c r="J247" s="139" t="s">
        <v>483</v>
      </c>
      <c r="K247" s="141"/>
      <c r="L247" s="141"/>
      <c r="M247" s="142">
        <v>3</v>
      </c>
      <c r="N247" s="143">
        <v>207</v>
      </c>
      <c r="O247" s="144">
        <f t="shared" si="39"/>
        <v>0</v>
      </c>
      <c r="P247" s="144">
        <f t="shared" si="248"/>
        <v>207</v>
      </c>
      <c r="Q247" s="144"/>
      <c r="R247" s="144">
        <f t="shared" si="3"/>
        <v>621</v>
      </c>
      <c r="S247" s="145">
        <f t="shared" si="4"/>
        <v>0.24333333333333332</v>
      </c>
      <c r="T247" s="145">
        <f t="shared" si="75"/>
        <v>0</v>
      </c>
      <c r="U247" s="145">
        <f t="shared" si="36"/>
        <v>0</v>
      </c>
      <c r="V247" s="145">
        <f t="shared" si="62"/>
        <v>0.62</v>
      </c>
      <c r="W247" s="145">
        <f t="shared" si="249"/>
        <v>0.09</v>
      </c>
      <c r="X247" s="145">
        <f t="shared" si="247"/>
        <v>0.02</v>
      </c>
      <c r="Y247" s="145">
        <f t="shared" si="218"/>
        <v>0</v>
      </c>
      <c r="Z247" s="146">
        <f t="shared" si="10"/>
        <v>0.73</v>
      </c>
      <c r="AA247" s="147">
        <f t="shared" si="250"/>
        <v>-621.73</v>
      </c>
      <c r="AB247" s="148">
        <f t="shared" si="231"/>
        <v>-622</v>
      </c>
      <c r="AC247" s="149">
        <f t="shared" si="48"/>
        <v>-0.26999999999998181</v>
      </c>
      <c r="AD247" s="138">
        <v>44454</v>
      </c>
      <c r="AE247" s="150">
        <f t="shared" si="13"/>
        <v>1.176E-3</v>
      </c>
      <c r="AF247" s="151">
        <f t="shared" si="14"/>
        <v>44454</v>
      </c>
      <c r="AG247" s="152" t="s">
        <v>416</v>
      </c>
      <c r="AH247" s="124"/>
    </row>
    <row r="248" spans="1:34" ht="12" customHeight="1">
      <c r="A248" s="154">
        <v>44454</v>
      </c>
      <c r="B248" s="140" t="s">
        <v>577</v>
      </c>
      <c r="C248" s="141" t="s">
        <v>485</v>
      </c>
      <c r="D248" s="140"/>
      <c r="E248" s="140" t="str">
        <f t="shared" si="0"/>
        <v>ZENTEC</v>
      </c>
      <c r="F248" s="140"/>
      <c r="G248" s="140"/>
      <c r="H248" s="140"/>
      <c r="I248" s="141" t="s">
        <v>467</v>
      </c>
      <c r="J248" s="139" t="s">
        <v>483</v>
      </c>
      <c r="K248" s="141"/>
      <c r="L248" s="141"/>
      <c r="M248" s="142">
        <v>17</v>
      </c>
      <c r="N248" s="143">
        <v>220</v>
      </c>
      <c r="O248" s="144">
        <f t="shared" si="39"/>
        <v>0</v>
      </c>
      <c r="P248" s="144">
        <f t="shared" si="248"/>
        <v>220</v>
      </c>
      <c r="Q248" s="144"/>
      <c r="R248" s="144">
        <f t="shared" si="3"/>
        <v>3740</v>
      </c>
      <c r="S248" s="145">
        <f t="shared" si="4"/>
        <v>0.26</v>
      </c>
      <c r="T248" s="145">
        <f t="shared" si="75"/>
        <v>0</v>
      </c>
      <c r="U248" s="145">
        <f t="shared" si="36"/>
        <v>0.02</v>
      </c>
      <c r="V248" s="145">
        <f t="shared" si="62"/>
        <v>3.74</v>
      </c>
      <c r="W248" s="145">
        <f t="shared" si="249"/>
        <v>0.56000000000000005</v>
      </c>
      <c r="X248" s="145">
        <f t="shared" si="247"/>
        <v>0.1</v>
      </c>
      <c r="Y248" s="145">
        <f t="shared" si="218"/>
        <v>0</v>
      </c>
      <c r="Z248" s="146">
        <f t="shared" si="10"/>
        <v>4.42</v>
      </c>
      <c r="AA248" s="147">
        <f t="shared" si="250"/>
        <v>-3744.42</v>
      </c>
      <c r="AB248" s="148">
        <f t="shared" si="231"/>
        <v>-3744</v>
      </c>
      <c r="AC248" s="149">
        <f t="shared" si="48"/>
        <v>0.42000000000007276</v>
      </c>
      <c r="AD248" s="138">
        <v>44456</v>
      </c>
      <c r="AE248" s="150">
        <f t="shared" si="13"/>
        <v>1.1820000000000001E-3</v>
      </c>
      <c r="AF248" s="151">
        <f t="shared" si="14"/>
        <v>44456</v>
      </c>
      <c r="AG248" s="152" t="s">
        <v>416</v>
      </c>
      <c r="AH248" s="124"/>
    </row>
    <row r="249" spans="1:34" ht="12" customHeight="1">
      <c r="A249" s="154">
        <v>44454</v>
      </c>
      <c r="B249" s="140" t="s">
        <v>578</v>
      </c>
      <c r="C249" s="141" t="s">
        <v>485</v>
      </c>
      <c r="D249" s="140"/>
      <c r="E249" s="140" t="str">
        <f t="shared" si="0"/>
        <v>KTKBANK</v>
      </c>
      <c r="F249" s="140"/>
      <c r="G249" s="140"/>
      <c r="H249" s="140"/>
      <c r="I249" s="141" t="s">
        <v>467</v>
      </c>
      <c r="J249" s="139" t="s">
        <v>483</v>
      </c>
      <c r="K249" s="141"/>
      <c r="L249" s="141"/>
      <c r="M249" s="142">
        <v>100</v>
      </c>
      <c r="N249" s="143">
        <v>73.5</v>
      </c>
      <c r="O249" s="144">
        <f t="shared" si="39"/>
        <v>0</v>
      </c>
      <c r="P249" s="144">
        <f t="shared" si="248"/>
        <v>73.5</v>
      </c>
      <c r="Q249" s="144"/>
      <c r="R249" s="144">
        <f t="shared" si="3"/>
        <v>7350</v>
      </c>
      <c r="S249" s="145">
        <f t="shared" si="4"/>
        <v>8.6999999999999994E-2</v>
      </c>
      <c r="T249" s="145">
        <f t="shared" si="75"/>
        <v>0</v>
      </c>
      <c r="U249" s="145">
        <f t="shared" si="36"/>
        <v>0.04</v>
      </c>
      <c r="V249" s="145">
        <f t="shared" si="62"/>
        <v>7.35</v>
      </c>
      <c r="W249" s="145">
        <f t="shared" si="249"/>
        <v>1.1000000000000001</v>
      </c>
      <c r="X249" s="145">
        <f t="shared" si="247"/>
        <v>0.2</v>
      </c>
      <c r="Y249" s="145">
        <f t="shared" si="218"/>
        <v>0.01</v>
      </c>
      <c r="Z249" s="146">
        <f t="shared" si="10"/>
        <v>8.6999999999999993</v>
      </c>
      <c r="AA249" s="147">
        <f t="shared" si="250"/>
        <v>-7358.7</v>
      </c>
      <c r="AB249" s="148">
        <f t="shared" si="231"/>
        <v>-7359</v>
      </c>
      <c r="AC249" s="149">
        <f t="shared" si="48"/>
        <v>-0.3000000000001819</v>
      </c>
      <c r="AD249" s="138">
        <v>44456</v>
      </c>
      <c r="AE249" s="150">
        <f t="shared" si="13"/>
        <v>1.1839999999999999E-3</v>
      </c>
      <c r="AF249" s="151">
        <f t="shared" si="14"/>
        <v>44456</v>
      </c>
      <c r="AG249" s="152" t="s">
        <v>416</v>
      </c>
      <c r="AH249" s="124"/>
    </row>
    <row r="250" spans="1:34" ht="12" customHeight="1">
      <c r="A250" s="155">
        <v>44454</v>
      </c>
      <c r="B250" s="112" t="s">
        <v>493</v>
      </c>
      <c r="C250" s="127" t="s">
        <v>485</v>
      </c>
      <c r="D250" s="112"/>
      <c r="E250" s="112" t="str">
        <f t="shared" si="0"/>
        <v>SBIN</v>
      </c>
      <c r="F250" s="112"/>
      <c r="G250" s="112"/>
      <c r="H250" s="112"/>
      <c r="I250" s="127" t="s">
        <v>461</v>
      </c>
      <c r="J250" s="126" t="s">
        <v>483</v>
      </c>
      <c r="K250" s="127"/>
      <c r="L250" s="127"/>
      <c r="M250" s="128">
        <v>10</v>
      </c>
      <c r="N250" s="129">
        <v>440.4</v>
      </c>
      <c r="O250" s="130">
        <f t="shared" si="39"/>
        <v>0</v>
      </c>
      <c r="P250" s="130">
        <f t="shared" ref="P250:P252" si="251">N250-O250</f>
        <v>440.4</v>
      </c>
      <c r="Q250" s="130"/>
      <c r="R250" s="130">
        <f t="shared" si="3"/>
        <v>4404</v>
      </c>
      <c r="S250" s="131">
        <f t="shared" si="4"/>
        <v>0.45400000000000001</v>
      </c>
      <c r="T250" s="131">
        <f t="shared" si="75"/>
        <v>0</v>
      </c>
      <c r="U250" s="131">
        <f t="shared" si="36"/>
        <v>0.02</v>
      </c>
      <c r="V250" s="131">
        <f t="shared" si="62"/>
        <v>4.4000000000000004</v>
      </c>
      <c r="W250" s="131">
        <v>0</v>
      </c>
      <c r="X250" s="131">
        <f t="shared" si="247"/>
        <v>0.12</v>
      </c>
      <c r="Y250" s="131">
        <f t="shared" si="218"/>
        <v>0</v>
      </c>
      <c r="Z250" s="131">
        <f t="shared" si="10"/>
        <v>4.54</v>
      </c>
      <c r="AA250" s="132">
        <f t="shared" ref="AA250:AA252" si="252">ROUND(R250-SUM(T250:Y250),2)</f>
        <v>4399.46</v>
      </c>
      <c r="AB250" s="133">
        <f t="shared" si="231"/>
        <v>4399</v>
      </c>
      <c r="AC250" s="134">
        <f t="shared" si="48"/>
        <v>-0.46000000000003638</v>
      </c>
      <c r="AD250" s="125">
        <v>44456</v>
      </c>
      <c r="AE250" s="135">
        <f t="shared" si="13"/>
        <v>1.031E-3</v>
      </c>
      <c r="AF250" s="136">
        <f t="shared" si="14"/>
        <v>44456</v>
      </c>
      <c r="AG250" s="137" t="s">
        <v>416</v>
      </c>
      <c r="AH250" s="124"/>
    </row>
    <row r="251" spans="1:34" ht="12" customHeight="1">
      <c r="A251" s="155">
        <v>44455</v>
      </c>
      <c r="B251" s="112" t="s">
        <v>521</v>
      </c>
      <c r="C251" s="127" t="s">
        <v>485</v>
      </c>
      <c r="D251" s="112"/>
      <c r="E251" s="112" t="str">
        <f t="shared" si="0"/>
        <v>IDEA</v>
      </c>
      <c r="F251" s="112"/>
      <c r="G251" s="112"/>
      <c r="H251" s="112"/>
      <c r="I251" s="127" t="s">
        <v>461</v>
      </c>
      <c r="J251" s="126" t="s">
        <v>483</v>
      </c>
      <c r="K251" s="127"/>
      <c r="L251" s="127"/>
      <c r="M251" s="128">
        <v>4000</v>
      </c>
      <c r="N251" s="129">
        <v>10.7</v>
      </c>
      <c r="O251" s="130">
        <f t="shared" si="39"/>
        <v>0</v>
      </c>
      <c r="P251" s="130">
        <f t="shared" si="251"/>
        <v>10.7</v>
      </c>
      <c r="Q251" s="130"/>
      <c r="R251" s="130">
        <f t="shared" si="3"/>
        <v>42800</v>
      </c>
      <c r="S251" s="131">
        <f t="shared" si="4"/>
        <v>1.10575E-2</v>
      </c>
      <c r="T251" s="131">
        <f t="shared" si="75"/>
        <v>0</v>
      </c>
      <c r="U251" s="131">
        <f t="shared" si="36"/>
        <v>0.21</v>
      </c>
      <c r="V251" s="131">
        <f t="shared" si="62"/>
        <v>42.8</v>
      </c>
      <c r="W251" s="131">
        <v>0</v>
      </c>
      <c r="X251" s="131">
        <f t="shared" si="247"/>
        <v>1.18</v>
      </c>
      <c r="Y251" s="131">
        <f t="shared" si="218"/>
        <v>0.04</v>
      </c>
      <c r="Z251" s="131">
        <f t="shared" si="10"/>
        <v>44.23</v>
      </c>
      <c r="AA251" s="132">
        <f t="shared" si="252"/>
        <v>42755.77</v>
      </c>
      <c r="AB251" s="133">
        <f t="shared" si="231"/>
        <v>42756</v>
      </c>
      <c r="AC251" s="134">
        <f t="shared" si="48"/>
        <v>0.23000000000320142</v>
      </c>
      <c r="AD251" s="125">
        <v>44459</v>
      </c>
      <c r="AE251" s="135">
        <f t="shared" si="13"/>
        <v>1.0330000000000001E-3</v>
      </c>
      <c r="AF251" s="136">
        <f t="shared" si="14"/>
        <v>44459</v>
      </c>
      <c r="AG251" s="137" t="s">
        <v>416</v>
      </c>
      <c r="AH251" s="124"/>
    </row>
    <row r="252" spans="1:34" ht="12" customHeight="1">
      <c r="A252" s="155">
        <v>44455</v>
      </c>
      <c r="B252" s="112" t="s">
        <v>567</v>
      </c>
      <c r="C252" s="127" t="s">
        <v>485</v>
      </c>
      <c r="D252" s="112"/>
      <c r="E252" s="112" t="str">
        <f t="shared" si="0"/>
        <v>YESBANK</v>
      </c>
      <c r="F252" s="112"/>
      <c r="G252" s="112"/>
      <c r="H252" s="112"/>
      <c r="I252" s="127" t="s">
        <v>461</v>
      </c>
      <c r="J252" s="126" t="s">
        <v>483</v>
      </c>
      <c r="K252" s="127"/>
      <c r="L252" s="127"/>
      <c r="M252" s="128">
        <v>200</v>
      </c>
      <c r="N252" s="129">
        <v>14.15</v>
      </c>
      <c r="O252" s="130">
        <f t="shared" si="39"/>
        <v>0</v>
      </c>
      <c r="P252" s="130">
        <f t="shared" si="251"/>
        <v>14.15</v>
      </c>
      <c r="Q252" s="130"/>
      <c r="R252" s="130">
        <f t="shared" si="3"/>
        <v>2830</v>
      </c>
      <c r="S252" s="131">
        <f t="shared" si="4"/>
        <v>1.46E-2</v>
      </c>
      <c r="T252" s="131">
        <f t="shared" si="75"/>
        <v>0</v>
      </c>
      <c r="U252" s="131">
        <f t="shared" si="36"/>
        <v>0.01</v>
      </c>
      <c r="V252" s="131">
        <f t="shared" si="62"/>
        <v>2.83</v>
      </c>
      <c r="W252" s="131">
        <v>0</v>
      </c>
      <c r="X252" s="131">
        <f t="shared" si="247"/>
        <v>0.08</v>
      </c>
      <c r="Y252" s="131">
        <f t="shared" si="218"/>
        <v>0</v>
      </c>
      <c r="Z252" s="131">
        <f t="shared" si="10"/>
        <v>2.92</v>
      </c>
      <c r="AA252" s="132">
        <f t="shared" si="252"/>
        <v>2827.08</v>
      </c>
      <c r="AB252" s="133">
        <f t="shared" si="231"/>
        <v>2827</v>
      </c>
      <c r="AC252" s="134">
        <f t="shared" si="48"/>
        <v>-7.999999999992724E-2</v>
      </c>
      <c r="AD252" s="125">
        <v>44459</v>
      </c>
      <c r="AE252" s="135">
        <f t="shared" si="13"/>
        <v>1.0319999999999999E-3</v>
      </c>
      <c r="AF252" s="136">
        <f t="shared" si="14"/>
        <v>44459</v>
      </c>
      <c r="AG252" s="137" t="s">
        <v>416</v>
      </c>
      <c r="AH252" s="124"/>
    </row>
    <row r="253" spans="1:34" ht="12" customHeight="1">
      <c r="A253" s="154">
        <v>44456</v>
      </c>
      <c r="B253" s="140" t="s">
        <v>576</v>
      </c>
      <c r="C253" s="141" t="s">
        <v>485</v>
      </c>
      <c r="D253" s="140"/>
      <c r="E253" s="140" t="str">
        <f t="shared" si="0"/>
        <v>CDSL</v>
      </c>
      <c r="F253" s="140"/>
      <c r="G253" s="140"/>
      <c r="H253" s="140"/>
      <c r="I253" s="141" t="s">
        <v>467</v>
      </c>
      <c r="J253" s="139" t="s">
        <v>483</v>
      </c>
      <c r="K253" s="141"/>
      <c r="L253" s="141"/>
      <c r="M253" s="142">
        <v>5</v>
      </c>
      <c r="N253" s="143">
        <v>1350</v>
      </c>
      <c r="O253" s="144">
        <f t="shared" si="39"/>
        <v>0</v>
      </c>
      <c r="P253" s="144">
        <f>N253+O253</f>
        <v>1350</v>
      </c>
      <c r="Q253" s="144"/>
      <c r="R253" s="144">
        <f t="shared" si="3"/>
        <v>6750</v>
      </c>
      <c r="S253" s="145">
        <f t="shared" si="4"/>
        <v>1.5980000000000001</v>
      </c>
      <c r="T253" s="145">
        <f t="shared" si="75"/>
        <v>0</v>
      </c>
      <c r="U253" s="145">
        <f t="shared" si="36"/>
        <v>0.03</v>
      </c>
      <c r="V253" s="145">
        <f t="shared" si="62"/>
        <v>6.75</v>
      </c>
      <c r="W253" s="145">
        <f>ROUND(R253*F$1823,2)</f>
        <v>1.01</v>
      </c>
      <c r="X253" s="145">
        <f t="shared" si="247"/>
        <v>0.19</v>
      </c>
      <c r="Y253" s="145">
        <f t="shared" si="218"/>
        <v>0.01</v>
      </c>
      <c r="Z253" s="146">
        <f t="shared" si="10"/>
        <v>7.99</v>
      </c>
      <c r="AA253" s="147">
        <f>-ROUND(R253+SUM(T253:Y253),2)</f>
        <v>-6757.99</v>
      </c>
      <c r="AB253" s="148">
        <f t="shared" si="231"/>
        <v>-6758</v>
      </c>
      <c r="AC253" s="149">
        <f t="shared" si="48"/>
        <v>-1.0000000000218279E-2</v>
      </c>
      <c r="AD253" s="138">
        <v>44460</v>
      </c>
      <c r="AE253" s="150">
        <f t="shared" si="13"/>
        <v>1.1839999999999999E-3</v>
      </c>
      <c r="AF253" s="151">
        <f t="shared" si="14"/>
        <v>44460</v>
      </c>
      <c r="AG253" s="152" t="s">
        <v>416</v>
      </c>
      <c r="AH253" s="124"/>
    </row>
    <row r="254" spans="1:34" ht="12" customHeight="1">
      <c r="A254" s="155">
        <v>44456</v>
      </c>
      <c r="B254" s="112" t="s">
        <v>576</v>
      </c>
      <c r="C254" s="127" t="s">
        <v>485</v>
      </c>
      <c r="D254" s="112"/>
      <c r="E254" s="112" t="str">
        <f t="shared" si="0"/>
        <v>CDSL</v>
      </c>
      <c r="F254" s="112"/>
      <c r="G254" s="112"/>
      <c r="H254" s="112"/>
      <c r="I254" s="127" t="s">
        <v>461</v>
      </c>
      <c r="J254" s="126" t="s">
        <v>483</v>
      </c>
      <c r="K254" s="127"/>
      <c r="L254" s="127"/>
      <c r="M254" s="128">
        <v>5</v>
      </c>
      <c r="N254" s="129">
        <v>1374</v>
      </c>
      <c r="O254" s="130">
        <f t="shared" si="39"/>
        <v>0</v>
      </c>
      <c r="P254" s="130">
        <f>N254-O254</f>
        <v>1374</v>
      </c>
      <c r="Q254" s="130"/>
      <c r="R254" s="130">
        <f t="shared" si="3"/>
        <v>6870</v>
      </c>
      <c r="S254" s="131">
        <f t="shared" si="4"/>
        <v>1.4319999999999999</v>
      </c>
      <c r="T254" s="131">
        <f t="shared" si="75"/>
        <v>0</v>
      </c>
      <c r="U254" s="131">
        <f t="shared" si="36"/>
        <v>0.04</v>
      </c>
      <c r="V254" s="131">
        <f t="shared" si="62"/>
        <v>6.87</v>
      </c>
      <c r="W254" s="131">
        <v>0</v>
      </c>
      <c r="X254" s="131">
        <f t="shared" ref="X254:X255" si="253">ROUND(R254*H$1820,2)</f>
        <v>0.24</v>
      </c>
      <c r="Y254" s="131">
        <f t="shared" si="218"/>
        <v>0.01</v>
      </c>
      <c r="Z254" s="131">
        <f t="shared" si="10"/>
        <v>7.16</v>
      </c>
      <c r="AA254" s="132">
        <f>ROUND(R254-SUM(T254:Y254),2)</f>
        <v>6862.84</v>
      </c>
      <c r="AB254" s="133">
        <f t="shared" si="231"/>
        <v>6863</v>
      </c>
      <c r="AC254" s="134">
        <f t="shared" si="48"/>
        <v>0.15999999999985448</v>
      </c>
      <c r="AD254" s="125">
        <v>44460</v>
      </c>
      <c r="AE254" s="135">
        <f t="shared" si="13"/>
        <v>1.042E-3</v>
      </c>
      <c r="AF254" s="136">
        <f t="shared" si="14"/>
        <v>44460</v>
      </c>
      <c r="AG254" s="137" t="s">
        <v>416</v>
      </c>
      <c r="AH254" s="124"/>
    </row>
    <row r="255" spans="1:34" ht="12" customHeight="1">
      <c r="A255" s="154">
        <v>44459</v>
      </c>
      <c r="B255" s="140" t="s">
        <v>579</v>
      </c>
      <c r="C255" s="141" t="s">
        <v>485</v>
      </c>
      <c r="D255" s="140"/>
      <c r="E255" s="140" t="str">
        <f t="shared" si="0"/>
        <v>INDIGO</v>
      </c>
      <c r="F255" s="140"/>
      <c r="G255" s="140"/>
      <c r="H255" s="140"/>
      <c r="I255" s="141" t="s">
        <v>467</v>
      </c>
      <c r="J255" s="139" t="s">
        <v>483</v>
      </c>
      <c r="K255" s="141"/>
      <c r="L255" s="141"/>
      <c r="M255" s="142">
        <v>5</v>
      </c>
      <c r="N255" s="143">
        <v>2160</v>
      </c>
      <c r="O255" s="144">
        <f t="shared" si="39"/>
        <v>0</v>
      </c>
      <c r="P255" s="144">
        <f t="shared" ref="P255:P257" si="254">N255+O255</f>
        <v>2160</v>
      </c>
      <c r="Q255" s="144"/>
      <c r="R255" s="144">
        <f t="shared" si="3"/>
        <v>10800</v>
      </c>
      <c r="S255" s="145">
        <f t="shared" si="4"/>
        <v>2.5740000000000003</v>
      </c>
      <c r="T255" s="145">
        <f t="shared" si="75"/>
        <v>0</v>
      </c>
      <c r="U255" s="145">
        <f t="shared" si="36"/>
        <v>7.0000000000000007E-2</v>
      </c>
      <c r="V255" s="145">
        <f t="shared" si="62"/>
        <v>10.8</v>
      </c>
      <c r="W255" s="145">
        <f t="shared" ref="W255:W257" si="255">ROUND(R255*F$1823,2)</f>
        <v>1.62</v>
      </c>
      <c r="X255" s="145">
        <f t="shared" si="253"/>
        <v>0.37</v>
      </c>
      <c r="Y255" s="145">
        <f t="shared" si="218"/>
        <v>0.01</v>
      </c>
      <c r="Z255" s="146">
        <f t="shared" si="10"/>
        <v>12.870000000000001</v>
      </c>
      <c r="AA255" s="147">
        <f t="shared" ref="AA255:AA257" si="256">-ROUND(R255+SUM(T255:Y255),2)</f>
        <v>-10812.87</v>
      </c>
      <c r="AB255" s="148">
        <f t="shared" si="231"/>
        <v>-10813</v>
      </c>
      <c r="AC255" s="149">
        <f t="shared" si="48"/>
        <v>-0.12999999999919964</v>
      </c>
      <c r="AD255" s="138">
        <v>44461</v>
      </c>
      <c r="AE255" s="150">
        <f t="shared" si="13"/>
        <v>1.1919999999999999E-3</v>
      </c>
      <c r="AF255" s="151">
        <f t="shared" si="14"/>
        <v>44461</v>
      </c>
      <c r="AG255" s="152" t="s">
        <v>416</v>
      </c>
      <c r="AH255" s="124"/>
    </row>
    <row r="256" spans="1:34" ht="12" customHeight="1">
      <c r="A256" s="154">
        <v>44459</v>
      </c>
      <c r="B256" s="140" t="s">
        <v>566</v>
      </c>
      <c r="C256" s="141" t="s">
        <v>485</v>
      </c>
      <c r="D256" s="140"/>
      <c r="E256" s="140" t="str">
        <f t="shared" si="0"/>
        <v>NOCIL</v>
      </c>
      <c r="F256" s="140"/>
      <c r="G256" s="140"/>
      <c r="H256" s="140"/>
      <c r="I256" s="141" t="s">
        <v>467</v>
      </c>
      <c r="J256" s="139" t="s">
        <v>483</v>
      </c>
      <c r="K256" s="141"/>
      <c r="L256" s="141"/>
      <c r="M256" s="142">
        <v>50</v>
      </c>
      <c r="N256" s="143">
        <v>293</v>
      </c>
      <c r="O256" s="144">
        <f t="shared" si="39"/>
        <v>0</v>
      </c>
      <c r="P256" s="144">
        <f t="shared" si="254"/>
        <v>293</v>
      </c>
      <c r="Q256" s="144"/>
      <c r="R256" s="144">
        <f t="shared" si="3"/>
        <v>14650</v>
      </c>
      <c r="S256" s="145">
        <f t="shared" si="4"/>
        <v>0.34660000000000002</v>
      </c>
      <c r="T256" s="145">
        <f t="shared" si="75"/>
        <v>0</v>
      </c>
      <c r="U256" s="145">
        <f t="shared" si="36"/>
        <v>7.0000000000000007E-2</v>
      </c>
      <c r="V256" s="145">
        <f t="shared" si="62"/>
        <v>14.65</v>
      </c>
      <c r="W256" s="145">
        <f t="shared" si="255"/>
        <v>2.2000000000000002</v>
      </c>
      <c r="X256" s="145">
        <f t="shared" ref="X256:X257" si="257">ROUND(R256*G$1820,2)</f>
        <v>0.4</v>
      </c>
      <c r="Y256" s="145">
        <f t="shared" si="218"/>
        <v>0.01</v>
      </c>
      <c r="Z256" s="146">
        <f t="shared" si="10"/>
        <v>17.330000000000002</v>
      </c>
      <c r="AA256" s="147">
        <f t="shared" si="256"/>
        <v>-14667.33</v>
      </c>
      <c r="AB256" s="148">
        <f t="shared" si="231"/>
        <v>-14667</v>
      </c>
      <c r="AC256" s="149">
        <f t="shared" si="48"/>
        <v>0.32999999999992724</v>
      </c>
      <c r="AD256" s="138">
        <v>44461</v>
      </c>
      <c r="AE256" s="150">
        <f t="shared" si="13"/>
        <v>1.183E-3</v>
      </c>
      <c r="AF256" s="151">
        <f t="shared" si="14"/>
        <v>44461</v>
      </c>
      <c r="AG256" s="152" t="s">
        <v>416</v>
      </c>
      <c r="AH256" s="124"/>
    </row>
    <row r="257" spans="1:34" ht="12" customHeight="1">
      <c r="A257" s="154">
        <v>44460</v>
      </c>
      <c r="B257" s="140" t="s">
        <v>580</v>
      </c>
      <c r="C257" s="141" t="s">
        <v>485</v>
      </c>
      <c r="D257" s="140"/>
      <c r="E257" s="140" t="str">
        <f t="shared" si="0"/>
        <v>IBULHSGFIN</v>
      </c>
      <c r="F257" s="140"/>
      <c r="G257" s="140"/>
      <c r="H257" s="140"/>
      <c r="I257" s="141" t="s">
        <v>467</v>
      </c>
      <c r="J257" s="139" t="s">
        <v>483</v>
      </c>
      <c r="K257" s="141"/>
      <c r="L257" s="141"/>
      <c r="M257" s="142">
        <v>50</v>
      </c>
      <c r="N257" s="143">
        <v>208.3</v>
      </c>
      <c r="O257" s="144">
        <f t="shared" si="39"/>
        <v>0</v>
      </c>
      <c r="P257" s="144">
        <f t="shared" si="254"/>
        <v>208.3</v>
      </c>
      <c r="Q257" s="144"/>
      <c r="R257" s="144">
        <f t="shared" si="3"/>
        <v>10415</v>
      </c>
      <c r="S257" s="145">
        <f t="shared" si="4"/>
        <v>0.24660000000000001</v>
      </c>
      <c r="T257" s="145">
        <f t="shared" si="75"/>
        <v>0</v>
      </c>
      <c r="U257" s="145">
        <f t="shared" si="36"/>
        <v>0.05</v>
      </c>
      <c r="V257" s="145">
        <f t="shared" si="62"/>
        <v>10.42</v>
      </c>
      <c r="W257" s="145">
        <f t="shared" si="255"/>
        <v>1.56</v>
      </c>
      <c r="X257" s="145">
        <f t="shared" si="257"/>
        <v>0.28999999999999998</v>
      </c>
      <c r="Y257" s="145">
        <f t="shared" si="218"/>
        <v>0.01</v>
      </c>
      <c r="Z257" s="146">
        <f t="shared" si="10"/>
        <v>12.33</v>
      </c>
      <c r="AA257" s="147">
        <f t="shared" si="256"/>
        <v>-10427.33</v>
      </c>
      <c r="AB257" s="148">
        <f t="shared" si="231"/>
        <v>-10427</v>
      </c>
      <c r="AC257" s="149">
        <f t="shared" si="48"/>
        <v>0.32999999999992724</v>
      </c>
      <c r="AD257" s="138">
        <v>44462</v>
      </c>
      <c r="AE257" s="150">
        <f t="shared" si="13"/>
        <v>1.1839999999999999E-3</v>
      </c>
      <c r="AF257" s="151">
        <f t="shared" si="14"/>
        <v>44462</v>
      </c>
      <c r="AG257" s="152" t="s">
        <v>416</v>
      </c>
      <c r="AH257" s="124"/>
    </row>
    <row r="258" spans="1:34" ht="12" customHeight="1">
      <c r="A258" s="155">
        <v>44460</v>
      </c>
      <c r="B258" s="112" t="s">
        <v>498</v>
      </c>
      <c r="C258" s="127" t="s">
        <v>485</v>
      </c>
      <c r="D258" s="112"/>
      <c r="E258" s="112" t="str">
        <f t="shared" si="0"/>
        <v>BAJFINANCE</v>
      </c>
      <c r="F258" s="112"/>
      <c r="G258" s="112"/>
      <c r="H258" s="112"/>
      <c r="I258" s="127" t="s">
        <v>461</v>
      </c>
      <c r="J258" s="126" t="s">
        <v>483</v>
      </c>
      <c r="K258" s="127"/>
      <c r="L258" s="127"/>
      <c r="M258" s="128">
        <v>2</v>
      </c>
      <c r="N258" s="129">
        <v>7800</v>
      </c>
      <c r="O258" s="130">
        <f t="shared" si="39"/>
        <v>0</v>
      </c>
      <c r="P258" s="130">
        <f t="shared" ref="P258:P259" si="258">N258-O258</f>
        <v>7800</v>
      </c>
      <c r="Q258" s="130"/>
      <c r="R258" s="130">
        <f t="shared" si="3"/>
        <v>15600</v>
      </c>
      <c r="S258" s="131">
        <f t="shared" si="4"/>
        <v>8.129999999999999</v>
      </c>
      <c r="T258" s="131">
        <f t="shared" si="75"/>
        <v>0</v>
      </c>
      <c r="U258" s="131">
        <f t="shared" si="36"/>
        <v>0.1</v>
      </c>
      <c r="V258" s="131">
        <f t="shared" si="62"/>
        <v>15.6</v>
      </c>
      <c r="W258" s="131">
        <v>0</v>
      </c>
      <c r="X258" s="131">
        <f>ROUND(R258*H$1820,2)</f>
        <v>0.54</v>
      </c>
      <c r="Y258" s="131">
        <f t="shared" si="218"/>
        <v>0.02</v>
      </c>
      <c r="Z258" s="131">
        <f t="shared" si="10"/>
        <v>16.259999999999998</v>
      </c>
      <c r="AA258" s="132">
        <f t="shared" ref="AA258:AA259" si="259">ROUND(R258-SUM(T258:Y258),2)</f>
        <v>15583.74</v>
      </c>
      <c r="AB258" s="133">
        <f t="shared" si="231"/>
        <v>15584</v>
      </c>
      <c r="AC258" s="134">
        <f t="shared" si="48"/>
        <v>0.26000000000021828</v>
      </c>
      <c r="AD258" s="125">
        <v>44462</v>
      </c>
      <c r="AE258" s="135">
        <f t="shared" si="13"/>
        <v>1.042E-3</v>
      </c>
      <c r="AF258" s="136">
        <f t="shared" si="14"/>
        <v>44462</v>
      </c>
      <c r="AG258" s="137" t="s">
        <v>416</v>
      </c>
      <c r="AH258" s="124"/>
    </row>
    <row r="259" spans="1:34" ht="12" customHeight="1">
      <c r="A259" s="155">
        <v>44460</v>
      </c>
      <c r="B259" s="112" t="s">
        <v>575</v>
      </c>
      <c r="C259" s="127" t="s">
        <v>485</v>
      </c>
      <c r="D259" s="112"/>
      <c r="E259" s="112" t="str">
        <f t="shared" si="0"/>
        <v>LXCHEM</v>
      </c>
      <c r="F259" s="112"/>
      <c r="G259" s="112"/>
      <c r="H259" s="112"/>
      <c r="I259" s="127" t="s">
        <v>461</v>
      </c>
      <c r="J259" s="126" t="s">
        <v>483</v>
      </c>
      <c r="K259" s="127"/>
      <c r="L259" s="127"/>
      <c r="M259" s="128">
        <v>20</v>
      </c>
      <c r="N259" s="129">
        <v>528</v>
      </c>
      <c r="O259" s="130">
        <f t="shared" si="39"/>
        <v>0</v>
      </c>
      <c r="P259" s="130">
        <f t="shared" si="258"/>
        <v>528</v>
      </c>
      <c r="Q259" s="130"/>
      <c r="R259" s="130">
        <f t="shared" si="3"/>
        <v>10560</v>
      </c>
      <c r="S259" s="131">
        <f t="shared" si="4"/>
        <v>0.54549999999999998</v>
      </c>
      <c r="T259" s="131">
        <f t="shared" si="75"/>
        <v>0</v>
      </c>
      <c r="U259" s="131">
        <f t="shared" si="36"/>
        <v>0.05</v>
      </c>
      <c r="V259" s="131">
        <f t="shared" si="62"/>
        <v>10.56</v>
      </c>
      <c r="W259" s="131">
        <v>0</v>
      </c>
      <c r="X259" s="131">
        <f>ROUND(R259*G$1820,2)</f>
        <v>0.28999999999999998</v>
      </c>
      <c r="Y259" s="131">
        <f t="shared" si="218"/>
        <v>0.01</v>
      </c>
      <c r="Z259" s="131">
        <f t="shared" si="10"/>
        <v>10.91</v>
      </c>
      <c r="AA259" s="132">
        <f t="shared" si="259"/>
        <v>10549.09</v>
      </c>
      <c r="AB259" s="133">
        <f t="shared" si="231"/>
        <v>10549</v>
      </c>
      <c r="AC259" s="134">
        <f t="shared" si="48"/>
        <v>-9.0000000000145519E-2</v>
      </c>
      <c r="AD259" s="125">
        <v>44462</v>
      </c>
      <c r="AE259" s="135">
        <f t="shared" si="13"/>
        <v>1.0330000000000001E-3</v>
      </c>
      <c r="AF259" s="136">
        <f t="shared" si="14"/>
        <v>44462</v>
      </c>
      <c r="AG259" s="137" t="s">
        <v>416</v>
      </c>
      <c r="AH259" s="124"/>
    </row>
    <row r="260" spans="1:34" ht="12" customHeight="1">
      <c r="A260" s="154">
        <v>44461</v>
      </c>
      <c r="B260" s="140" t="s">
        <v>579</v>
      </c>
      <c r="C260" s="141" t="s">
        <v>485</v>
      </c>
      <c r="D260" s="140"/>
      <c r="E260" s="140" t="str">
        <f t="shared" si="0"/>
        <v>INDIGO</v>
      </c>
      <c r="F260" s="140"/>
      <c r="G260" s="140"/>
      <c r="H260" s="140"/>
      <c r="I260" s="141" t="s">
        <v>467</v>
      </c>
      <c r="J260" s="139" t="s">
        <v>483</v>
      </c>
      <c r="K260" s="141"/>
      <c r="L260" s="141"/>
      <c r="M260" s="142">
        <v>5</v>
      </c>
      <c r="N260" s="143">
        <v>2200</v>
      </c>
      <c r="O260" s="144">
        <f t="shared" si="39"/>
        <v>0</v>
      </c>
      <c r="P260" s="144">
        <f>N260+O260</f>
        <v>2200</v>
      </c>
      <c r="Q260" s="144"/>
      <c r="R260" s="144">
        <f t="shared" si="3"/>
        <v>11000</v>
      </c>
      <c r="S260" s="145">
        <f t="shared" si="4"/>
        <v>2.6220000000000003</v>
      </c>
      <c r="T260" s="145">
        <f t="shared" si="75"/>
        <v>0</v>
      </c>
      <c r="U260" s="145">
        <f t="shared" si="36"/>
        <v>7.0000000000000007E-2</v>
      </c>
      <c r="V260" s="145">
        <f t="shared" si="62"/>
        <v>11</v>
      </c>
      <c r="W260" s="145">
        <f>ROUND(R260*F$1823,2)</f>
        <v>1.65</v>
      </c>
      <c r="X260" s="145">
        <f t="shared" ref="X260:X261" si="260">ROUND(R260*H$1820,2)</f>
        <v>0.38</v>
      </c>
      <c r="Y260" s="145">
        <f t="shared" si="218"/>
        <v>0.01</v>
      </c>
      <c r="Z260" s="146">
        <f t="shared" si="10"/>
        <v>13.110000000000001</v>
      </c>
      <c r="AA260" s="147">
        <f>-ROUND(R260+SUM(T260:Y260),2)</f>
        <v>-11013.11</v>
      </c>
      <c r="AB260" s="148">
        <f t="shared" si="231"/>
        <v>-11013</v>
      </c>
      <c r="AC260" s="149">
        <f t="shared" si="48"/>
        <v>0.11000000000058208</v>
      </c>
      <c r="AD260" s="138">
        <v>44463</v>
      </c>
      <c r="AE260" s="150">
        <f t="shared" si="13"/>
        <v>1.1919999999999999E-3</v>
      </c>
      <c r="AF260" s="151">
        <f t="shared" si="14"/>
        <v>44463</v>
      </c>
      <c r="AG260" s="152" t="s">
        <v>416</v>
      </c>
      <c r="AH260" s="124"/>
    </row>
    <row r="261" spans="1:34" ht="12" customHeight="1">
      <c r="A261" s="155">
        <v>44461</v>
      </c>
      <c r="B261" s="112" t="s">
        <v>580</v>
      </c>
      <c r="C261" s="127" t="s">
        <v>485</v>
      </c>
      <c r="D261" s="112"/>
      <c r="E261" s="112" t="str">
        <f t="shared" si="0"/>
        <v>IBULHSGFIN</v>
      </c>
      <c r="F261" s="112"/>
      <c r="G261" s="112"/>
      <c r="H261" s="112"/>
      <c r="I261" s="127" t="s">
        <v>461</v>
      </c>
      <c r="J261" s="126" t="s">
        <v>483</v>
      </c>
      <c r="K261" s="127"/>
      <c r="L261" s="127"/>
      <c r="M261" s="128">
        <v>50</v>
      </c>
      <c r="N261" s="129">
        <v>215.7</v>
      </c>
      <c r="O261" s="130">
        <f t="shared" si="39"/>
        <v>0</v>
      </c>
      <c r="P261" s="130">
        <f t="shared" ref="P261:P262" si="261">N261-O261</f>
        <v>215.7</v>
      </c>
      <c r="Q261" s="130"/>
      <c r="R261" s="130">
        <f t="shared" si="3"/>
        <v>10785</v>
      </c>
      <c r="S261" s="131">
        <f t="shared" si="4"/>
        <v>0.22479999999999997</v>
      </c>
      <c r="T261" s="131">
        <f t="shared" si="75"/>
        <v>0</v>
      </c>
      <c r="U261" s="131">
        <f t="shared" si="36"/>
        <v>7.0000000000000007E-2</v>
      </c>
      <c r="V261" s="131">
        <f t="shared" si="62"/>
        <v>10.79</v>
      </c>
      <c r="W261" s="131">
        <v>0</v>
      </c>
      <c r="X261" s="131">
        <f t="shared" si="260"/>
        <v>0.37</v>
      </c>
      <c r="Y261" s="131">
        <f t="shared" si="218"/>
        <v>0.01</v>
      </c>
      <c r="Z261" s="131">
        <f t="shared" si="10"/>
        <v>11.239999999999998</v>
      </c>
      <c r="AA261" s="132">
        <f t="shared" ref="AA261:AA262" si="262">ROUND(R261-SUM(T261:Y261),2)</f>
        <v>10773.76</v>
      </c>
      <c r="AB261" s="133">
        <f t="shared" si="231"/>
        <v>10774</v>
      </c>
      <c r="AC261" s="134">
        <f t="shared" si="48"/>
        <v>0.23999999999978172</v>
      </c>
      <c r="AD261" s="125">
        <v>44463</v>
      </c>
      <c r="AE261" s="135">
        <f t="shared" si="13"/>
        <v>1.042E-3</v>
      </c>
      <c r="AF261" s="136">
        <f t="shared" si="14"/>
        <v>44463</v>
      </c>
      <c r="AG261" s="137" t="s">
        <v>416</v>
      </c>
      <c r="AH261" s="124"/>
    </row>
    <row r="262" spans="1:34" ht="12" customHeight="1">
      <c r="A262" s="155">
        <v>44462</v>
      </c>
      <c r="B262" s="112" t="s">
        <v>579</v>
      </c>
      <c r="C262" s="127" t="s">
        <v>485</v>
      </c>
      <c r="D262" s="112"/>
      <c r="E262" s="112" t="str">
        <f t="shared" si="0"/>
        <v>INDIGO</v>
      </c>
      <c r="F262" s="112"/>
      <c r="G262" s="112"/>
      <c r="H262" s="112"/>
      <c r="I262" s="127" t="s">
        <v>461</v>
      </c>
      <c r="J262" s="126" t="s">
        <v>483</v>
      </c>
      <c r="K262" s="127"/>
      <c r="L262" s="127"/>
      <c r="M262" s="128">
        <v>5</v>
      </c>
      <c r="N262" s="129">
        <v>2234</v>
      </c>
      <c r="O262" s="130">
        <f t="shared" si="39"/>
        <v>0</v>
      </c>
      <c r="P262" s="130">
        <f t="shared" si="261"/>
        <v>2234</v>
      </c>
      <c r="Q262" s="130"/>
      <c r="R262" s="130">
        <f t="shared" si="3"/>
        <v>11170</v>
      </c>
      <c r="S262" s="131">
        <f t="shared" si="4"/>
        <v>2.31</v>
      </c>
      <c r="T262" s="131">
        <f t="shared" si="75"/>
        <v>0</v>
      </c>
      <c r="U262" s="131">
        <f t="shared" si="36"/>
        <v>0.06</v>
      </c>
      <c r="V262" s="131">
        <f t="shared" si="62"/>
        <v>11.17</v>
      </c>
      <c r="W262" s="131">
        <v>0</v>
      </c>
      <c r="X262" s="131">
        <f t="shared" ref="X262:X266" si="263">ROUND(R262*G$1820,2)</f>
        <v>0.31</v>
      </c>
      <c r="Y262" s="131">
        <f t="shared" si="218"/>
        <v>0.01</v>
      </c>
      <c r="Z262" s="131">
        <f t="shared" si="10"/>
        <v>11.55</v>
      </c>
      <c r="AA262" s="132">
        <f t="shared" si="262"/>
        <v>11158.45</v>
      </c>
      <c r="AB262" s="133">
        <f t="shared" si="231"/>
        <v>11158</v>
      </c>
      <c r="AC262" s="134">
        <f t="shared" si="48"/>
        <v>-0.4500000000007276</v>
      </c>
      <c r="AD262" s="125">
        <v>44466</v>
      </c>
      <c r="AE262" s="135">
        <f t="shared" si="13"/>
        <v>1.034E-3</v>
      </c>
      <c r="AF262" s="136">
        <f t="shared" si="14"/>
        <v>44466</v>
      </c>
      <c r="AG262" s="137" t="s">
        <v>416</v>
      </c>
      <c r="AH262" s="124"/>
    </row>
    <row r="263" spans="1:34" ht="12" customHeight="1">
      <c r="A263" s="154">
        <v>44462</v>
      </c>
      <c r="B263" s="140" t="s">
        <v>581</v>
      </c>
      <c r="C263" s="141" t="s">
        <v>485</v>
      </c>
      <c r="D263" s="140"/>
      <c r="E263" s="140" t="str">
        <f t="shared" si="0"/>
        <v>MUTHOOTFIN</v>
      </c>
      <c r="F263" s="140"/>
      <c r="G263" s="140"/>
      <c r="H263" s="140"/>
      <c r="I263" s="141" t="s">
        <v>467</v>
      </c>
      <c r="J263" s="139" t="s">
        <v>483</v>
      </c>
      <c r="K263" s="141"/>
      <c r="L263" s="141"/>
      <c r="M263" s="142">
        <v>5</v>
      </c>
      <c r="N263" s="143">
        <v>1541</v>
      </c>
      <c r="O263" s="144">
        <f t="shared" si="39"/>
        <v>0</v>
      </c>
      <c r="P263" s="144">
        <f>N263+O263</f>
        <v>1541</v>
      </c>
      <c r="Q263" s="144"/>
      <c r="R263" s="144">
        <f t="shared" si="3"/>
        <v>7705</v>
      </c>
      <c r="S263" s="145">
        <f t="shared" si="4"/>
        <v>1.8260000000000001</v>
      </c>
      <c r="T263" s="145">
        <f t="shared" si="75"/>
        <v>0</v>
      </c>
      <c r="U263" s="145">
        <f t="shared" si="36"/>
        <v>0.04</v>
      </c>
      <c r="V263" s="145">
        <f t="shared" si="62"/>
        <v>7.71</v>
      </c>
      <c r="W263" s="145">
        <f>ROUND(R263*F$1823,2)</f>
        <v>1.1599999999999999</v>
      </c>
      <c r="X263" s="145">
        <f t="shared" si="263"/>
        <v>0.21</v>
      </c>
      <c r="Y263" s="145">
        <f t="shared" si="218"/>
        <v>0.01</v>
      </c>
      <c r="Z263" s="146">
        <f t="shared" si="10"/>
        <v>9.1300000000000008</v>
      </c>
      <c r="AA263" s="147">
        <f>-ROUND(R263+SUM(T263:Y263),2)</f>
        <v>-7714.13</v>
      </c>
      <c r="AB263" s="148">
        <f t="shared" si="231"/>
        <v>-7714</v>
      </c>
      <c r="AC263" s="149">
        <f t="shared" si="48"/>
        <v>0.13000000000010914</v>
      </c>
      <c r="AD263" s="138">
        <v>44466</v>
      </c>
      <c r="AE263" s="150">
        <f t="shared" si="13"/>
        <v>1.1850000000000001E-3</v>
      </c>
      <c r="AF263" s="151">
        <f t="shared" si="14"/>
        <v>44466</v>
      </c>
      <c r="AG263" s="152" t="s">
        <v>416</v>
      </c>
      <c r="AH263" s="124"/>
    </row>
    <row r="264" spans="1:34" ht="12" customHeight="1">
      <c r="A264" s="155">
        <v>44463</v>
      </c>
      <c r="B264" s="112" t="s">
        <v>582</v>
      </c>
      <c r="C264" s="127" t="s">
        <v>485</v>
      </c>
      <c r="D264" s="112"/>
      <c r="E264" s="112" t="str">
        <f t="shared" si="0"/>
        <v>SANSERA</v>
      </c>
      <c r="F264" s="112"/>
      <c r="G264" s="112"/>
      <c r="H264" s="112"/>
      <c r="I264" s="127" t="s">
        <v>461</v>
      </c>
      <c r="J264" s="126" t="s">
        <v>483</v>
      </c>
      <c r="K264" s="127"/>
      <c r="L264" s="127"/>
      <c r="M264" s="128">
        <v>20</v>
      </c>
      <c r="N264" s="129">
        <v>838</v>
      </c>
      <c r="O264" s="130">
        <f t="shared" si="39"/>
        <v>0</v>
      </c>
      <c r="P264" s="130">
        <f>N264-O264</f>
        <v>838</v>
      </c>
      <c r="Q264" s="130"/>
      <c r="R264" s="130">
        <f t="shared" si="3"/>
        <v>16760</v>
      </c>
      <c r="S264" s="131">
        <f t="shared" si="4"/>
        <v>0.86599999999999999</v>
      </c>
      <c r="T264" s="131">
        <f t="shared" si="75"/>
        <v>0</v>
      </c>
      <c r="U264" s="131">
        <f t="shared" si="36"/>
        <v>0.08</v>
      </c>
      <c r="V264" s="131">
        <f t="shared" si="62"/>
        <v>16.760000000000002</v>
      </c>
      <c r="W264" s="131">
        <v>0</v>
      </c>
      <c r="X264" s="131">
        <f t="shared" si="263"/>
        <v>0.46</v>
      </c>
      <c r="Y264" s="131">
        <f t="shared" si="218"/>
        <v>0.02</v>
      </c>
      <c r="Z264" s="131">
        <f t="shared" si="10"/>
        <v>17.32</v>
      </c>
      <c r="AA264" s="132">
        <f>ROUND(R264-SUM(T264:Y264),2)</f>
        <v>16742.68</v>
      </c>
      <c r="AB264" s="133">
        <f t="shared" si="231"/>
        <v>16743</v>
      </c>
      <c r="AC264" s="134">
        <f t="shared" si="48"/>
        <v>0.31999999999970896</v>
      </c>
      <c r="AD264" s="125">
        <v>44467</v>
      </c>
      <c r="AE264" s="135">
        <f t="shared" si="13"/>
        <v>1.0330000000000001E-3</v>
      </c>
      <c r="AF264" s="136">
        <f t="shared" si="14"/>
        <v>44467</v>
      </c>
      <c r="AG264" s="137" t="s">
        <v>416</v>
      </c>
      <c r="AH264" s="124"/>
    </row>
    <row r="265" spans="1:34" ht="12" customHeight="1">
      <c r="A265" s="154">
        <v>44463</v>
      </c>
      <c r="B265" s="139" t="s">
        <v>583</v>
      </c>
      <c r="C265" s="141" t="s">
        <v>485</v>
      </c>
      <c r="D265" s="139"/>
      <c r="E265" s="140" t="str">
        <f t="shared" si="0"/>
        <v>CAPLIPOINT</v>
      </c>
      <c r="F265" s="139"/>
      <c r="G265" s="139"/>
      <c r="H265" s="139"/>
      <c r="I265" s="141" t="s">
        <v>467</v>
      </c>
      <c r="J265" s="139" t="s">
        <v>483</v>
      </c>
      <c r="K265" s="141"/>
      <c r="L265" s="141"/>
      <c r="M265" s="142">
        <v>10</v>
      </c>
      <c r="N265" s="143">
        <v>900</v>
      </c>
      <c r="O265" s="144">
        <f t="shared" si="39"/>
        <v>0</v>
      </c>
      <c r="P265" s="144">
        <f t="shared" ref="P265:P269" si="264">N265+O265</f>
        <v>900</v>
      </c>
      <c r="Q265" s="144"/>
      <c r="R265" s="144">
        <f t="shared" si="3"/>
        <v>9000</v>
      </c>
      <c r="S265" s="145">
        <f t="shared" si="4"/>
        <v>1.0660000000000001</v>
      </c>
      <c r="T265" s="145">
        <f t="shared" si="75"/>
        <v>0</v>
      </c>
      <c r="U265" s="145">
        <f t="shared" si="36"/>
        <v>0.05</v>
      </c>
      <c r="V265" s="145">
        <f t="shared" si="62"/>
        <v>9</v>
      </c>
      <c r="W265" s="145">
        <f t="shared" ref="W265:W269" si="265">ROUND(R265*F$1823,2)</f>
        <v>1.35</v>
      </c>
      <c r="X265" s="145">
        <f t="shared" si="263"/>
        <v>0.25</v>
      </c>
      <c r="Y265" s="145">
        <f t="shared" si="218"/>
        <v>0.01</v>
      </c>
      <c r="Z265" s="146">
        <f t="shared" si="10"/>
        <v>10.66</v>
      </c>
      <c r="AA265" s="147">
        <f t="shared" ref="AA265:AA269" si="266">-ROUND(R265+SUM(T265:Y265),2)</f>
        <v>-9010.66</v>
      </c>
      <c r="AB265" s="148">
        <f t="shared" si="231"/>
        <v>-9011</v>
      </c>
      <c r="AC265" s="149">
        <f t="shared" si="48"/>
        <v>-0.34000000000014552</v>
      </c>
      <c r="AD265" s="138">
        <v>44467</v>
      </c>
      <c r="AE265" s="150">
        <f t="shared" si="13"/>
        <v>1.1839999999999999E-3</v>
      </c>
      <c r="AF265" s="151">
        <f t="shared" si="14"/>
        <v>44467</v>
      </c>
      <c r="AG265" s="152" t="s">
        <v>416</v>
      </c>
      <c r="AH265" s="124"/>
    </row>
    <row r="266" spans="1:34" ht="12" customHeight="1">
      <c r="A266" s="154">
        <v>44463</v>
      </c>
      <c r="B266" s="139" t="s">
        <v>584</v>
      </c>
      <c r="C266" s="141" t="s">
        <v>485</v>
      </c>
      <c r="D266" s="139"/>
      <c r="E266" s="140" t="str">
        <f t="shared" si="0"/>
        <v>IBREALEST</v>
      </c>
      <c r="F266" s="139"/>
      <c r="G266" s="139"/>
      <c r="H266" s="139"/>
      <c r="I266" s="141" t="s">
        <v>467</v>
      </c>
      <c r="J266" s="139" t="s">
        <v>483</v>
      </c>
      <c r="K266" s="141"/>
      <c r="L266" s="141"/>
      <c r="M266" s="142">
        <v>100</v>
      </c>
      <c r="N266" s="143">
        <v>158.35</v>
      </c>
      <c r="O266" s="144">
        <f t="shared" si="39"/>
        <v>0</v>
      </c>
      <c r="P266" s="144">
        <f t="shared" si="264"/>
        <v>158.35</v>
      </c>
      <c r="Q266" s="144"/>
      <c r="R266" s="144">
        <f t="shared" si="3"/>
        <v>15835</v>
      </c>
      <c r="S266" s="145">
        <f t="shared" si="4"/>
        <v>0.18760000000000002</v>
      </c>
      <c r="T266" s="145">
        <f t="shared" si="75"/>
        <v>0</v>
      </c>
      <c r="U266" s="145">
        <f t="shared" si="36"/>
        <v>0.08</v>
      </c>
      <c r="V266" s="145">
        <f t="shared" si="62"/>
        <v>15.84</v>
      </c>
      <c r="W266" s="145">
        <f t="shared" si="265"/>
        <v>2.38</v>
      </c>
      <c r="X266" s="145">
        <f t="shared" si="263"/>
        <v>0.44</v>
      </c>
      <c r="Y266" s="145">
        <f t="shared" si="218"/>
        <v>0.02</v>
      </c>
      <c r="Z266" s="146">
        <f t="shared" si="10"/>
        <v>18.760000000000002</v>
      </c>
      <c r="AA266" s="147">
        <f t="shared" si="266"/>
        <v>-15853.76</v>
      </c>
      <c r="AB266" s="148">
        <f t="shared" si="231"/>
        <v>-15854</v>
      </c>
      <c r="AC266" s="149">
        <f t="shared" si="48"/>
        <v>-0.23999999999978172</v>
      </c>
      <c r="AD266" s="138">
        <v>44467</v>
      </c>
      <c r="AE266" s="150">
        <f t="shared" si="13"/>
        <v>1.1850000000000001E-3</v>
      </c>
      <c r="AF266" s="151">
        <f t="shared" si="14"/>
        <v>44467</v>
      </c>
      <c r="AG266" s="152" t="s">
        <v>416</v>
      </c>
      <c r="AH266" s="124"/>
    </row>
    <row r="267" spans="1:34" ht="12" customHeight="1">
      <c r="A267" s="154">
        <v>44467</v>
      </c>
      <c r="B267" s="140" t="s">
        <v>498</v>
      </c>
      <c r="C267" s="141" t="s">
        <v>485</v>
      </c>
      <c r="D267" s="140"/>
      <c r="E267" s="140" t="str">
        <f t="shared" si="0"/>
        <v>BAJFINANCE</v>
      </c>
      <c r="F267" s="140"/>
      <c r="G267" s="140"/>
      <c r="H267" s="140"/>
      <c r="I267" s="141" t="s">
        <v>467</v>
      </c>
      <c r="J267" s="139" t="s">
        <v>483</v>
      </c>
      <c r="K267" s="141"/>
      <c r="L267" s="141"/>
      <c r="M267" s="142">
        <v>1</v>
      </c>
      <c r="N267" s="143">
        <v>7630</v>
      </c>
      <c r="O267" s="144">
        <f t="shared" si="39"/>
        <v>0</v>
      </c>
      <c r="P267" s="144">
        <f t="shared" si="264"/>
        <v>7630</v>
      </c>
      <c r="Q267" s="144"/>
      <c r="R267" s="144">
        <f t="shared" si="3"/>
        <v>7630</v>
      </c>
      <c r="S267" s="145">
        <f t="shared" si="4"/>
        <v>9.09</v>
      </c>
      <c r="T267" s="145">
        <f t="shared" si="75"/>
        <v>0</v>
      </c>
      <c r="U267" s="145">
        <f t="shared" si="36"/>
        <v>0.05</v>
      </c>
      <c r="V267" s="145">
        <f t="shared" si="62"/>
        <v>7.63</v>
      </c>
      <c r="W267" s="145">
        <f t="shared" si="265"/>
        <v>1.1399999999999999</v>
      </c>
      <c r="X267" s="145">
        <f t="shared" ref="X267:X269" si="267">ROUND(R267*H$1820,2)</f>
        <v>0.26</v>
      </c>
      <c r="Y267" s="145">
        <f t="shared" si="218"/>
        <v>0.01</v>
      </c>
      <c r="Z267" s="146">
        <f t="shared" si="10"/>
        <v>9.09</v>
      </c>
      <c r="AA267" s="147">
        <f t="shared" si="266"/>
        <v>-7639.09</v>
      </c>
      <c r="AB267" s="148">
        <f t="shared" si="231"/>
        <v>-7639</v>
      </c>
      <c r="AC267" s="149">
        <f t="shared" si="48"/>
        <v>9.0000000000145519E-2</v>
      </c>
      <c r="AD267" s="138">
        <v>44469</v>
      </c>
      <c r="AE267" s="150">
        <f t="shared" si="13"/>
        <v>1.191E-3</v>
      </c>
      <c r="AF267" s="151">
        <f t="shared" si="14"/>
        <v>44469</v>
      </c>
      <c r="AG267" s="152" t="s">
        <v>416</v>
      </c>
      <c r="AH267" s="124"/>
    </row>
    <row r="268" spans="1:34" ht="12" customHeight="1">
      <c r="A268" s="154">
        <v>44467</v>
      </c>
      <c r="B268" s="140" t="s">
        <v>498</v>
      </c>
      <c r="C268" s="141" t="s">
        <v>485</v>
      </c>
      <c r="D268" s="140"/>
      <c r="E268" s="140" t="str">
        <f t="shared" si="0"/>
        <v>BAJFINANCE</v>
      </c>
      <c r="F268" s="140"/>
      <c r="G268" s="140"/>
      <c r="H268" s="140"/>
      <c r="I268" s="141" t="s">
        <v>467</v>
      </c>
      <c r="J268" s="139" t="s">
        <v>483</v>
      </c>
      <c r="K268" s="141"/>
      <c r="L268" s="141"/>
      <c r="M268" s="142">
        <v>2</v>
      </c>
      <c r="N268" s="143">
        <v>7700</v>
      </c>
      <c r="O268" s="144">
        <f t="shared" si="39"/>
        <v>0</v>
      </c>
      <c r="P268" s="144">
        <f t="shared" si="264"/>
        <v>7700</v>
      </c>
      <c r="Q268" s="144"/>
      <c r="R268" s="144">
        <f t="shared" si="3"/>
        <v>15400</v>
      </c>
      <c r="S268" s="145">
        <f t="shared" si="4"/>
        <v>9.18</v>
      </c>
      <c r="T268" s="145">
        <f t="shared" si="75"/>
        <v>0</v>
      </c>
      <c r="U268" s="145">
        <f t="shared" si="36"/>
        <v>0.1</v>
      </c>
      <c r="V268" s="145">
        <f t="shared" si="62"/>
        <v>15.4</v>
      </c>
      <c r="W268" s="145">
        <f t="shared" si="265"/>
        <v>2.31</v>
      </c>
      <c r="X268" s="145">
        <f t="shared" si="267"/>
        <v>0.53</v>
      </c>
      <c r="Y268" s="145">
        <f t="shared" si="218"/>
        <v>0.02</v>
      </c>
      <c r="Z268" s="146">
        <f t="shared" si="10"/>
        <v>18.36</v>
      </c>
      <c r="AA268" s="147">
        <f t="shared" si="266"/>
        <v>-15418.36</v>
      </c>
      <c r="AB268" s="148">
        <f t="shared" si="231"/>
        <v>-15418</v>
      </c>
      <c r="AC268" s="149">
        <f t="shared" si="48"/>
        <v>0.36000000000058208</v>
      </c>
      <c r="AD268" s="138">
        <v>44469</v>
      </c>
      <c r="AE268" s="150">
        <f t="shared" si="13"/>
        <v>1.1919999999999999E-3</v>
      </c>
      <c r="AF268" s="151">
        <f t="shared" si="14"/>
        <v>44469</v>
      </c>
      <c r="AG268" s="152" t="s">
        <v>416</v>
      </c>
      <c r="AH268" s="124"/>
    </row>
    <row r="269" spans="1:34" ht="12" customHeight="1">
      <c r="A269" s="154">
        <v>44469</v>
      </c>
      <c r="B269" s="140" t="s">
        <v>585</v>
      </c>
      <c r="C269" s="141" t="s">
        <v>485</v>
      </c>
      <c r="D269" s="140"/>
      <c r="E269" s="140" t="str">
        <f t="shared" si="0"/>
        <v>IEX</v>
      </c>
      <c r="F269" s="140"/>
      <c r="G269" s="140"/>
      <c r="H269" s="140"/>
      <c r="I269" s="141" t="s">
        <v>467</v>
      </c>
      <c r="J269" s="139" t="s">
        <v>483</v>
      </c>
      <c r="K269" s="141"/>
      <c r="L269" s="141"/>
      <c r="M269" s="142">
        <v>10</v>
      </c>
      <c r="N269" s="143">
        <v>645</v>
      </c>
      <c r="O269" s="144">
        <f t="shared" si="39"/>
        <v>0</v>
      </c>
      <c r="P269" s="144">
        <f t="shared" si="264"/>
        <v>645</v>
      </c>
      <c r="Q269" s="144"/>
      <c r="R269" s="144">
        <f t="shared" si="3"/>
        <v>6450</v>
      </c>
      <c r="S269" s="145">
        <f t="shared" si="4"/>
        <v>0.76899999999999991</v>
      </c>
      <c r="T269" s="145">
        <f t="shared" si="75"/>
        <v>0</v>
      </c>
      <c r="U269" s="145">
        <f t="shared" si="36"/>
        <v>0.04</v>
      </c>
      <c r="V269" s="145">
        <f t="shared" si="62"/>
        <v>6.45</v>
      </c>
      <c r="W269" s="145">
        <f t="shared" si="265"/>
        <v>0.97</v>
      </c>
      <c r="X269" s="145">
        <f t="shared" si="267"/>
        <v>0.22</v>
      </c>
      <c r="Y269" s="145">
        <f t="shared" si="218"/>
        <v>0.01</v>
      </c>
      <c r="Z269" s="146">
        <f t="shared" si="10"/>
        <v>7.6899999999999995</v>
      </c>
      <c r="AA269" s="147">
        <f t="shared" si="266"/>
        <v>-6457.69</v>
      </c>
      <c r="AB269" s="148">
        <f t="shared" si="231"/>
        <v>-6458</v>
      </c>
      <c r="AC269" s="149">
        <f t="shared" si="48"/>
        <v>-0.31000000000040018</v>
      </c>
      <c r="AD269" s="138">
        <v>44473</v>
      </c>
      <c r="AE269" s="150">
        <f t="shared" si="13"/>
        <v>1.1919999999999999E-3</v>
      </c>
      <c r="AF269" s="151">
        <f t="shared" si="14"/>
        <v>44473</v>
      </c>
      <c r="AG269" s="152" t="s">
        <v>416</v>
      </c>
      <c r="AH269" s="124"/>
    </row>
    <row r="270" spans="1:34" ht="12" customHeight="1">
      <c r="A270" s="155">
        <v>44469</v>
      </c>
      <c r="B270" s="112" t="s">
        <v>498</v>
      </c>
      <c r="C270" s="127" t="s">
        <v>485</v>
      </c>
      <c r="D270" s="112"/>
      <c r="E270" s="112" t="str">
        <f t="shared" si="0"/>
        <v>BAJFINANCE</v>
      </c>
      <c r="F270" s="112"/>
      <c r="G270" s="112"/>
      <c r="H270" s="112"/>
      <c r="I270" s="127" t="s">
        <v>461</v>
      </c>
      <c r="J270" s="126" t="s">
        <v>483</v>
      </c>
      <c r="K270" s="127"/>
      <c r="L270" s="127"/>
      <c r="M270" s="128">
        <v>1</v>
      </c>
      <c r="N270" s="129">
        <v>7650</v>
      </c>
      <c r="O270" s="130">
        <f t="shared" si="39"/>
        <v>0</v>
      </c>
      <c r="P270" s="130">
        <f>N270-O270</f>
        <v>7650</v>
      </c>
      <c r="Q270" s="130"/>
      <c r="R270" s="130">
        <f t="shared" si="3"/>
        <v>7650</v>
      </c>
      <c r="S270" s="131">
        <f t="shared" si="4"/>
        <v>7.91</v>
      </c>
      <c r="T270" s="131">
        <f t="shared" si="75"/>
        <v>0</v>
      </c>
      <c r="U270" s="131">
        <f t="shared" si="36"/>
        <v>0.04</v>
      </c>
      <c r="V270" s="131">
        <f t="shared" si="62"/>
        <v>7.65</v>
      </c>
      <c r="W270" s="131">
        <v>0</v>
      </c>
      <c r="X270" s="131">
        <f>ROUND(R270*G$1820,2)</f>
        <v>0.21</v>
      </c>
      <c r="Y270" s="131">
        <f t="shared" si="218"/>
        <v>0.01</v>
      </c>
      <c r="Z270" s="131">
        <f t="shared" si="10"/>
        <v>7.91</v>
      </c>
      <c r="AA270" s="132">
        <f>ROUND(R270-SUM(T270:Y270),2)</f>
        <v>7642.09</v>
      </c>
      <c r="AB270" s="133">
        <f t="shared" si="231"/>
        <v>7642</v>
      </c>
      <c r="AC270" s="134">
        <f t="shared" si="48"/>
        <v>-9.0000000000145519E-2</v>
      </c>
      <c r="AD270" s="125">
        <v>44473</v>
      </c>
      <c r="AE270" s="135">
        <f t="shared" si="13"/>
        <v>1.034E-3</v>
      </c>
      <c r="AF270" s="136">
        <f t="shared" si="14"/>
        <v>44473</v>
      </c>
      <c r="AG270" s="137" t="s">
        <v>416</v>
      </c>
      <c r="AH270" s="124"/>
    </row>
    <row r="271" spans="1:34" ht="12" customHeight="1">
      <c r="A271" s="154">
        <v>44470</v>
      </c>
      <c r="B271" s="140" t="s">
        <v>496</v>
      </c>
      <c r="C271" s="141" t="s">
        <v>485</v>
      </c>
      <c r="D271" s="140"/>
      <c r="E271" s="140" t="str">
        <f t="shared" si="0"/>
        <v>NATIONALUM</v>
      </c>
      <c r="F271" s="140"/>
      <c r="G271" s="140"/>
      <c r="H271" s="140"/>
      <c r="I271" s="141" t="s">
        <v>467</v>
      </c>
      <c r="J271" s="139" t="s">
        <v>483</v>
      </c>
      <c r="K271" s="141"/>
      <c r="L271" s="141"/>
      <c r="M271" s="142">
        <v>9</v>
      </c>
      <c r="N271" s="143">
        <v>91.15</v>
      </c>
      <c r="O271" s="144">
        <f t="shared" si="39"/>
        <v>0</v>
      </c>
      <c r="P271" s="144">
        <f t="shared" ref="P271:P273" si="268">N271+O271</f>
        <v>91.15</v>
      </c>
      <c r="Q271" s="144"/>
      <c r="R271" s="144">
        <f t="shared" si="3"/>
        <v>820.35</v>
      </c>
      <c r="S271" s="145">
        <f t="shared" si="4"/>
        <v>0.10888888888888888</v>
      </c>
      <c r="T271" s="145">
        <f t="shared" si="75"/>
        <v>0</v>
      </c>
      <c r="U271" s="145">
        <f t="shared" si="36"/>
        <v>0.01</v>
      </c>
      <c r="V271" s="145">
        <f t="shared" si="62"/>
        <v>0.82</v>
      </c>
      <c r="W271" s="145">
        <f t="shared" ref="W271:W273" si="269">ROUND(R271*F$1823,2)</f>
        <v>0.12</v>
      </c>
      <c r="X271" s="145">
        <f t="shared" ref="X271:X272" si="270">ROUND(R271*H$1820,2)</f>
        <v>0.03</v>
      </c>
      <c r="Y271" s="145">
        <f t="shared" si="218"/>
        <v>0</v>
      </c>
      <c r="Z271" s="146">
        <f t="shared" si="10"/>
        <v>0.98</v>
      </c>
      <c r="AA271" s="147">
        <f t="shared" ref="AA271:AA273" si="271">-ROUND(R271+SUM(T271:Y271),2)</f>
        <v>-821.33</v>
      </c>
      <c r="AB271" s="148">
        <f t="shared" si="231"/>
        <v>-821</v>
      </c>
      <c r="AC271" s="149">
        <f t="shared" si="48"/>
        <v>0.33000000000004093</v>
      </c>
      <c r="AD271" s="138">
        <v>44474</v>
      </c>
      <c r="AE271" s="150">
        <f t="shared" si="13"/>
        <v>1.1950000000000001E-3</v>
      </c>
      <c r="AF271" s="151">
        <f t="shared" si="14"/>
        <v>44474</v>
      </c>
      <c r="AG271" s="152" t="s">
        <v>416</v>
      </c>
      <c r="AH271" s="124"/>
    </row>
    <row r="272" spans="1:34" ht="12" customHeight="1">
      <c r="A272" s="154">
        <v>44470</v>
      </c>
      <c r="B272" s="140" t="s">
        <v>493</v>
      </c>
      <c r="C272" s="141" t="s">
        <v>485</v>
      </c>
      <c r="D272" s="140"/>
      <c r="E272" s="140" t="str">
        <f t="shared" si="0"/>
        <v>SBIN</v>
      </c>
      <c r="F272" s="140"/>
      <c r="G272" s="140"/>
      <c r="H272" s="140"/>
      <c r="I272" s="141" t="s">
        <v>467</v>
      </c>
      <c r="J272" s="139" t="s">
        <v>483</v>
      </c>
      <c r="K272" s="141"/>
      <c r="L272" s="141"/>
      <c r="M272" s="142">
        <v>15</v>
      </c>
      <c r="N272" s="143">
        <v>451</v>
      </c>
      <c r="O272" s="144">
        <f t="shared" si="39"/>
        <v>0</v>
      </c>
      <c r="P272" s="144">
        <f t="shared" si="268"/>
        <v>451</v>
      </c>
      <c r="Q272" s="144"/>
      <c r="R272" s="144">
        <f t="shared" si="3"/>
        <v>6765</v>
      </c>
      <c r="S272" s="145">
        <f t="shared" si="4"/>
        <v>0.53733333333333322</v>
      </c>
      <c r="T272" s="145">
        <f t="shared" si="75"/>
        <v>0</v>
      </c>
      <c r="U272" s="145">
        <f t="shared" si="36"/>
        <v>0.04</v>
      </c>
      <c r="V272" s="145">
        <f t="shared" si="62"/>
        <v>6.77</v>
      </c>
      <c r="W272" s="145">
        <f t="shared" si="269"/>
        <v>1.01</v>
      </c>
      <c r="X272" s="145">
        <f t="shared" si="270"/>
        <v>0.23</v>
      </c>
      <c r="Y272" s="145">
        <f t="shared" si="218"/>
        <v>0.01</v>
      </c>
      <c r="Z272" s="146">
        <f t="shared" si="10"/>
        <v>8.0599999999999987</v>
      </c>
      <c r="AA272" s="147">
        <f t="shared" si="271"/>
        <v>-6773.06</v>
      </c>
      <c r="AB272" s="148">
        <f t="shared" si="231"/>
        <v>-6773</v>
      </c>
      <c r="AC272" s="149">
        <f t="shared" si="48"/>
        <v>6.0000000000400178E-2</v>
      </c>
      <c r="AD272" s="138">
        <v>44474</v>
      </c>
      <c r="AE272" s="150">
        <f t="shared" si="13"/>
        <v>1.191E-3</v>
      </c>
      <c r="AF272" s="151">
        <f t="shared" si="14"/>
        <v>44474</v>
      </c>
      <c r="AG272" s="152" t="s">
        <v>416</v>
      </c>
      <c r="AH272" s="124"/>
    </row>
    <row r="273" spans="1:34" ht="12" customHeight="1">
      <c r="A273" s="154">
        <v>44473</v>
      </c>
      <c r="B273" s="140" t="s">
        <v>484</v>
      </c>
      <c r="C273" s="141" t="s">
        <v>485</v>
      </c>
      <c r="D273" s="140"/>
      <c r="E273" s="140" t="str">
        <f t="shared" si="0"/>
        <v>CAMS</v>
      </c>
      <c r="F273" s="140"/>
      <c r="G273" s="140"/>
      <c r="H273" s="140"/>
      <c r="I273" s="141" t="s">
        <v>467</v>
      </c>
      <c r="J273" s="139" t="s">
        <v>483</v>
      </c>
      <c r="K273" s="141"/>
      <c r="L273" s="141"/>
      <c r="M273" s="142">
        <v>2</v>
      </c>
      <c r="N273" s="143">
        <v>3139.6</v>
      </c>
      <c r="O273" s="144">
        <f t="shared" si="39"/>
        <v>0</v>
      </c>
      <c r="P273" s="144">
        <f t="shared" si="268"/>
        <v>3139.6</v>
      </c>
      <c r="Q273" s="144"/>
      <c r="R273" s="144">
        <f t="shared" si="3"/>
        <v>6279.2</v>
      </c>
      <c r="S273" s="145">
        <f t="shared" si="4"/>
        <v>3.7149999999999999</v>
      </c>
      <c r="T273" s="145">
        <f t="shared" si="75"/>
        <v>0</v>
      </c>
      <c r="U273" s="145">
        <f t="shared" si="36"/>
        <v>0.03</v>
      </c>
      <c r="V273" s="145">
        <f t="shared" si="62"/>
        <v>6.28</v>
      </c>
      <c r="W273" s="145">
        <f t="shared" si="269"/>
        <v>0.94</v>
      </c>
      <c r="X273" s="145">
        <f t="shared" ref="X273:X275" si="272">ROUND(R273*G$1820,2)</f>
        <v>0.17</v>
      </c>
      <c r="Y273" s="145">
        <f t="shared" si="218"/>
        <v>0.01</v>
      </c>
      <c r="Z273" s="146">
        <f t="shared" si="10"/>
        <v>7.43</v>
      </c>
      <c r="AA273" s="147">
        <f t="shared" si="271"/>
        <v>-6286.63</v>
      </c>
      <c r="AB273" s="148">
        <f t="shared" si="231"/>
        <v>-6287</v>
      </c>
      <c r="AC273" s="149">
        <f t="shared" si="48"/>
        <v>-0.36999999999989086</v>
      </c>
      <c r="AD273" s="138">
        <v>44475</v>
      </c>
      <c r="AE273" s="150">
        <f t="shared" si="13"/>
        <v>1.183E-3</v>
      </c>
      <c r="AF273" s="151">
        <f t="shared" si="14"/>
        <v>44475</v>
      </c>
      <c r="AG273" s="152" t="s">
        <v>416</v>
      </c>
      <c r="AH273" s="124"/>
    </row>
    <row r="274" spans="1:34" ht="12" customHeight="1">
      <c r="A274" s="155">
        <v>44473</v>
      </c>
      <c r="B274" s="112" t="s">
        <v>558</v>
      </c>
      <c r="C274" s="127" t="s">
        <v>485</v>
      </c>
      <c r="D274" s="112"/>
      <c r="E274" s="112" t="str">
        <f t="shared" si="0"/>
        <v>GENUSPOWER</v>
      </c>
      <c r="F274" s="112"/>
      <c r="G274" s="112"/>
      <c r="H274" s="112"/>
      <c r="I274" s="127" t="s">
        <v>461</v>
      </c>
      <c r="J274" s="126" t="s">
        <v>483</v>
      </c>
      <c r="K274" s="127"/>
      <c r="L274" s="127"/>
      <c r="M274" s="128">
        <v>100</v>
      </c>
      <c r="N274" s="129">
        <v>78</v>
      </c>
      <c r="O274" s="130">
        <f t="shared" si="39"/>
        <v>0</v>
      </c>
      <c r="P274" s="130">
        <f t="shared" ref="P274:P281" si="273">N274-O274</f>
        <v>78</v>
      </c>
      <c r="Q274" s="130"/>
      <c r="R274" s="130">
        <f t="shared" si="3"/>
        <v>7800</v>
      </c>
      <c r="S274" s="131">
        <f t="shared" si="4"/>
        <v>8.0600000000000005E-2</v>
      </c>
      <c r="T274" s="131">
        <f t="shared" si="75"/>
        <v>0</v>
      </c>
      <c r="U274" s="131">
        <f t="shared" si="36"/>
        <v>0.04</v>
      </c>
      <c r="V274" s="131">
        <f t="shared" si="62"/>
        <v>7.8</v>
      </c>
      <c r="W274" s="131">
        <v>0</v>
      </c>
      <c r="X274" s="131">
        <f t="shared" si="272"/>
        <v>0.21</v>
      </c>
      <c r="Y274" s="131">
        <f t="shared" si="218"/>
        <v>0.01</v>
      </c>
      <c r="Z274" s="131">
        <f t="shared" si="10"/>
        <v>8.06</v>
      </c>
      <c r="AA274" s="132">
        <f t="shared" ref="AA274:AA281" si="274">ROUND(R274-SUM(T274:Y274),2)</f>
        <v>7791.94</v>
      </c>
      <c r="AB274" s="133">
        <f t="shared" si="231"/>
        <v>7792</v>
      </c>
      <c r="AC274" s="134">
        <f t="shared" si="48"/>
        <v>6.0000000000400178E-2</v>
      </c>
      <c r="AD274" s="125">
        <v>44475</v>
      </c>
      <c r="AE274" s="135">
        <f t="shared" si="13"/>
        <v>1.0330000000000001E-3</v>
      </c>
      <c r="AF274" s="136">
        <f t="shared" si="14"/>
        <v>44475</v>
      </c>
      <c r="AG274" s="137" t="s">
        <v>416</v>
      </c>
      <c r="AH274" s="124"/>
    </row>
    <row r="275" spans="1:34" ht="12" customHeight="1">
      <c r="A275" s="155">
        <v>44473</v>
      </c>
      <c r="B275" s="112" t="s">
        <v>496</v>
      </c>
      <c r="C275" s="127" t="s">
        <v>485</v>
      </c>
      <c r="D275" s="112"/>
      <c r="E275" s="112" t="str">
        <f t="shared" si="0"/>
        <v>NATIONALUM</v>
      </c>
      <c r="F275" s="112"/>
      <c r="G275" s="112"/>
      <c r="H275" s="112"/>
      <c r="I275" s="127" t="s">
        <v>461</v>
      </c>
      <c r="J275" s="126" t="s">
        <v>483</v>
      </c>
      <c r="K275" s="127"/>
      <c r="L275" s="127"/>
      <c r="M275" s="128">
        <v>9</v>
      </c>
      <c r="N275" s="129">
        <v>104.2</v>
      </c>
      <c r="O275" s="130">
        <f t="shared" si="39"/>
        <v>0</v>
      </c>
      <c r="P275" s="130">
        <f t="shared" si="273"/>
        <v>104.2</v>
      </c>
      <c r="Q275" s="130"/>
      <c r="R275" s="130">
        <f t="shared" si="3"/>
        <v>937.8</v>
      </c>
      <c r="S275" s="131">
        <f t="shared" si="4"/>
        <v>0.10888888888888888</v>
      </c>
      <c r="T275" s="131">
        <f t="shared" si="75"/>
        <v>0</v>
      </c>
      <c r="U275" s="131">
        <f t="shared" si="36"/>
        <v>0.01</v>
      </c>
      <c r="V275" s="131">
        <f t="shared" si="62"/>
        <v>0.94</v>
      </c>
      <c r="W275" s="131">
        <v>0</v>
      </c>
      <c r="X275" s="131">
        <f t="shared" si="272"/>
        <v>0.03</v>
      </c>
      <c r="Y275" s="131">
        <f t="shared" si="218"/>
        <v>0</v>
      </c>
      <c r="Z275" s="131">
        <f t="shared" si="10"/>
        <v>0.98</v>
      </c>
      <c r="AA275" s="132">
        <f t="shared" si="274"/>
        <v>936.82</v>
      </c>
      <c r="AB275" s="133">
        <f t="shared" si="231"/>
        <v>937</v>
      </c>
      <c r="AC275" s="134">
        <f t="shared" si="48"/>
        <v>0.17999999999994998</v>
      </c>
      <c r="AD275" s="125">
        <v>44475</v>
      </c>
      <c r="AE275" s="135">
        <f t="shared" si="13"/>
        <v>1.0449999999999999E-3</v>
      </c>
      <c r="AF275" s="136">
        <f t="shared" si="14"/>
        <v>44475</v>
      </c>
      <c r="AG275" s="137" t="s">
        <v>416</v>
      </c>
      <c r="AH275" s="124"/>
    </row>
    <row r="276" spans="1:34" ht="12" customHeight="1">
      <c r="A276" s="155">
        <v>44474</v>
      </c>
      <c r="B276" s="112" t="s">
        <v>566</v>
      </c>
      <c r="C276" s="127" t="s">
        <v>485</v>
      </c>
      <c r="D276" s="112"/>
      <c r="E276" s="112" t="str">
        <f t="shared" si="0"/>
        <v>NOCIL</v>
      </c>
      <c r="F276" s="112"/>
      <c r="G276" s="112"/>
      <c r="H276" s="112"/>
      <c r="I276" s="127" t="s">
        <v>461</v>
      </c>
      <c r="J276" s="126" t="s">
        <v>483</v>
      </c>
      <c r="K276" s="127"/>
      <c r="L276" s="127"/>
      <c r="M276" s="128">
        <v>50</v>
      </c>
      <c r="N276" s="129">
        <v>303</v>
      </c>
      <c r="O276" s="130">
        <f t="shared" si="39"/>
        <v>0</v>
      </c>
      <c r="P276" s="130">
        <f t="shared" si="273"/>
        <v>303</v>
      </c>
      <c r="Q276" s="130"/>
      <c r="R276" s="130">
        <f t="shared" si="3"/>
        <v>15150</v>
      </c>
      <c r="S276" s="131">
        <f t="shared" si="4"/>
        <v>0.31559999999999999</v>
      </c>
      <c r="T276" s="131">
        <f t="shared" si="75"/>
        <v>0</v>
      </c>
      <c r="U276" s="131">
        <f t="shared" si="36"/>
        <v>0.09</v>
      </c>
      <c r="V276" s="131">
        <f t="shared" si="62"/>
        <v>15.15</v>
      </c>
      <c r="W276" s="131">
        <v>0</v>
      </c>
      <c r="X276" s="131">
        <f t="shared" ref="X276:X278" si="275">ROUND(R276*H$1820,2)</f>
        <v>0.52</v>
      </c>
      <c r="Y276" s="131">
        <f t="shared" si="218"/>
        <v>0.02</v>
      </c>
      <c r="Z276" s="131">
        <f t="shared" si="10"/>
        <v>15.78</v>
      </c>
      <c r="AA276" s="132">
        <f t="shared" si="274"/>
        <v>15134.22</v>
      </c>
      <c r="AB276" s="133">
        <f t="shared" si="231"/>
        <v>15134</v>
      </c>
      <c r="AC276" s="134">
        <f t="shared" si="48"/>
        <v>-0.21999999999934516</v>
      </c>
      <c r="AD276" s="125">
        <v>44476</v>
      </c>
      <c r="AE276" s="135">
        <f t="shared" si="13"/>
        <v>1.042E-3</v>
      </c>
      <c r="AF276" s="136">
        <f t="shared" si="14"/>
        <v>44476</v>
      </c>
      <c r="AG276" s="137" t="s">
        <v>416</v>
      </c>
      <c r="AH276" s="124"/>
    </row>
    <row r="277" spans="1:34" ht="12" customHeight="1">
      <c r="A277" s="155">
        <v>44474</v>
      </c>
      <c r="B277" s="112" t="s">
        <v>529</v>
      </c>
      <c r="C277" s="127" t="s">
        <v>485</v>
      </c>
      <c r="D277" s="112"/>
      <c r="E277" s="112" t="str">
        <f t="shared" si="0"/>
        <v>M&amp;M</v>
      </c>
      <c r="F277" s="112"/>
      <c r="G277" s="112"/>
      <c r="H277" s="112"/>
      <c r="I277" s="127" t="s">
        <v>461</v>
      </c>
      <c r="J277" s="126" t="s">
        <v>483</v>
      </c>
      <c r="K277" s="127"/>
      <c r="L277" s="127"/>
      <c r="M277" s="128">
        <v>15</v>
      </c>
      <c r="N277" s="129">
        <v>842.5</v>
      </c>
      <c r="O277" s="130">
        <f t="shared" si="39"/>
        <v>0</v>
      </c>
      <c r="P277" s="130">
        <f t="shared" si="273"/>
        <v>842.5</v>
      </c>
      <c r="Q277" s="130"/>
      <c r="R277" s="130">
        <f t="shared" si="3"/>
        <v>12637.5</v>
      </c>
      <c r="S277" s="131">
        <f t="shared" si="4"/>
        <v>0.878</v>
      </c>
      <c r="T277" s="131">
        <f t="shared" si="75"/>
        <v>0</v>
      </c>
      <c r="U277" s="131">
        <f t="shared" si="36"/>
        <v>0.08</v>
      </c>
      <c r="V277" s="131">
        <f t="shared" si="62"/>
        <v>12.64</v>
      </c>
      <c r="W277" s="131">
        <v>0</v>
      </c>
      <c r="X277" s="131">
        <f t="shared" si="275"/>
        <v>0.44</v>
      </c>
      <c r="Y277" s="131">
        <f t="shared" si="218"/>
        <v>0.01</v>
      </c>
      <c r="Z277" s="131">
        <f t="shared" si="10"/>
        <v>13.17</v>
      </c>
      <c r="AA277" s="132">
        <f t="shared" si="274"/>
        <v>12624.33</v>
      </c>
      <c r="AB277" s="133">
        <f t="shared" si="231"/>
        <v>12624</v>
      </c>
      <c r="AC277" s="134">
        <f t="shared" si="48"/>
        <v>-0.32999999999992724</v>
      </c>
      <c r="AD277" s="125">
        <v>44476</v>
      </c>
      <c r="AE277" s="135">
        <f t="shared" si="13"/>
        <v>1.042E-3</v>
      </c>
      <c r="AF277" s="136">
        <f t="shared" si="14"/>
        <v>44476</v>
      </c>
      <c r="AG277" s="137" t="s">
        <v>416</v>
      </c>
      <c r="AH277" s="124"/>
    </row>
    <row r="278" spans="1:34" ht="12" customHeight="1">
      <c r="A278" s="155">
        <v>44476</v>
      </c>
      <c r="B278" s="112" t="s">
        <v>581</v>
      </c>
      <c r="C278" s="127" t="s">
        <v>485</v>
      </c>
      <c r="D278" s="112"/>
      <c r="E278" s="112" t="str">
        <f t="shared" si="0"/>
        <v>MUTHOOTFIN</v>
      </c>
      <c r="F278" s="112"/>
      <c r="G278" s="112"/>
      <c r="H278" s="112"/>
      <c r="I278" s="127" t="s">
        <v>461</v>
      </c>
      <c r="J278" s="126" t="s">
        <v>483</v>
      </c>
      <c r="K278" s="127"/>
      <c r="L278" s="127"/>
      <c r="M278" s="128">
        <v>5</v>
      </c>
      <c r="N278" s="129">
        <v>1575</v>
      </c>
      <c r="O278" s="130">
        <f t="shared" si="39"/>
        <v>0</v>
      </c>
      <c r="P278" s="130">
        <f t="shared" si="273"/>
        <v>1575</v>
      </c>
      <c r="Q278" s="130"/>
      <c r="R278" s="130">
        <f t="shared" si="3"/>
        <v>7875</v>
      </c>
      <c r="S278" s="131">
        <f t="shared" si="4"/>
        <v>1.6419999999999999</v>
      </c>
      <c r="T278" s="131">
        <f t="shared" si="75"/>
        <v>0</v>
      </c>
      <c r="U278" s="131">
        <f t="shared" si="36"/>
        <v>0.05</v>
      </c>
      <c r="V278" s="131">
        <f t="shared" si="62"/>
        <v>7.88</v>
      </c>
      <c r="W278" s="131">
        <v>0</v>
      </c>
      <c r="X278" s="131">
        <f t="shared" si="275"/>
        <v>0.27</v>
      </c>
      <c r="Y278" s="131">
        <f t="shared" si="218"/>
        <v>0.01</v>
      </c>
      <c r="Z278" s="131">
        <f t="shared" si="10"/>
        <v>8.2099999999999991</v>
      </c>
      <c r="AA278" s="132">
        <f t="shared" si="274"/>
        <v>7866.79</v>
      </c>
      <c r="AB278" s="133">
        <f t="shared" si="231"/>
        <v>7867</v>
      </c>
      <c r="AC278" s="134">
        <f t="shared" si="48"/>
        <v>0.21000000000003638</v>
      </c>
      <c r="AD278" s="125">
        <v>44480</v>
      </c>
      <c r="AE278" s="135">
        <f t="shared" si="13"/>
        <v>1.0430000000000001E-3</v>
      </c>
      <c r="AF278" s="136">
        <f t="shared" si="14"/>
        <v>44480</v>
      </c>
      <c r="AG278" s="137" t="s">
        <v>416</v>
      </c>
      <c r="AH278" s="124"/>
    </row>
    <row r="279" spans="1:34" ht="12" customHeight="1">
      <c r="A279" s="155">
        <v>44477</v>
      </c>
      <c r="B279" s="112" t="s">
        <v>569</v>
      </c>
      <c r="C279" s="127" t="s">
        <v>485</v>
      </c>
      <c r="D279" s="112"/>
      <c r="E279" s="112" t="str">
        <f t="shared" si="0"/>
        <v>TATVA</v>
      </c>
      <c r="F279" s="112"/>
      <c r="G279" s="112"/>
      <c r="H279" s="112"/>
      <c r="I279" s="127" t="s">
        <v>461</v>
      </c>
      <c r="J279" s="126" t="s">
        <v>483</v>
      </c>
      <c r="K279" s="127"/>
      <c r="L279" s="127"/>
      <c r="M279" s="128">
        <v>1</v>
      </c>
      <c r="N279" s="129">
        <v>2375</v>
      </c>
      <c r="O279" s="130">
        <f t="shared" si="39"/>
        <v>0</v>
      </c>
      <c r="P279" s="130">
        <f t="shared" si="273"/>
        <v>2375</v>
      </c>
      <c r="Q279" s="130"/>
      <c r="R279" s="130">
        <f t="shared" si="3"/>
        <v>2375</v>
      </c>
      <c r="S279" s="131">
        <f t="shared" si="4"/>
        <v>2.4599999999999995</v>
      </c>
      <c r="T279" s="131">
        <f t="shared" si="75"/>
        <v>0</v>
      </c>
      <c r="U279" s="131">
        <f t="shared" si="36"/>
        <v>0.01</v>
      </c>
      <c r="V279" s="131">
        <f t="shared" si="62"/>
        <v>2.38</v>
      </c>
      <c r="W279" s="131">
        <v>0</v>
      </c>
      <c r="X279" s="131">
        <f>ROUND(R279*G$1820,2)</f>
        <v>7.0000000000000007E-2</v>
      </c>
      <c r="Y279" s="131">
        <f t="shared" si="218"/>
        <v>0</v>
      </c>
      <c r="Z279" s="131">
        <f t="shared" si="10"/>
        <v>2.4599999999999995</v>
      </c>
      <c r="AA279" s="132">
        <f t="shared" si="274"/>
        <v>2372.54</v>
      </c>
      <c r="AB279" s="133">
        <f t="shared" si="231"/>
        <v>2373</v>
      </c>
      <c r="AC279" s="134">
        <f t="shared" si="48"/>
        <v>0.46000000000003638</v>
      </c>
      <c r="AD279" s="125">
        <v>44481</v>
      </c>
      <c r="AE279" s="135">
        <f t="shared" si="13"/>
        <v>1.036E-3</v>
      </c>
      <c r="AF279" s="136">
        <f t="shared" si="14"/>
        <v>44481</v>
      </c>
      <c r="AG279" s="137" t="s">
        <v>416</v>
      </c>
      <c r="AH279" s="124"/>
    </row>
    <row r="280" spans="1:34" ht="12" customHeight="1">
      <c r="A280" s="155">
        <v>44477</v>
      </c>
      <c r="B280" s="112" t="s">
        <v>585</v>
      </c>
      <c r="C280" s="127" t="s">
        <v>485</v>
      </c>
      <c r="D280" s="112"/>
      <c r="E280" s="112" t="str">
        <f t="shared" si="0"/>
        <v>IEX</v>
      </c>
      <c r="F280" s="112"/>
      <c r="G280" s="112"/>
      <c r="H280" s="112"/>
      <c r="I280" s="127" t="s">
        <v>461</v>
      </c>
      <c r="J280" s="126" t="s">
        <v>483</v>
      </c>
      <c r="K280" s="127"/>
      <c r="L280" s="127"/>
      <c r="M280" s="128">
        <v>10</v>
      </c>
      <c r="N280" s="129">
        <v>690</v>
      </c>
      <c r="O280" s="130">
        <f t="shared" si="39"/>
        <v>0</v>
      </c>
      <c r="P280" s="130">
        <f t="shared" si="273"/>
        <v>690</v>
      </c>
      <c r="Q280" s="130"/>
      <c r="R280" s="130">
        <f t="shared" si="3"/>
        <v>6900</v>
      </c>
      <c r="S280" s="131">
        <f t="shared" si="4"/>
        <v>0.71900000000000008</v>
      </c>
      <c r="T280" s="131">
        <f t="shared" si="75"/>
        <v>0</v>
      </c>
      <c r="U280" s="131">
        <f t="shared" si="36"/>
        <v>0.04</v>
      </c>
      <c r="V280" s="131">
        <f t="shared" si="62"/>
        <v>6.9</v>
      </c>
      <c r="W280" s="131">
        <v>0</v>
      </c>
      <c r="X280" s="131">
        <f>ROUND(R280*H$1820,2)</f>
        <v>0.24</v>
      </c>
      <c r="Y280" s="131">
        <f t="shared" si="218"/>
        <v>0.01</v>
      </c>
      <c r="Z280" s="131">
        <f t="shared" si="10"/>
        <v>7.19</v>
      </c>
      <c r="AA280" s="132">
        <f t="shared" si="274"/>
        <v>6892.81</v>
      </c>
      <c r="AB280" s="133">
        <f t="shared" si="231"/>
        <v>6893</v>
      </c>
      <c r="AC280" s="134">
        <f t="shared" si="48"/>
        <v>0.18999999999959982</v>
      </c>
      <c r="AD280" s="125">
        <v>44481</v>
      </c>
      <c r="AE280" s="135">
        <f t="shared" si="13"/>
        <v>1.042E-3</v>
      </c>
      <c r="AF280" s="136">
        <f t="shared" si="14"/>
        <v>44481</v>
      </c>
      <c r="AG280" s="137" t="s">
        <v>416</v>
      </c>
      <c r="AH280" s="124"/>
    </row>
    <row r="281" spans="1:34" ht="12" customHeight="1">
      <c r="A281" s="155">
        <v>44477</v>
      </c>
      <c r="B281" s="112" t="s">
        <v>474</v>
      </c>
      <c r="C281" s="127" t="s">
        <v>485</v>
      </c>
      <c r="D281" s="112"/>
      <c r="E281" s="112" t="str">
        <f t="shared" si="0"/>
        <v>RELIANCE</v>
      </c>
      <c r="F281" s="112"/>
      <c r="G281" s="112"/>
      <c r="H281" s="112"/>
      <c r="I281" s="127" t="s">
        <v>461</v>
      </c>
      <c r="J281" s="126" t="s">
        <v>483</v>
      </c>
      <c r="K281" s="127"/>
      <c r="L281" s="127"/>
      <c r="M281" s="128">
        <v>2</v>
      </c>
      <c r="N281" s="129">
        <v>2610</v>
      </c>
      <c r="O281" s="130">
        <f t="shared" si="39"/>
        <v>0</v>
      </c>
      <c r="P281" s="130">
        <f t="shared" si="273"/>
        <v>2610</v>
      </c>
      <c r="Q281" s="130"/>
      <c r="R281" s="130">
        <f t="shared" si="3"/>
        <v>5220</v>
      </c>
      <c r="S281" s="131">
        <f t="shared" si="4"/>
        <v>2.6999999999999997</v>
      </c>
      <c r="T281" s="131">
        <f t="shared" si="75"/>
        <v>0</v>
      </c>
      <c r="U281" s="131">
        <f t="shared" si="36"/>
        <v>0.03</v>
      </c>
      <c r="V281" s="131">
        <f t="shared" si="62"/>
        <v>5.22</v>
      </c>
      <c r="W281" s="131">
        <v>0</v>
      </c>
      <c r="X281" s="131">
        <f>ROUND(R281*G$1820,2)</f>
        <v>0.14000000000000001</v>
      </c>
      <c r="Y281" s="131">
        <f t="shared" si="218"/>
        <v>0.01</v>
      </c>
      <c r="Z281" s="131">
        <f t="shared" si="10"/>
        <v>5.3999999999999995</v>
      </c>
      <c r="AA281" s="132">
        <f t="shared" si="274"/>
        <v>5214.6000000000004</v>
      </c>
      <c r="AB281" s="133">
        <f t="shared" si="231"/>
        <v>5215</v>
      </c>
      <c r="AC281" s="134">
        <f t="shared" si="48"/>
        <v>0.3999999999996362</v>
      </c>
      <c r="AD281" s="125">
        <v>44481</v>
      </c>
      <c r="AE281" s="135">
        <f t="shared" si="13"/>
        <v>1.034E-3</v>
      </c>
      <c r="AF281" s="136">
        <f t="shared" si="14"/>
        <v>44481</v>
      </c>
      <c r="AG281" s="137" t="s">
        <v>416</v>
      </c>
      <c r="AH281" s="124"/>
    </row>
    <row r="282" spans="1:34" ht="12" customHeight="1">
      <c r="A282" s="154">
        <v>44480</v>
      </c>
      <c r="B282" s="140" t="s">
        <v>474</v>
      </c>
      <c r="C282" s="141" t="s">
        <v>485</v>
      </c>
      <c r="D282" s="140"/>
      <c r="E282" s="140" t="str">
        <f t="shared" si="0"/>
        <v>RELIANCE</v>
      </c>
      <c r="F282" s="140"/>
      <c r="G282" s="140"/>
      <c r="H282" s="140"/>
      <c r="I282" s="141" t="s">
        <v>467</v>
      </c>
      <c r="J282" s="139" t="s">
        <v>483</v>
      </c>
      <c r="K282" s="141"/>
      <c r="L282" s="141"/>
      <c r="M282" s="142">
        <v>5</v>
      </c>
      <c r="N282" s="143">
        <v>2675</v>
      </c>
      <c r="O282" s="144">
        <f t="shared" si="39"/>
        <v>0</v>
      </c>
      <c r="P282" s="144">
        <f t="shared" ref="P282:P284" si="276">N282+O282</f>
        <v>2675</v>
      </c>
      <c r="Q282" s="144"/>
      <c r="R282" s="144">
        <f t="shared" si="3"/>
        <v>13375</v>
      </c>
      <c r="S282" s="145">
        <f t="shared" si="4"/>
        <v>3.1880000000000002</v>
      </c>
      <c r="T282" s="145">
        <f t="shared" si="75"/>
        <v>0</v>
      </c>
      <c r="U282" s="145">
        <f t="shared" si="36"/>
        <v>0.08</v>
      </c>
      <c r="V282" s="145">
        <f t="shared" si="62"/>
        <v>13.38</v>
      </c>
      <c r="W282" s="145">
        <f t="shared" ref="W282:W284" si="277">ROUND(R282*F$1823,2)</f>
        <v>2.0099999999999998</v>
      </c>
      <c r="X282" s="145">
        <f t="shared" ref="X282:X284" si="278">ROUND(R282*H$1820,2)</f>
        <v>0.46</v>
      </c>
      <c r="Y282" s="145">
        <f t="shared" si="218"/>
        <v>0.01</v>
      </c>
      <c r="Z282" s="146">
        <f t="shared" si="10"/>
        <v>15.940000000000001</v>
      </c>
      <c r="AA282" s="147">
        <f t="shared" ref="AA282:AA284" si="279">-ROUND(R282+SUM(T282:Y282),2)</f>
        <v>-13390.94</v>
      </c>
      <c r="AB282" s="148">
        <f t="shared" si="231"/>
        <v>-13391</v>
      </c>
      <c r="AC282" s="149">
        <f t="shared" si="48"/>
        <v>-5.9999999999490683E-2</v>
      </c>
      <c r="AD282" s="138">
        <v>44482</v>
      </c>
      <c r="AE282" s="150">
        <f t="shared" si="13"/>
        <v>1.1919999999999999E-3</v>
      </c>
      <c r="AF282" s="151">
        <f t="shared" si="14"/>
        <v>44482</v>
      </c>
      <c r="AG282" s="152" t="s">
        <v>416</v>
      </c>
      <c r="AH282" s="124"/>
    </row>
    <row r="283" spans="1:34" ht="12" customHeight="1">
      <c r="A283" s="154">
        <v>44482</v>
      </c>
      <c r="B283" s="140" t="s">
        <v>586</v>
      </c>
      <c r="C283" s="141" t="s">
        <v>485</v>
      </c>
      <c r="D283" s="140"/>
      <c r="E283" s="140" t="str">
        <f t="shared" si="0"/>
        <v>ARVIND</v>
      </c>
      <c r="F283" s="140"/>
      <c r="G283" s="140"/>
      <c r="H283" s="140"/>
      <c r="I283" s="141" t="s">
        <v>467</v>
      </c>
      <c r="J283" s="139" t="s">
        <v>483</v>
      </c>
      <c r="K283" s="141"/>
      <c r="L283" s="141"/>
      <c r="M283" s="142">
        <v>50</v>
      </c>
      <c r="N283" s="143">
        <v>120.75</v>
      </c>
      <c r="O283" s="144">
        <f t="shared" si="39"/>
        <v>0</v>
      </c>
      <c r="P283" s="144">
        <f t="shared" si="276"/>
        <v>120.75</v>
      </c>
      <c r="Q283" s="144"/>
      <c r="R283" s="144">
        <f t="shared" si="3"/>
        <v>6037.5</v>
      </c>
      <c r="S283" s="145">
        <f t="shared" si="4"/>
        <v>0.14419999999999999</v>
      </c>
      <c r="T283" s="145">
        <f t="shared" si="75"/>
        <v>0</v>
      </c>
      <c r="U283" s="145">
        <f t="shared" si="36"/>
        <v>0.04</v>
      </c>
      <c r="V283" s="145">
        <f t="shared" si="62"/>
        <v>6.04</v>
      </c>
      <c r="W283" s="145">
        <f t="shared" si="277"/>
        <v>0.91</v>
      </c>
      <c r="X283" s="145">
        <f t="shared" si="278"/>
        <v>0.21</v>
      </c>
      <c r="Y283" s="145">
        <f t="shared" si="218"/>
        <v>0.01</v>
      </c>
      <c r="Z283" s="146">
        <f t="shared" si="10"/>
        <v>7.21</v>
      </c>
      <c r="AA283" s="147">
        <f t="shared" si="279"/>
        <v>-6044.71</v>
      </c>
      <c r="AB283" s="148">
        <f t="shared" si="231"/>
        <v>-6045</v>
      </c>
      <c r="AC283" s="149">
        <f t="shared" si="48"/>
        <v>-0.28999999999996362</v>
      </c>
      <c r="AD283" s="138">
        <v>44487</v>
      </c>
      <c r="AE283" s="150">
        <f t="shared" si="13"/>
        <v>1.194E-3</v>
      </c>
      <c r="AF283" s="151">
        <f t="shared" si="14"/>
        <v>44487</v>
      </c>
      <c r="AG283" s="152" t="s">
        <v>416</v>
      </c>
      <c r="AH283" s="124"/>
    </row>
    <row r="284" spans="1:34" ht="12" customHeight="1">
      <c r="A284" s="154">
        <v>44482</v>
      </c>
      <c r="B284" s="140" t="s">
        <v>576</v>
      </c>
      <c r="C284" s="141" t="s">
        <v>485</v>
      </c>
      <c r="D284" s="140"/>
      <c r="E284" s="140" t="str">
        <f t="shared" si="0"/>
        <v>CDSL</v>
      </c>
      <c r="F284" s="140"/>
      <c r="G284" s="140"/>
      <c r="H284" s="140"/>
      <c r="I284" s="141" t="s">
        <v>467</v>
      </c>
      <c r="J284" s="139" t="s">
        <v>483</v>
      </c>
      <c r="K284" s="141"/>
      <c r="L284" s="141"/>
      <c r="M284" s="142">
        <v>5</v>
      </c>
      <c r="N284" s="143">
        <v>1425</v>
      </c>
      <c r="O284" s="144">
        <f t="shared" si="39"/>
        <v>0</v>
      </c>
      <c r="P284" s="144">
        <f t="shared" si="276"/>
        <v>1425</v>
      </c>
      <c r="Q284" s="144"/>
      <c r="R284" s="144">
        <f t="shared" si="3"/>
        <v>7125</v>
      </c>
      <c r="S284" s="145">
        <f t="shared" si="4"/>
        <v>1.702</v>
      </c>
      <c r="T284" s="145">
        <f t="shared" si="75"/>
        <v>0</v>
      </c>
      <c r="U284" s="145">
        <f t="shared" si="36"/>
        <v>0.05</v>
      </c>
      <c r="V284" s="145">
        <f t="shared" si="62"/>
        <v>7.13</v>
      </c>
      <c r="W284" s="145">
        <f t="shared" si="277"/>
        <v>1.07</v>
      </c>
      <c r="X284" s="145">
        <f t="shared" si="278"/>
        <v>0.25</v>
      </c>
      <c r="Y284" s="145">
        <f t="shared" si="218"/>
        <v>0.01</v>
      </c>
      <c r="Z284" s="146">
        <f t="shared" si="10"/>
        <v>8.51</v>
      </c>
      <c r="AA284" s="147">
        <f t="shared" si="279"/>
        <v>-7133.51</v>
      </c>
      <c r="AB284" s="148">
        <f t="shared" si="231"/>
        <v>-7134</v>
      </c>
      <c r="AC284" s="149">
        <f t="shared" si="48"/>
        <v>-0.48999999999978172</v>
      </c>
      <c r="AD284" s="138">
        <v>44487</v>
      </c>
      <c r="AE284" s="150">
        <f t="shared" si="13"/>
        <v>1.194E-3</v>
      </c>
      <c r="AF284" s="151">
        <f t="shared" si="14"/>
        <v>44487</v>
      </c>
      <c r="AG284" s="152" t="s">
        <v>416</v>
      </c>
      <c r="AH284" s="124"/>
    </row>
    <row r="285" spans="1:34" ht="12" customHeight="1">
      <c r="A285" s="155">
        <v>44482</v>
      </c>
      <c r="B285" s="112" t="s">
        <v>576</v>
      </c>
      <c r="C285" s="127" t="s">
        <v>485</v>
      </c>
      <c r="D285" s="112"/>
      <c r="E285" s="112" t="str">
        <f t="shared" si="0"/>
        <v>CDSL</v>
      </c>
      <c r="F285" s="112"/>
      <c r="G285" s="112"/>
      <c r="H285" s="112"/>
      <c r="I285" s="127" t="s">
        <v>461</v>
      </c>
      <c r="J285" s="126" t="s">
        <v>483</v>
      </c>
      <c r="K285" s="127"/>
      <c r="L285" s="127"/>
      <c r="M285" s="128">
        <v>5</v>
      </c>
      <c r="N285" s="129">
        <v>1435</v>
      </c>
      <c r="O285" s="130">
        <f t="shared" si="39"/>
        <v>0</v>
      </c>
      <c r="P285" s="130">
        <f>N285-O285</f>
        <v>1435</v>
      </c>
      <c r="Q285" s="130"/>
      <c r="R285" s="130">
        <f t="shared" si="3"/>
        <v>7175</v>
      </c>
      <c r="S285" s="131">
        <f t="shared" si="4"/>
        <v>1.486</v>
      </c>
      <c r="T285" s="131">
        <f t="shared" si="75"/>
        <v>0</v>
      </c>
      <c r="U285" s="131">
        <f t="shared" si="36"/>
        <v>0.04</v>
      </c>
      <c r="V285" s="131">
        <f t="shared" si="62"/>
        <v>7.18</v>
      </c>
      <c r="W285" s="131">
        <v>0</v>
      </c>
      <c r="X285" s="131">
        <f t="shared" ref="X285:X287" si="280">ROUND(R285*G$1820,2)</f>
        <v>0.2</v>
      </c>
      <c r="Y285" s="131">
        <f t="shared" si="218"/>
        <v>0.01</v>
      </c>
      <c r="Z285" s="131">
        <f t="shared" si="10"/>
        <v>7.43</v>
      </c>
      <c r="AA285" s="132">
        <f>ROUND(R285-SUM(T285:Y285),2)</f>
        <v>7167.57</v>
      </c>
      <c r="AB285" s="133">
        <f t="shared" si="231"/>
        <v>7168</v>
      </c>
      <c r="AC285" s="134">
        <f t="shared" si="48"/>
        <v>0.43000000000029104</v>
      </c>
      <c r="AD285" s="125">
        <v>44487</v>
      </c>
      <c r="AE285" s="135">
        <f t="shared" si="13"/>
        <v>1.036E-3</v>
      </c>
      <c r="AF285" s="136">
        <f t="shared" si="14"/>
        <v>44487</v>
      </c>
      <c r="AG285" s="137" t="s">
        <v>416</v>
      </c>
      <c r="AH285" s="124"/>
    </row>
    <row r="286" spans="1:34" ht="12" customHeight="1">
      <c r="A286" s="154">
        <v>44487</v>
      </c>
      <c r="B286" s="140" t="s">
        <v>587</v>
      </c>
      <c r="C286" s="141" t="s">
        <v>485</v>
      </c>
      <c r="D286" s="140"/>
      <c r="E286" s="140" t="str">
        <f t="shared" si="0"/>
        <v>AARTIIND</v>
      </c>
      <c r="F286" s="140"/>
      <c r="G286" s="140"/>
      <c r="H286" s="140"/>
      <c r="I286" s="141" t="s">
        <v>467</v>
      </c>
      <c r="J286" s="139" t="s">
        <v>483</v>
      </c>
      <c r="K286" s="141"/>
      <c r="L286" s="141"/>
      <c r="M286" s="142">
        <v>10</v>
      </c>
      <c r="N286" s="143">
        <v>1145</v>
      </c>
      <c r="O286" s="144">
        <f t="shared" si="39"/>
        <v>0</v>
      </c>
      <c r="P286" s="144">
        <f t="shared" ref="P286:P287" si="281">N286+O286</f>
        <v>1145</v>
      </c>
      <c r="Q286" s="144"/>
      <c r="R286" s="144">
        <f t="shared" si="3"/>
        <v>11450</v>
      </c>
      <c r="S286" s="145">
        <f t="shared" si="4"/>
        <v>1.355</v>
      </c>
      <c r="T286" s="145">
        <f t="shared" si="75"/>
        <v>0</v>
      </c>
      <c r="U286" s="145">
        <f t="shared" si="36"/>
        <v>0.06</v>
      </c>
      <c r="V286" s="145">
        <f t="shared" si="62"/>
        <v>11.45</v>
      </c>
      <c r="W286" s="145">
        <f t="shared" ref="W286:W287" si="282">ROUND(R286*F$1823,2)</f>
        <v>1.72</v>
      </c>
      <c r="X286" s="145">
        <f t="shared" si="280"/>
        <v>0.31</v>
      </c>
      <c r="Y286" s="145">
        <f t="shared" si="218"/>
        <v>0.01</v>
      </c>
      <c r="Z286" s="146">
        <f t="shared" si="10"/>
        <v>13.55</v>
      </c>
      <c r="AA286" s="147">
        <f t="shared" ref="AA286:AA287" si="283">-ROUND(R286+SUM(T286:Y286),2)</f>
        <v>-11463.55</v>
      </c>
      <c r="AB286" s="148">
        <f t="shared" si="231"/>
        <v>-11464</v>
      </c>
      <c r="AC286" s="149">
        <f t="shared" si="48"/>
        <v>-0.4500000000007276</v>
      </c>
      <c r="AD286" s="138">
        <v>44490</v>
      </c>
      <c r="AE286" s="150">
        <f t="shared" si="13"/>
        <v>1.183E-3</v>
      </c>
      <c r="AF286" s="151">
        <f t="shared" si="14"/>
        <v>44490</v>
      </c>
      <c r="AG286" s="152" t="s">
        <v>416</v>
      </c>
      <c r="AH286" s="124"/>
    </row>
    <row r="287" spans="1:34" ht="12" customHeight="1">
      <c r="A287" s="154">
        <v>44487</v>
      </c>
      <c r="B287" s="140" t="s">
        <v>588</v>
      </c>
      <c r="C287" s="141" t="s">
        <v>485</v>
      </c>
      <c r="D287" s="140"/>
      <c r="E287" s="140" t="str">
        <f t="shared" si="0"/>
        <v>TCS</v>
      </c>
      <c r="F287" s="140"/>
      <c r="G287" s="140"/>
      <c r="H287" s="140"/>
      <c r="I287" s="141" t="s">
        <v>467</v>
      </c>
      <c r="J287" s="139" t="s">
        <v>483</v>
      </c>
      <c r="K287" s="141"/>
      <c r="L287" s="141"/>
      <c r="M287" s="142">
        <v>1</v>
      </c>
      <c r="N287" s="143">
        <v>3614</v>
      </c>
      <c r="O287" s="144">
        <f t="shared" si="39"/>
        <v>0</v>
      </c>
      <c r="P287" s="144">
        <f t="shared" si="281"/>
        <v>3614</v>
      </c>
      <c r="Q287" s="144"/>
      <c r="R287" s="144">
        <f t="shared" si="3"/>
        <v>3614</v>
      </c>
      <c r="S287" s="145">
        <f t="shared" si="4"/>
        <v>4.2699999999999996</v>
      </c>
      <c r="T287" s="145">
        <f t="shared" si="75"/>
        <v>0</v>
      </c>
      <c r="U287" s="145">
        <f t="shared" si="36"/>
        <v>0.02</v>
      </c>
      <c r="V287" s="145">
        <f t="shared" si="62"/>
        <v>3.61</v>
      </c>
      <c r="W287" s="145">
        <f t="shared" si="282"/>
        <v>0.54</v>
      </c>
      <c r="X287" s="145">
        <f t="shared" si="280"/>
        <v>0.1</v>
      </c>
      <c r="Y287" s="145">
        <f t="shared" si="218"/>
        <v>0</v>
      </c>
      <c r="Z287" s="146">
        <f t="shared" si="10"/>
        <v>4.2699999999999996</v>
      </c>
      <c r="AA287" s="147">
        <f t="shared" si="283"/>
        <v>-3618.27</v>
      </c>
      <c r="AB287" s="148">
        <f t="shared" si="231"/>
        <v>-3618</v>
      </c>
      <c r="AC287" s="149">
        <f t="shared" si="48"/>
        <v>0.26999999999998181</v>
      </c>
      <c r="AD287" s="138">
        <v>44490</v>
      </c>
      <c r="AE287" s="150">
        <f t="shared" si="13"/>
        <v>1.1820000000000001E-3</v>
      </c>
      <c r="AF287" s="151">
        <f t="shared" si="14"/>
        <v>44490</v>
      </c>
      <c r="AG287" s="152" t="s">
        <v>416</v>
      </c>
      <c r="AH287" s="124"/>
    </row>
    <row r="288" spans="1:34" ht="12" customHeight="1">
      <c r="A288" s="155">
        <v>44487</v>
      </c>
      <c r="B288" s="112" t="s">
        <v>540</v>
      </c>
      <c r="C288" s="127" t="s">
        <v>485</v>
      </c>
      <c r="D288" s="112"/>
      <c r="E288" s="112" t="str">
        <f t="shared" si="0"/>
        <v>ITDCEM</v>
      </c>
      <c r="F288" s="112"/>
      <c r="G288" s="112"/>
      <c r="H288" s="112"/>
      <c r="I288" s="127" t="s">
        <v>461</v>
      </c>
      <c r="J288" s="126" t="s">
        <v>483</v>
      </c>
      <c r="K288" s="127"/>
      <c r="L288" s="127"/>
      <c r="M288" s="128">
        <v>50</v>
      </c>
      <c r="N288" s="129">
        <v>96</v>
      </c>
      <c r="O288" s="130">
        <f t="shared" si="39"/>
        <v>0</v>
      </c>
      <c r="P288" s="130">
        <f t="shared" ref="P288:P293" si="284">N288-O288</f>
        <v>96</v>
      </c>
      <c r="Q288" s="130"/>
      <c r="R288" s="130">
        <f t="shared" si="3"/>
        <v>4800</v>
      </c>
      <c r="S288" s="131">
        <f t="shared" si="4"/>
        <v>0.1</v>
      </c>
      <c r="T288" s="131">
        <f t="shared" si="75"/>
        <v>0</v>
      </c>
      <c r="U288" s="131">
        <f t="shared" si="36"/>
        <v>0.03</v>
      </c>
      <c r="V288" s="131">
        <f t="shared" si="62"/>
        <v>4.8</v>
      </c>
      <c r="W288" s="131">
        <v>0</v>
      </c>
      <c r="X288" s="131">
        <f t="shared" ref="X288:X292" si="285">ROUND(R288*H$1820,2)</f>
        <v>0.17</v>
      </c>
      <c r="Y288" s="131">
        <f t="shared" si="218"/>
        <v>0</v>
      </c>
      <c r="Z288" s="131">
        <f t="shared" si="10"/>
        <v>5</v>
      </c>
      <c r="AA288" s="132">
        <f t="shared" ref="AA288:AA293" si="286">ROUND(R288-SUM(T288:Y288),2)</f>
        <v>4795</v>
      </c>
      <c r="AB288" s="133">
        <f t="shared" si="231"/>
        <v>4795</v>
      </c>
      <c r="AC288" s="134">
        <f t="shared" si="48"/>
        <v>0</v>
      </c>
      <c r="AD288" s="125">
        <v>44490</v>
      </c>
      <c r="AE288" s="135">
        <f t="shared" si="13"/>
        <v>1.042E-3</v>
      </c>
      <c r="AF288" s="136">
        <f t="shared" si="14"/>
        <v>44490</v>
      </c>
      <c r="AG288" s="137" t="s">
        <v>416</v>
      </c>
      <c r="AH288" s="124"/>
    </row>
    <row r="289" spans="1:34" ht="12" customHeight="1">
      <c r="A289" s="155">
        <v>44487</v>
      </c>
      <c r="B289" s="112" t="s">
        <v>559</v>
      </c>
      <c r="C289" s="127" t="s">
        <v>485</v>
      </c>
      <c r="D289" s="112"/>
      <c r="E289" s="112" t="str">
        <f t="shared" si="0"/>
        <v>HBLPOWER</v>
      </c>
      <c r="F289" s="112"/>
      <c r="G289" s="112"/>
      <c r="H289" s="112"/>
      <c r="I289" s="127" t="s">
        <v>461</v>
      </c>
      <c r="J289" s="126" t="s">
        <v>483</v>
      </c>
      <c r="K289" s="127"/>
      <c r="L289" s="127"/>
      <c r="M289" s="128">
        <v>100</v>
      </c>
      <c r="N289" s="129">
        <v>58.5</v>
      </c>
      <c r="O289" s="130">
        <f t="shared" si="39"/>
        <v>0</v>
      </c>
      <c r="P289" s="130">
        <f t="shared" si="284"/>
        <v>58.5</v>
      </c>
      <c r="Q289" s="130"/>
      <c r="R289" s="130">
        <f t="shared" si="3"/>
        <v>5850</v>
      </c>
      <c r="S289" s="131">
        <f t="shared" si="4"/>
        <v>6.0999999999999999E-2</v>
      </c>
      <c r="T289" s="131">
        <f t="shared" si="75"/>
        <v>0</v>
      </c>
      <c r="U289" s="131">
        <f t="shared" si="36"/>
        <v>0.04</v>
      </c>
      <c r="V289" s="131">
        <f t="shared" si="62"/>
        <v>5.85</v>
      </c>
      <c r="W289" s="131">
        <v>0</v>
      </c>
      <c r="X289" s="131">
        <f t="shared" si="285"/>
        <v>0.2</v>
      </c>
      <c r="Y289" s="131">
        <f t="shared" si="218"/>
        <v>0.01</v>
      </c>
      <c r="Z289" s="131">
        <f t="shared" si="10"/>
        <v>6.1</v>
      </c>
      <c r="AA289" s="132">
        <f t="shared" si="286"/>
        <v>5843.9</v>
      </c>
      <c r="AB289" s="133">
        <f t="shared" si="231"/>
        <v>5844</v>
      </c>
      <c r="AC289" s="134">
        <f t="shared" si="48"/>
        <v>0.1000000000003638</v>
      </c>
      <c r="AD289" s="125">
        <v>44490</v>
      </c>
      <c r="AE289" s="135">
        <f t="shared" si="13"/>
        <v>1.0430000000000001E-3</v>
      </c>
      <c r="AF289" s="136">
        <f t="shared" si="14"/>
        <v>44490</v>
      </c>
      <c r="AG289" s="137" t="s">
        <v>416</v>
      </c>
      <c r="AH289" s="124"/>
    </row>
    <row r="290" spans="1:34" ht="12" customHeight="1">
      <c r="A290" s="155">
        <v>44487</v>
      </c>
      <c r="B290" s="112" t="s">
        <v>563</v>
      </c>
      <c r="C290" s="127" t="s">
        <v>485</v>
      </c>
      <c r="D290" s="112"/>
      <c r="E290" s="112" t="str">
        <f t="shared" si="0"/>
        <v>L&amp;TFH</v>
      </c>
      <c r="F290" s="112"/>
      <c r="G290" s="112"/>
      <c r="H290" s="112"/>
      <c r="I290" s="127" t="s">
        <v>461</v>
      </c>
      <c r="J290" s="126" t="s">
        <v>483</v>
      </c>
      <c r="K290" s="127"/>
      <c r="L290" s="127"/>
      <c r="M290" s="128">
        <v>50</v>
      </c>
      <c r="N290" s="129">
        <v>95.3</v>
      </c>
      <c r="O290" s="130">
        <f t="shared" si="39"/>
        <v>0</v>
      </c>
      <c r="P290" s="130">
        <f t="shared" si="284"/>
        <v>95.3</v>
      </c>
      <c r="Q290" s="130"/>
      <c r="R290" s="130">
        <f t="shared" si="3"/>
        <v>4765</v>
      </c>
      <c r="S290" s="131">
        <f t="shared" si="4"/>
        <v>9.9199999999999997E-2</v>
      </c>
      <c r="T290" s="131">
        <f t="shared" si="75"/>
        <v>0</v>
      </c>
      <c r="U290" s="131">
        <f t="shared" si="36"/>
        <v>0.03</v>
      </c>
      <c r="V290" s="131">
        <f t="shared" si="62"/>
        <v>4.7699999999999996</v>
      </c>
      <c r="W290" s="131">
        <v>0</v>
      </c>
      <c r="X290" s="131">
        <f t="shared" si="285"/>
        <v>0.16</v>
      </c>
      <c r="Y290" s="131">
        <f t="shared" si="218"/>
        <v>0</v>
      </c>
      <c r="Z290" s="131">
        <f t="shared" si="10"/>
        <v>4.96</v>
      </c>
      <c r="AA290" s="132">
        <f t="shared" si="286"/>
        <v>4760.04</v>
      </c>
      <c r="AB290" s="133">
        <f t="shared" si="231"/>
        <v>4760</v>
      </c>
      <c r="AC290" s="134">
        <f t="shared" si="48"/>
        <v>-3.999999999996362E-2</v>
      </c>
      <c r="AD290" s="125">
        <v>44490</v>
      </c>
      <c r="AE290" s="135">
        <f t="shared" si="13"/>
        <v>1.041E-3</v>
      </c>
      <c r="AF290" s="136">
        <f t="shared" si="14"/>
        <v>44490</v>
      </c>
      <c r="AG290" s="137" t="s">
        <v>416</v>
      </c>
      <c r="AH290" s="124"/>
    </row>
    <row r="291" spans="1:34" ht="12" customHeight="1">
      <c r="A291" s="155">
        <v>44487</v>
      </c>
      <c r="B291" s="112" t="s">
        <v>533</v>
      </c>
      <c r="C291" s="127" t="s">
        <v>485</v>
      </c>
      <c r="D291" s="112"/>
      <c r="E291" s="112" t="str">
        <f t="shared" si="0"/>
        <v>PNB</v>
      </c>
      <c r="F291" s="112"/>
      <c r="G291" s="112"/>
      <c r="H291" s="112"/>
      <c r="I291" s="127" t="s">
        <v>461</v>
      </c>
      <c r="J291" s="126" t="s">
        <v>483</v>
      </c>
      <c r="K291" s="127"/>
      <c r="L291" s="127"/>
      <c r="M291" s="128">
        <v>200</v>
      </c>
      <c r="N291" s="129">
        <v>44.75</v>
      </c>
      <c r="O291" s="130">
        <f t="shared" si="39"/>
        <v>0</v>
      </c>
      <c r="P291" s="130">
        <f t="shared" si="284"/>
        <v>44.75</v>
      </c>
      <c r="Q291" s="130"/>
      <c r="R291" s="130">
        <f t="shared" si="3"/>
        <v>8950</v>
      </c>
      <c r="S291" s="131">
        <f t="shared" si="4"/>
        <v>4.6649999999999997E-2</v>
      </c>
      <c r="T291" s="131">
        <f t="shared" si="75"/>
        <v>0</v>
      </c>
      <c r="U291" s="131">
        <f t="shared" si="36"/>
        <v>0.06</v>
      </c>
      <c r="V291" s="131">
        <f t="shared" si="62"/>
        <v>8.9499999999999993</v>
      </c>
      <c r="W291" s="131">
        <v>0</v>
      </c>
      <c r="X291" s="131">
        <f t="shared" si="285"/>
        <v>0.31</v>
      </c>
      <c r="Y291" s="131">
        <f t="shared" si="218"/>
        <v>0.01</v>
      </c>
      <c r="Z291" s="131">
        <f t="shared" si="10"/>
        <v>9.33</v>
      </c>
      <c r="AA291" s="132">
        <f t="shared" si="286"/>
        <v>8940.67</v>
      </c>
      <c r="AB291" s="133">
        <f t="shared" si="231"/>
        <v>8941</v>
      </c>
      <c r="AC291" s="134">
        <f t="shared" si="48"/>
        <v>0.32999999999992724</v>
      </c>
      <c r="AD291" s="125">
        <v>44490</v>
      </c>
      <c r="AE291" s="135">
        <f t="shared" si="13"/>
        <v>1.042E-3</v>
      </c>
      <c r="AF291" s="136">
        <f t="shared" si="14"/>
        <v>44490</v>
      </c>
      <c r="AG291" s="137" t="s">
        <v>416</v>
      </c>
      <c r="AH291" s="124"/>
    </row>
    <row r="292" spans="1:34" ht="12" customHeight="1">
      <c r="A292" s="155">
        <v>44487</v>
      </c>
      <c r="B292" s="112" t="s">
        <v>512</v>
      </c>
      <c r="C292" s="127" t="s">
        <v>460</v>
      </c>
      <c r="D292" s="112"/>
      <c r="E292" s="112" t="str">
        <f t="shared" si="0"/>
        <v>IRFC</v>
      </c>
      <c r="F292" s="112"/>
      <c r="G292" s="112"/>
      <c r="H292" s="112"/>
      <c r="I292" s="127" t="s">
        <v>461</v>
      </c>
      <c r="J292" s="126" t="s">
        <v>483</v>
      </c>
      <c r="K292" s="127"/>
      <c r="L292" s="127"/>
      <c r="M292" s="128">
        <v>575</v>
      </c>
      <c r="N292" s="129">
        <v>24.25</v>
      </c>
      <c r="O292" s="130">
        <f t="shared" si="39"/>
        <v>0</v>
      </c>
      <c r="P292" s="130">
        <f t="shared" si="284"/>
        <v>24.25</v>
      </c>
      <c r="Q292" s="130"/>
      <c r="R292" s="130">
        <f t="shared" si="3"/>
        <v>13943.75</v>
      </c>
      <c r="S292" s="131">
        <f t="shared" si="4"/>
        <v>2.5252173913043477E-2</v>
      </c>
      <c r="T292" s="131">
        <f t="shared" si="75"/>
        <v>0</v>
      </c>
      <c r="U292" s="131">
        <f t="shared" si="36"/>
        <v>0.09</v>
      </c>
      <c r="V292" s="131">
        <f t="shared" si="62"/>
        <v>13.94</v>
      </c>
      <c r="W292" s="131">
        <v>0</v>
      </c>
      <c r="X292" s="131">
        <f t="shared" si="285"/>
        <v>0.48</v>
      </c>
      <c r="Y292" s="131">
        <f t="shared" si="218"/>
        <v>0.01</v>
      </c>
      <c r="Z292" s="131">
        <f t="shared" si="10"/>
        <v>14.52</v>
      </c>
      <c r="AA292" s="132">
        <f t="shared" si="286"/>
        <v>13929.23</v>
      </c>
      <c r="AB292" s="133">
        <f t="shared" si="231"/>
        <v>13929</v>
      </c>
      <c r="AC292" s="134">
        <f t="shared" si="48"/>
        <v>-0.22999999999956344</v>
      </c>
      <c r="AD292" s="125">
        <v>44490</v>
      </c>
      <c r="AE292" s="135">
        <f t="shared" si="13"/>
        <v>1.041E-3</v>
      </c>
      <c r="AF292" s="136">
        <f t="shared" si="14"/>
        <v>44490</v>
      </c>
      <c r="AG292" s="137" t="s">
        <v>416</v>
      </c>
      <c r="AH292" s="124"/>
    </row>
    <row r="293" spans="1:34" ht="12" customHeight="1">
      <c r="A293" s="155">
        <v>44488</v>
      </c>
      <c r="B293" s="112" t="s">
        <v>586</v>
      </c>
      <c r="C293" s="127" t="s">
        <v>485</v>
      </c>
      <c r="D293" s="112"/>
      <c r="E293" s="112" t="str">
        <f t="shared" si="0"/>
        <v>ARVIND</v>
      </c>
      <c r="F293" s="112"/>
      <c r="G293" s="112"/>
      <c r="H293" s="112"/>
      <c r="I293" s="127" t="s">
        <v>461</v>
      </c>
      <c r="J293" s="126" t="s">
        <v>483</v>
      </c>
      <c r="K293" s="127"/>
      <c r="L293" s="127"/>
      <c r="M293" s="128">
        <v>50</v>
      </c>
      <c r="N293" s="129">
        <v>134.5</v>
      </c>
      <c r="O293" s="130">
        <f t="shared" si="39"/>
        <v>0</v>
      </c>
      <c r="P293" s="130">
        <f t="shared" si="284"/>
        <v>134.5</v>
      </c>
      <c r="Q293" s="130"/>
      <c r="R293" s="130">
        <f t="shared" si="3"/>
        <v>6725</v>
      </c>
      <c r="S293" s="131">
        <f t="shared" si="4"/>
        <v>0.13900000000000001</v>
      </c>
      <c r="T293" s="131">
        <f t="shared" si="75"/>
        <v>0</v>
      </c>
      <c r="U293" s="131">
        <f t="shared" si="36"/>
        <v>0.03</v>
      </c>
      <c r="V293" s="131">
        <f t="shared" si="62"/>
        <v>6.73</v>
      </c>
      <c r="W293" s="131">
        <v>0</v>
      </c>
      <c r="X293" s="131">
        <f t="shared" ref="X293:X296" si="287">ROUND(R293*G$1820,2)</f>
        <v>0.18</v>
      </c>
      <c r="Y293" s="131">
        <f t="shared" si="218"/>
        <v>0.01</v>
      </c>
      <c r="Z293" s="131">
        <f t="shared" si="10"/>
        <v>6.95</v>
      </c>
      <c r="AA293" s="132">
        <f t="shared" si="286"/>
        <v>6718.05</v>
      </c>
      <c r="AB293" s="133">
        <f t="shared" si="231"/>
        <v>6718</v>
      </c>
      <c r="AC293" s="134">
        <f t="shared" si="48"/>
        <v>-5.0000000000181899E-2</v>
      </c>
      <c r="AD293" s="125">
        <v>44490</v>
      </c>
      <c r="AE293" s="135">
        <f t="shared" si="13"/>
        <v>1.0330000000000001E-3</v>
      </c>
      <c r="AF293" s="136">
        <f t="shared" si="14"/>
        <v>44490</v>
      </c>
      <c r="AG293" s="137" t="s">
        <v>416</v>
      </c>
      <c r="AH293" s="124"/>
    </row>
    <row r="294" spans="1:34" ht="12" customHeight="1">
      <c r="A294" s="154">
        <v>44489</v>
      </c>
      <c r="B294" s="140" t="s">
        <v>496</v>
      </c>
      <c r="C294" s="141" t="s">
        <v>485</v>
      </c>
      <c r="D294" s="140"/>
      <c r="E294" s="140" t="str">
        <f t="shared" si="0"/>
        <v>NATIONALUM</v>
      </c>
      <c r="F294" s="140"/>
      <c r="G294" s="140"/>
      <c r="H294" s="140"/>
      <c r="I294" s="141" t="s">
        <v>467</v>
      </c>
      <c r="J294" s="139" t="s">
        <v>483</v>
      </c>
      <c r="K294" s="141"/>
      <c r="L294" s="141"/>
      <c r="M294" s="142">
        <v>50</v>
      </c>
      <c r="N294" s="143">
        <v>109.6</v>
      </c>
      <c r="O294" s="144">
        <f t="shared" si="39"/>
        <v>0</v>
      </c>
      <c r="P294" s="144">
        <f t="shared" ref="P294:P298" si="288">N294+O294</f>
        <v>109.6</v>
      </c>
      <c r="Q294" s="144"/>
      <c r="R294" s="144">
        <f t="shared" si="3"/>
        <v>5480</v>
      </c>
      <c r="S294" s="145">
        <f t="shared" si="4"/>
        <v>0.12980000000000003</v>
      </c>
      <c r="T294" s="145">
        <f t="shared" si="75"/>
        <v>0</v>
      </c>
      <c r="U294" s="145">
        <f t="shared" si="36"/>
        <v>0.03</v>
      </c>
      <c r="V294" s="145">
        <f t="shared" si="62"/>
        <v>5.48</v>
      </c>
      <c r="W294" s="145">
        <f t="shared" ref="W294:W298" si="289">ROUND(R294*F$1823,2)</f>
        <v>0.82</v>
      </c>
      <c r="X294" s="145">
        <f t="shared" si="287"/>
        <v>0.15</v>
      </c>
      <c r="Y294" s="145">
        <f t="shared" si="218"/>
        <v>0.01</v>
      </c>
      <c r="Z294" s="146">
        <f t="shared" si="10"/>
        <v>6.4900000000000011</v>
      </c>
      <c r="AA294" s="147">
        <f t="shared" ref="AA294:AA298" si="290">-ROUND(R294+SUM(T294:Y294),2)</f>
        <v>-5486.49</v>
      </c>
      <c r="AB294" s="148">
        <f t="shared" si="231"/>
        <v>-5486</v>
      </c>
      <c r="AC294" s="149">
        <f t="shared" si="48"/>
        <v>0.48999999999978172</v>
      </c>
      <c r="AD294" s="138">
        <v>44491</v>
      </c>
      <c r="AE294" s="150">
        <f t="shared" si="13"/>
        <v>1.1839999999999999E-3</v>
      </c>
      <c r="AF294" s="151">
        <f t="shared" si="14"/>
        <v>44491</v>
      </c>
      <c r="AG294" s="152" t="s">
        <v>416</v>
      </c>
      <c r="AH294" s="124"/>
    </row>
    <row r="295" spans="1:34" ht="12" customHeight="1">
      <c r="A295" s="154">
        <v>44489</v>
      </c>
      <c r="B295" s="140" t="s">
        <v>566</v>
      </c>
      <c r="C295" s="141" t="s">
        <v>485</v>
      </c>
      <c r="D295" s="140"/>
      <c r="E295" s="140" t="str">
        <f t="shared" si="0"/>
        <v>NOCIL</v>
      </c>
      <c r="F295" s="140"/>
      <c r="G295" s="140"/>
      <c r="H295" s="140"/>
      <c r="I295" s="141" t="s">
        <v>467</v>
      </c>
      <c r="J295" s="139" t="s">
        <v>483</v>
      </c>
      <c r="K295" s="141"/>
      <c r="L295" s="141"/>
      <c r="M295" s="142">
        <v>50</v>
      </c>
      <c r="N295" s="143">
        <v>285</v>
      </c>
      <c r="O295" s="144">
        <f t="shared" si="39"/>
        <v>0</v>
      </c>
      <c r="P295" s="144">
        <f t="shared" si="288"/>
        <v>285</v>
      </c>
      <c r="Q295" s="144"/>
      <c r="R295" s="144">
        <f t="shared" si="3"/>
        <v>14250</v>
      </c>
      <c r="S295" s="145">
        <f t="shared" si="4"/>
        <v>0.33720000000000006</v>
      </c>
      <c r="T295" s="145">
        <f t="shared" si="75"/>
        <v>0</v>
      </c>
      <c r="U295" s="145">
        <f t="shared" si="36"/>
        <v>7.0000000000000007E-2</v>
      </c>
      <c r="V295" s="145">
        <f t="shared" si="62"/>
        <v>14.25</v>
      </c>
      <c r="W295" s="145">
        <f t="shared" si="289"/>
        <v>2.14</v>
      </c>
      <c r="X295" s="145">
        <f t="shared" si="287"/>
        <v>0.39</v>
      </c>
      <c r="Y295" s="145">
        <f t="shared" si="218"/>
        <v>0.01</v>
      </c>
      <c r="Z295" s="146">
        <f t="shared" si="10"/>
        <v>16.860000000000003</v>
      </c>
      <c r="AA295" s="147">
        <f t="shared" si="290"/>
        <v>-14266.86</v>
      </c>
      <c r="AB295" s="148">
        <f t="shared" si="231"/>
        <v>-14267</v>
      </c>
      <c r="AC295" s="149">
        <f t="shared" si="48"/>
        <v>-0.13999999999941792</v>
      </c>
      <c r="AD295" s="138">
        <v>44491</v>
      </c>
      <c r="AE295" s="150">
        <f t="shared" si="13"/>
        <v>1.183E-3</v>
      </c>
      <c r="AF295" s="151">
        <f t="shared" si="14"/>
        <v>44491</v>
      </c>
      <c r="AG295" s="152" t="s">
        <v>416</v>
      </c>
      <c r="AH295" s="124"/>
    </row>
    <row r="296" spans="1:34" ht="12" customHeight="1">
      <c r="A296" s="154">
        <v>44490</v>
      </c>
      <c r="B296" s="140" t="s">
        <v>585</v>
      </c>
      <c r="C296" s="141" t="s">
        <v>485</v>
      </c>
      <c r="D296" s="140"/>
      <c r="E296" s="140" t="str">
        <f t="shared" si="0"/>
        <v>IEX</v>
      </c>
      <c r="F296" s="140"/>
      <c r="G296" s="140"/>
      <c r="H296" s="140"/>
      <c r="I296" s="141" t="s">
        <v>467</v>
      </c>
      <c r="J296" s="139" t="s">
        <v>483</v>
      </c>
      <c r="K296" s="141"/>
      <c r="L296" s="141"/>
      <c r="M296" s="142">
        <v>10</v>
      </c>
      <c r="N296" s="143">
        <v>765</v>
      </c>
      <c r="O296" s="144">
        <f t="shared" si="39"/>
        <v>0</v>
      </c>
      <c r="P296" s="144">
        <f t="shared" si="288"/>
        <v>765</v>
      </c>
      <c r="Q296" s="144"/>
      <c r="R296" s="144">
        <f t="shared" si="3"/>
        <v>7650</v>
      </c>
      <c r="S296" s="145">
        <f t="shared" si="4"/>
        <v>0.90600000000000003</v>
      </c>
      <c r="T296" s="145">
        <f t="shared" si="75"/>
        <v>0</v>
      </c>
      <c r="U296" s="145">
        <f t="shared" si="36"/>
        <v>0.04</v>
      </c>
      <c r="V296" s="145">
        <f t="shared" si="62"/>
        <v>7.65</v>
      </c>
      <c r="W296" s="145">
        <f t="shared" si="289"/>
        <v>1.1499999999999999</v>
      </c>
      <c r="X296" s="145">
        <f t="shared" si="287"/>
        <v>0.21</v>
      </c>
      <c r="Y296" s="145">
        <f t="shared" si="218"/>
        <v>0.01</v>
      </c>
      <c r="Z296" s="146">
        <f t="shared" si="10"/>
        <v>9.06</v>
      </c>
      <c r="AA296" s="147">
        <f t="shared" si="290"/>
        <v>-7659.06</v>
      </c>
      <c r="AB296" s="148">
        <f t="shared" si="231"/>
        <v>-7659</v>
      </c>
      <c r="AC296" s="149">
        <f t="shared" si="48"/>
        <v>6.0000000000400178E-2</v>
      </c>
      <c r="AD296" s="138">
        <v>44494</v>
      </c>
      <c r="AE296" s="150">
        <f t="shared" si="13"/>
        <v>1.1839999999999999E-3</v>
      </c>
      <c r="AF296" s="151">
        <f t="shared" si="14"/>
        <v>44494</v>
      </c>
      <c r="AG296" s="152" t="s">
        <v>416</v>
      </c>
      <c r="AH296" s="124"/>
    </row>
    <row r="297" spans="1:34" ht="12" customHeight="1">
      <c r="A297" s="154">
        <v>44490</v>
      </c>
      <c r="B297" s="139" t="s">
        <v>588</v>
      </c>
      <c r="C297" s="141" t="s">
        <v>485</v>
      </c>
      <c r="D297" s="139"/>
      <c r="E297" s="140" t="str">
        <f t="shared" si="0"/>
        <v>TCS</v>
      </c>
      <c r="F297" s="139"/>
      <c r="G297" s="139"/>
      <c r="H297" s="139"/>
      <c r="I297" s="141" t="s">
        <v>467</v>
      </c>
      <c r="J297" s="139" t="s">
        <v>483</v>
      </c>
      <c r="K297" s="141"/>
      <c r="L297" s="141"/>
      <c r="M297" s="142">
        <v>4</v>
      </c>
      <c r="N297" s="143">
        <v>3560</v>
      </c>
      <c r="O297" s="144">
        <f t="shared" si="39"/>
        <v>0</v>
      </c>
      <c r="P297" s="144">
        <f t="shared" si="288"/>
        <v>3560</v>
      </c>
      <c r="Q297" s="144"/>
      <c r="R297" s="144">
        <f t="shared" si="3"/>
        <v>14240</v>
      </c>
      <c r="S297" s="145">
        <f t="shared" si="4"/>
        <v>4.2424999999999997</v>
      </c>
      <c r="T297" s="145">
        <f t="shared" si="75"/>
        <v>0</v>
      </c>
      <c r="U297" s="145">
        <f t="shared" si="36"/>
        <v>0.09</v>
      </c>
      <c r="V297" s="145">
        <f t="shared" si="62"/>
        <v>14.24</v>
      </c>
      <c r="W297" s="145">
        <f t="shared" si="289"/>
        <v>2.14</v>
      </c>
      <c r="X297" s="145">
        <f>ROUND(R297*H$1820,2)</f>
        <v>0.49</v>
      </c>
      <c r="Y297" s="145">
        <f t="shared" si="218"/>
        <v>0.01</v>
      </c>
      <c r="Z297" s="146">
        <f t="shared" si="10"/>
        <v>16.97</v>
      </c>
      <c r="AA297" s="147">
        <f t="shared" si="290"/>
        <v>-14256.97</v>
      </c>
      <c r="AB297" s="148">
        <f t="shared" si="231"/>
        <v>-14257</v>
      </c>
      <c r="AC297" s="149">
        <f t="shared" si="48"/>
        <v>-3.0000000000654836E-2</v>
      </c>
      <c r="AD297" s="138">
        <v>44494</v>
      </c>
      <c r="AE297" s="150">
        <f t="shared" si="13"/>
        <v>1.1919999999999999E-3</v>
      </c>
      <c r="AF297" s="151">
        <f t="shared" si="14"/>
        <v>44494</v>
      </c>
      <c r="AG297" s="152" t="s">
        <v>416</v>
      </c>
      <c r="AH297" s="124"/>
    </row>
    <row r="298" spans="1:34" ht="12" customHeight="1">
      <c r="A298" s="154">
        <v>44490</v>
      </c>
      <c r="B298" s="140" t="s">
        <v>589</v>
      </c>
      <c r="C298" s="141" t="s">
        <v>460</v>
      </c>
      <c r="D298" s="140"/>
      <c r="E298" s="140" t="str">
        <f t="shared" si="0"/>
        <v>DCMSHRIRAM</v>
      </c>
      <c r="F298" s="140"/>
      <c r="G298" s="140"/>
      <c r="H298" s="140"/>
      <c r="I298" s="141" t="s">
        <v>467</v>
      </c>
      <c r="J298" s="139" t="s">
        <v>483</v>
      </c>
      <c r="K298" s="141"/>
      <c r="L298" s="141"/>
      <c r="M298" s="142">
        <v>1</v>
      </c>
      <c r="N298" s="143">
        <v>1050</v>
      </c>
      <c r="O298" s="144">
        <f t="shared" si="39"/>
        <v>0</v>
      </c>
      <c r="P298" s="144">
        <f t="shared" si="288"/>
        <v>1050</v>
      </c>
      <c r="Q298" s="144"/>
      <c r="R298" s="144">
        <f t="shared" si="3"/>
        <v>1050</v>
      </c>
      <c r="S298" s="145">
        <f t="shared" si="4"/>
        <v>1.25</v>
      </c>
      <c r="T298" s="145">
        <f t="shared" si="75"/>
        <v>0</v>
      </c>
      <c r="U298" s="145">
        <f t="shared" si="36"/>
        <v>0.01</v>
      </c>
      <c r="V298" s="145">
        <f t="shared" si="62"/>
        <v>1.05</v>
      </c>
      <c r="W298" s="145">
        <f t="shared" si="289"/>
        <v>0.16</v>
      </c>
      <c r="X298" s="145">
        <f t="shared" ref="X298:X299" si="291">ROUND(R298*G$1820,2)</f>
        <v>0.03</v>
      </c>
      <c r="Y298" s="145">
        <f t="shared" si="218"/>
        <v>0</v>
      </c>
      <c r="Z298" s="146">
        <f t="shared" si="10"/>
        <v>1.25</v>
      </c>
      <c r="AA298" s="147">
        <f t="shared" si="290"/>
        <v>-1051.25</v>
      </c>
      <c r="AB298" s="148">
        <f t="shared" si="231"/>
        <v>-1051</v>
      </c>
      <c r="AC298" s="149">
        <f t="shared" si="48"/>
        <v>0.25</v>
      </c>
      <c r="AD298" s="138">
        <v>44494</v>
      </c>
      <c r="AE298" s="150">
        <f t="shared" si="13"/>
        <v>1.1900000000000001E-3</v>
      </c>
      <c r="AF298" s="151">
        <f t="shared" si="14"/>
        <v>44494</v>
      </c>
      <c r="AG298" s="152" t="s">
        <v>416</v>
      </c>
      <c r="AH298" s="124"/>
    </row>
    <row r="299" spans="1:34" ht="12" customHeight="1">
      <c r="A299" s="155">
        <v>44490</v>
      </c>
      <c r="B299" s="112" t="s">
        <v>503</v>
      </c>
      <c r="C299" s="127" t="s">
        <v>460</v>
      </c>
      <c r="D299" s="112"/>
      <c r="E299" s="112" t="str">
        <f t="shared" si="0"/>
        <v>MAWANASUG</v>
      </c>
      <c r="F299" s="112"/>
      <c r="G299" s="112"/>
      <c r="H299" s="112"/>
      <c r="I299" s="127" t="s">
        <v>461</v>
      </c>
      <c r="J299" s="126" t="s">
        <v>483</v>
      </c>
      <c r="K299" s="127"/>
      <c r="L299" s="127"/>
      <c r="M299" s="128">
        <v>4</v>
      </c>
      <c r="N299" s="129">
        <v>90.013499999999993</v>
      </c>
      <c r="O299" s="130">
        <f t="shared" si="39"/>
        <v>0</v>
      </c>
      <c r="P299" s="130">
        <f>N299-O299</f>
        <v>90.013499999999993</v>
      </c>
      <c r="Q299" s="130"/>
      <c r="R299" s="130">
        <f t="shared" si="3"/>
        <v>360.05</v>
      </c>
      <c r="S299" s="131">
        <f t="shared" si="4"/>
        <v>9.2499999999999999E-2</v>
      </c>
      <c r="T299" s="131">
        <f t="shared" si="75"/>
        <v>0</v>
      </c>
      <c r="U299" s="131">
        <f t="shared" si="36"/>
        <v>0</v>
      </c>
      <c r="V299" s="131">
        <f t="shared" si="62"/>
        <v>0.36</v>
      </c>
      <c r="W299" s="131">
        <v>0</v>
      </c>
      <c r="X299" s="131">
        <f t="shared" si="291"/>
        <v>0.01</v>
      </c>
      <c r="Y299" s="131">
        <f t="shared" si="218"/>
        <v>0</v>
      </c>
      <c r="Z299" s="131">
        <f t="shared" si="10"/>
        <v>0.37</v>
      </c>
      <c r="AA299" s="132">
        <f>ROUND(R299-SUM(T299:Y299),2)</f>
        <v>359.68</v>
      </c>
      <c r="AB299" s="133">
        <f t="shared" si="231"/>
        <v>360</v>
      </c>
      <c r="AC299" s="134">
        <f t="shared" si="48"/>
        <v>0.31999999999999318</v>
      </c>
      <c r="AD299" s="125">
        <v>44494</v>
      </c>
      <c r="AE299" s="135">
        <f t="shared" si="13"/>
        <v>1.0280000000000001E-3</v>
      </c>
      <c r="AF299" s="136">
        <f t="shared" si="14"/>
        <v>44494</v>
      </c>
      <c r="AG299" s="137" t="s">
        <v>416</v>
      </c>
      <c r="AH299" s="124"/>
    </row>
    <row r="300" spans="1:34" ht="12" customHeight="1">
      <c r="A300" s="154">
        <v>44491</v>
      </c>
      <c r="B300" s="140" t="s">
        <v>588</v>
      </c>
      <c r="C300" s="141" t="s">
        <v>485</v>
      </c>
      <c r="D300" s="140"/>
      <c r="E300" s="140" t="str">
        <f t="shared" si="0"/>
        <v>TCS</v>
      </c>
      <c r="F300" s="140"/>
      <c r="G300" s="140"/>
      <c r="H300" s="140"/>
      <c r="I300" s="141" t="s">
        <v>467</v>
      </c>
      <c r="J300" s="139" t="s">
        <v>483</v>
      </c>
      <c r="K300" s="141"/>
      <c r="L300" s="141"/>
      <c r="M300" s="142">
        <v>1</v>
      </c>
      <c r="N300" s="143">
        <v>3515</v>
      </c>
      <c r="O300" s="144">
        <f t="shared" si="39"/>
        <v>0</v>
      </c>
      <c r="P300" s="144">
        <f t="shared" ref="P300:P301" si="292">N300+O300</f>
        <v>3515</v>
      </c>
      <c r="Q300" s="144"/>
      <c r="R300" s="144">
        <f t="shared" si="3"/>
        <v>3515</v>
      </c>
      <c r="S300" s="145">
        <f t="shared" si="4"/>
        <v>4.1900000000000004</v>
      </c>
      <c r="T300" s="145">
        <f t="shared" si="75"/>
        <v>0</v>
      </c>
      <c r="U300" s="145">
        <f t="shared" si="36"/>
        <v>0.02</v>
      </c>
      <c r="V300" s="145">
        <f t="shared" si="62"/>
        <v>3.52</v>
      </c>
      <c r="W300" s="145">
        <f t="shared" ref="W300:W301" si="293">ROUND(R300*F$1823,2)</f>
        <v>0.53</v>
      </c>
      <c r="X300" s="145">
        <f t="shared" ref="X300:X301" si="294">ROUND(R300*H$1820,2)</f>
        <v>0.12</v>
      </c>
      <c r="Y300" s="145">
        <f t="shared" si="218"/>
        <v>0</v>
      </c>
      <c r="Z300" s="146">
        <f t="shared" si="10"/>
        <v>4.1900000000000004</v>
      </c>
      <c r="AA300" s="147">
        <f t="shared" ref="AA300:AA301" si="295">-ROUND(R300+SUM(T300:Y300),2)</f>
        <v>-3519.19</v>
      </c>
      <c r="AB300" s="148">
        <f t="shared" si="231"/>
        <v>-3519</v>
      </c>
      <c r="AC300" s="149">
        <f t="shared" si="48"/>
        <v>0.19000000000005457</v>
      </c>
      <c r="AD300" s="138">
        <v>44495</v>
      </c>
      <c r="AE300" s="150">
        <f t="shared" si="13"/>
        <v>1.1919999999999999E-3</v>
      </c>
      <c r="AF300" s="151">
        <f t="shared" si="14"/>
        <v>44495</v>
      </c>
      <c r="AG300" s="152" t="s">
        <v>416</v>
      </c>
      <c r="AH300" s="124"/>
    </row>
    <row r="301" spans="1:34" ht="12" customHeight="1">
      <c r="A301" s="154">
        <v>44491</v>
      </c>
      <c r="B301" s="140" t="s">
        <v>586</v>
      </c>
      <c r="C301" s="141" t="s">
        <v>485</v>
      </c>
      <c r="D301" s="140"/>
      <c r="E301" s="140" t="str">
        <f t="shared" si="0"/>
        <v>ARVIND</v>
      </c>
      <c r="F301" s="140"/>
      <c r="G301" s="140"/>
      <c r="H301" s="140"/>
      <c r="I301" s="141" t="s">
        <v>467</v>
      </c>
      <c r="J301" s="139" t="s">
        <v>483</v>
      </c>
      <c r="K301" s="141"/>
      <c r="L301" s="141"/>
      <c r="M301" s="142">
        <v>50</v>
      </c>
      <c r="N301" s="143">
        <v>134</v>
      </c>
      <c r="O301" s="144">
        <f t="shared" si="39"/>
        <v>0</v>
      </c>
      <c r="P301" s="144">
        <f t="shared" si="292"/>
        <v>134</v>
      </c>
      <c r="Q301" s="144"/>
      <c r="R301" s="144">
        <f t="shared" si="3"/>
        <v>6700</v>
      </c>
      <c r="S301" s="145">
        <f t="shared" si="4"/>
        <v>0.1598</v>
      </c>
      <c r="T301" s="145">
        <f t="shared" si="75"/>
        <v>0</v>
      </c>
      <c r="U301" s="145">
        <f t="shared" si="36"/>
        <v>0.04</v>
      </c>
      <c r="V301" s="145">
        <f t="shared" si="62"/>
        <v>6.7</v>
      </c>
      <c r="W301" s="145">
        <f t="shared" si="293"/>
        <v>1.01</v>
      </c>
      <c r="X301" s="145">
        <f t="shared" si="294"/>
        <v>0.23</v>
      </c>
      <c r="Y301" s="145">
        <f t="shared" si="218"/>
        <v>0.01</v>
      </c>
      <c r="Z301" s="146">
        <f t="shared" si="10"/>
        <v>7.99</v>
      </c>
      <c r="AA301" s="147">
        <f t="shared" si="295"/>
        <v>-6707.99</v>
      </c>
      <c r="AB301" s="148">
        <f t="shared" si="231"/>
        <v>-6708</v>
      </c>
      <c r="AC301" s="149">
        <f t="shared" si="48"/>
        <v>-1.0000000000218279E-2</v>
      </c>
      <c r="AD301" s="138">
        <v>44495</v>
      </c>
      <c r="AE301" s="150">
        <f t="shared" si="13"/>
        <v>1.193E-3</v>
      </c>
      <c r="AF301" s="151">
        <f t="shared" si="14"/>
        <v>44495</v>
      </c>
      <c r="AG301" s="152" t="s">
        <v>416</v>
      </c>
      <c r="AH301" s="124"/>
    </row>
    <row r="302" spans="1:34" ht="12" customHeight="1">
      <c r="A302" s="155">
        <v>44494</v>
      </c>
      <c r="B302" s="112" t="s">
        <v>493</v>
      </c>
      <c r="C302" s="127" t="s">
        <v>485</v>
      </c>
      <c r="D302" s="112"/>
      <c r="E302" s="112" t="str">
        <f t="shared" si="0"/>
        <v>SBIN</v>
      </c>
      <c r="F302" s="112"/>
      <c r="G302" s="112"/>
      <c r="H302" s="112"/>
      <c r="I302" s="127" t="s">
        <v>461</v>
      </c>
      <c r="J302" s="126" t="s">
        <v>483</v>
      </c>
      <c r="K302" s="127"/>
      <c r="L302" s="127"/>
      <c r="M302" s="128">
        <v>15</v>
      </c>
      <c r="N302" s="129">
        <v>505</v>
      </c>
      <c r="O302" s="130">
        <f t="shared" si="39"/>
        <v>0</v>
      </c>
      <c r="P302" s="130">
        <f t="shared" ref="P302:P303" si="296">N302-O302</f>
        <v>505</v>
      </c>
      <c r="Q302" s="130"/>
      <c r="R302" s="130">
        <f t="shared" si="3"/>
        <v>7575</v>
      </c>
      <c r="S302" s="131">
        <f t="shared" si="4"/>
        <v>0.52266666666666661</v>
      </c>
      <c r="T302" s="131">
        <f t="shared" si="75"/>
        <v>0</v>
      </c>
      <c r="U302" s="131">
        <f t="shared" si="36"/>
        <v>0.04</v>
      </c>
      <c r="V302" s="131">
        <f t="shared" si="62"/>
        <v>7.58</v>
      </c>
      <c r="W302" s="131">
        <v>0</v>
      </c>
      <c r="X302" s="131">
        <f>ROUND(R302*G$1820,2)</f>
        <v>0.21</v>
      </c>
      <c r="Y302" s="131">
        <f t="shared" si="218"/>
        <v>0.01</v>
      </c>
      <c r="Z302" s="131">
        <f t="shared" si="10"/>
        <v>7.84</v>
      </c>
      <c r="AA302" s="132">
        <f t="shared" ref="AA302:AA303" si="297">ROUND(R302-SUM(T302:Y302),2)</f>
        <v>7567.16</v>
      </c>
      <c r="AB302" s="133">
        <f t="shared" si="231"/>
        <v>7567</v>
      </c>
      <c r="AC302" s="134">
        <f t="shared" si="48"/>
        <v>-0.15999999999985448</v>
      </c>
      <c r="AD302" s="125">
        <v>44496</v>
      </c>
      <c r="AE302" s="135">
        <f t="shared" si="13"/>
        <v>1.0349999999999999E-3</v>
      </c>
      <c r="AF302" s="136">
        <f t="shared" si="14"/>
        <v>44496</v>
      </c>
      <c r="AG302" s="137" t="s">
        <v>416</v>
      </c>
      <c r="AH302" s="124"/>
    </row>
    <row r="303" spans="1:34" ht="12" customHeight="1">
      <c r="A303" s="155">
        <v>44495</v>
      </c>
      <c r="B303" s="112" t="s">
        <v>589</v>
      </c>
      <c r="C303" s="127" t="s">
        <v>460</v>
      </c>
      <c r="D303" s="112"/>
      <c r="E303" s="112" t="str">
        <f t="shared" si="0"/>
        <v>DCMSHRIRAM</v>
      </c>
      <c r="F303" s="112"/>
      <c r="G303" s="112"/>
      <c r="H303" s="112"/>
      <c r="I303" s="127" t="s">
        <v>461</v>
      </c>
      <c r="J303" s="126" t="s">
        <v>483</v>
      </c>
      <c r="K303" s="127"/>
      <c r="L303" s="127"/>
      <c r="M303" s="128">
        <v>100</v>
      </c>
      <c r="N303" s="129">
        <v>975</v>
      </c>
      <c r="O303" s="130">
        <f t="shared" si="39"/>
        <v>0</v>
      </c>
      <c r="P303" s="130">
        <f t="shared" si="296"/>
        <v>975</v>
      </c>
      <c r="Q303" s="130"/>
      <c r="R303" s="130">
        <f t="shared" si="3"/>
        <v>97500</v>
      </c>
      <c r="S303" s="131">
        <f t="shared" si="4"/>
        <v>1.0155999999999998</v>
      </c>
      <c r="T303" s="131">
        <f t="shared" si="75"/>
        <v>0</v>
      </c>
      <c r="U303" s="131">
        <f t="shared" si="36"/>
        <v>0.6</v>
      </c>
      <c r="V303" s="131">
        <f t="shared" si="62"/>
        <v>97.5</v>
      </c>
      <c r="W303" s="131">
        <v>0</v>
      </c>
      <c r="X303" s="131">
        <f t="shared" ref="X303:X308" si="298">ROUND(R303*H$1820,2)</f>
        <v>3.36</v>
      </c>
      <c r="Y303" s="131">
        <f t="shared" si="218"/>
        <v>0.1</v>
      </c>
      <c r="Z303" s="131">
        <f t="shared" si="10"/>
        <v>101.55999999999999</v>
      </c>
      <c r="AA303" s="132">
        <f t="shared" si="297"/>
        <v>97398.44</v>
      </c>
      <c r="AB303" s="133">
        <f t="shared" si="231"/>
        <v>97398</v>
      </c>
      <c r="AC303" s="134">
        <f t="shared" si="48"/>
        <v>-0.44000000000232831</v>
      </c>
      <c r="AD303" s="125">
        <v>44497</v>
      </c>
      <c r="AE303" s="135">
        <f t="shared" si="13"/>
        <v>1.042E-3</v>
      </c>
      <c r="AF303" s="136">
        <f t="shared" si="14"/>
        <v>44497</v>
      </c>
      <c r="AG303" s="137" t="s">
        <v>416</v>
      </c>
      <c r="AH303" s="124"/>
    </row>
    <row r="304" spans="1:34" ht="12" customHeight="1">
      <c r="A304" s="154">
        <v>44496</v>
      </c>
      <c r="B304" s="140" t="s">
        <v>589</v>
      </c>
      <c r="C304" s="141" t="s">
        <v>460</v>
      </c>
      <c r="D304" s="140"/>
      <c r="E304" s="140" t="str">
        <f t="shared" si="0"/>
        <v>DCMSHRIRAM</v>
      </c>
      <c r="F304" s="140"/>
      <c r="G304" s="140"/>
      <c r="H304" s="140"/>
      <c r="I304" s="141" t="s">
        <v>467</v>
      </c>
      <c r="J304" s="139" t="s">
        <v>483</v>
      </c>
      <c r="K304" s="141"/>
      <c r="L304" s="141"/>
      <c r="M304" s="142">
        <v>100</v>
      </c>
      <c r="N304" s="143">
        <v>981</v>
      </c>
      <c r="O304" s="144">
        <f t="shared" si="39"/>
        <v>0</v>
      </c>
      <c r="P304" s="144">
        <f t="shared" ref="P304:P310" si="299">N304+O304</f>
        <v>981</v>
      </c>
      <c r="Q304" s="144"/>
      <c r="R304" s="144">
        <f t="shared" si="3"/>
        <v>98100</v>
      </c>
      <c r="S304" s="145">
        <f t="shared" si="4"/>
        <v>1.1690999999999998</v>
      </c>
      <c r="T304" s="145">
        <f t="shared" si="75"/>
        <v>0</v>
      </c>
      <c r="U304" s="145">
        <f t="shared" si="36"/>
        <v>0.61</v>
      </c>
      <c r="V304" s="145">
        <f t="shared" si="62"/>
        <v>98.1</v>
      </c>
      <c r="W304" s="145">
        <f t="shared" ref="W304:W310" si="300">ROUND(R304*F$1823,2)</f>
        <v>14.72</v>
      </c>
      <c r="X304" s="145">
        <f t="shared" si="298"/>
        <v>3.38</v>
      </c>
      <c r="Y304" s="145">
        <f t="shared" si="218"/>
        <v>0.1</v>
      </c>
      <c r="Z304" s="146">
        <f t="shared" si="10"/>
        <v>116.90999999999998</v>
      </c>
      <c r="AA304" s="147">
        <f t="shared" ref="AA304:AA310" si="301">-ROUND(R304+SUM(T304:Y304),2)</f>
        <v>-98216.91</v>
      </c>
      <c r="AB304" s="148">
        <f t="shared" si="231"/>
        <v>-98217</v>
      </c>
      <c r="AC304" s="149">
        <f t="shared" si="48"/>
        <v>-8.999999999650754E-2</v>
      </c>
      <c r="AD304" s="138">
        <v>44498</v>
      </c>
      <c r="AE304" s="150">
        <f t="shared" si="13"/>
        <v>1.1919999999999999E-3</v>
      </c>
      <c r="AF304" s="151">
        <f t="shared" si="14"/>
        <v>44498</v>
      </c>
      <c r="AG304" s="152" t="s">
        <v>416</v>
      </c>
      <c r="AH304" s="124"/>
    </row>
    <row r="305" spans="1:34" ht="12" customHeight="1">
      <c r="A305" s="154">
        <v>44496</v>
      </c>
      <c r="B305" s="140" t="s">
        <v>518</v>
      </c>
      <c r="C305" s="141" t="s">
        <v>485</v>
      </c>
      <c r="D305" s="140"/>
      <c r="E305" s="140" t="str">
        <f t="shared" si="0"/>
        <v>TATAMOTORS</v>
      </c>
      <c r="F305" s="140"/>
      <c r="G305" s="140"/>
      <c r="H305" s="140"/>
      <c r="I305" s="141" t="s">
        <v>467</v>
      </c>
      <c r="J305" s="139" t="s">
        <v>483</v>
      </c>
      <c r="K305" s="141"/>
      <c r="L305" s="141"/>
      <c r="M305" s="142">
        <v>20</v>
      </c>
      <c r="N305" s="143">
        <v>500</v>
      </c>
      <c r="O305" s="144">
        <f t="shared" si="39"/>
        <v>0</v>
      </c>
      <c r="P305" s="144">
        <f t="shared" si="299"/>
        <v>500</v>
      </c>
      <c r="Q305" s="144"/>
      <c r="R305" s="144">
        <f t="shared" si="3"/>
        <v>10000</v>
      </c>
      <c r="S305" s="145">
        <f t="shared" si="4"/>
        <v>0.59599999999999997</v>
      </c>
      <c r="T305" s="145">
        <f t="shared" si="75"/>
        <v>0</v>
      </c>
      <c r="U305" s="145">
        <f t="shared" si="36"/>
        <v>0.06</v>
      </c>
      <c r="V305" s="145">
        <f t="shared" si="62"/>
        <v>10</v>
      </c>
      <c r="W305" s="145">
        <f t="shared" si="300"/>
        <v>1.5</v>
      </c>
      <c r="X305" s="145">
        <f t="shared" si="298"/>
        <v>0.35</v>
      </c>
      <c r="Y305" s="145">
        <f t="shared" si="218"/>
        <v>0.01</v>
      </c>
      <c r="Z305" s="146">
        <f t="shared" si="10"/>
        <v>11.92</v>
      </c>
      <c r="AA305" s="147">
        <f t="shared" si="301"/>
        <v>-10011.92</v>
      </c>
      <c r="AB305" s="148">
        <f t="shared" si="231"/>
        <v>-10012</v>
      </c>
      <c r="AC305" s="149">
        <f t="shared" si="48"/>
        <v>-7.999999999992724E-2</v>
      </c>
      <c r="AD305" s="138">
        <v>44489</v>
      </c>
      <c r="AE305" s="150">
        <f t="shared" si="13"/>
        <v>1.1919999999999999E-3</v>
      </c>
      <c r="AF305" s="151">
        <f t="shared" si="14"/>
        <v>44489</v>
      </c>
      <c r="AG305" s="152" t="s">
        <v>416</v>
      </c>
      <c r="AH305" s="124"/>
    </row>
    <row r="306" spans="1:34" ht="12" customHeight="1">
      <c r="A306" s="154">
        <v>44497</v>
      </c>
      <c r="B306" s="140" t="s">
        <v>587</v>
      </c>
      <c r="C306" s="141" t="s">
        <v>485</v>
      </c>
      <c r="D306" s="140"/>
      <c r="E306" s="140" t="str">
        <f t="shared" si="0"/>
        <v>AARTIIND</v>
      </c>
      <c r="F306" s="140"/>
      <c r="G306" s="140"/>
      <c r="H306" s="140"/>
      <c r="I306" s="141" t="s">
        <v>467</v>
      </c>
      <c r="J306" s="139" t="s">
        <v>483</v>
      </c>
      <c r="K306" s="141"/>
      <c r="L306" s="141"/>
      <c r="M306" s="142">
        <v>10</v>
      </c>
      <c r="N306" s="143">
        <v>989</v>
      </c>
      <c r="O306" s="144">
        <f t="shared" si="39"/>
        <v>0</v>
      </c>
      <c r="P306" s="144">
        <f t="shared" si="299"/>
        <v>989</v>
      </c>
      <c r="Q306" s="144"/>
      <c r="R306" s="144">
        <f t="shared" si="3"/>
        <v>9890</v>
      </c>
      <c r="S306" s="145">
        <f t="shared" si="4"/>
        <v>1.1780000000000002</v>
      </c>
      <c r="T306" s="145">
        <f t="shared" si="75"/>
        <v>0</v>
      </c>
      <c r="U306" s="145">
        <f t="shared" si="36"/>
        <v>0.06</v>
      </c>
      <c r="V306" s="145">
        <f t="shared" si="62"/>
        <v>9.89</v>
      </c>
      <c r="W306" s="145">
        <f t="shared" si="300"/>
        <v>1.48</v>
      </c>
      <c r="X306" s="145">
        <f t="shared" si="298"/>
        <v>0.34</v>
      </c>
      <c r="Y306" s="145">
        <f t="shared" si="218"/>
        <v>0.01</v>
      </c>
      <c r="Z306" s="146">
        <f t="shared" si="10"/>
        <v>11.780000000000001</v>
      </c>
      <c r="AA306" s="147">
        <f t="shared" si="301"/>
        <v>-9901.7800000000007</v>
      </c>
      <c r="AB306" s="148">
        <f t="shared" si="231"/>
        <v>-9902</v>
      </c>
      <c r="AC306" s="149">
        <f t="shared" si="48"/>
        <v>-0.21999999999934516</v>
      </c>
      <c r="AD306" s="138">
        <v>44501</v>
      </c>
      <c r="AE306" s="150">
        <f t="shared" si="13"/>
        <v>1.191E-3</v>
      </c>
      <c r="AF306" s="151">
        <f t="shared" si="14"/>
        <v>44501</v>
      </c>
      <c r="AG306" s="152" t="s">
        <v>416</v>
      </c>
      <c r="AH306" s="124"/>
    </row>
    <row r="307" spans="1:34" ht="12" customHeight="1">
      <c r="A307" s="154">
        <v>44497</v>
      </c>
      <c r="B307" s="140" t="s">
        <v>498</v>
      </c>
      <c r="C307" s="141" t="s">
        <v>485</v>
      </c>
      <c r="D307" s="140"/>
      <c r="E307" s="140" t="str">
        <f t="shared" si="0"/>
        <v>BAJFINANCE</v>
      </c>
      <c r="F307" s="140"/>
      <c r="G307" s="140"/>
      <c r="H307" s="140"/>
      <c r="I307" s="141" t="s">
        <v>467</v>
      </c>
      <c r="J307" s="139" t="s">
        <v>483</v>
      </c>
      <c r="K307" s="141"/>
      <c r="L307" s="141"/>
      <c r="M307" s="142">
        <v>2</v>
      </c>
      <c r="N307" s="143">
        <v>7475</v>
      </c>
      <c r="O307" s="144">
        <f t="shared" si="39"/>
        <v>0</v>
      </c>
      <c r="P307" s="144">
        <f t="shared" si="299"/>
        <v>7475</v>
      </c>
      <c r="Q307" s="144"/>
      <c r="R307" s="144">
        <f t="shared" si="3"/>
        <v>14950</v>
      </c>
      <c r="S307" s="145">
        <f t="shared" si="4"/>
        <v>8.9050000000000011</v>
      </c>
      <c r="T307" s="145">
        <f t="shared" si="75"/>
        <v>0</v>
      </c>
      <c r="U307" s="145">
        <f t="shared" si="36"/>
        <v>0.09</v>
      </c>
      <c r="V307" s="145">
        <f t="shared" si="62"/>
        <v>14.95</v>
      </c>
      <c r="W307" s="145">
        <f t="shared" si="300"/>
        <v>2.2400000000000002</v>
      </c>
      <c r="X307" s="145">
        <f t="shared" si="298"/>
        <v>0.52</v>
      </c>
      <c r="Y307" s="145">
        <f t="shared" si="218"/>
        <v>0.01</v>
      </c>
      <c r="Z307" s="146">
        <f t="shared" si="10"/>
        <v>17.810000000000002</v>
      </c>
      <c r="AA307" s="147">
        <f t="shared" si="301"/>
        <v>-14967.81</v>
      </c>
      <c r="AB307" s="148">
        <f t="shared" si="231"/>
        <v>-14968</v>
      </c>
      <c r="AC307" s="149">
        <f t="shared" si="48"/>
        <v>-0.19000000000050932</v>
      </c>
      <c r="AD307" s="138">
        <v>44501</v>
      </c>
      <c r="AE307" s="150">
        <f t="shared" si="13"/>
        <v>1.191E-3</v>
      </c>
      <c r="AF307" s="151">
        <f t="shared" si="14"/>
        <v>44501</v>
      </c>
      <c r="AG307" s="152" t="s">
        <v>416</v>
      </c>
      <c r="AH307" s="124"/>
    </row>
    <row r="308" spans="1:34" ht="12" customHeight="1">
      <c r="A308" s="154">
        <v>44497</v>
      </c>
      <c r="B308" s="140" t="s">
        <v>590</v>
      </c>
      <c r="C308" s="141" t="s">
        <v>485</v>
      </c>
      <c r="D308" s="140"/>
      <c r="E308" s="140" t="str">
        <f t="shared" si="0"/>
        <v>ITC</v>
      </c>
      <c r="F308" s="140"/>
      <c r="G308" s="140"/>
      <c r="H308" s="140"/>
      <c r="I308" s="141" t="s">
        <v>467</v>
      </c>
      <c r="J308" s="139" t="s">
        <v>483</v>
      </c>
      <c r="K308" s="141"/>
      <c r="L308" s="141"/>
      <c r="M308" s="156">
        <v>60</v>
      </c>
      <c r="N308" s="143">
        <v>229.16669999999999</v>
      </c>
      <c r="O308" s="144">
        <f t="shared" si="39"/>
        <v>0</v>
      </c>
      <c r="P308" s="144">
        <f t="shared" si="299"/>
        <v>229.16669999999999</v>
      </c>
      <c r="Q308" s="144"/>
      <c r="R308" s="144">
        <f t="shared" si="3"/>
        <v>13750</v>
      </c>
      <c r="S308" s="145">
        <f t="shared" si="4"/>
        <v>0.27283333333333337</v>
      </c>
      <c r="T308" s="145">
        <f t="shared" si="75"/>
        <v>0</v>
      </c>
      <c r="U308" s="145">
        <f t="shared" si="36"/>
        <v>0.08</v>
      </c>
      <c r="V308" s="145">
        <f t="shared" si="62"/>
        <v>13.75</v>
      </c>
      <c r="W308" s="145">
        <f t="shared" si="300"/>
        <v>2.06</v>
      </c>
      <c r="X308" s="145">
        <f t="shared" si="298"/>
        <v>0.47</v>
      </c>
      <c r="Y308" s="145">
        <f t="shared" si="218"/>
        <v>0.01</v>
      </c>
      <c r="Z308" s="146">
        <f t="shared" si="10"/>
        <v>16.37</v>
      </c>
      <c r="AA308" s="147">
        <f t="shared" si="301"/>
        <v>-13766.37</v>
      </c>
      <c r="AB308" s="148">
        <f t="shared" si="231"/>
        <v>-13766</v>
      </c>
      <c r="AC308" s="149">
        <f t="shared" si="48"/>
        <v>0.37000000000080036</v>
      </c>
      <c r="AD308" s="138">
        <v>44501</v>
      </c>
      <c r="AE308" s="150">
        <f t="shared" si="13"/>
        <v>1.191E-3</v>
      </c>
      <c r="AF308" s="151">
        <f t="shared" si="14"/>
        <v>44501</v>
      </c>
      <c r="AG308" s="152" t="s">
        <v>416</v>
      </c>
      <c r="AH308" s="124"/>
    </row>
    <row r="309" spans="1:34" ht="12" customHeight="1">
      <c r="A309" s="154">
        <v>44497</v>
      </c>
      <c r="B309" s="140" t="s">
        <v>493</v>
      </c>
      <c r="C309" s="141" t="s">
        <v>485</v>
      </c>
      <c r="D309" s="140"/>
      <c r="E309" s="140" t="str">
        <f t="shared" si="0"/>
        <v>SBIN</v>
      </c>
      <c r="F309" s="140"/>
      <c r="G309" s="140"/>
      <c r="H309" s="140"/>
      <c r="I309" s="141" t="s">
        <v>467</v>
      </c>
      <c r="J309" s="139" t="s">
        <v>483</v>
      </c>
      <c r="K309" s="141"/>
      <c r="L309" s="141"/>
      <c r="M309" s="142">
        <v>10</v>
      </c>
      <c r="N309" s="143">
        <v>505</v>
      </c>
      <c r="O309" s="144">
        <f t="shared" si="39"/>
        <v>0</v>
      </c>
      <c r="P309" s="144">
        <f t="shared" si="299"/>
        <v>505</v>
      </c>
      <c r="Q309" s="144"/>
      <c r="R309" s="144">
        <f t="shared" si="3"/>
        <v>5050</v>
      </c>
      <c r="S309" s="145">
        <f t="shared" si="4"/>
        <v>0.59899999999999998</v>
      </c>
      <c r="T309" s="145">
        <f t="shared" si="75"/>
        <v>0</v>
      </c>
      <c r="U309" s="145">
        <f t="shared" si="36"/>
        <v>0.03</v>
      </c>
      <c r="V309" s="145">
        <f t="shared" si="62"/>
        <v>5.05</v>
      </c>
      <c r="W309" s="145">
        <f t="shared" si="300"/>
        <v>0.76</v>
      </c>
      <c r="X309" s="145">
        <f t="shared" ref="X309:X310" si="302">ROUND(R309*G$1820,2)</f>
        <v>0.14000000000000001</v>
      </c>
      <c r="Y309" s="145">
        <f t="shared" si="218"/>
        <v>0.01</v>
      </c>
      <c r="Z309" s="146">
        <f t="shared" si="10"/>
        <v>5.9899999999999993</v>
      </c>
      <c r="AA309" s="147">
        <f t="shared" si="301"/>
        <v>-5055.99</v>
      </c>
      <c r="AB309" s="148">
        <f t="shared" si="231"/>
        <v>-5056</v>
      </c>
      <c r="AC309" s="149">
        <f t="shared" si="48"/>
        <v>-1.0000000000218279E-2</v>
      </c>
      <c r="AD309" s="138">
        <v>44501</v>
      </c>
      <c r="AE309" s="150">
        <f t="shared" si="13"/>
        <v>1.186E-3</v>
      </c>
      <c r="AF309" s="151">
        <f t="shared" si="14"/>
        <v>44501</v>
      </c>
      <c r="AG309" s="152" t="s">
        <v>416</v>
      </c>
      <c r="AH309" s="124"/>
    </row>
    <row r="310" spans="1:34" ht="12" customHeight="1">
      <c r="A310" s="154">
        <v>44498</v>
      </c>
      <c r="B310" s="140" t="s">
        <v>591</v>
      </c>
      <c r="C310" s="141" t="s">
        <v>485</v>
      </c>
      <c r="D310" s="140"/>
      <c r="E310" s="140" t="str">
        <f t="shared" si="0"/>
        <v>VSSL</v>
      </c>
      <c r="F310" s="140"/>
      <c r="G310" s="140"/>
      <c r="H310" s="140"/>
      <c r="I310" s="141" t="s">
        <v>467</v>
      </c>
      <c r="J310" s="139" t="s">
        <v>483</v>
      </c>
      <c r="K310" s="141"/>
      <c r="L310" s="141"/>
      <c r="M310" s="142">
        <v>3</v>
      </c>
      <c r="N310" s="143">
        <v>263.64999999999998</v>
      </c>
      <c r="O310" s="144">
        <f t="shared" si="39"/>
        <v>0</v>
      </c>
      <c r="P310" s="144">
        <f t="shared" si="299"/>
        <v>263.64999999999998</v>
      </c>
      <c r="Q310" s="144"/>
      <c r="R310" s="144">
        <f t="shared" si="3"/>
        <v>790.95</v>
      </c>
      <c r="S310" s="145">
        <f t="shared" si="4"/>
        <v>0.31</v>
      </c>
      <c r="T310" s="145">
        <f t="shared" si="75"/>
        <v>0</v>
      </c>
      <c r="U310" s="145">
        <f t="shared" si="36"/>
        <v>0</v>
      </c>
      <c r="V310" s="145">
        <f t="shared" si="62"/>
        <v>0.79</v>
      </c>
      <c r="W310" s="145">
        <f t="shared" si="300"/>
        <v>0.12</v>
      </c>
      <c r="X310" s="145">
        <f t="shared" si="302"/>
        <v>0.02</v>
      </c>
      <c r="Y310" s="145">
        <f t="shared" si="218"/>
        <v>0</v>
      </c>
      <c r="Z310" s="146">
        <f t="shared" si="10"/>
        <v>0.93</v>
      </c>
      <c r="AA310" s="147">
        <f t="shared" si="301"/>
        <v>-791.88</v>
      </c>
      <c r="AB310" s="148">
        <f t="shared" si="231"/>
        <v>-792</v>
      </c>
      <c r="AC310" s="149">
        <f t="shared" si="48"/>
        <v>-0.12000000000000455</v>
      </c>
      <c r="AD310" s="138">
        <v>44502</v>
      </c>
      <c r="AE310" s="150">
        <f t="shared" si="13"/>
        <v>1.176E-3</v>
      </c>
      <c r="AF310" s="151">
        <f t="shared" si="14"/>
        <v>44502</v>
      </c>
      <c r="AG310" s="152" t="s">
        <v>416</v>
      </c>
      <c r="AH310" s="124"/>
    </row>
    <row r="311" spans="1:34" ht="12" customHeight="1">
      <c r="A311" s="155">
        <v>44501</v>
      </c>
      <c r="B311" s="112" t="s">
        <v>586</v>
      </c>
      <c r="C311" s="127" t="s">
        <v>485</v>
      </c>
      <c r="D311" s="112"/>
      <c r="E311" s="112" t="str">
        <f t="shared" si="0"/>
        <v>ARVIND</v>
      </c>
      <c r="F311" s="112"/>
      <c r="G311" s="112"/>
      <c r="H311" s="112"/>
      <c r="I311" s="127" t="s">
        <v>461</v>
      </c>
      <c r="J311" s="126" t="s">
        <v>483</v>
      </c>
      <c r="K311" s="127"/>
      <c r="L311" s="127"/>
      <c r="M311" s="128">
        <v>50</v>
      </c>
      <c r="N311" s="129">
        <v>145</v>
      </c>
      <c r="O311" s="130">
        <f t="shared" si="39"/>
        <v>0</v>
      </c>
      <c r="P311" s="130">
        <f t="shared" ref="P311:P314" si="303">N311-O311</f>
        <v>145</v>
      </c>
      <c r="Q311" s="130"/>
      <c r="R311" s="130">
        <f t="shared" si="3"/>
        <v>7250</v>
      </c>
      <c r="S311" s="131">
        <f t="shared" si="4"/>
        <v>0.1512</v>
      </c>
      <c r="T311" s="131">
        <f t="shared" si="75"/>
        <v>0</v>
      </c>
      <c r="U311" s="131">
        <f t="shared" si="36"/>
        <v>0.05</v>
      </c>
      <c r="V311" s="131">
        <f t="shared" si="62"/>
        <v>7.25</v>
      </c>
      <c r="W311" s="131">
        <v>0</v>
      </c>
      <c r="X311" s="131">
        <f>ROUND(R311*H$1820,2)</f>
        <v>0.25</v>
      </c>
      <c r="Y311" s="131">
        <f t="shared" si="218"/>
        <v>0.01</v>
      </c>
      <c r="Z311" s="131">
        <f t="shared" si="10"/>
        <v>7.56</v>
      </c>
      <c r="AA311" s="132">
        <f t="shared" ref="AA311:AA314" si="304">ROUND(R311-SUM(T311:Y311),2)</f>
        <v>7242.44</v>
      </c>
      <c r="AB311" s="133">
        <f t="shared" si="231"/>
        <v>7242</v>
      </c>
      <c r="AC311" s="134">
        <f t="shared" si="48"/>
        <v>-0.43999999999959982</v>
      </c>
      <c r="AD311" s="125"/>
      <c r="AE311" s="135">
        <f t="shared" si="13"/>
        <v>1.0430000000000001E-3</v>
      </c>
      <c r="AF311" s="136">
        <f t="shared" si="14"/>
        <v>0</v>
      </c>
      <c r="AG311" s="137" t="s">
        <v>416</v>
      </c>
      <c r="AH311" s="124"/>
    </row>
    <row r="312" spans="1:34" ht="12" customHeight="1">
      <c r="A312" s="155">
        <v>44502</v>
      </c>
      <c r="B312" s="112" t="s">
        <v>584</v>
      </c>
      <c r="C312" s="127" t="s">
        <v>485</v>
      </c>
      <c r="D312" s="112"/>
      <c r="E312" s="112" t="str">
        <f t="shared" si="0"/>
        <v>IBREALEST</v>
      </c>
      <c r="F312" s="112"/>
      <c r="G312" s="112"/>
      <c r="H312" s="112"/>
      <c r="I312" s="127" t="s">
        <v>461</v>
      </c>
      <c r="J312" s="126" t="s">
        <v>483</v>
      </c>
      <c r="K312" s="127"/>
      <c r="L312" s="127"/>
      <c r="M312" s="128">
        <v>100</v>
      </c>
      <c r="N312" s="129">
        <v>173</v>
      </c>
      <c r="O312" s="130">
        <f t="shared" si="39"/>
        <v>0</v>
      </c>
      <c r="P312" s="130">
        <f t="shared" si="303"/>
        <v>173</v>
      </c>
      <c r="Q312" s="130"/>
      <c r="R312" s="130">
        <f t="shared" si="3"/>
        <v>17300</v>
      </c>
      <c r="S312" s="131">
        <f t="shared" si="4"/>
        <v>0.1789</v>
      </c>
      <c r="T312" s="131">
        <f t="shared" si="75"/>
        <v>0</v>
      </c>
      <c r="U312" s="131">
        <f t="shared" si="36"/>
        <v>0.09</v>
      </c>
      <c r="V312" s="131">
        <f t="shared" si="62"/>
        <v>17.3</v>
      </c>
      <c r="W312" s="131">
        <v>0</v>
      </c>
      <c r="X312" s="131">
        <f>ROUND(R312*G$1820,2)</f>
        <v>0.48</v>
      </c>
      <c r="Y312" s="131">
        <f t="shared" si="218"/>
        <v>0.02</v>
      </c>
      <c r="Z312" s="131">
        <f t="shared" si="10"/>
        <v>17.89</v>
      </c>
      <c r="AA312" s="132">
        <f t="shared" si="304"/>
        <v>17282.11</v>
      </c>
      <c r="AB312" s="133">
        <f t="shared" si="231"/>
        <v>17282</v>
      </c>
      <c r="AC312" s="134">
        <f t="shared" si="48"/>
        <v>-0.11000000000058208</v>
      </c>
      <c r="AD312" s="125">
        <v>44508</v>
      </c>
      <c r="AE312" s="135">
        <f t="shared" si="13"/>
        <v>1.034E-3</v>
      </c>
      <c r="AF312" s="136">
        <f t="shared" si="14"/>
        <v>44508</v>
      </c>
      <c r="AG312" s="137" t="s">
        <v>416</v>
      </c>
      <c r="AH312" s="124"/>
    </row>
    <row r="313" spans="1:34" ht="12" customHeight="1">
      <c r="A313" s="155">
        <v>44502</v>
      </c>
      <c r="B313" s="112" t="s">
        <v>493</v>
      </c>
      <c r="C313" s="127" t="s">
        <v>485</v>
      </c>
      <c r="D313" s="112"/>
      <c r="E313" s="112" t="str">
        <f t="shared" si="0"/>
        <v>SBIN</v>
      </c>
      <c r="F313" s="112"/>
      <c r="G313" s="112"/>
      <c r="H313" s="112"/>
      <c r="I313" s="127" t="s">
        <v>461</v>
      </c>
      <c r="J313" s="126" t="s">
        <v>483</v>
      </c>
      <c r="K313" s="127"/>
      <c r="L313" s="127"/>
      <c r="M313" s="128">
        <v>10</v>
      </c>
      <c r="N313" s="129">
        <v>522.5</v>
      </c>
      <c r="O313" s="130">
        <f t="shared" si="39"/>
        <v>0</v>
      </c>
      <c r="P313" s="130">
        <f t="shared" si="303"/>
        <v>522.5</v>
      </c>
      <c r="Q313" s="130"/>
      <c r="R313" s="130">
        <f t="shared" si="3"/>
        <v>5225</v>
      </c>
      <c r="S313" s="131">
        <f t="shared" si="4"/>
        <v>0.54500000000000004</v>
      </c>
      <c r="T313" s="131">
        <f t="shared" si="75"/>
        <v>0</v>
      </c>
      <c r="U313" s="131">
        <f t="shared" si="36"/>
        <v>0.03</v>
      </c>
      <c r="V313" s="131">
        <f t="shared" si="62"/>
        <v>5.23</v>
      </c>
      <c r="W313" s="131">
        <v>0</v>
      </c>
      <c r="X313" s="131">
        <f t="shared" ref="X313:X325" si="305">ROUND(R313*H$1820,2)</f>
        <v>0.18</v>
      </c>
      <c r="Y313" s="131">
        <f t="shared" si="218"/>
        <v>0.01</v>
      </c>
      <c r="Z313" s="131">
        <f t="shared" si="10"/>
        <v>5.45</v>
      </c>
      <c r="AA313" s="132">
        <f t="shared" si="304"/>
        <v>5219.55</v>
      </c>
      <c r="AB313" s="133">
        <f t="shared" si="231"/>
        <v>5220</v>
      </c>
      <c r="AC313" s="134">
        <f t="shared" si="48"/>
        <v>0.4499999999998181</v>
      </c>
      <c r="AD313" s="125">
        <v>44508</v>
      </c>
      <c r="AE313" s="135">
        <f t="shared" si="13"/>
        <v>1.0430000000000001E-3</v>
      </c>
      <c r="AF313" s="136">
        <f t="shared" si="14"/>
        <v>44508</v>
      </c>
      <c r="AG313" s="137" t="s">
        <v>416</v>
      </c>
      <c r="AH313" s="124"/>
    </row>
    <row r="314" spans="1:34" ht="12" customHeight="1">
      <c r="A314" s="155">
        <v>44508</v>
      </c>
      <c r="B314" s="112" t="s">
        <v>498</v>
      </c>
      <c r="C314" s="127" t="s">
        <v>485</v>
      </c>
      <c r="D314" s="112"/>
      <c r="E314" s="112" t="str">
        <f t="shared" si="0"/>
        <v>BAJFINANCE</v>
      </c>
      <c r="F314" s="112"/>
      <c r="G314" s="112"/>
      <c r="H314" s="112"/>
      <c r="I314" s="127" t="s">
        <v>461</v>
      </c>
      <c r="J314" s="126" t="s">
        <v>483</v>
      </c>
      <c r="K314" s="127"/>
      <c r="L314" s="127"/>
      <c r="M314" s="128">
        <v>4</v>
      </c>
      <c r="N314" s="129">
        <v>7685</v>
      </c>
      <c r="O314" s="130">
        <f t="shared" si="39"/>
        <v>0</v>
      </c>
      <c r="P314" s="130">
        <f t="shared" si="303"/>
        <v>7685</v>
      </c>
      <c r="Q314" s="130"/>
      <c r="R314" s="130">
        <f t="shared" si="3"/>
        <v>30740</v>
      </c>
      <c r="S314" s="131">
        <f t="shared" si="4"/>
        <v>8.004999999999999</v>
      </c>
      <c r="T314" s="131">
        <f t="shared" si="75"/>
        <v>0</v>
      </c>
      <c r="U314" s="131">
        <f t="shared" si="36"/>
        <v>0.19</v>
      </c>
      <c r="V314" s="131">
        <f t="shared" si="62"/>
        <v>30.74</v>
      </c>
      <c r="W314" s="131">
        <v>0</v>
      </c>
      <c r="X314" s="131">
        <f t="shared" si="305"/>
        <v>1.06</v>
      </c>
      <c r="Y314" s="131">
        <f t="shared" si="218"/>
        <v>0.03</v>
      </c>
      <c r="Z314" s="131">
        <f t="shared" si="10"/>
        <v>32.019999999999996</v>
      </c>
      <c r="AA314" s="132">
        <f t="shared" si="304"/>
        <v>30707.98</v>
      </c>
      <c r="AB314" s="133">
        <f t="shared" si="231"/>
        <v>30708</v>
      </c>
      <c r="AC314" s="134">
        <f t="shared" si="48"/>
        <v>2.0000000000436557E-2</v>
      </c>
      <c r="AD314" s="125">
        <v>44510</v>
      </c>
      <c r="AE314" s="135">
        <f t="shared" si="13"/>
        <v>1.042E-3</v>
      </c>
      <c r="AF314" s="136">
        <f t="shared" si="14"/>
        <v>44510</v>
      </c>
      <c r="AG314" s="137" t="s">
        <v>416</v>
      </c>
      <c r="AH314" s="124"/>
    </row>
    <row r="315" spans="1:34" ht="12" customHeight="1">
      <c r="A315" s="154">
        <v>44508</v>
      </c>
      <c r="B315" s="140" t="s">
        <v>474</v>
      </c>
      <c r="C315" s="141" t="s">
        <v>485</v>
      </c>
      <c r="D315" s="140"/>
      <c r="E315" s="140" t="str">
        <f t="shared" si="0"/>
        <v>RELIANCE</v>
      </c>
      <c r="F315" s="140"/>
      <c r="G315" s="140"/>
      <c r="H315" s="140"/>
      <c r="I315" s="141" t="s">
        <v>467</v>
      </c>
      <c r="J315" s="139" t="s">
        <v>483</v>
      </c>
      <c r="K315" s="141"/>
      <c r="L315" s="141"/>
      <c r="M315" s="142">
        <v>2</v>
      </c>
      <c r="N315" s="157">
        <v>2500</v>
      </c>
      <c r="O315" s="144">
        <f t="shared" si="39"/>
        <v>0</v>
      </c>
      <c r="P315" s="144">
        <f t="shared" ref="P315:P318" si="306">N315+O315</f>
        <v>2500</v>
      </c>
      <c r="Q315" s="144"/>
      <c r="R315" s="144">
        <f t="shared" si="3"/>
        <v>5000</v>
      </c>
      <c r="S315" s="145">
        <f t="shared" si="4"/>
        <v>2.98</v>
      </c>
      <c r="T315" s="145">
        <f t="shared" si="75"/>
        <v>0</v>
      </c>
      <c r="U315" s="145">
        <f t="shared" si="36"/>
        <v>0.03</v>
      </c>
      <c r="V315" s="145">
        <f t="shared" si="62"/>
        <v>5</v>
      </c>
      <c r="W315" s="145">
        <f t="shared" ref="W315:W318" si="307">ROUND(R315*F$1823,2)</f>
        <v>0.75</v>
      </c>
      <c r="X315" s="145">
        <f t="shared" si="305"/>
        <v>0.17</v>
      </c>
      <c r="Y315" s="145">
        <f t="shared" si="218"/>
        <v>0.01</v>
      </c>
      <c r="Z315" s="146">
        <f t="shared" si="10"/>
        <v>5.96</v>
      </c>
      <c r="AA315" s="147">
        <f t="shared" ref="AA315:AA318" si="308">-ROUND(R315+SUM(T315:Y315),2)</f>
        <v>-5005.96</v>
      </c>
      <c r="AB315" s="148">
        <f t="shared" si="231"/>
        <v>-5006</v>
      </c>
      <c r="AC315" s="149">
        <f t="shared" si="48"/>
        <v>-3.999999999996362E-2</v>
      </c>
      <c r="AD315" s="138">
        <v>44510</v>
      </c>
      <c r="AE315" s="150">
        <f t="shared" si="13"/>
        <v>1.1919999999999999E-3</v>
      </c>
      <c r="AF315" s="151">
        <f t="shared" si="14"/>
        <v>44510</v>
      </c>
      <c r="AG315" s="152" t="s">
        <v>416</v>
      </c>
      <c r="AH315" s="124"/>
    </row>
    <row r="316" spans="1:34" ht="12" customHeight="1">
      <c r="A316" s="154">
        <v>44508</v>
      </c>
      <c r="B316" s="140" t="s">
        <v>493</v>
      </c>
      <c r="C316" s="141" t="s">
        <v>485</v>
      </c>
      <c r="D316" s="140"/>
      <c r="E316" s="140" t="str">
        <f t="shared" si="0"/>
        <v>SBIN</v>
      </c>
      <c r="F316" s="140"/>
      <c r="G316" s="140"/>
      <c r="H316" s="140"/>
      <c r="I316" s="141" t="s">
        <v>467</v>
      </c>
      <c r="J316" s="139" t="s">
        <v>483</v>
      </c>
      <c r="K316" s="141"/>
      <c r="L316" s="141"/>
      <c r="M316" s="142">
        <v>15</v>
      </c>
      <c r="N316" s="157">
        <v>519</v>
      </c>
      <c r="O316" s="144">
        <f t="shared" si="39"/>
        <v>0</v>
      </c>
      <c r="P316" s="144">
        <f t="shared" si="306"/>
        <v>519</v>
      </c>
      <c r="Q316" s="144"/>
      <c r="R316" s="144">
        <f t="shared" si="3"/>
        <v>7785</v>
      </c>
      <c r="S316" s="145">
        <f t="shared" si="4"/>
        <v>0.61933333333333329</v>
      </c>
      <c r="T316" s="145">
        <f t="shared" si="75"/>
        <v>0</v>
      </c>
      <c r="U316" s="145">
        <f t="shared" si="36"/>
        <v>0.05</v>
      </c>
      <c r="V316" s="145">
        <f t="shared" si="62"/>
        <v>7.79</v>
      </c>
      <c r="W316" s="145">
        <f t="shared" si="307"/>
        <v>1.17</v>
      </c>
      <c r="X316" s="145">
        <f t="shared" si="305"/>
        <v>0.27</v>
      </c>
      <c r="Y316" s="145">
        <f t="shared" si="218"/>
        <v>0.01</v>
      </c>
      <c r="Z316" s="146">
        <f t="shared" si="10"/>
        <v>9.2899999999999991</v>
      </c>
      <c r="AA316" s="147">
        <f t="shared" si="308"/>
        <v>-7794.29</v>
      </c>
      <c r="AB316" s="148">
        <f t="shared" si="231"/>
        <v>-7794</v>
      </c>
      <c r="AC316" s="149">
        <f t="shared" si="48"/>
        <v>0.28999999999996362</v>
      </c>
      <c r="AD316" s="138">
        <v>44510</v>
      </c>
      <c r="AE316" s="150">
        <f t="shared" si="13"/>
        <v>1.193E-3</v>
      </c>
      <c r="AF316" s="151">
        <f t="shared" si="14"/>
        <v>44510</v>
      </c>
      <c r="AG316" s="152" t="s">
        <v>416</v>
      </c>
      <c r="AH316" s="124"/>
    </row>
    <row r="317" spans="1:34" ht="12" customHeight="1">
      <c r="A317" s="154">
        <v>44508</v>
      </c>
      <c r="B317" s="140" t="s">
        <v>592</v>
      </c>
      <c r="C317" s="141" t="s">
        <v>485</v>
      </c>
      <c r="D317" s="140"/>
      <c r="E317" s="140" t="str">
        <f t="shared" si="0"/>
        <v>TATASTLBSL</v>
      </c>
      <c r="F317" s="140"/>
      <c r="G317" s="140"/>
      <c r="H317" s="140"/>
      <c r="I317" s="141" t="s">
        <v>467</v>
      </c>
      <c r="J317" s="139" t="s">
        <v>483</v>
      </c>
      <c r="K317" s="141"/>
      <c r="L317" s="141"/>
      <c r="M317" s="142">
        <v>100</v>
      </c>
      <c r="N317" s="157">
        <v>88</v>
      </c>
      <c r="O317" s="144">
        <f t="shared" si="39"/>
        <v>0</v>
      </c>
      <c r="P317" s="144">
        <f t="shared" si="306"/>
        <v>88</v>
      </c>
      <c r="Q317" s="144"/>
      <c r="R317" s="144">
        <f t="shared" si="3"/>
        <v>8800</v>
      </c>
      <c r="S317" s="145">
        <f t="shared" si="4"/>
        <v>0.10480000000000002</v>
      </c>
      <c r="T317" s="145">
        <f t="shared" si="75"/>
        <v>0</v>
      </c>
      <c r="U317" s="145">
        <f t="shared" si="36"/>
        <v>0.05</v>
      </c>
      <c r="V317" s="145">
        <f t="shared" si="62"/>
        <v>8.8000000000000007</v>
      </c>
      <c r="W317" s="145">
        <f t="shared" si="307"/>
        <v>1.32</v>
      </c>
      <c r="X317" s="145">
        <f t="shared" si="305"/>
        <v>0.3</v>
      </c>
      <c r="Y317" s="145">
        <f t="shared" si="218"/>
        <v>0.01</v>
      </c>
      <c r="Z317" s="146">
        <f t="shared" si="10"/>
        <v>10.480000000000002</v>
      </c>
      <c r="AA317" s="147">
        <f t="shared" si="308"/>
        <v>-8810.48</v>
      </c>
      <c r="AB317" s="148">
        <f t="shared" si="231"/>
        <v>-8810</v>
      </c>
      <c r="AC317" s="149">
        <f t="shared" si="48"/>
        <v>0.47999999999956344</v>
      </c>
      <c r="AD317" s="138">
        <v>44510</v>
      </c>
      <c r="AE317" s="150">
        <f t="shared" si="13"/>
        <v>1.191E-3</v>
      </c>
      <c r="AF317" s="151">
        <f t="shared" si="14"/>
        <v>44510</v>
      </c>
      <c r="AG317" s="152" t="s">
        <v>416</v>
      </c>
      <c r="AH317" s="124"/>
    </row>
    <row r="318" spans="1:34" ht="12" customHeight="1">
      <c r="A318" s="154">
        <v>44508</v>
      </c>
      <c r="B318" s="140" t="s">
        <v>591</v>
      </c>
      <c r="C318" s="141" t="s">
        <v>485</v>
      </c>
      <c r="D318" s="140"/>
      <c r="E318" s="140" t="str">
        <f t="shared" si="0"/>
        <v>VSSL</v>
      </c>
      <c r="F318" s="140"/>
      <c r="G318" s="140"/>
      <c r="H318" s="140"/>
      <c r="I318" s="141" t="s">
        <v>467</v>
      </c>
      <c r="J318" s="139" t="s">
        <v>483</v>
      </c>
      <c r="K318" s="141"/>
      <c r="L318" s="141"/>
      <c r="M318" s="142">
        <v>7</v>
      </c>
      <c r="N318" s="157">
        <v>285</v>
      </c>
      <c r="O318" s="144">
        <f t="shared" si="39"/>
        <v>0</v>
      </c>
      <c r="P318" s="144">
        <f t="shared" si="306"/>
        <v>285</v>
      </c>
      <c r="Q318" s="144"/>
      <c r="R318" s="144">
        <f t="shared" si="3"/>
        <v>1995</v>
      </c>
      <c r="S318" s="145">
        <f t="shared" si="4"/>
        <v>0.33999999999999991</v>
      </c>
      <c r="T318" s="145">
        <f t="shared" si="75"/>
        <v>0</v>
      </c>
      <c r="U318" s="145">
        <f t="shared" si="36"/>
        <v>0.01</v>
      </c>
      <c r="V318" s="145">
        <f t="shared" si="62"/>
        <v>2</v>
      </c>
      <c r="W318" s="145">
        <f t="shared" si="307"/>
        <v>0.3</v>
      </c>
      <c r="X318" s="145">
        <f t="shared" si="305"/>
        <v>7.0000000000000007E-2</v>
      </c>
      <c r="Y318" s="145">
        <f t="shared" si="218"/>
        <v>0</v>
      </c>
      <c r="Z318" s="146">
        <f t="shared" si="10"/>
        <v>2.3799999999999994</v>
      </c>
      <c r="AA318" s="147">
        <f t="shared" si="308"/>
        <v>-1997.38</v>
      </c>
      <c r="AB318" s="148">
        <f t="shared" si="231"/>
        <v>-1997</v>
      </c>
      <c r="AC318" s="149">
        <f t="shared" si="48"/>
        <v>0.38000000000010914</v>
      </c>
      <c r="AD318" s="138">
        <v>44510</v>
      </c>
      <c r="AE318" s="150">
        <f t="shared" si="13"/>
        <v>1.193E-3</v>
      </c>
      <c r="AF318" s="151">
        <f t="shared" si="14"/>
        <v>44510</v>
      </c>
      <c r="AG318" s="152" t="s">
        <v>416</v>
      </c>
      <c r="AH318" s="124"/>
    </row>
    <row r="319" spans="1:34" ht="12" customHeight="1">
      <c r="A319" s="155">
        <v>44509</v>
      </c>
      <c r="B319" s="112" t="s">
        <v>570</v>
      </c>
      <c r="C319" s="127" t="s">
        <v>485</v>
      </c>
      <c r="D319" s="112"/>
      <c r="E319" s="112" t="str">
        <f t="shared" si="0"/>
        <v>ELGIEQUIP</v>
      </c>
      <c r="F319" s="112"/>
      <c r="G319" s="112"/>
      <c r="H319" s="112"/>
      <c r="I319" s="127" t="s">
        <v>461</v>
      </c>
      <c r="J319" s="126" t="s">
        <v>483</v>
      </c>
      <c r="K319" s="127"/>
      <c r="L319" s="127"/>
      <c r="M319" s="128">
        <v>10</v>
      </c>
      <c r="N319" s="129">
        <v>227</v>
      </c>
      <c r="O319" s="130">
        <f t="shared" si="39"/>
        <v>0</v>
      </c>
      <c r="P319" s="130">
        <f t="shared" ref="P319:P324" si="309">N319-O319</f>
        <v>227</v>
      </c>
      <c r="Q319" s="130"/>
      <c r="R319" s="130">
        <f t="shared" si="3"/>
        <v>2270</v>
      </c>
      <c r="S319" s="131">
        <f t="shared" si="4"/>
        <v>0.23599999999999999</v>
      </c>
      <c r="T319" s="131">
        <f t="shared" si="75"/>
        <v>0</v>
      </c>
      <c r="U319" s="131">
        <f t="shared" si="36"/>
        <v>0.01</v>
      </c>
      <c r="V319" s="131">
        <f t="shared" si="62"/>
        <v>2.27</v>
      </c>
      <c r="W319" s="131">
        <v>0</v>
      </c>
      <c r="X319" s="131">
        <f t="shared" si="305"/>
        <v>0.08</v>
      </c>
      <c r="Y319" s="131">
        <f t="shared" si="218"/>
        <v>0</v>
      </c>
      <c r="Z319" s="131">
        <f t="shared" si="10"/>
        <v>2.36</v>
      </c>
      <c r="AA319" s="132">
        <f t="shared" ref="AA319:AA324" si="310">ROUND(R319-SUM(T319:Y319),2)</f>
        <v>2267.64</v>
      </c>
      <c r="AB319" s="133">
        <f t="shared" si="231"/>
        <v>2268</v>
      </c>
      <c r="AC319" s="134">
        <f t="shared" si="48"/>
        <v>0.36000000000012733</v>
      </c>
      <c r="AD319" s="125">
        <v>44511</v>
      </c>
      <c r="AE319" s="135">
        <f t="shared" si="13"/>
        <v>1.0399999999999999E-3</v>
      </c>
      <c r="AF319" s="136">
        <f t="shared" si="14"/>
        <v>44511</v>
      </c>
      <c r="AG319" s="137" t="s">
        <v>416</v>
      </c>
      <c r="AH319" s="124"/>
    </row>
    <row r="320" spans="1:34" ht="12" customHeight="1">
      <c r="A320" s="155">
        <v>44509</v>
      </c>
      <c r="B320" s="112" t="s">
        <v>585</v>
      </c>
      <c r="C320" s="127" t="s">
        <v>485</v>
      </c>
      <c r="D320" s="112"/>
      <c r="E320" s="112" t="str">
        <f t="shared" si="0"/>
        <v>IEX</v>
      </c>
      <c r="F320" s="112"/>
      <c r="G320" s="112"/>
      <c r="H320" s="112"/>
      <c r="I320" s="127" t="s">
        <v>461</v>
      </c>
      <c r="J320" s="126" t="s">
        <v>483</v>
      </c>
      <c r="K320" s="127"/>
      <c r="L320" s="127"/>
      <c r="M320" s="128">
        <v>10</v>
      </c>
      <c r="N320" s="129">
        <v>786</v>
      </c>
      <c r="O320" s="130">
        <f t="shared" si="39"/>
        <v>0</v>
      </c>
      <c r="P320" s="130">
        <f t="shared" si="309"/>
        <v>786</v>
      </c>
      <c r="Q320" s="130"/>
      <c r="R320" s="130">
        <f t="shared" si="3"/>
        <v>7860</v>
      </c>
      <c r="S320" s="131">
        <f t="shared" si="4"/>
        <v>0.81899999999999995</v>
      </c>
      <c r="T320" s="131">
        <f t="shared" si="75"/>
        <v>0</v>
      </c>
      <c r="U320" s="131">
        <f t="shared" si="36"/>
        <v>0.05</v>
      </c>
      <c r="V320" s="131">
        <f t="shared" si="62"/>
        <v>7.86</v>
      </c>
      <c r="W320" s="131">
        <v>0</v>
      </c>
      <c r="X320" s="131">
        <f t="shared" si="305"/>
        <v>0.27</v>
      </c>
      <c r="Y320" s="131">
        <f t="shared" si="218"/>
        <v>0.01</v>
      </c>
      <c r="Z320" s="131">
        <f t="shared" si="10"/>
        <v>8.19</v>
      </c>
      <c r="AA320" s="132">
        <f t="shared" si="310"/>
        <v>7851.81</v>
      </c>
      <c r="AB320" s="133">
        <f t="shared" si="231"/>
        <v>7852</v>
      </c>
      <c r="AC320" s="134">
        <f t="shared" si="48"/>
        <v>0.18999999999959982</v>
      </c>
      <c r="AD320" s="125">
        <v>44511</v>
      </c>
      <c r="AE320" s="135">
        <f t="shared" si="13"/>
        <v>1.042E-3</v>
      </c>
      <c r="AF320" s="136">
        <f t="shared" si="14"/>
        <v>44511</v>
      </c>
      <c r="AG320" s="137" t="s">
        <v>416</v>
      </c>
      <c r="AH320" s="124"/>
    </row>
    <row r="321" spans="1:34" ht="12" customHeight="1">
      <c r="A321" s="155">
        <v>44509</v>
      </c>
      <c r="B321" s="112" t="s">
        <v>578</v>
      </c>
      <c r="C321" s="127" t="s">
        <v>485</v>
      </c>
      <c r="D321" s="112"/>
      <c r="E321" s="112" t="str">
        <f t="shared" si="0"/>
        <v>KTKBANK</v>
      </c>
      <c r="F321" s="112"/>
      <c r="G321" s="112"/>
      <c r="H321" s="112"/>
      <c r="I321" s="127" t="s">
        <v>461</v>
      </c>
      <c r="J321" s="126" t="s">
        <v>483</v>
      </c>
      <c r="K321" s="127"/>
      <c r="L321" s="127"/>
      <c r="M321" s="128">
        <v>100</v>
      </c>
      <c r="N321" s="129">
        <v>74.5</v>
      </c>
      <c r="O321" s="130">
        <f t="shared" si="39"/>
        <v>0</v>
      </c>
      <c r="P321" s="130">
        <f t="shared" si="309"/>
        <v>74.5</v>
      </c>
      <c r="Q321" s="130"/>
      <c r="R321" s="130">
        <f t="shared" si="3"/>
        <v>7450</v>
      </c>
      <c r="S321" s="131">
        <f t="shared" si="4"/>
        <v>7.7699999999999991E-2</v>
      </c>
      <c r="T321" s="131">
        <f t="shared" si="75"/>
        <v>0</v>
      </c>
      <c r="U321" s="131">
        <f t="shared" si="36"/>
        <v>0.05</v>
      </c>
      <c r="V321" s="131">
        <f t="shared" si="62"/>
        <v>7.45</v>
      </c>
      <c r="W321" s="131">
        <v>0</v>
      </c>
      <c r="X321" s="131">
        <f t="shared" si="305"/>
        <v>0.26</v>
      </c>
      <c r="Y321" s="131">
        <f t="shared" si="218"/>
        <v>0.01</v>
      </c>
      <c r="Z321" s="131">
        <f t="shared" si="10"/>
        <v>7.77</v>
      </c>
      <c r="AA321" s="132">
        <f t="shared" si="310"/>
        <v>7442.23</v>
      </c>
      <c r="AB321" s="133">
        <f t="shared" si="231"/>
        <v>7442</v>
      </c>
      <c r="AC321" s="134">
        <f t="shared" si="48"/>
        <v>-0.22999999999956344</v>
      </c>
      <c r="AD321" s="125">
        <v>44511</v>
      </c>
      <c r="AE321" s="135">
        <f t="shared" si="13"/>
        <v>1.0430000000000001E-3</v>
      </c>
      <c r="AF321" s="136">
        <f t="shared" si="14"/>
        <v>44511</v>
      </c>
      <c r="AG321" s="137" t="s">
        <v>416</v>
      </c>
      <c r="AH321" s="124"/>
    </row>
    <row r="322" spans="1:34" ht="12" customHeight="1">
      <c r="A322" s="155">
        <v>44509</v>
      </c>
      <c r="B322" s="112" t="s">
        <v>518</v>
      </c>
      <c r="C322" s="127" t="s">
        <v>485</v>
      </c>
      <c r="D322" s="112"/>
      <c r="E322" s="112" t="str">
        <f t="shared" si="0"/>
        <v>TATAMOTORS</v>
      </c>
      <c r="F322" s="112"/>
      <c r="G322" s="112"/>
      <c r="H322" s="112"/>
      <c r="I322" s="127" t="s">
        <v>461</v>
      </c>
      <c r="J322" s="126" t="s">
        <v>483</v>
      </c>
      <c r="K322" s="127"/>
      <c r="L322" s="127"/>
      <c r="M322" s="128">
        <v>20</v>
      </c>
      <c r="N322" s="129">
        <v>511.14249999999998</v>
      </c>
      <c r="O322" s="130">
        <f t="shared" si="39"/>
        <v>0</v>
      </c>
      <c r="P322" s="130">
        <f t="shared" si="309"/>
        <v>511.14249999999998</v>
      </c>
      <c r="Q322" s="130"/>
      <c r="R322" s="130">
        <f t="shared" si="3"/>
        <v>10222.85</v>
      </c>
      <c r="S322" s="131">
        <f t="shared" si="4"/>
        <v>0.53200000000000003</v>
      </c>
      <c r="T322" s="131">
        <f t="shared" si="75"/>
        <v>0</v>
      </c>
      <c r="U322" s="131">
        <f t="shared" si="36"/>
        <v>0.06</v>
      </c>
      <c r="V322" s="131">
        <f t="shared" si="62"/>
        <v>10.220000000000001</v>
      </c>
      <c r="W322" s="131">
        <v>0</v>
      </c>
      <c r="X322" s="131">
        <f t="shared" si="305"/>
        <v>0.35</v>
      </c>
      <c r="Y322" s="131">
        <f t="shared" si="218"/>
        <v>0.01</v>
      </c>
      <c r="Z322" s="131">
        <f t="shared" si="10"/>
        <v>10.64</v>
      </c>
      <c r="AA322" s="132">
        <f t="shared" si="310"/>
        <v>10212.209999999999</v>
      </c>
      <c r="AB322" s="133">
        <f t="shared" si="231"/>
        <v>10212</v>
      </c>
      <c r="AC322" s="134">
        <f t="shared" si="48"/>
        <v>-0.20999999999912689</v>
      </c>
      <c r="AD322" s="125">
        <v>44511</v>
      </c>
      <c r="AE322" s="135">
        <f t="shared" si="13"/>
        <v>1.041E-3</v>
      </c>
      <c r="AF322" s="136">
        <f t="shared" si="14"/>
        <v>44511</v>
      </c>
      <c r="AG322" s="137" t="s">
        <v>416</v>
      </c>
      <c r="AH322" s="124"/>
    </row>
    <row r="323" spans="1:34" ht="12" customHeight="1">
      <c r="A323" s="155">
        <v>44509</v>
      </c>
      <c r="B323" s="112" t="s">
        <v>577</v>
      </c>
      <c r="C323" s="127" t="s">
        <v>485</v>
      </c>
      <c r="D323" s="112"/>
      <c r="E323" s="112" t="str">
        <f t="shared" si="0"/>
        <v>ZENTEC</v>
      </c>
      <c r="F323" s="112"/>
      <c r="G323" s="112"/>
      <c r="H323" s="112"/>
      <c r="I323" s="127" t="s">
        <v>461</v>
      </c>
      <c r="J323" s="126" t="s">
        <v>483</v>
      </c>
      <c r="K323" s="127"/>
      <c r="L323" s="127"/>
      <c r="M323" s="128">
        <v>20</v>
      </c>
      <c r="N323" s="129">
        <v>221</v>
      </c>
      <c r="O323" s="130">
        <f t="shared" si="39"/>
        <v>0</v>
      </c>
      <c r="P323" s="130">
        <f t="shared" si="309"/>
        <v>221</v>
      </c>
      <c r="Q323" s="130"/>
      <c r="R323" s="130">
        <f t="shared" si="3"/>
        <v>4420</v>
      </c>
      <c r="S323" s="131">
        <f t="shared" si="4"/>
        <v>0.23000000000000004</v>
      </c>
      <c r="T323" s="131">
        <f t="shared" si="75"/>
        <v>0</v>
      </c>
      <c r="U323" s="131">
        <f t="shared" si="36"/>
        <v>0.03</v>
      </c>
      <c r="V323" s="131">
        <f t="shared" si="62"/>
        <v>4.42</v>
      </c>
      <c r="W323" s="131">
        <v>0</v>
      </c>
      <c r="X323" s="131">
        <f t="shared" si="305"/>
        <v>0.15</v>
      </c>
      <c r="Y323" s="131">
        <f t="shared" si="218"/>
        <v>0</v>
      </c>
      <c r="Z323" s="131">
        <f t="shared" si="10"/>
        <v>4.6000000000000005</v>
      </c>
      <c r="AA323" s="132">
        <f t="shared" si="310"/>
        <v>4415.3999999999996</v>
      </c>
      <c r="AB323" s="133">
        <f t="shared" si="231"/>
        <v>4415</v>
      </c>
      <c r="AC323" s="134">
        <f t="shared" si="48"/>
        <v>-0.3999999999996362</v>
      </c>
      <c r="AD323" s="125">
        <v>44511</v>
      </c>
      <c r="AE323" s="135">
        <f t="shared" si="13"/>
        <v>1.041E-3</v>
      </c>
      <c r="AF323" s="136">
        <f t="shared" si="14"/>
        <v>44511</v>
      </c>
      <c r="AG323" s="137" t="s">
        <v>416</v>
      </c>
      <c r="AH323" s="124"/>
    </row>
    <row r="324" spans="1:34" ht="12" customHeight="1">
      <c r="A324" s="155">
        <v>44509</v>
      </c>
      <c r="B324" s="112" t="s">
        <v>493</v>
      </c>
      <c r="C324" s="127" t="s">
        <v>485</v>
      </c>
      <c r="D324" s="112"/>
      <c r="E324" s="112" t="str">
        <f t="shared" si="0"/>
        <v>SBIN</v>
      </c>
      <c r="F324" s="112"/>
      <c r="G324" s="112"/>
      <c r="H324" s="112"/>
      <c r="I324" s="127" t="s">
        <v>461</v>
      </c>
      <c r="J324" s="126" t="s">
        <v>483</v>
      </c>
      <c r="K324" s="127"/>
      <c r="L324" s="127"/>
      <c r="M324" s="128">
        <v>15</v>
      </c>
      <c r="N324" s="129">
        <v>530</v>
      </c>
      <c r="O324" s="130">
        <f t="shared" si="39"/>
        <v>0</v>
      </c>
      <c r="P324" s="130">
        <f t="shared" si="309"/>
        <v>530</v>
      </c>
      <c r="Q324" s="130"/>
      <c r="R324" s="130">
        <f t="shared" si="3"/>
        <v>7950</v>
      </c>
      <c r="S324" s="131">
        <f t="shared" si="4"/>
        <v>0.55199999999999994</v>
      </c>
      <c r="T324" s="131">
        <f t="shared" si="75"/>
        <v>0</v>
      </c>
      <c r="U324" s="131">
        <f t="shared" si="36"/>
        <v>0.05</v>
      </c>
      <c r="V324" s="131">
        <f t="shared" si="62"/>
        <v>7.95</v>
      </c>
      <c r="W324" s="131">
        <v>0</v>
      </c>
      <c r="X324" s="131">
        <f t="shared" si="305"/>
        <v>0.27</v>
      </c>
      <c r="Y324" s="131">
        <f t="shared" si="218"/>
        <v>0.01</v>
      </c>
      <c r="Z324" s="131">
        <f t="shared" si="10"/>
        <v>8.2799999999999994</v>
      </c>
      <c r="AA324" s="132">
        <f t="shared" si="310"/>
        <v>7941.72</v>
      </c>
      <c r="AB324" s="133">
        <f t="shared" si="231"/>
        <v>7942</v>
      </c>
      <c r="AC324" s="134">
        <f t="shared" si="48"/>
        <v>0.27999999999974534</v>
      </c>
      <c r="AD324" s="125">
        <v>44511</v>
      </c>
      <c r="AE324" s="135">
        <f t="shared" si="13"/>
        <v>1.042E-3</v>
      </c>
      <c r="AF324" s="136">
        <f t="shared" si="14"/>
        <v>44511</v>
      </c>
      <c r="AG324" s="137" t="s">
        <v>416</v>
      </c>
      <c r="AH324" s="124"/>
    </row>
    <row r="325" spans="1:34" ht="12" customHeight="1">
      <c r="A325" s="154">
        <v>44509</v>
      </c>
      <c r="B325" s="140" t="s">
        <v>498</v>
      </c>
      <c r="C325" s="141" t="s">
        <v>485</v>
      </c>
      <c r="D325" s="140"/>
      <c r="E325" s="140" t="str">
        <f t="shared" si="0"/>
        <v>BAJFINANCE</v>
      </c>
      <c r="F325" s="140"/>
      <c r="G325" s="140"/>
      <c r="H325" s="140"/>
      <c r="I325" s="141" t="s">
        <v>467</v>
      </c>
      <c r="J325" s="139" t="s">
        <v>483</v>
      </c>
      <c r="K325" s="141"/>
      <c r="L325" s="141"/>
      <c r="M325" s="142">
        <v>2</v>
      </c>
      <c r="N325" s="143">
        <v>7650</v>
      </c>
      <c r="O325" s="144">
        <f t="shared" si="39"/>
        <v>0</v>
      </c>
      <c r="P325" s="144">
        <f>N325+O325</f>
        <v>7650</v>
      </c>
      <c r="Q325" s="144"/>
      <c r="R325" s="144">
        <f t="shared" si="3"/>
        <v>15300</v>
      </c>
      <c r="S325" s="145">
        <f t="shared" si="4"/>
        <v>9.125</v>
      </c>
      <c r="T325" s="145">
        <f t="shared" si="75"/>
        <v>0</v>
      </c>
      <c r="U325" s="145">
        <f t="shared" si="36"/>
        <v>0.1</v>
      </c>
      <c r="V325" s="145">
        <f t="shared" si="62"/>
        <v>15.3</v>
      </c>
      <c r="W325" s="145">
        <f>ROUND(R325*F$1823,2)</f>
        <v>2.2999999999999998</v>
      </c>
      <c r="X325" s="145">
        <f t="shared" si="305"/>
        <v>0.53</v>
      </c>
      <c r="Y325" s="145">
        <f t="shared" si="218"/>
        <v>0.02</v>
      </c>
      <c r="Z325" s="146">
        <f t="shared" si="10"/>
        <v>18.25</v>
      </c>
      <c r="AA325" s="147">
        <f>-ROUND(R325+SUM(T325:Y325),2)</f>
        <v>-15318.25</v>
      </c>
      <c r="AB325" s="148">
        <f t="shared" si="231"/>
        <v>-15318</v>
      </c>
      <c r="AC325" s="149">
        <f t="shared" si="48"/>
        <v>0.25</v>
      </c>
      <c r="AD325" s="138">
        <v>44511</v>
      </c>
      <c r="AE325" s="150">
        <f t="shared" si="13"/>
        <v>1.193E-3</v>
      </c>
      <c r="AF325" s="151">
        <f t="shared" si="14"/>
        <v>44511</v>
      </c>
      <c r="AG325" s="152" t="s">
        <v>416</v>
      </c>
      <c r="AH325" s="124"/>
    </row>
    <row r="326" spans="1:34" ht="12" customHeight="1">
      <c r="A326" s="155">
        <v>44509</v>
      </c>
      <c r="B326" s="112" t="s">
        <v>589</v>
      </c>
      <c r="C326" s="127" t="s">
        <v>460</v>
      </c>
      <c r="D326" s="112"/>
      <c r="E326" s="112" t="str">
        <f t="shared" si="0"/>
        <v>DCMSHRIRAM</v>
      </c>
      <c r="F326" s="112"/>
      <c r="G326" s="112"/>
      <c r="H326" s="112"/>
      <c r="I326" s="127" t="s">
        <v>461</v>
      </c>
      <c r="J326" s="126" t="s">
        <v>483</v>
      </c>
      <c r="K326" s="127"/>
      <c r="L326" s="127"/>
      <c r="M326" s="128">
        <v>300</v>
      </c>
      <c r="N326" s="129">
        <v>1019.33333</v>
      </c>
      <c r="O326" s="130">
        <f t="shared" si="39"/>
        <v>0</v>
      </c>
      <c r="P326" s="130">
        <f>N326-O326</f>
        <v>1019.33333</v>
      </c>
      <c r="Q326" s="130"/>
      <c r="R326" s="130">
        <f t="shared" si="3"/>
        <v>305800</v>
      </c>
      <c r="S326" s="131">
        <f t="shared" si="4"/>
        <v>1.0534333333333334</v>
      </c>
      <c r="T326" s="131">
        <f t="shared" si="75"/>
        <v>0</v>
      </c>
      <c r="U326" s="131">
        <f t="shared" si="36"/>
        <v>1.51</v>
      </c>
      <c r="V326" s="131">
        <f t="shared" si="62"/>
        <v>305.8</v>
      </c>
      <c r="W326" s="131">
        <v>0</v>
      </c>
      <c r="X326" s="131">
        <f t="shared" ref="X326:X329" si="311">ROUND(R326*G$1820,2)</f>
        <v>8.41</v>
      </c>
      <c r="Y326" s="131">
        <f t="shared" si="218"/>
        <v>0.31</v>
      </c>
      <c r="Z326" s="131">
        <f t="shared" si="10"/>
        <v>316.03000000000003</v>
      </c>
      <c r="AA326" s="132">
        <f>ROUND(R326-SUM(T326:Y326),2)</f>
        <v>305483.96999999997</v>
      </c>
      <c r="AB326" s="133">
        <f t="shared" si="231"/>
        <v>305484</v>
      </c>
      <c r="AC326" s="134">
        <f t="shared" si="48"/>
        <v>3.0000000027939677E-2</v>
      </c>
      <c r="AD326" s="125">
        <v>44511</v>
      </c>
      <c r="AE326" s="135">
        <f t="shared" si="13"/>
        <v>1.0330000000000001E-3</v>
      </c>
      <c r="AF326" s="136">
        <f t="shared" si="14"/>
        <v>44511</v>
      </c>
      <c r="AG326" s="137" t="s">
        <v>416</v>
      </c>
      <c r="AH326" s="124"/>
    </row>
    <row r="327" spans="1:34" ht="12" customHeight="1">
      <c r="A327" s="154">
        <v>44510</v>
      </c>
      <c r="B327" s="140" t="s">
        <v>589</v>
      </c>
      <c r="C327" s="141" t="s">
        <v>460</v>
      </c>
      <c r="D327" s="140"/>
      <c r="E327" s="140" t="str">
        <f t="shared" si="0"/>
        <v>DCMSHRIRAM</v>
      </c>
      <c r="F327" s="140"/>
      <c r="G327" s="140"/>
      <c r="H327" s="140"/>
      <c r="I327" s="141" t="s">
        <v>467</v>
      </c>
      <c r="J327" s="139" t="s">
        <v>483</v>
      </c>
      <c r="K327" s="141"/>
      <c r="L327" s="141"/>
      <c r="M327" s="142">
        <v>110</v>
      </c>
      <c r="N327" s="143">
        <v>1019.855</v>
      </c>
      <c r="O327" s="144">
        <f t="shared" si="39"/>
        <v>0</v>
      </c>
      <c r="P327" s="144">
        <f t="shared" ref="P327:P332" si="312">N327+O327</f>
        <v>1019.855</v>
      </c>
      <c r="Q327" s="144"/>
      <c r="R327" s="144">
        <f t="shared" si="3"/>
        <v>112184.05</v>
      </c>
      <c r="S327" s="145">
        <f t="shared" si="4"/>
        <v>1.2070000000000001</v>
      </c>
      <c r="T327" s="145">
        <f t="shared" si="75"/>
        <v>0</v>
      </c>
      <c r="U327" s="145">
        <f t="shared" si="36"/>
        <v>0.56000000000000005</v>
      </c>
      <c r="V327" s="145">
        <f t="shared" si="62"/>
        <v>112.18</v>
      </c>
      <c r="W327" s="145">
        <f t="shared" ref="W327:W332" si="313">ROUND(R327*F$1823,2)</f>
        <v>16.829999999999998</v>
      </c>
      <c r="X327" s="145">
        <f t="shared" si="311"/>
        <v>3.09</v>
      </c>
      <c r="Y327" s="145">
        <f t="shared" si="218"/>
        <v>0.11</v>
      </c>
      <c r="Z327" s="146">
        <f t="shared" si="10"/>
        <v>132.77000000000001</v>
      </c>
      <c r="AA327" s="147">
        <f t="shared" ref="AA327:AA332" si="314">-ROUND(R327+SUM(T327:Y327),2)</f>
        <v>-112316.82</v>
      </c>
      <c r="AB327" s="148">
        <f t="shared" si="231"/>
        <v>-112317</v>
      </c>
      <c r="AC327" s="149">
        <f t="shared" si="48"/>
        <v>-0.17999999999301508</v>
      </c>
      <c r="AD327" s="138">
        <v>44512</v>
      </c>
      <c r="AE327" s="150">
        <f t="shared" si="13"/>
        <v>1.1839999999999999E-3</v>
      </c>
      <c r="AF327" s="151">
        <f t="shared" si="14"/>
        <v>44512</v>
      </c>
      <c r="AG327" s="152" t="s">
        <v>416</v>
      </c>
      <c r="AH327" s="124"/>
    </row>
    <row r="328" spans="1:34" ht="12" customHeight="1">
      <c r="A328" s="154">
        <v>44510</v>
      </c>
      <c r="B328" s="140" t="s">
        <v>576</v>
      </c>
      <c r="C328" s="141" t="s">
        <v>485</v>
      </c>
      <c r="D328" s="140"/>
      <c r="E328" s="140" t="str">
        <f t="shared" si="0"/>
        <v>CDSL</v>
      </c>
      <c r="F328" s="140"/>
      <c r="G328" s="140"/>
      <c r="H328" s="140"/>
      <c r="I328" s="141" t="s">
        <v>467</v>
      </c>
      <c r="J328" s="139" t="s">
        <v>483</v>
      </c>
      <c r="K328" s="141"/>
      <c r="L328" s="141"/>
      <c r="M328" s="142">
        <v>5</v>
      </c>
      <c r="N328" s="143">
        <v>1450</v>
      </c>
      <c r="O328" s="144">
        <f t="shared" si="39"/>
        <v>0</v>
      </c>
      <c r="P328" s="144">
        <f t="shared" si="312"/>
        <v>1450</v>
      </c>
      <c r="Q328" s="144"/>
      <c r="R328" s="144">
        <f t="shared" si="3"/>
        <v>7250</v>
      </c>
      <c r="S328" s="145">
        <f t="shared" si="4"/>
        <v>1.718</v>
      </c>
      <c r="T328" s="145">
        <f t="shared" si="75"/>
        <v>0</v>
      </c>
      <c r="U328" s="145">
        <f t="shared" si="36"/>
        <v>0.04</v>
      </c>
      <c r="V328" s="145">
        <f t="shared" si="62"/>
        <v>7.25</v>
      </c>
      <c r="W328" s="145">
        <f t="shared" si="313"/>
        <v>1.0900000000000001</v>
      </c>
      <c r="X328" s="145">
        <f t="shared" si="311"/>
        <v>0.2</v>
      </c>
      <c r="Y328" s="145">
        <f t="shared" si="218"/>
        <v>0.01</v>
      </c>
      <c r="Z328" s="146">
        <f t="shared" si="10"/>
        <v>8.59</v>
      </c>
      <c r="AA328" s="147">
        <f t="shared" si="314"/>
        <v>-7258.59</v>
      </c>
      <c r="AB328" s="148">
        <f t="shared" si="231"/>
        <v>-7259</v>
      </c>
      <c r="AC328" s="149">
        <f t="shared" si="48"/>
        <v>-0.40999999999985448</v>
      </c>
      <c r="AD328" s="138">
        <v>44512</v>
      </c>
      <c r="AE328" s="150">
        <f t="shared" si="13"/>
        <v>1.1850000000000001E-3</v>
      </c>
      <c r="AF328" s="151">
        <f t="shared" si="14"/>
        <v>44512</v>
      </c>
      <c r="AG328" s="152" t="s">
        <v>416</v>
      </c>
      <c r="AH328" s="124"/>
    </row>
    <row r="329" spans="1:34" ht="12" customHeight="1">
      <c r="A329" s="154">
        <v>44511</v>
      </c>
      <c r="B329" s="140" t="s">
        <v>498</v>
      </c>
      <c r="C329" s="141" t="s">
        <v>485</v>
      </c>
      <c r="D329" s="140"/>
      <c r="E329" s="140" t="str">
        <f t="shared" si="0"/>
        <v>BAJFINANCE</v>
      </c>
      <c r="F329" s="140"/>
      <c r="G329" s="140"/>
      <c r="H329" s="140"/>
      <c r="I329" s="141" t="s">
        <v>467</v>
      </c>
      <c r="J329" s="139" t="s">
        <v>483</v>
      </c>
      <c r="K329" s="141"/>
      <c r="L329" s="141"/>
      <c r="M329" s="142">
        <v>1</v>
      </c>
      <c r="N329" s="143">
        <v>7460</v>
      </c>
      <c r="O329" s="144">
        <f t="shared" si="39"/>
        <v>0</v>
      </c>
      <c r="P329" s="144">
        <f t="shared" si="312"/>
        <v>7460</v>
      </c>
      <c r="Q329" s="144"/>
      <c r="R329" s="144">
        <f t="shared" si="3"/>
        <v>7460</v>
      </c>
      <c r="S329" s="145">
        <f t="shared" si="4"/>
        <v>8.8400000000000016</v>
      </c>
      <c r="T329" s="145">
        <f t="shared" si="75"/>
        <v>0</v>
      </c>
      <c r="U329" s="145">
        <f t="shared" si="36"/>
        <v>0.04</v>
      </c>
      <c r="V329" s="145">
        <f t="shared" si="62"/>
        <v>7.46</v>
      </c>
      <c r="W329" s="145">
        <f t="shared" si="313"/>
        <v>1.1200000000000001</v>
      </c>
      <c r="X329" s="145">
        <f t="shared" si="311"/>
        <v>0.21</v>
      </c>
      <c r="Y329" s="145">
        <f t="shared" si="218"/>
        <v>0.01</v>
      </c>
      <c r="Z329" s="146">
        <f t="shared" si="10"/>
        <v>8.8400000000000016</v>
      </c>
      <c r="AA329" s="147">
        <f t="shared" si="314"/>
        <v>-7468.84</v>
      </c>
      <c r="AB329" s="148">
        <f t="shared" si="231"/>
        <v>-7469</v>
      </c>
      <c r="AC329" s="149">
        <f t="shared" si="48"/>
        <v>-0.15999999999985448</v>
      </c>
      <c r="AD329" s="138">
        <v>44515</v>
      </c>
      <c r="AE329" s="150">
        <f t="shared" si="13"/>
        <v>1.1850000000000001E-3</v>
      </c>
      <c r="AF329" s="151">
        <f t="shared" si="14"/>
        <v>44515</v>
      </c>
      <c r="AG329" s="152" t="s">
        <v>416</v>
      </c>
      <c r="AH329" s="124"/>
    </row>
    <row r="330" spans="1:34" ht="12" customHeight="1">
      <c r="A330" s="154">
        <v>44511</v>
      </c>
      <c r="B330" s="140" t="s">
        <v>493</v>
      </c>
      <c r="C330" s="141" t="s">
        <v>485</v>
      </c>
      <c r="D330" s="140"/>
      <c r="E330" s="140" t="str">
        <f t="shared" si="0"/>
        <v>SBIN</v>
      </c>
      <c r="F330" s="140"/>
      <c r="G330" s="140"/>
      <c r="H330" s="140"/>
      <c r="I330" s="141" t="s">
        <v>467</v>
      </c>
      <c r="J330" s="139" t="s">
        <v>483</v>
      </c>
      <c r="K330" s="141"/>
      <c r="L330" s="141"/>
      <c r="M330" s="142">
        <v>25</v>
      </c>
      <c r="N330" s="143">
        <v>519</v>
      </c>
      <c r="O330" s="144">
        <f t="shared" si="39"/>
        <v>0</v>
      </c>
      <c r="P330" s="144">
        <f t="shared" si="312"/>
        <v>519</v>
      </c>
      <c r="Q330" s="144"/>
      <c r="R330" s="144">
        <f t="shared" si="3"/>
        <v>12975</v>
      </c>
      <c r="S330" s="145">
        <f t="shared" si="4"/>
        <v>0.61879999999999991</v>
      </c>
      <c r="T330" s="145">
        <f t="shared" si="75"/>
        <v>0</v>
      </c>
      <c r="U330" s="145">
        <f t="shared" si="36"/>
        <v>0.08</v>
      </c>
      <c r="V330" s="145">
        <f t="shared" si="62"/>
        <v>12.98</v>
      </c>
      <c r="W330" s="145">
        <f t="shared" si="313"/>
        <v>1.95</v>
      </c>
      <c r="X330" s="145">
        <f t="shared" ref="X330:X332" si="315">ROUND(R330*H$1820,2)</f>
        <v>0.45</v>
      </c>
      <c r="Y330" s="145">
        <f t="shared" si="218"/>
        <v>0.01</v>
      </c>
      <c r="Z330" s="146">
        <f t="shared" si="10"/>
        <v>15.469999999999999</v>
      </c>
      <c r="AA330" s="147">
        <f t="shared" si="314"/>
        <v>-12990.47</v>
      </c>
      <c r="AB330" s="148">
        <f t="shared" si="231"/>
        <v>-12990</v>
      </c>
      <c r="AC330" s="149">
        <f t="shared" si="48"/>
        <v>0.46999999999934516</v>
      </c>
      <c r="AD330" s="138">
        <v>44515</v>
      </c>
      <c r="AE330" s="150">
        <f t="shared" si="13"/>
        <v>1.1919999999999999E-3</v>
      </c>
      <c r="AF330" s="151">
        <f t="shared" si="14"/>
        <v>44515</v>
      </c>
      <c r="AG330" s="152" t="s">
        <v>416</v>
      </c>
      <c r="AH330" s="124"/>
    </row>
    <row r="331" spans="1:34" ht="12" customHeight="1">
      <c r="A331" s="154">
        <v>44511</v>
      </c>
      <c r="B331" s="140" t="s">
        <v>591</v>
      </c>
      <c r="C331" s="141" t="s">
        <v>485</v>
      </c>
      <c r="D331" s="140"/>
      <c r="E331" s="140" t="str">
        <f t="shared" si="0"/>
        <v>VSSL</v>
      </c>
      <c r="F331" s="140"/>
      <c r="G331" s="140"/>
      <c r="H331" s="140"/>
      <c r="I331" s="141" t="s">
        <v>467</v>
      </c>
      <c r="J331" s="139" t="s">
        <v>483</v>
      </c>
      <c r="K331" s="141"/>
      <c r="L331" s="141"/>
      <c r="M331" s="142">
        <v>25</v>
      </c>
      <c r="N331" s="157">
        <v>272</v>
      </c>
      <c r="O331" s="144">
        <f t="shared" si="39"/>
        <v>0</v>
      </c>
      <c r="P331" s="144">
        <f t="shared" si="312"/>
        <v>272</v>
      </c>
      <c r="Q331" s="144"/>
      <c r="R331" s="144">
        <f t="shared" si="3"/>
        <v>6800</v>
      </c>
      <c r="S331" s="145">
        <f t="shared" si="4"/>
        <v>0.32400000000000001</v>
      </c>
      <c r="T331" s="145">
        <f t="shared" si="75"/>
        <v>0</v>
      </c>
      <c r="U331" s="145">
        <f t="shared" si="36"/>
        <v>0.04</v>
      </c>
      <c r="V331" s="145">
        <f t="shared" si="62"/>
        <v>6.8</v>
      </c>
      <c r="W331" s="145">
        <f t="shared" si="313"/>
        <v>1.02</v>
      </c>
      <c r="X331" s="145">
        <f t="shared" si="315"/>
        <v>0.23</v>
      </c>
      <c r="Y331" s="145">
        <f t="shared" si="218"/>
        <v>0.01</v>
      </c>
      <c r="Z331" s="146">
        <f t="shared" si="10"/>
        <v>8.1</v>
      </c>
      <c r="AA331" s="147">
        <f t="shared" si="314"/>
        <v>-6808.1</v>
      </c>
      <c r="AB331" s="148">
        <f t="shared" si="231"/>
        <v>-6808</v>
      </c>
      <c r="AC331" s="149">
        <f t="shared" si="48"/>
        <v>0.1000000000003638</v>
      </c>
      <c r="AD331" s="138">
        <v>44515</v>
      </c>
      <c r="AE331" s="150">
        <f t="shared" si="13"/>
        <v>1.191E-3</v>
      </c>
      <c r="AF331" s="151">
        <f t="shared" si="14"/>
        <v>44515</v>
      </c>
      <c r="AG331" s="152" t="s">
        <v>416</v>
      </c>
      <c r="AH331" s="124"/>
    </row>
    <row r="332" spans="1:34" ht="12" customHeight="1">
      <c r="A332" s="154">
        <v>44512</v>
      </c>
      <c r="B332" s="140" t="s">
        <v>589</v>
      </c>
      <c r="C332" s="141" t="s">
        <v>460</v>
      </c>
      <c r="D332" s="140"/>
      <c r="E332" s="140" t="str">
        <f t="shared" si="0"/>
        <v>DCMSHRIRAM</v>
      </c>
      <c r="F332" s="140"/>
      <c r="G332" s="140"/>
      <c r="H332" s="140"/>
      <c r="I332" s="141" t="s">
        <v>467</v>
      </c>
      <c r="J332" s="139" t="s">
        <v>483</v>
      </c>
      <c r="K332" s="141"/>
      <c r="L332" s="141"/>
      <c r="M332" s="142">
        <v>90</v>
      </c>
      <c r="N332" s="143">
        <v>1011</v>
      </c>
      <c r="O332" s="144">
        <f t="shared" si="39"/>
        <v>0</v>
      </c>
      <c r="P332" s="144">
        <f t="shared" si="312"/>
        <v>1011</v>
      </c>
      <c r="Q332" s="144"/>
      <c r="R332" s="144">
        <f t="shared" si="3"/>
        <v>90990</v>
      </c>
      <c r="S332" s="145">
        <f t="shared" si="4"/>
        <v>1.2048888888888889</v>
      </c>
      <c r="T332" s="145">
        <f t="shared" si="75"/>
        <v>0</v>
      </c>
      <c r="U332" s="145">
        <f t="shared" si="36"/>
        <v>0.56999999999999995</v>
      </c>
      <c r="V332" s="145">
        <f t="shared" si="62"/>
        <v>90.99</v>
      </c>
      <c r="W332" s="145">
        <f t="shared" si="313"/>
        <v>13.65</v>
      </c>
      <c r="X332" s="145">
        <f t="shared" si="315"/>
        <v>3.14</v>
      </c>
      <c r="Y332" s="145">
        <f t="shared" si="218"/>
        <v>0.09</v>
      </c>
      <c r="Z332" s="146">
        <f t="shared" si="10"/>
        <v>108.44</v>
      </c>
      <c r="AA332" s="147">
        <f t="shared" si="314"/>
        <v>-91098.44</v>
      </c>
      <c r="AB332" s="148">
        <f t="shared" si="231"/>
        <v>-91098</v>
      </c>
      <c r="AC332" s="149">
        <f t="shared" si="48"/>
        <v>0.44000000000232831</v>
      </c>
      <c r="AD332" s="138">
        <v>44516</v>
      </c>
      <c r="AE332" s="150">
        <f t="shared" si="13"/>
        <v>1.1919999999999999E-3</v>
      </c>
      <c r="AF332" s="151">
        <f t="shared" si="14"/>
        <v>44516</v>
      </c>
      <c r="AG332" s="152" t="s">
        <v>416</v>
      </c>
      <c r="AH332" s="124"/>
    </row>
    <row r="333" spans="1:34" ht="12" customHeight="1">
      <c r="A333" s="155">
        <v>44512</v>
      </c>
      <c r="B333" s="112" t="s">
        <v>576</v>
      </c>
      <c r="C333" s="127" t="s">
        <v>485</v>
      </c>
      <c r="D333" s="112"/>
      <c r="E333" s="112" t="str">
        <f t="shared" si="0"/>
        <v>CDSL</v>
      </c>
      <c r="F333" s="112"/>
      <c r="G333" s="112"/>
      <c r="H333" s="112"/>
      <c r="I333" s="127" t="s">
        <v>461</v>
      </c>
      <c r="J333" s="126" t="s">
        <v>483</v>
      </c>
      <c r="K333" s="127"/>
      <c r="L333" s="127"/>
      <c r="M333" s="128">
        <v>10</v>
      </c>
      <c r="N333" s="158">
        <v>1466</v>
      </c>
      <c r="O333" s="130">
        <f t="shared" si="39"/>
        <v>0</v>
      </c>
      <c r="P333" s="130">
        <f t="shared" ref="P333:P334" si="316">N333-O333</f>
        <v>1466</v>
      </c>
      <c r="Q333" s="130"/>
      <c r="R333" s="130">
        <f t="shared" si="3"/>
        <v>14660</v>
      </c>
      <c r="S333" s="131">
        <f t="shared" si="4"/>
        <v>1.514</v>
      </c>
      <c r="T333" s="131">
        <f t="shared" si="75"/>
        <v>0</v>
      </c>
      <c r="U333" s="131">
        <f t="shared" si="36"/>
        <v>7.0000000000000007E-2</v>
      </c>
      <c r="V333" s="131">
        <f t="shared" si="62"/>
        <v>14.66</v>
      </c>
      <c r="W333" s="131">
        <v>0</v>
      </c>
      <c r="X333" s="131">
        <f>ROUND(R333*G$1820,2)</f>
        <v>0.4</v>
      </c>
      <c r="Y333" s="131">
        <f t="shared" si="218"/>
        <v>0.01</v>
      </c>
      <c r="Z333" s="131">
        <f t="shared" si="10"/>
        <v>15.14</v>
      </c>
      <c r="AA333" s="132">
        <f t="shared" ref="AA333:AA334" si="317">ROUND(R333-SUM(T333:Y333),2)</f>
        <v>14644.86</v>
      </c>
      <c r="AB333" s="133">
        <f t="shared" si="231"/>
        <v>14645</v>
      </c>
      <c r="AC333" s="134">
        <f t="shared" si="48"/>
        <v>0.13999999999941792</v>
      </c>
      <c r="AD333" s="125">
        <v>44516</v>
      </c>
      <c r="AE333" s="135">
        <f t="shared" si="13"/>
        <v>1.0330000000000001E-3</v>
      </c>
      <c r="AF333" s="136">
        <f t="shared" si="14"/>
        <v>44516</v>
      </c>
      <c r="AG333" s="137" t="s">
        <v>416</v>
      </c>
      <c r="AH333" s="124"/>
    </row>
    <row r="334" spans="1:34" ht="12" customHeight="1">
      <c r="A334" s="155">
        <v>44512</v>
      </c>
      <c r="B334" s="112" t="s">
        <v>579</v>
      </c>
      <c r="C334" s="127" t="s">
        <v>485</v>
      </c>
      <c r="D334" s="112"/>
      <c r="E334" s="112" t="str">
        <f t="shared" si="0"/>
        <v>INDIGO</v>
      </c>
      <c r="F334" s="112"/>
      <c r="G334" s="112"/>
      <c r="H334" s="112"/>
      <c r="I334" s="127" t="s">
        <v>461</v>
      </c>
      <c r="J334" s="126" t="s">
        <v>483</v>
      </c>
      <c r="K334" s="127"/>
      <c r="L334" s="127"/>
      <c r="M334" s="128">
        <v>5</v>
      </c>
      <c r="N334" s="158">
        <v>2224</v>
      </c>
      <c r="O334" s="130">
        <f t="shared" si="39"/>
        <v>0</v>
      </c>
      <c r="P334" s="130">
        <f t="shared" si="316"/>
        <v>2224</v>
      </c>
      <c r="Q334" s="130"/>
      <c r="R334" s="130">
        <f t="shared" si="3"/>
        <v>11120</v>
      </c>
      <c r="S334" s="131">
        <f t="shared" si="4"/>
        <v>2.3159999999999998</v>
      </c>
      <c r="T334" s="131">
        <f t="shared" si="75"/>
        <v>0</v>
      </c>
      <c r="U334" s="131">
        <f t="shared" si="36"/>
        <v>7.0000000000000007E-2</v>
      </c>
      <c r="V334" s="131">
        <f t="shared" si="62"/>
        <v>11.12</v>
      </c>
      <c r="W334" s="131">
        <v>0</v>
      </c>
      <c r="X334" s="131">
        <f t="shared" ref="X334:X336" si="318">ROUND(R334*H$1820,2)</f>
        <v>0.38</v>
      </c>
      <c r="Y334" s="131">
        <f t="shared" si="218"/>
        <v>0.01</v>
      </c>
      <c r="Z334" s="131">
        <f t="shared" si="10"/>
        <v>11.58</v>
      </c>
      <c r="AA334" s="132">
        <f t="shared" si="317"/>
        <v>11108.42</v>
      </c>
      <c r="AB334" s="133">
        <f t="shared" si="231"/>
        <v>11108</v>
      </c>
      <c r="AC334" s="134">
        <f t="shared" si="48"/>
        <v>-0.42000000000007276</v>
      </c>
      <c r="AD334" s="125">
        <v>44516</v>
      </c>
      <c r="AE334" s="135">
        <f t="shared" si="13"/>
        <v>1.041E-3</v>
      </c>
      <c r="AF334" s="136">
        <f t="shared" si="14"/>
        <v>44516</v>
      </c>
      <c r="AG334" s="137" t="s">
        <v>416</v>
      </c>
      <c r="AH334" s="124"/>
    </row>
    <row r="335" spans="1:34" ht="12" customHeight="1">
      <c r="A335" s="154">
        <v>44515</v>
      </c>
      <c r="B335" s="140" t="s">
        <v>495</v>
      </c>
      <c r="C335" s="141" t="s">
        <v>485</v>
      </c>
      <c r="D335" s="140"/>
      <c r="E335" s="140" t="str">
        <f t="shared" si="0"/>
        <v>SAIL</v>
      </c>
      <c r="F335" s="140"/>
      <c r="G335" s="140"/>
      <c r="H335" s="140"/>
      <c r="I335" s="141" t="s">
        <v>467</v>
      </c>
      <c r="J335" s="139" t="s">
        <v>483</v>
      </c>
      <c r="K335" s="141"/>
      <c r="L335" s="141"/>
      <c r="M335" s="142">
        <v>100</v>
      </c>
      <c r="N335" s="143">
        <v>116.6</v>
      </c>
      <c r="O335" s="144">
        <f t="shared" si="39"/>
        <v>0</v>
      </c>
      <c r="P335" s="144">
        <f t="shared" ref="P335:P341" si="319">N335+O335</f>
        <v>116.6</v>
      </c>
      <c r="Q335" s="144"/>
      <c r="R335" s="144">
        <f t="shared" si="3"/>
        <v>11660</v>
      </c>
      <c r="S335" s="145">
        <f t="shared" si="4"/>
        <v>0.1389</v>
      </c>
      <c r="T335" s="145">
        <f t="shared" si="75"/>
        <v>0</v>
      </c>
      <c r="U335" s="145">
        <f t="shared" si="36"/>
        <v>7.0000000000000007E-2</v>
      </c>
      <c r="V335" s="145">
        <f t="shared" si="62"/>
        <v>11.66</v>
      </c>
      <c r="W335" s="145">
        <f t="shared" ref="W335:W341" si="320">ROUND(R335*F$1823,2)</f>
        <v>1.75</v>
      </c>
      <c r="X335" s="145">
        <f t="shared" si="318"/>
        <v>0.4</v>
      </c>
      <c r="Y335" s="145">
        <f t="shared" si="218"/>
        <v>0.01</v>
      </c>
      <c r="Z335" s="146">
        <f t="shared" si="10"/>
        <v>13.89</v>
      </c>
      <c r="AA335" s="147">
        <f t="shared" ref="AA335:AA341" si="321">-ROUND(R335+SUM(T335:Y335),2)</f>
        <v>-11673.89</v>
      </c>
      <c r="AB335" s="148">
        <f t="shared" si="231"/>
        <v>-11674</v>
      </c>
      <c r="AC335" s="149">
        <f t="shared" si="48"/>
        <v>-0.11000000000058208</v>
      </c>
      <c r="AD335" s="138">
        <v>44517</v>
      </c>
      <c r="AE335" s="150">
        <f t="shared" si="13"/>
        <v>1.191E-3</v>
      </c>
      <c r="AF335" s="151">
        <f t="shared" si="14"/>
        <v>44517</v>
      </c>
      <c r="AG335" s="152" t="s">
        <v>416</v>
      </c>
      <c r="AH335" s="124"/>
    </row>
    <row r="336" spans="1:34" ht="12" customHeight="1">
      <c r="A336" s="154">
        <v>44515</v>
      </c>
      <c r="B336" s="140" t="s">
        <v>479</v>
      </c>
      <c r="C336" s="141" t="s">
        <v>485</v>
      </c>
      <c r="D336" s="140"/>
      <c r="E336" s="140" t="str">
        <f t="shared" si="0"/>
        <v>TATAPOWER</v>
      </c>
      <c r="F336" s="140"/>
      <c r="G336" s="140"/>
      <c r="H336" s="140"/>
      <c r="I336" s="141" t="s">
        <v>467</v>
      </c>
      <c r="J336" s="139" t="s">
        <v>483</v>
      </c>
      <c r="K336" s="141"/>
      <c r="L336" s="141"/>
      <c r="M336" s="142">
        <v>50</v>
      </c>
      <c r="N336" s="143">
        <v>241.75</v>
      </c>
      <c r="O336" s="144">
        <f t="shared" si="39"/>
        <v>0</v>
      </c>
      <c r="P336" s="144">
        <f t="shared" si="319"/>
        <v>241.75</v>
      </c>
      <c r="Q336" s="144"/>
      <c r="R336" s="144">
        <f t="shared" si="3"/>
        <v>12087.5</v>
      </c>
      <c r="S336" s="145">
        <f t="shared" si="4"/>
        <v>0.28820000000000001</v>
      </c>
      <c r="T336" s="145">
        <f t="shared" si="75"/>
        <v>0</v>
      </c>
      <c r="U336" s="145">
        <f t="shared" si="36"/>
        <v>0.08</v>
      </c>
      <c r="V336" s="145">
        <f t="shared" si="62"/>
        <v>12.09</v>
      </c>
      <c r="W336" s="145">
        <f t="shared" si="320"/>
        <v>1.81</v>
      </c>
      <c r="X336" s="145">
        <f t="shared" si="318"/>
        <v>0.42</v>
      </c>
      <c r="Y336" s="145">
        <f t="shared" si="218"/>
        <v>0.01</v>
      </c>
      <c r="Z336" s="146">
        <f t="shared" si="10"/>
        <v>14.41</v>
      </c>
      <c r="AA336" s="147">
        <f t="shared" si="321"/>
        <v>-12101.91</v>
      </c>
      <c r="AB336" s="148">
        <f t="shared" si="231"/>
        <v>-12102</v>
      </c>
      <c r="AC336" s="149">
        <f t="shared" si="48"/>
        <v>-9.0000000000145519E-2</v>
      </c>
      <c r="AD336" s="138">
        <v>44517</v>
      </c>
      <c r="AE336" s="150">
        <f t="shared" si="13"/>
        <v>1.1919999999999999E-3</v>
      </c>
      <c r="AF336" s="151">
        <f t="shared" si="14"/>
        <v>44517</v>
      </c>
      <c r="AG336" s="152" t="s">
        <v>416</v>
      </c>
      <c r="AH336" s="124"/>
    </row>
    <row r="337" spans="1:34" ht="12" customHeight="1">
      <c r="A337" s="154">
        <v>44515</v>
      </c>
      <c r="B337" s="140" t="s">
        <v>593</v>
      </c>
      <c r="C337" s="141" t="s">
        <v>485</v>
      </c>
      <c r="D337" s="140"/>
      <c r="E337" s="140" t="str">
        <f t="shared" si="0"/>
        <v>AVADHSUGAR</v>
      </c>
      <c r="F337" s="140"/>
      <c r="G337" s="140"/>
      <c r="H337" s="140"/>
      <c r="I337" s="141" t="s">
        <v>467</v>
      </c>
      <c r="J337" s="139" t="s">
        <v>483</v>
      </c>
      <c r="K337" s="141"/>
      <c r="L337" s="141"/>
      <c r="M337" s="142">
        <v>10</v>
      </c>
      <c r="N337" s="143">
        <v>455</v>
      </c>
      <c r="O337" s="144">
        <f t="shared" si="39"/>
        <v>0</v>
      </c>
      <c r="P337" s="144">
        <f t="shared" si="319"/>
        <v>455</v>
      </c>
      <c r="Q337" s="144"/>
      <c r="R337" s="144">
        <f t="shared" si="3"/>
        <v>4550</v>
      </c>
      <c r="S337" s="145">
        <f t="shared" si="4"/>
        <v>0.53799999999999992</v>
      </c>
      <c r="T337" s="145">
        <f t="shared" si="75"/>
        <v>0</v>
      </c>
      <c r="U337" s="145">
        <f t="shared" si="36"/>
        <v>0.02</v>
      </c>
      <c r="V337" s="145">
        <f t="shared" si="62"/>
        <v>4.55</v>
      </c>
      <c r="W337" s="145">
        <f t="shared" si="320"/>
        <v>0.68</v>
      </c>
      <c r="X337" s="145">
        <f>ROUND(R337*G$1820,2)</f>
        <v>0.13</v>
      </c>
      <c r="Y337" s="145">
        <f t="shared" si="218"/>
        <v>0</v>
      </c>
      <c r="Z337" s="146">
        <f t="shared" si="10"/>
        <v>5.379999999999999</v>
      </c>
      <c r="AA337" s="147">
        <f t="shared" si="321"/>
        <v>-4555.38</v>
      </c>
      <c r="AB337" s="148">
        <f t="shared" si="231"/>
        <v>-4555</v>
      </c>
      <c r="AC337" s="149">
        <f t="shared" si="48"/>
        <v>0.38000000000010914</v>
      </c>
      <c r="AD337" s="138">
        <v>44517</v>
      </c>
      <c r="AE337" s="150">
        <f t="shared" si="13"/>
        <v>1.1820000000000001E-3</v>
      </c>
      <c r="AF337" s="151">
        <f t="shared" si="14"/>
        <v>44517</v>
      </c>
      <c r="AG337" s="152" t="s">
        <v>416</v>
      </c>
      <c r="AH337" s="124"/>
    </row>
    <row r="338" spans="1:34" ht="12" customHeight="1">
      <c r="A338" s="154">
        <v>44515</v>
      </c>
      <c r="B338" s="140" t="s">
        <v>589</v>
      </c>
      <c r="C338" s="141" t="s">
        <v>460</v>
      </c>
      <c r="D338" s="140"/>
      <c r="E338" s="140" t="str">
        <f t="shared" si="0"/>
        <v>DCMSHRIRAM</v>
      </c>
      <c r="F338" s="140"/>
      <c r="G338" s="140"/>
      <c r="H338" s="140"/>
      <c r="I338" s="141" t="s">
        <v>467</v>
      </c>
      <c r="J338" s="139" t="s">
        <v>483</v>
      </c>
      <c r="K338" s="141"/>
      <c r="L338" s="141"/>
      <c r="M338" s="142">
        <v>100</v>
      </c>
      <c r="N338" s="143">
        <v>1001</v>
      </c>
      <c r="O338" s="144">
        <f t="shared" si="39"/>
        <v>0</v>
      </c>
      <c r="P338" s="144">
        <f t="shared" si="319"/>
        <v>1001</v>
      </c>
      <c r="Q338" s="144"/>
      <c r="R338" s="144">
        <f t="shared" si="3"/>
        <v>100100</v>
      </c>
      <c r="S338" s="145">
        <f t="shared" si="4"/>
        <v>1.1928999999999998</v>
      </c>
      <c r="T338" s="145">
        <f t="shared" si="75"/>
        <v>0</v>
      </c>
      <c r="U338" s="145">
        <f t="shared" si="36"/>
        <v>0.62</v>
      </c>
      <c r="V338" s="145">
        <f t="shared" si="62"/>
        <v>100.1</v>
      </c>
      <c r="W338" s="145">
        <f t="shared" si="320"/>
        <v>15.02</v>
      </c>
      <c r="X338" s="145">
        <f t="shared" ref="X338:X340" si="322">ROUND(R338*H$1820,2)</f>
        <v>3.45</v>
      </c>
      <c r="Y338" s="145">
        <f t="shared" si="218"/>
        <v>0.1</v>
      </c>
      <c r="Z338" s="146">
        <f t="shared" si="10"/>
        <v>119.28999999999999</v>
      </c>
      <c r="AA338" s="147">
        <f t="shared" si="321"/>
        <v>-100219.29</v>
      </c>
      <c r="AB338" s="148">
        <f t="shared" si="231"/>
        <v>-100219</v>
      </c>
      <c r="AC338" s="149">
        <f t="shared" si="48"/>
        <v>0.28999999999359716</v>
      </c>
      <c r="AD338" s="138">
        <v>44517</v>
      </c>
      <c r="AE338" s="150">
        <f t="shared" si="13"/>
        <v>1.1919999999999999E-3</v>
      </c>
      <c r="AF338" s="151">
        <f t="shared" si="14"/>
        <v>44517</v>
      </c>
      <c r="AG338" s="152" t="s">
        <v>416</v>
      </c>
      <c r="AH338" s="124"/>
    </row>
    <row r="339" spans="1:34" ht="12" customHeight="1">
      <c r="A339" s="154">
        <v>44516</v>
      </c>
      <c r="B339" s="140" t="s">
        <v>594</v>
      </c>
      <c r="C339" s="141" t="s">
        <v>485</v>
      </c>
      <c r="D339" s="140"/>
      <c r="E339" s="140" t="str">
        <f t="shared" si="0"/>
        <v>DEVYANI</v>
      </c>
      <c r="F339" s="140"/>
      <c r="G339" s="140"/>
      <c r="H339" s="140"/>
      <c r="I339" s="141" t="s">
        <v>467</v>
      </c>
      <c r="J339" s="139" t="s">
        <v>483</v>
      </c>
      <c r="K339" s="141"/>
      <c r="L339" s="141"/>
      <c r="M339" s="142">
        <v>20</v>
      </c>
      <c r="N339" s="143">
        <v>163.5</v>
      </c>
      <c r="O339" s="144">
        <f t="shared" si="39"/>
        <v>0</v>
      </c>
      <c r="P339" s="144">
        <f t="shared" si="319"/>
        <v>163.5</v>
      </c>
      <c r="Q339" s="144"/>
      <c r="R339" s="144">
        <f t="shared" si="3"/>
        <v>3270</v>
      </c>
      <c r="S339" s="145">
        <f t="shared" si="4"/>
        <v>0.19450000000000001</v>
      </c>
      <c r="T339" s="145">
        <f t="shared" si="75"/>
        <v>0</v>
      </c>
      <c r="U339" s="145">
        <f t="shared" si="36"/>
        <v>0.02</v>
      </c>
      <c r="V339" s="145">
        <f t="shared" si="62"/>
        <v>3.27</v>
      </c>
      <c r="W339" s="145">
        <f t="shared" si="320"/>
        <v>0.49</v>
      </c>
      <c r="X339" s="145">
        <f t="shared" si="322"/>
        <v>0.11</v>
      </c>
      <c r="Y339" s="145">
        <f t="shared" si="218"/>
        <v>0</v>
      </c>
      <c r="Z339" s="146">
        <f t="shared" si="10"/>
        <v>3.89</v>
      </c>
      <c r="AA339" s="147">
        <f t="shared" si="321"/>
        <v>-3273.89</v>
      </c>
      <c r="AB339" s="148">
        <f t="shared" si="231"/>
        <v>-3274</v>
      </c>
      <c r="AC339" s="149">
        <f t="shared" si="48"/>
        <v>-0.11000000000012733</v>
      </c>
      <c r="AD339" s="138">
        <v>44518</v>
      </c>
      <c r="AE339" s="150">
        <f t="shared" si="13"/>
        <v>1.1900000000000001E-3</v>
      </c>
      <c r="AF339" s="151">
        <f t="shared" si="14"/>
        <v>44518</v>
      </c>
      <c r="AG339" s="152" t="s">
        <v>416</v>
      </c>
      <c r="AH339" s="124"/>
    </row>
    <row r="340" spans="1:34" ht="12" customHeight="1">
      <c r="A340" s="154">
        <v>44517</v>
      </c>
      <c r="B340" s="140" t="s">
        <v>595</v>
      </c>
      <c r="C340" s="141" t="s">
        <v>485</v>
      </c>
      <c r="D340" s="140"/>
      <c r="E340" s="140" t="str">
        <f t="shared" si="0"/>
        <v>HAVELLS</v>
      </c>
      <c r="F340" s="140"/>
      <c r="G340" s="140"/>
      <c r="H340" s="140"/>
      <c r="I340" s="141" t="s">
        <v>467</v>
      </c>
      <c r="J340" s="139" t="s">
        <v>483</v>
      </c>
      <c r="K340" s="141"/>
      <c r="L340" s="141"/>
      <c r="M340" s="142">
        <v>5</v>
      </c>
      <c r="N340" s="143">
        <v>1390</v>
      </c>
      <c r="O340" s="144">
        <f t="shared" si="39"/>
        <v>0</v>
      </c>
      <c r="P340" s="144">
        <f t="shared" si="319"/>
        <v>1390</v>
      </c>
      <c r="Q340" s="144"/>
      <c r="R340" s="144">
        <f t="shared" si="3"/>
        <v>6950</v>
      </c>
      <c r="S340" s="145">
        <f t="shared" si="4"/>
        <v>1.6560000000000001</v>
      </c>
      <c r="T340" s="145">
        <f t="shared" si="75"/>
        <v>0</v>
      </c>
      <c r="U340" s="145">
        <f t="shared" si="36"/>
        <v>0.04</v>
      </c>
      <c r="V340" s="145">
        <f t="shared" si="62"/>
        <v>6.95</v>
      </c>
      <c r="W340" s="145">
        <f t="shared" si="320"/>
        <v>1.04</v>
      </c>
      <c r="X340" s="145">
        <f t="shared" si="322"/>
        <v>0.24</v>
      </c>
      <c r="Y340" s="145">
        <f t="shared" si="218"/>
        <v>0.01</v>
      </c>
      <c r="Z340" s="146">
        <f t="shared" si="10"/>
        <v>8.2800000000000011</v>
      </c>
      <c r="AA340" s="147">
        <f t="shared" si="321"/>
        <v>-6958.28</v>
      </c>
      <c r="AB340" s="148">
        <f t="shared" si="231"/>
        <v>-6958</v>
      </c>
      <c r="AC340" s="149">
        <f t="shared" si="48"/>
        <v>0.27999999999974534</v>
      </c>
      <c r="AD340" s="138">
        <v>44522</v>
      </c>
      <c r="AE340" s="150">
        <f t="shared" si="13"/>
        <v>1.191E-3</v>
      </c>
      <c r="AF340" s="151">
        <f t="shared" si="14"/>
        <v>44522</v>
      </c>
      <c r="AG340" s="152" t="s">
        <v>416</v>
      </c>
      <c r="AH340" s="124"/>
    </row>
    <row r="341" spans="1:34" ht="12" customHeight="1">
      <c r="A341" s="154">
        <v>44517</v>
      </c>
      <c r="B341" s="140" t="s">
        <v>596</v>
      </c>
      <c r="C341" s="141" t="s">
        <v>485</v>
      </c>
      <c r="D341" s="140"/>
      <c r="E341" s="140" t="str">
        <f t="shared" si="0"/>
        <v>VOLTAMP</v>
      </c>
      <c r="F341" s="140"/>
      <c r="G341" s="140"/>
      <c r="H341" s="140"/>
      <c r="I341" s="141" t="s">
        <v>467</v>
      </c>
      <c r="J341" s="139" t="s">
        <v>483</v>
      </c>
      <c r="K341" s="141"/>
      <c r="L341" s="141"/>
      <c r="M341" s="142">
        <v>2</v>
      </c>
      <c r="N341" s="143">
        <v>1985</v>
      </c>
      <c r="O341" s="144">
        <f t="shared" si="39"/>
        <v>0</v>
      </c>
      <c r="P341" s="144">
        <f t="shared" si="319"/>
        <v>1985</v>
      </c>
      <c r="Q341" s="144"/>
      <c r="R341" s="144">
        <f t="shared" si="3"/>
        <v>3970</v>
      </c>
      <c r="S341" s="145">
        <f t="shared" si="4"/>
        <v>2.35</v>
      </c>
      <c r="T341" s="145">
        <f t="shared" si="75"/>
        <v>0</v>
      </c>
      <c r="U341" s="145">
        <f t="shared" si="36"/>
        <v>0.02</v>
      </c>
      <c r="V341" s="145">
        <f t="shared" si="62"/>
        <v>3.97</v>
      </c>
      <c r="W341" s="145">
        <f t="shared" si="320"/>
        <v>0.6</v>
      </c>
      <c r="X341" s="145">
        <f t="shared" ref="X341:X343" si="323">ROUND(R341*G$1820,2)</f>
        <v>0.11</v>
      </c>
      <c r="Y341" s="145">
        <f t="shared" si="218"/>
        <v>0</v>
      </c>
      <c r="Z341" s="146">
        <f t="shared" si="10"/>
        <v>4.7</v>
      </c>
      <c r="AA341" s="147">
        <f t="shared" si="321"/>
        <v>-3974.7</v>
      </c>
      <c r="AB341" s="148">
        <f t="shared" si="231"/>
        <v>-3975</v>
      </c>
      <c r="AC341" s="149">
        <f t="shared" si="48"/>
        <v>-0.3000000000001819</v>
      </c>
      <c r="AD341" s="138">
        <v>44522</v>
      </c>
      <c r="AE341" s="150">
        <f t="shared" si="13"/>
        <v>1.1839999999999999E-3</v>
      </c>
      <c r="AF341" s="151">
        <f t="shared" si="14"/>
        <v>44522</v>
      </c>
      <c r="AG341" s="152" t="s">
        <v>416</v>
      </c>
      <c r="AH341" s="124"/>
    </row>
    <row r="342" spans="1:34" ht="12" customHeight="1">
      <c r="A342" s="155">
        <v>44517</v>
      </c>
      <c r="B342" s="112" t="s">
        <v>590</v>
      </c>
      <c r="C342" s="127" t="s">
        <v>485</v>
      </c>
      <c r="D342" s="112"/>
      <c r="E342" s="112" t="str">
        <f t="shared" si="0"/>
        <v>ITC</v>
      </c>
      <c r="F342" s="112"/>
      <c r="G342" s="112"/>
      <c r="H342" s="112"/>
      <c r="I342" s="127" t="s">
        <v>461</v>
      </c>
      <c r="J342" s="126" t="s">
        <v>483</v>
      </c>
      <c r="K342" s="127"/>
      <c r="L342" s="127"/>
      <c r="M342" s="128">
        <v>60</v>
      </c>
      <c r="N342" s="129">
        <v>238</v>
      </c>
      <c r="O342" s="130">
        <f t="shared" si="39"/>
        <v>0</v>
      </c>
      <c r="P342" s="130">
        <f t="shared" ref="P342:P343" si="324">N342-O342</f>
        <v>238</v>
      </c>
      <c r="Q342" s="130"/>
      <c r="R342" s="130">
        <f t="shared" si="3"/>
        <v>14280</v>
      </c>
      <c r="S342" s="131">
        <f t="shared" si="4"/>
        <v>0.24583333333333332</v>
      </c>
      <c r="T342" s="131">
        <f t="shared" si="75"/>
        <v>0</v>
      </c>
      <c r="U342" s="131">
        <f t="shared" si="36"/>
        <v>7.0000000000000007E-2</v>
      </c>
      <c r="V342" s="131">
        <f t="shared" si="62"/>
        <v>14.28</v>
      </c>
      <c r="W342" s="131">
        <v>0</v>
      </c>
      <c r="X342" s="131">
        <f t="shared" si="323"/>
        <v>0.39</v>
      </c>
      <c r="Y342" s="131">
        <f t="shared" si="218"/>
        <v>0.01</v>
      </c>
      <c r="Z342" s="131">
        <f t="shared" si="10"/>
        <v>14.75</v>
      </c>
      <c r="AA342" s="132">
        <f t="shared" ref="AA342:AA343" si="325">ROUND(R342-SUM(T342:Y342),2)</f>
        <v>14265.25</v>
      </c>
      <c r="AB342" s="133">
        <f t="shared" si="231"/>
        <v>14265</v>
      </c>
      <c r="AC342" s="134">
        <f t="shared" si="48"/>
        <v>-0.25</v>
      </c>
      <c r="AD342" s="125">
        <v>44522</v>
      </c>
      <c r="AE342" s="135">
        <f t="shared" si="13"/>
        <v>1.0330000000000001E-3</v>
      </c>
      <c r="AF342" s="136">
        <f t="shared" si="14"/>
        <v>44522</v>
      </c>
      <c r="AG342" s="137" t="s">
        <v>416</v>
      </c>
      <c r="AH342" s="124"/>
    </row>
    <row r="343" spans="1:34" ht="12" customHeight="1">
      <c r="A343" s="155">
        <v>44517</v>
      </c>
      <c r="B343" s="112" t="s">
        <v>479</v>
      </c>
      <c r="C343" s="127" t="s">
        <v>485</v>
      </c>
      <c r="D343" s="112"/>
      <c r="E343" s="112" t="str">
        <f t="shared" si="0"/>
        <v>TATAPOWER</v>
      </c>
      <c r="F343" s="112"/>
      <c r="G343" s="112"/>
      <c r="H343" s="112"/>
      <c r="I343" s="127" t="s">
        <v>461</v>
      </c>
      <c r="J343" s="126" t="s">
        <v>483</v>
      </c>
      <c r="K343" s="127"/>
      <c r="L343" s="127"/>
      <c r="M343" s="128">
        <v>30</v>
      </c>
      <c r="N343" s="129">
        <v>250.2</v>
      </c>
      <c r="O343" s="130">
        <f t="shared" si="39"/>
        <v>0</v>
      </c>
      <c r="P343" s="130">
        <f t="shared" si="324"/>
        <v>250.2</v>
      </c>
      <c r="Q343" s="130"/>
      <c r="R343" s="130">
        <f t="shared" si="3"/>
        <v>7506</v>
      </c>
      <c r="S343" s="131">
        <f t="shared" si="4"/>
        <v>0.25900000000000001</v>
      </c>
      <c r="T343" s="131">
        <f t="shared" si="75"/>
        <v>0</v>
      </c>
      <c r="U343" s="131">
        <f t="shared" si="36"/>
        <v>0.04</v>
      </c>
      <c r="V343" s="131">
        <f t="shared" si="62"/>
        <v>7.51</v>
      </c>
      <c r="W343" s="131">
        <v>0</v>
      </c>
      <c r="X343" s="131">
        <f t="shared" si="323"/>
        <v>0.21</v>
      </c>
      <c r="Y343" s="131">
        <f t="shared" si="218"/>
        <v>0.01</v>
      </c>
      <c r="Z343" s="131">
        <f t="shared" si="10"/>
        <v>7.77</v>
      </c>
      <c r="AA343" s="132">
        <f t="shared" si="325"/>
        <v>7498.23</v>
      </c>
      <c r="AB343" s="133">
        <f t="shared" si="231"/>
        <v>7498</v>
      </c>
      <c r="AC343" s="134">
        <f t="shared" si="48"/>
        <v>-0.22999999999956344</v>
      </c>
      <c r="AD343" s="125">
        <v>44522</v>
      </c>
      <c r="AE343" s="135">
        <f t="shared" si="13"/>
        <v>1.0349999999999999E-3</v>
      </c>
      <c r="AF343" s="136">
        <f t="shared" si="14"/>
        <v>44522</v>
      </c>
      <c r="AG343" s="137" t="s">
        <v>416</v>
      </c>
      <c r="AH343" s="124"/>
    </row>
    <row r="344" spans="1:34" ht="12" customHeight="1">
      <c r="A344" s="154">
        <v>44518</v>
      </c>
      <c r="B344" s="140" t="s">
        <v>479</v>
      </c>
      <c r="C344" s="141" t="s">
        <v>485</v>
      </c>
      <c r="D344" s="140"/>
      <c r="E344" s="140" t="str">
        <f t="shared" si="0"/>
        <v>TATAPOWER</v>
      </c>
      <c r="F344" s="140"/>
      <c r="G344" s="140"/>
      <c r="H344" s="140"/>
      <c r="I344" s="141" t="s">
        <v>467</v>
      </c>
      <c r="J344" s="139" t="s">
        <v>483</v>
      </c>
      <c r="K344" s="141"/>
      <c r="L344" s="141"/>
      <c r="M344" s="142">
        <v>30</v>
      </c>
      <c r="N344" s="143">
        <v>244.45</v>
      </c>
      <c r="O344" s="144">
        <f t="shared" si="39"/>
        <v>0</v>
      </c>
      <c r="P344" s="144">
        <f t="shared" ref="P344:P345" si="326">N344+O344</f>
        <v>244.45</v>
      </c>
      <c r="Q344" s="144"/>
      <c r="R344" s="144">
        <f t="shared" si="3"/>
        <v>7333.5</v>
      </c>
      <c r="S344" s="145">
        <f t="shared" si="4"/>
        <v>0.29133333333333333</v>
      </c>
      <c r="T344" s="145">
        <f t="shared" si="75"/>
        <v>0</v>
      </c>
      <c r="U344" s="145">
        <f t="shared" si="36"/>
        <v>0.05</v>
      </c>
      <c r="V344" s="145">
        <f t="shared" si="62"/>
        <v>7.33</v>
      </c>
      <c r="W344" s="145">
        <f t="shared" ref="W344:W345" si="327">ROUND(R344*F$1823,2)</f>
        <v>1.1000000000000001</v>
      </c>
      <c r="X344" s="145">
        <f t="shared" ref="X344:X345" si="328">ROUND(R344*H$1820,2)</f>
        <v>0.25</v>
      </c>
      <c r="Y344" s="145">
        <f t="shared" si="218"/>
        <v>0.01</v>
      </c>
      <c r="Z344" s="146">
        <f t="shared" si="10"/>
        <v>8.74</v>
      </c>
      <c r="AA344" s="147">
        <f t="shared" ref="AA344:AA345" si="329">-ROUND(R344+SUM(T344:Y344),2)</f>
        <v>-7342.24</v>
      </c>
      <c r="AB344" s="148">
        <f t="shared" si="231"/>
        <v>-7342</v>
      </c>
      <c r="AC344" s="149">
        <f t="shared" si="48"/>
        <v>0.23999999999978172</v>
      </c>
      <c r="AD344" s="138">
        <v>44523</v>
      </c>
      <c r="AE344" s="150">
        <f t="shared" si="13"/>
        <v>1.1919999999999999E-3</v>
      </c>
      <c r="AF344" s="151">
        <f t="shared" si="14"/>
        <v>44523</v>
      </c>
      <c r="AG344" s="152" t="s">
        <v>416</v>
      </c>
      <c r="AH344" s="124"/>
    </row>
    <row r="345" spans="1:34" ht="12" customHeight="1">
      <c r="A345" s="154">
        <v>44518</v>
      </c>
      <c r="B345" s="140" t="s">
        <v>496</v>
      </c>
      <c r="C345" s="141" t="s">
        <v>485</v>
      </c>
      <c r="D345" s="140"/>
      <c r="E345" s="140" t="str">
        <f t="shared" si="0"/>
        <v>NATIONALUM</v>
      </c>
      <c r="F345" s="140"/>
      <c r="G345" s="140"/>
      <c r="H345" s="140"/>
      <c r="I345" s="141" t="s">
        <v>467</v>
      </c>
      <c r="J345" s="139" t="s">
        <v>483</v>
      </c>
      <c r="K345" s="141"/>
      <c r="L345" s="141"/>
      <c r="M345" s="142">
        <v>50</v>
      </c>
      <c r="N345" s="143">
        <v>97.25</v>
      </c>
      <c r="O345" s="144">
        <f t="shared" si="39"/>
        <v>0</v>
      </c>
      <c r="P345" s="144">
        <f t="shared" si="326"/>
        <v>97.25</v>
      </c>
      <c r="Q345" s="144"/>
      <c r="R345" s="144">
        <f t="shared" si="3"/>
        <v>4862.5</v>
      </c>
      <c r="S345" s="145">
        <f t="shared" si="4"/>
        <v>0.11580000000000001</v>
      </c>
      <c r="T345" s="145">
        <f t="shared" si="75"/>
        <v>0</v>
      </c>
      <c r="U345" s="145">
        <f t="shared" si="36"/>
        <v>0.03</v>
      </c>
      <c r="V345" s="145">
        <f t="shared" si="62"/>
        <v>4.8600000000000003</v>
      </c>
      <c r="W345" s="145">
        <f t="shared" si="327"/>
        <v>0.73</v>
      </c>
      <c r="X345" s="145">
        <f t="shared" si="328"/>
        <v>0.17</v>
      </c>
      <c r="Y345" s="145">
        <f t="shared" si="218"/>
        <v>0</v>
      </c>
      <c r="Z345" s="146">
        <f t="shared" si="10"/>
        <v>5.7900000000000009</v>
      </c>
      <c r="AA345" s="147">
        <f t="shared" si="329"/>
        <v>-4868.29</v>
      </c>
      <c r="AB345" s="148">
        <f t="shared" si="231"/>
        <v>-4868</v>
      </c>
      <c r="AC345" s="149">
        <f t="shared" si="48"/>
        <v>0.28999999999996362</v>
      </c>
      <c r="AD345" s="138">
        <v>44523</v>
      </c>
      <c r="AE345" s="150">
        <f t="shared" si="13"/>
        <v>1.191E-3</v>
      </c>
      <c r="AF345" s="151">
        <f t="shared" si="14"/>
        <v>44523</v>
      </c>
      <c r="AG345" s="152" t="s">
        <v>416</v>
      </c>
      <c r="AH345" s="124"/>
    </row>
    <row r="346" spans="1:34" ht="12" customHeight="1">
      <c r="A346" s="155">
        <v>44525</v>
      </c>
      <c r="B346" s="112" t="s">
        <v>479</v>
      </c>
      <c r="C346" s="127" t="s">
        <v>485</v>
      </c>
      <c r="D346" s="112"/>
      <c r="E346" s="112" t="str">
        <f t="shared" si="0"/>
        <v>TATAPOWER</v>
      </c>
      <c r="F346" s="112"/>
      <c r="G346" s="112"/>
      <c r="H346" s="112"/>
      <c r="I346" s="127" t="s">
        <v>461</v>
      </c>
      <c r="J346" s="126" t="s">
        <v>483</v>
      </c>
      <c r="K346" s="127"/>
      <c r="L346" s="127"/>
      <c r="M346" s="128">
        <v>50</v>
      </c>
      <c r="N346" s="129">
        <v>243.75</v>
      </c>
      <c r="O346" s="130">
        <f t="shared" si="39"/>
        <v>0</v>
      </c>
      <c r="P346" s="130">
        <f>N346-O346</f>
        <v>243.75</v>
      </c>
      <c r="Q346" s="130"/>
      <c r="R346" s="130">
        <f t="shared" si="3"/>
        <v>12187.5</v>
      </c>
      <c r="S346" s="131">
        <f t="shared" si="4"/>
        <v>0.252</v>
      </c>
      <c r="T346" s="131">
        <f t="shared" si="75"/>
        <v>0</v>
      </c>
      <c r="U346" s="131">
        <f t="shared" si="36"/>
        <v>0.06</v>
      </c>
      <c r="V346" s="131">
        <f t="shared" si="62"/>
        <v>12.19</v>
      </c>
      <c r="W346" s="131">
        <v>0</v>
      </c>
      <c r="X346" s="131">
        <f>ROUND(R346*G$1820,2)</f>
        <v>0.34</v>
      </c>
      <c r="Y346" s="131">
        <f t="shared" si="218"/>
        <v>0.01</v>
      </c>
      <c r="Z346" s="131">
        <f t="shared" si="10"/>
        <v>12.6</v>
      </c>
      <c r="AA346" s="132">
        <f>ROUND(R346-SUM(T346:Y346),2)</f>
        <v>12174.9</v>
      </c>
      <c r="AB346" s="133">
        <f t="shared" si="231"/>
        <v>12175</v>
      </c>
      <c r="AC346" s="134">
        <f t="shared" si="48"/>
        <v>0.1000000000003638</v>
      </c>
      <c r="AD346" s="125">
        <v>44529</v>
      </c>
      <c r="AE346" s="135">
        <f t="shared" si="13"/>
        <v>1.034E-3</v>
      </c>
      <c r="AF346" s="136">
        <f t="shared" si="14"/>
        <v>44529</v>
      </c>
      <c r="AG346" s="137" t="s">
        <v>416</v>
      </c>
      <c r="AH346" s="124"/>
    </row>
    <row r="347" spans="1:34" ht="12" customHeight="1">
      <c r="A347" s="154">
        <v>44526</v>
      </c>
      <c r="B347" s="140" t="s">
        <v>479</v>
      </c>
      <c r="C347" s="141" t="s">
        <v>485</v>
      </c>
      <c r="D347" s="140"/>
      <c r="E347" s="140" t="str">
        <f t="shared" si="0"/>
        <v>TATAPOWER</v>
      </c>
      <c r="F347" s="140"/>
      <c r="G347" s="140"/>
      <c r="H347" s="140"/>
      <c r="I347" s="141" t="s">
        <v>467</v>
      </c>
      <c r="J347" s="139" t="s">
        <v>483</v>
      </c>
      <c r="K347" s="141"/>
      <c r="L347" s="141"/>
      <c r="M347" s="142">
        <v>70</v>
      </c>
      <c r="N347" s="143">
        <v>233.85714285714286</v>
      </c>
      <c r="O347" s="144">
        <f t="shared" si="39"/>
        <v>0</v>
      </c>
      <c r="P347" s="144">
        <f>N347+O347</f>
        <v>233.85714285714286</v>
      </c>
      <c r="Q347" s="144"/>
      <c r="R347" s="144">
        <f t="shared" si="3"/>
        <v>16370</v>
      </c>
      <c r="S347" s="145">
        <f t="shared" si="4"/>
        <v>0.27871428571428575</v>
      </c>
      <c r="T347" s="145">
        <f t="shared" si="75"/>
        <v>0</v>
      </c>
      <c r="U347" s="145">
        <f t="shared" si="36"/>
        <v>0.1</v>
      </c>
      <c r="V347" s="145">
        <f t="shared" si="62"/>
        <v>16.37</v>
      </c>
      <c r="W347" s="145">
        <f>ROUND(R347*F$1823,2)</f>
        <v>2.46</v>
      </c>
      <c r="X347" s="145">
        <f>ROUND(R347*H$1820,2)</f>
        <v>0.56000000000000005</v>
      </c>
      <c r="Y347" s="145">
        <f t="shared" si="218"/>
        <v>0.02</v>
      </c>
      <c r="Z347" s="146">
        <f t="shared" si="10"/>
        <v>19.510000000000002</v>
      </c>
      <c r="AA347" s="147">
        <f>-ROUND(R347+SUM(T347:Y347),2)</f>
        <v>-16389.509999999998</v>
      </c>
      <c r="AB347" s="148">
        <f t="shared" si="231"/>
        <v>-16390</v>
      </c>
      <c r="AC347" s="149">
        <f t="shared" si="48"/>
        <v>-0.49000000000160071</v>
      </c>
      <c r="AD347" s="138">
        <v>44530</v>
      </c>
      <c r="AE347" s="150">
        <f t="shared" si="13"/>
        <v>1.1919999999999999E-3</v>
      </c>
      <c r="AF347" s="151">
        <f t="shared" si="14"/>
        <v>44530</v>
      </c>
      <c r="AG347" s="152" t="s">
        <v>416</v>
      </c>
      <c r="AH347" s="124"/>
    </row>
    <row r="348" spans="1:34" ht="12" customHeight="1">
      <c r="A348" s="155">
        <v>44529</v>
      </c>
      <c r="B348" s="112" t="s">
        <v>589</v>
      </c>
      <c r="C348" s="127" t="s">
        <v>460</v>
      </c>
      <c r="D348" s="112"/>
      <c r="E348" s="112" t="str">
        <f t="shared" si="0"/>
        <v>DCMSHRIRAM</v>
      </c>
      <c r="F348" s="112"/>
      <c r="G348" s="112"/>
      <c r="H348" s="112"/>
      <c r="I348" s="127" t="s">
        <v>461</v>
      </c>
      <c r="J348" s="126" t="s">
        <v>483</v>
      </c>
      <c r="K348" s="127"/>
      <c r="L348" s="127"/>
      <c r="M348" s="128">
        <v>100</v>
      </c>
      <c r="N348" s="129">
        <v>959</v>
      </c>
      <c r="O348" s="130">
        <f t="shared" si="39"/>
        <v>0</v>
      </c>
      <c r="P348" s="130">
        <f t="shared" ref="P348:P353" si="330">N348-O348</f>
        <v>959</v>
      </c>
      <c r="Q348" s="130"/>
      <c r="R348" s="130">
        <f t="shared" si="3"/>
        <v>95900</v>
      </c>
      <c r="S348" s="131">
        <f t="shared" si="4"/>
        <v>0.99120000000000008</v>
      </c>
      <c r="T348" s="131">
        <f t="shared" si="75"/>
        <v>0</v>
      </c>
      <c r="U348" s="131">
        <f t="shared" si="36"/>
        <v>0.48</v>
      </c>
      <c r="V348" s="131">
        <f t="shared" si="62"/>
        <v>95.9</v>
      </c>
      <c r="W348" s="131">
        <v>0</v>
      </c>
      <c r="X348" s="131">
        <f>ROUND(R348*G$1820,2)</f>
        <v>2.64</v>
      </c>
      <c r="Y348" s="131">
        <f t="shared" si="218"/>
        <v>0.1</v>
      </c>
      <c r="Z348" s="131">
        <f t="shared" si="10"/>
        <v>99.12</v>
      </c>
      <c r="AA348" s="132">
        <f t="shared" ref="AA348:AA353" si="331">ROUND(R348-SUM(T348:Y348),2)</f>
        <v>95800.88</v>
      </c>
      <c r="AB348" s="133">
        <f t="shared" si="231"/>
        <v>95801</v>
      </c>
      <c r="AC348" s="134">
        <f t="shared" si="48"/>
        <v>0.11999999999534339</v>
      </c>
      <c r="AD348" s="125">
        <v>44531</v>
      </c>
      <c r="AE348" s="135">
        <f t="shared" si="13"/>
        <v>1.034E-3</v>
      </c>
      <c r="AF348" s="136">
        <f t="shared" si="14"/>
        <v>44531</v>
      </c>
      <c r="AG348" s="137" t="s">
        <v>416</v>
      </c>
      <c r="AH348" s="124"/>
    </row>
    <row r="349" spans="1:34" ht="12" customHeight="1">
      <c r="A349" s="155">
        <v>44530</v>
      </c>
      <c r="B349" s="112" t="s">
        <v>588</v>
      </c>
      <c r="C349" s="127" t="s">
        <v>485</v>
      </c>
      <c r="D349" s="112"/>
      <c r="E349" s="112" t="str">
        <f t="shared" si="0"/>
        <v>TCS</v>
      </c>
      <c r="F349" s="112"/>
      <c r="G349" s="112"/>
      <c r="H349" s="112"/>
      <c r="I349" s="127" t="s">
        <v>461</v>
      </c>
      <c r="J349" s="126" t="s">
        <v>483</v>
      </c>
      <c r="K349" s="127"/>
      <c r="L349" s="127"/>
      <c r="M349" s="128">
        <v>2</v>
      </c>
      <c r="N349" s="129">
        <v>3550</v>
      </c>
      <c r="O349" s="130">
        <f t="shared" si="39"/>
        <v>0</v>
      </c>
      <c r="P349" s="130">
        <f t="shared" si="330"/>
        <v>3550</v>
      </c>
      <c r="Q349" s="130"/>
      <c r="R349" s="130">
        <f t="shared" si="3"/>
        <v>7100</v>
      </c>
      <c r="S349" s="131">
        <f t="shared" si="4"/>
        <v>3.6949999999999998</v>
      </c>
      <c r="T349" s="131">
        <f t="shared" si="75"/>
        <v>0</v>
      </c>
      <c r="U349" s="131">
        <f t="shared" si="36"/>
        <v>0.04</v>
      </c>
      <c r="V349" s="131">
        <f t="shared" si="62"/>
        <v>7.1</v>
      </c>
      <c r="W349" s="131">
        <v>0</v>
      </c>
      <c r="X349" s="131">
        <f t="shared" ref="X349:X351" si="332">ROUND(R349*H$1820,2)</f>
        <v>0.24</v>
      </c>
      <c r="Y349" s="131">
        <f t="shared" si="218"/>
        <v>0.01</v>
      </c>
      <c r="Z349" s="131">
        <f t="shared" si="10"/>
        <v>7.39</v>
      </c>
      <c r="AA349" s="132">
        <f t="shared" si="331"/>
        <v>7092.61</v>
      </c>
      <c r="AB349" s="133">
        <f t="shared" si="231"/>
        <v>7093</v>
      </c>
      <c r="AC349" s="134">
        <f t="shared" si="48"/>
        <v>0.39000000000032742</v>
      </c>
      <c r="AD349" s="125">
        <v>44532</v>
      </c>
      <c r="AE349" s="135">
        <f t="shared" si="13"/>
        <v>1.041E-3</v>
      </c>
      <c r="AF349" s="136">
        <f t="shared" si="14"/>
        <v>44532</v>
      </c>
      <c r="AG349" s="137" t="s">
        <v>416</v>
      </c>
      <c r="AH349" s="124"/>
    </row>
    <row r="350" spans="1:34" ht="12" customHeight="1">
      <c r="A350" s="155">
        <v>44531</v>
      </c>
      <c r="B350" s="112" t="s">
        <v>588</v>
      </c>
      <c r="C350" s="127" t="s">
        <v>485</v>
      </c>
      <c r="D350" s="112"/>
      <c r="E350" s="112" t="str">
        <f t="shared" si="0"/>
        <v>TCS</v>
      </c>
      <c r="F350" s="112"/>
      <c r="G350" s="112"/>
      <c r="H350" s="112"/>
      <c r="I350" s="127" t="s">
        <v>461</v>
      </c>
      <c r="J350" s="126" t="s">
        <v>483</v>
      </c>
      <c r="K350" s="127"/>
      <c r="L350" s="127"/>
      <c r="M350" s="128">
        <v>3</v>
      </c>
      <c r="N350" s="129">
        <v>3571.0167000000001</v>
      </c>
      <c r="O350" s="130">
        <f t="shared" si="39"/>
        <v>0</v>
      </c>
      <c r="P350" s="130">
        <f t="shared" si="330"/>
        <v>3571.0167000000001</v>
      </c>
      <c r="Q350" s="130"/>
      <c r="R350" s="130">
        <f t="shared" si="3"/>
        <v>10713.05</v>
      </c>
      <c r="S350" s="131">
        <f t="shared" si="4"/>
        <v>3.72</v>
      </c>
      <c r="T350" s="131">
        <f t="shared" si="75"/>
        <v>0</v>
      </c>
      <c r="U350" s="131">
        <f t="shared" si="36"/>
        <v>7.0000000000000007E-2</v>
      </c>
      <c r="V350" s="131">
        <f t="shared" si="62"/>
        <v>10.71</v>
      </c>
      <c r="W350" s="131">
        <v>0</v>
      </c>
      <c r="X350" s="131">
        <f t="shared" si="332"/>
        <v>0.37</v>
      </c>
      <c r="Y350" s="131">
        <f t="shared" si="218"/>
        <v>0.01</v>
      </c>
      <c r="Z350" s="131">
        <f t="shared" si="10"/>
        <v>11.16</v>
      </c>
      <c r="AA350" s="132">
        <f t="shared" si="331"/>
        <v>10701.89</v>
      </c>
      <c r="AB350" s="133">
        <f t="shared" si="231"/>
        <v>10702</v>
      </c>
      <c r="AC350" s="134">
        <f t="shared" si="48"/>
        <v>0.11000000000058208</v>
      </c>
      <c r="AD350" s="125">
        <v>44533</v>
      </c>
      <c r="AE350" s="135">
        <f t="shared" si="13"/>
        <v>1.042E-3</v>
      </c>
      <c r="AF350" s="136">
        <f t="shared" si="14"/>
        <v>44533</v>
      </c>
      <c r="AG350" s="137" t="s">
        <v>416</v>
      </c>
      <c r="AH350" s="124"/>
    </row>
    <row r="351" spans="1:34" ht="12" customHeight="1">
      <c r="A351" s="155">
        <v>44532</v>
      </c>
      <c r="B351" s="112" t="s">
        <v>588</v>
      </c>
      <c r="C351" s="127" t="s">
        <v>485</v>
      </c>
      <c r="D351" s="112"/>
      <c r="E351" s="112" t="str">
        <f t="shared" si="0"/>
        <v>TCS</v>
      </c>
      <c r="F351" s="112"/>
      <c r="G351" s="112"/>
      <c r="H351" s="112"/>
      <c r="I351" s="127" t="s">
        <v>461</v>
      </c>
      <c r="J351" s="126" t="s">
        <v>483</v>
      </c>
      <c r="K351" s="127"/>
      <c r="L351" s="127"/>
      <c r="M351" s="128">
        <v>1</v>
      </c>
      <c r="N351" s="129">
        <v>3630</v>
      </c>
      <c r="O351" s="130">
        <f t="shared" si="39"/>
        <v>0</v>
      </c>
      <c r="P351" s="130">
        <f t="shared" si="330"/>
        <v>3630</v>
      </c>
      <c r="Q351" s="130"/>
      <c r="R351" s="130">
        <f t="shared" si="3"/>
        <v>3630</v>
      </c>
      <c r="S351" s="131">
        <f t="shared" si="4"/>
        <v>3.78</v>
      </c>
      <c r="T351" s="131">
        <f t="shared" si="75"/>
        <v>0</v>
      </c>
      <c r="U351" s="131">
        <f t="shared" si="36"/>
        <v>0.02</v>
      </c>
      <c r="V351" s="131">
        <f t="shared" si="62"/>
        <v>3.63</v>
      </c>
      <c r="W351" s="131">
        <v>0</v>
      </c>
      <c r="X351" s="131">
        <f t="shared" si="332"/>
        <v>0.13</v>
      </c>
      <c r="Y351" s="131">
        <f t="shared" si="218"/>
        <v>0</v>
      </c>
      <c r="Z351" s="131">
        <f t="shared" si="10"/>
        <v>3.78</v>
      </c>
      <c r="AA351" s="132">
        <f t="shared" si="331"/>
        <v>3626.22</v>
      </c>
      <c r="AB351" s="133">
        <f t="shared" si="231"/>
        <v>3626</v>
      </c>
      <c r="AC351" s="134">
        <f t="shared" si="48"/>
        <v>-0.21999999999979991</v>
      </c>
      <c r="AD351" s="125">
        <v>44536</v>
      </c>
      <c r="AE351" s="135">
        <f t="shared" si="13"/>
        <v>1.041E-3</v>
      </c>
      <c r="AF351" s="136">
        <f t="shared" si="14"/>
        <v>44536</v>
      </c>
      <c r="AG351" s="137" t="s">
        <v>416</v>
      </c>
      <c r="AH351" s="124"/>
    </row>
    <row r="352" spans="1:34" ht="12" customHeight="1">
      <c r="A352" s="155">
        <v>44532</v>
      </c>
      <c r="B352" s="112" t="s">
        <v>596</v>
      </c>
      <c r="C352" s="127" t="s">
        <v>485</v>
      </c>
      <c r="D352" s="112"/>
      <c r="E352" s="112" t="str">
        <f t="shared" si="0"/>
        <v>VOLTAMP</v>
      </c>
      <c r="F352" s="112"/>
      <c r="G352" s="112"/>
      <c r="H352" s="112"/>
      <c r="I352" s="127" t="s">
        <v>461</v>
      </c>
      <c r="J352" s="126" t="s">
        <v>483</v>
      </c>
      <c r="K352" s="127"/>
      <c r="L352" s="127"/>
      <c r="M352" s="128">
        <v>2</v>
      </c>
      <c r="N352" s="129">
        <v>2125</v>
      </c>
      <c r="O352" s="130">
        <f t="shared" si="39"/>
        <v>0</v>
      </c>
      <c r="P352" s="130">
        <f t="shared" si="330"/>
        <v>2125</v>
      </c>
      <c r="Q352" s="130"/>
      <c r="R352" s="130">
        <f t="shared" si="3"/>
        <v>4250</v>
      </c>
      <c r="S352" s="131">
        <f t="shared" si="4"/>
        <v>2.1949999999999998</v>
      </c>
      <c r="T352" s="131">
        <f t="shared" si="75"/>
        <v>0</v>
      </c>
      <c r="U352" s="131">
        <f t="shared" si="36"/>
        <v>0.02</v>
      </c>
      <c r="V352" s="131">
        <f t="shared" si="62"/>
        <v>4.25</v>
      </c>
      <c r="W352" s="131">
        <v>0</v>
      </c>
      <c r="X352" s="131">
        <f t="shared" ref="X352:X354" si="333">ROUND(R352*G$1820,2)</f>
        <v>0.12</v>
      </c>
      <c r="Y352" s="131">
        <f t="shared" si="218"/>
        <v>0</v>
      </c>
      <c r="Z352" s="131">
        <f t="shared" si="10"/>
        <v>4.3899999999999997</v>
      </c>
      <c r="AA352" s="132">
        <f t="shared" si="331"/>
        <v>4245.6099999999997</v>
      </c>
      <c r="AB352" s="133">
        <f t="shared" si="231"/>
        <v>4246</v>
      </c>
      <c r="AC352" s="134">
        <f t="shared" si="48"/>
        <v>0.39000000000032742</v>
      </c>
      <c r="AD352" s="125">
        <v>44536</v>
      </c>
      <c r="AE352" s="135">
        <f t="shared" si="13"/>
        <v>1.0330000000000001E-3</v>
      </c>
      <c r="AF352" s="136">
        <f t="shared" si="14"/>
        <v>44536</v>
      </c>
      <c r="AG352" s="137" t="s">
        <v>416</v>
      </c>
      <c r="AH352" s="124"/>
    </row>
    <row r="353" spans="1:34" ht="12" customHeight="1">
      <c r="A353" s="155">
        <v>44533</v>
      </c>
      <c r="B353" s="112" t="s">
        <v>562</v>
      </c>
      <c r="C353" s="127" t="s">
        <v>485</v>
      </c>
      <c r="D353" s="112"/>
      <c r="E353" s="112" t="str">
        <f t="shared" si="0"/>
        <v>BAJAJHIND</v>
      </c>
      <c r="F353" s="112"/>
      <c r="G353" s="112"/>
      <c r="H353" s="112"/>
      <c r="I353" s="127" t="s">
        <v>461</v>
      </c>
      <c r="J353" s="126" t="s">
        <v>483</v>
      </c>
      <c r="K353" s="127"/>
      <c r="L353" s="127"/>
      <c r="M353" s="128">
        <v>100</v>
      </c>
      <c r="N353" s="129">
        <v>13.25</v>
      </c>
      <c r="O353" s="130">
        <f t="shared" si="39"/>
        <v>0</v>
      </c>
      <c r="P353" s="130">
        <f t="shared" si="330"/>
        <v>13.25</v>
      </c>
      <c r="Q353" s="130"/>
      <c r="R353" s="130">
        <f t="shared" si="3"/>
        <v>1325</v>
      </c>
      <c r="S353" s="131">
        <f t="shared" si="4"/>
        <v>1.3800000000000002E-2</v>
      </c>
      <c r="T353" s="131">
        <f t="shared" si="75"/>
        <v>0</v>
      </c>
      <c r="U353" s="131">
        <f t="shared" si="36"/>
        <v>0.01</v>
      </c>
      <c r="V353" s="131">
        <f t="shared" si="62"/>
        <v>1.33</v>
      </c>
      <c r="W353" s="131">
        <v>0</v>
      </c>
      <c r="X353" s="131">
        <f t="shared" si="333"/>
        <v>0.04</v>
      </c>
      <c r="Y353" s="131">
        <f t="shared" si="218"/>
        <v>0</v>
      </c>
      <c r="Z353" s="131">
        <f t="shared" si="10"/>
        <v>1.3800000000000001</v>
      </c>
      <c r="AA353" s="132">
        <f t="shared" si="331"/>
        <v>1323.62</v>
      </c>
      <c r="AB353" s="133">
        <f t="shared" si="231"/>
        <v>1324</v>
      </c>
      <c r="AC353" s="134">
        <f t="shared" si="48"/>
        <v>0.38000000000010914</v>
      </c>
      <c r="AD353" s="125">
        <v>44537</v>
      </c>
      <c r="AE353" s="135">
        <f t="shared" si="13"/>
        <v>1.042E-3</v>
      </c>
      <c r="AF353" s="136">
        <f t="shared" si="14"/>
        <v>44537</v>
      </c>
      <c r="AG353" s="137" t="s">
        <v>416</v>
      </c>
      <c r="AH353" s="124"/>
    </row>
    <row r="354" spans="1:34" ht="12" customHeight="1">
      <c r="A354" s="154">
        <v>44536</v>
      </c>
      <c r="B354" s="140" t="s">
        <v>597</v>
      </c>
      <c r="C354" s="141" t="s">
        <v>485</v>
      </c>
      <c r="D354" s="140"/>
      <c r="E354" s="140" t="str">
        <f t="shared" si="0"/>
        <v>INDHOTEL</v>
      </c>
      <c r="F354" s="140"/>
      <c r="G354" s="140"/>
      <c r="H354" s="140"/>
      <c r="I354" s="141" t="s">
        <v>467</v>
      </c>
      <c r="J354" s="139" t="s">
        <v>483</v>
      </c>
      <c r="K354" s="141"/>
      <c r="L354" s="141"/>
      <c r="M354" s="142">
        <v>40</v>
      </c>
      <c r="N354" s="143">
        <v>190</v>
      </c>
      <c r="O354" s="144">
        <f t="shared" si="39"/>
        <v>0</v>
      </c>
      <c r="P354" s="144">
        <f>N354+O354</f>
        <v>190</v>
      </c>
      <c r="Q354" s="144"/>
      <c r="R354" s="144">
        <f t="shared" si="3"/>
        <v>7600</v>
      </c>
      <c r="S354" s="145">
        <f t="shared" si="4"/>
        <v>0.22500000000000001</v>
      </c>
      <c r="T354" s="145">
        <f t="shared" si="75"/>
        <v>0</v>
      </c>
      <c r="U354" s="145">
        <f t="shared" si="36"/>
        <v>0.04</v>
      </c>
      <c r="V354" s="145">
        <f t="shared" si="62"/>
        <v>7.6</v>
      </c>
      <c r="W354" s="145">
        <f>ROUND(R354*F$1823,2)</f>
        <v>1.1399999999999999</v>
      </c>
      <c r="X354" s="145">
        <f t="shared" si="333"/>
        <v>0.21</v>
      </c>
      <c r="Y354" s="145">
        <f t="shared" si="218"/>
        <v>0.01</v>
      </c>
      <c r="Z354" s="146">
        <f t="shared" si="10"/>
        <v>9</v>
      </c>
      <c r="AA354" s="147">
        <f>-ROUND(R354+SUM(T354:Y354),2)</f>
        <v>-7609</v>
      </c>
      <c r="AB354" s="148">
        <f t="shared" si="231"/>
        <v>-7609</v>
      </c>
      <c r="AC354" s="149">
        <f t="shared" si="48"/>
        <v>0</v>
      </c>
      <c r="AD354" s="138">
        <v>44538</v>
      </c>
      <c r="AE354" s="150">
        <f t="shared" si="13"/>
        <v>1.1839999999999999E-3</v>
      </c>
      <c r="AF354" s="151">
        <f t="shared" si="14"/>
        <v>44538</v>
      </c>
      <c r="AG354" s="152" t="s">
        <v>416</v>
      </c>
      <c r="AH354" s="124"/>
    </row>
    <row r="355" spans="1:34" ht="12" customHeight="1">
      <c r="A355" s="155">
        <v>44537</v>
      </c>
      <c r="B355" s="112" t="s">
        <v>597</v>
      </c>
      <c r="C355" s="127" t="s">
        <v>485</v>
      </c>
      <c r="D355" s="112"/>
      <c r="E355" s="112" t="str">
        <f t="shared" si="0"/>
        <v>INDHOTEL</v>
      </c>
      <c r="F355" s="112"/>
      <c r="G355" s="112"/>
      <c r="H355" s="112"/>
      <c r="I355" s="127" t="s">
        <v>461</v>
      </c>
      <c r="J355" s="126" t="s">
        <v>483</v>
      </c>
      <c r="K355" s="127"/>
      <c r="L355" s="127"/>
      <c r="M355" s="128">
        <v>40</v>
      </c>
      <c r="N355" s="129">
        <v>193.75</v>
      </c>
      <c r="O355" s="130">
        <f t="shared" si="39"/>
        <v>0</v>
      </c>
      <c r="P355" s="130">
        <f t="shared" ref="P355:P358" si="334">N355-O355</f>
        <v>193.75</v>
      </c>
      <c r="Q355" s="130"/>
      <c r="R355" s="130">
        <f t="shared" si="3"/>
        <v>7750</v>
      </c>
      <c r="S355" s="131">
        <f t="shared" si="4"/>
        <v>0.20200000000000001</v>
      </c>
      <c r="T355" s="131">
        <f t="shared" si="75"/>
        <v>0</v>
      </c>
      <c r="U355" s="131">
        <f t="shared" si="36"/>
        <v>0.05</v>
      </c>
      <c r="V355" s="131">
        <f t="shared" si="62"/>
        <v>7.75</v>
      </c>
      <c r="W355" s="131">
        <v>0</v>
      </c>
      <c r="X355" s="131">
        <f t="shared" ref="X355:X357" si="335">ROUND(R355*H$1820,2)</f>
        <v>0.27</v>
      </c>
      <c r="Y355" s="131">
        <f t="shared" si="218"/>
        <v>0.01</v>
      </c>
      <c r="Z355" s="131">
        <f t="shared" si="10"/>
        <v>8.08</v>
      </c>
      <c r="AA355" s="132">
        <f t="shared" ref="AA355:AA358" si="336">ROUND(R355-SUM(T355:Y355),2)</f>
        <v>7741.92</v>
      </c>
      <c r="AB355" s="133">
        <f t="shared" si="231"/>
        <v>7742</v>
      </c>
      <c r="AC355" s="134">
        <f t="shared" si="48"/>
        <v>7.999999999992724E-2</v>
      </c>
      <c r="AD355" s="125">
        <v>44539</v>
      </c>
      <c r="AE355" s="135">
        <f t="shared" si="13"/>
        <v>1.0430000000000001E-3</v>
      </c>
      <c r="AF355" s="136">
        <f t="shared" si="14"/>
        <v>44539</v>
      </c>
      <c r="AG355" s="137" t="s">
        <v>416</v>
      </c>
      <c r="AH355" s="124"/>
    </row>
    <row r="356" spans="1:34" ht="12" customHeight="1">
      <c r="A356" s="155">
        <v>44537</v>
      </c>
      <c r="B356" s="112" t="s">
        <v>595</v>
      </c>
      <c r="C356" s="127" t="s">
        <v>485</v>
      </c>
      <c r="D356" s="112"/>
      <c r="E356" s="112" t="str">
        <f t="shared" si="0"/>
        <v>HAVELLS</v>
      </c>
      <c r="F356" s="112"/>
      <c r="G356" s="112"/>
      <c r="H356" s="112"/>
      <c r="I356" s="127" t="s">
        <v>461</v>
      </c>
      <c r="J356" s="126" t="s">
        <v>483</v>
      </c>
      <c r="K356" s="127"/>
      <c r="L356" s="127"/>
      <c r="M356" s="128">
        <v>5</v>
      </c>
      <c r="N356" s="129">
        <v>1395</v>
      </c>
      <c r="O356" s="130">
        <f t="shared" si="39"/>
        <v>0</v>
      </c>
      <c r="P356" s="130">
        <f t="shared" si="334"/>
        <v>1395</v>
      </c>
      <c r="Q356" s="130"/>
      <c r="R356" s="130">
        <f t="shared" si="3"/>
        <v>6975</v>
      </c>
      <c r="S356" s="131">
        <f t="shared" si="4"/>
        <v>1.4540000000000002</v>
      </c>
      <c r="T356" s="131">
        <f t="shared" si="75"/>
        <v>0</v>
      </c>
      <c r="U356" s="131">
        <f t="shared" si="36"/>
        <v>0.04</v>
      </c>
      <c r="V356" s="131">
        <f t="shared" si="62"/>
        <v>6.98</v>
      </c>
      <c r="W356" s="131">
        <v>0</v>
      </c>
      <c r="X356" s="131">
        <f t="shared" si="335"/>
        <v>0.24</v>
      </c>
      <c r="Y356" s="131">
        <f t="shared" si="218"/>
        <v>0.01</v>
      </c>
      <c r="Z356" s="131">
        <f t="shared" si="10"/>
        <v>7.2700000000000005</v>
      </c>
      <c r="AA356" s="132">
        <f t="shared" si="336"/>
        <v>6967.73</v>
      </c>
      <c r="AB356" s="133">
        <f t="shared" si="231"/>
        <v>6968</v>
      </c>
      <c r="AC356" s="134">
        <f t="shared" si="48"/>
        <v>0.27000000000043656</v>
      </c>
      <c r="AD356" s="125">
        <v>44539</v>
      </c>
      <c r="AE356" s="135">
        <f t="shared" si="13"/>
        <v>1.042E-3</v>
      </c>
      <c r="AF356" s="136">
        <f t="shared" si="14"/>
        <v>44539</v>
      </c>
      <c r="AG356" s="137" t="s">
        <v>416</v>
      </c>
      <c r="AH356" s="124"/>
    </row>
    <row r="357" spans="1:34" ht="12" customHeight="1">
      <c r="A357" s="155">
        <v>44538</v>
      </c>
      <c r="B357" s="112" t="s">
        <v>594</v>
      </c>
      <c r="C357" s="127" t="s">
        <v>485</v>
      </c>
      <c r="D357" s="112"/>
      <c r="E357" s="112" t="str">
        <f t="shared" si="0"/>
        <v>DEVYANI</v>
      </c>
      <c r="F357" s="112"/>
      <c r="G357" s="112"/>
      <c r="H357" s="112"/>
      <c r="I357" s="127" t="s">
        <v>461</v>
      </c>
      <c r="J357" s="126" t="s">
        <v>483</v>
      </c>
      <c r="K357" s="127"/>
      <c r="L357" s="127"/>
      <c r="M357" s="128">
        <v>20</v>
      </c>
      <c r="N357" s="129">
        <v>170</v>
      </c>
      <c r="O357" s="130">
        <f t="shared" si="39"/>
        <v>0</v>
      </c>
      <c r="P357" s="130">
        <f t="shared" si="334"/>
        <v>170</v>
      </c>
      <c r="Q357" s="130"/>
      <c r="R357" s="130">
        <f t="shared" si="3"/>
        <v>3400</v>
      </c>
      <c r="S357" s="131">
        <f t="shared" si="4"/>
        <v>0.17699999999999999</v>
      </c>
      <c r="T357" s="131">
        <f t="shared" si="75"/>
        <v>0</v>
      </c>
      <c r="U357" s="131">
        <f t="shared" si="36"/>
        <v>0.02</v>
      </c>
      <c r="V357" s="131">
        <f t="shared" si="62"/>
        <v>3.4</v>
      </c>
      <c r="W357" s="131">
        <v>0</v>
      </c>
      <c r="X357" s="131">
        <f t="shared" si="335"/>
        <v>0.12</v>
      </c>
      <c r="Y357" s="131">
        <f t="shared" si="218"/>
        <v>0</v>
      </c>
      <c r="Z357" s="131">
        <f t="shared" si="10"/>
        <v>3.54</v>
      </c>
      <c r="AA357" s="132">
        <f t="shared" si="336"/>
        <v>3396.46</v>
      </c>
      <c r="AB357" s="133">
        <f t="shared" si="231"/>
        <v>3396</v>
      </c>
      <c r="AC357" s="134">
        <f t="shared" si="48"/>
        <v>-0.46000000000003638</v>
      </c>
      <c r="AD357" s="125">
        <v>44540</v>
      </c>
      <c r="AE357" s="135">
        <f t="shared" si="13"/>
        <v>1.041E-3</v>
      </c>
      <c r="AF357" s="136">
        <f t="shared" si="14"/>
        <v>44540</v>
      </c>
      <c r="AG357" s="137" t="s">
        <v>416</v>
      </c>
      <c r="AH357" s="124"/>
    </row>
    <row r="358" spans="1:34" ht="12" customHeight="1">
      <c r="A358" s="155">
        <v>44539</v>
      </c>
      <c r="B358" s="112" t="s">
        <v>561</v>
      </c>
      <c r="C358" s="127" t="s">
        <v>485</v>
      </c>
      <c r="D358" s="112"/>
      <c r="E358" s="112" t="str">
        <f t="shared" si="0"/>
        <v>RENUKA</v>
      </c>
      <c r="F358" s="112"/>
      <c r="G358" s="112"/>
      <c r="H358" s="112"/>
      <c r="I358" s="127" t="s">
        <v>461</v>
      </c>
      <c r="J358" s="126" t="s">
        <v>483</v>
      </c>
      <c r="K358" s="127"/>
      <c r="L358" s="127"/>
      <c r="M358" s="128">
        <v>300</v>
      </c>
      <c r="N358" s="129">
        <v>30.5</v>
      </c>
      <c r="O358" s="130">
        <f t="shared" si="39"/>
        <v>0</v>
      </c>
      <c r="P358" s="130">
        <f t="shared" si="334"/>
        <v>30.5</v>
      </c>
      <c r="Q358" s="130"/>
      <c r="R358" s="130">
        <f t="shared" si="3"/>
        <v>9150</v>
      </c>
      <c r="S358" s="131">
        <f t="shared" si="4"/>
        <v>3.1533333333333337E-2</v>
      </c>
      <c r="T358" s="131">
        <f t="shared" si="75"/>
        <v>0</v>
      </c>
      <c r="U358" s="131">
        <f t="shared" si="36"/>
        <v>0.05</v>
      </c>
      <c r="V358" s="131">
        <f t="shared" si="62"/>
        <v>9.15</v>
      </c>
      <c r="W358" s="131">
        <v>0</v>
      </c>
      <c r="X358" s="131">
        <f>ROUND(R358*G$1820,2)</f>
        <v>0.25</v>
      </c>
      <c r="Y358" s="131">
        <f t="shared" si="218"/>
        <v>0.01</v>
      </c>
      <c r="Z358" s="131">
        <f t="shared" si="10"/>
        <v>9.4600000000000009</v>
      </c>
      <c r="AA358" s="132">
        <f t="shared" si="336"/>
        <v>9140.5400000000009</v>
      </c>
      <c r="AB358" s="133">
        <f t="shared" si="231"/>
        <v>9141</v>
      </c>
      <c r="AC358" s="134">
        <f t="shared" si="48"/>
        <v>0.45999999999912689</v>
      </c>
      <c r="AD358" s="125">
        <v>44543</v>
      </c>
      <c r="AE358" s="135">
        <f t="shared" si="13"/>
        <v>1.034E-3</v>
      </c>
      <c r="AF358" s="136">
        <f t="shared" si="14"/>
        <v>44543</v>
      </c>
      <c r="AG358" s="137" t="s">
        <v>416</v>
      </c>
      <c r="AH358" s="124"/>
    </row>
    <row r="359" spans="1:34" ht="12" customHeight="1">
      <c r="A359" s="154">
        <v>44543</v>
      </c>
      <c r="B359" s="140" t="s">
        <v>589</v>
      </c>
      <c r="C359" s="141" t="s">
        <v>460</v>
      </c>
      <c r="D359" s="140"/>
      <c r="E359" s="140" t="str">
        <f t="shared" si="0"/>
        <v>DCMSHRIRAM</v>
      </c>
      <c r="F359" s="140"/>
      <c r="G359" s="140"/>
      <c r="H359" s="140"/>
      <c r="I359" s="141" t="s">
        <v>467</v>
      </c>
      <c r="J359" s="139" t="s">
        <v>483</v>
      </c>
      <c r="K359" s="141"/>
      <c r="L359" s="141"/>
      <c r="M359" s="142">
        <v>100</v>
      </c>
      <c r="N359" s="143">
        <v>959</v>
      </c>
      <c r="O359" s="144">
        <f t="shared" si="39"/>
        <v>0</v>
      </c>
      <c r="P359" s="144">
        <f>N359+O359</f>
        <v>959</v>
      </c>
      <c r="Q359" s="144"/>
      <c r="R359" s="144">
        <f t="shared" si="3"/>
        <v>95900</v>
      </c>
      <c r="S359" s="145">
        <f t="shared" si="4"/>
        <v>1.143</v>
      </c>
      <c r="T359" s="145">
        <f t="shared" si="75"/>
        <v>0</v>
      </c>
      <c r="U359" s="145">
        <f t="shared" si="36"/>
        <v>0.6</v>
      </c>
      <c r="V359" s="145">
        <f t="shared" si="62"/>
        <v>95.9</v>
      </c>
      <c r="W359" s="145">
        <f>ROUND(R359*F$1823,2)</f>
        <v>14.39</v>
      </c>
      <c r="X359" s="145">
        <f>ROUND(R359*H$1820,2)</f>
        <v>3.31</v>
      </c>
      <c r="Y359" s="145">
        <f t="shared" si="218"/>
        <v>0.1</v>
      </c>
      <c r="Z359" s="146">
        <f t="shared" si="10"/>
        <v>114.3</v>
      </c>
      <c r="AA359" s="147">
        <f>-ROUND(R359+SUM(T359:Y359),2)</f>
        <v>-96014.3</v>
      </c>
      <c r="AB359" s="148">
        <f t="shared" si="231"/>
        <v>-96014</v>
      </c>
      <c r="AC359" s="149">
        <f t="shared" si="48"/>
        <v>0.30000000000291038</v>
      </c>
      <c r="AD359" s="138">
        <v>44545</v>
      </c>
      <c r="AE359" s="150">
        <f t="shared" si="13"/>
        <v>1.1919999999999999E-3</v>
      </c>
      <c r="AF359" s="151">
        <f t="shared" si="14"/>
        <v>44545</v>
      </c>
      <c r="AG359" s="152" t="s">
        <v>416</v>
      </c>
      <c r="AH359" s="124"/>
    </row>
    <row r="360" spans="1:34" ht="12" customHeight="1">
      <c r="A360" s="155">
        <v>44544</v>
      </c>
      <c r="B360" s="112" t="s">
        <v>589</v>
      </c>
      <c r="C360" s="127" t="s">
        <v>460</v>
      </c>
      <c r="D360" s="112"/>
      <c r="E360" s="112" t="str">
        <f t="shared" si="0"/>
        <v>DCMSHRIRAM</v>
      </c>
      <c r="F360" s="112"/>
      <c r="G360" s="112"/>
      <c r="H360" s="112"/>
      <c r="I360" s="127" t="s">
        <v>461</v>
      </c>
      <c r="J360" s="126" t="s">
        <v>483</v>
      </c>
      <c r="K360" s="127"/>
      <c r="L360" s="127"/>
      <c r="M360" s="128">
        <v>183</v>
      </c>
      <c r="N360" s="129">
        <v>977.62840000000006</v>
      </c>
      <c r="O360" s="130">
        <f t="shared" si="39"/>
        <v>0</v>
      </c>
      <c r="P360" s="130">
        <f>N360-O360</f>
        <v>977.62840000000006</v>
      </c>
      <c r="Q360" s="130"/>
      <c r="R360" s="130">
        <f t="shared" si="3"/>
        <v>178906</v>
      </c>
      <c r="S360" s="131">
        <f t="shared" si="4"/>
        <v>1.0103825136612021</v>
      </c>
      <c r="T360" s="131">
        <f t="shared" si="75"/>
        <v>0</v>
      </c>
      <c r="U360" s="131">
        <f t="shared" si="36"/>
        <v>0.89</v>
      </c>
      <c r="V360" s="131">
        <f t="shared" si="62"/>
        <v>178.91</v>
      </c>
      <c r="W360" s="131">
        <v>0</v>
      </c>
      <c r="X360" s="131">
        <f>ROUND(R360*G$1820,2)</f>
        <v>4.92</v>
      </c>
      <c r="Y360" s="131">
        <f t="shared" si="218"/>
        <v>0.18</v>
      </c>
      <c r="Z360" s="131">
        <f t="shared" si="10"/>
        <v>184.89999999999998</v>
      </c>
      <c r="AA360" s="132">
        <f>ROUND(R360-SUM(T360:Y360),2)</f>
        <v>178721.1</v>
      </c>
      <c r="AB360" s="133">
        <f t="shared" si="231"/>
        <v>178721</v>
      </c>
      <c r="AC360" s="134">
        <f t="shared" si="48"/>
        <v>-0.10000000000582077</v>
      </c>
      <c r="AD360" s="125">
        <v>44546</v>
      </c>
      <c r="AE360" s="135">
        <f t="shared" si="13"/>
        <v>1.034E-3</v>
      </c>
      <c r="AF360" s="136">
        <f t="shared" si="14"/>
        <v>44546</v>
      </c>
      <c r="AG360" s="137" t="s">
        <v>416</v>
      </c>
      <c r="AH360" s="124"/>
    </row>
    <row r="361" spans="1:34" ht="12" customHeight="1">
      <c r="A361" s="154">
        <v>44545</v>
      </c>
      <c r="B361" s="140" t="s">
        <v>589</v>
      </c>
      <c r="C361" s="141" t="s">
        <v>460</v>
      </c>
      <c r="D361" s="140"/>
      <c r="E361" s="140" t="str">
        <f t="shared" si="0"/>
        <v>DCMSHRIRAM</v>
      </c>
      <c r="F361" s="140"/>
      <c r="G361" s="140"/>
      <c r="H361" s="140"/>
      <c r="I361" s="141" t="s">
        <v>467</v>
      </c>
      <c r="J361" s="139" t="s">
        <v>483</v>
      </c>
      <c r="K361" s="141"/>
      <c r="L361" s="141"/>
      <c r="M361" s="142">
        <v>183</v>
      </c>
      <c r="N361" s="143">
        <v>971.48524999999995</v>
      </c>
      <c r="O361" s="144">
        <f t="shared" si="39"/>
        <v>0</v>
      </c>
      <c r="P361" s="144">
        <f>N361+O361</f>
        <v>971.48524999999995</v>
      </c>
      <c r="Q361" s="144"/>
      <c r="R361" s="144">
        <f t="shared" si="3"/>
        <v>177781.8</v>
      </c>
      <c r="S361" s="145">
        <f t="shared" si="4"/>
        <v>1.157704918032787</v>
      </c>
      <c r="T361" s="145">
        <f t="shared" si="75"/>
        <v>0</v>
      </c>
      <c r="U361" s="145">
        <f t="shared" si="36"/>
        <v>1.1000000000000001</v>
      </c>
      <c r="V361" s="145">
        <f t="shared" si="62"/>
        <v>177.78</v>
      </c>
      <c r="W361" s="145">
        <f>ROUND(R361*F$1823,2)</f>
        <v>26.67</v>
      </c>
      <c r="X361" s="145">
        <f t="shared" ref="X361:X364" si="337">ROUND(R361*H$1820,2)</f>
        <v>6.13</v>
      </c>
      <c r="Y361" s="145">
        <f t="shared" si="218"/>
        <v>0.18</v>
      </c>
      <c r="Z361" s="146">
        <f t="shared" si="10"/>
        <v>211.86</v>
      </c>
      <c r="AA361" s="147">
        <f>-ROUND(R361+SUM(T361:Y361),2)</f>
        <v>-177993.66</v>
      </c>
      <c r="AB361" s="148">
        <f t="shared" si="231"/>
        <v>-177994</v>
      </c>
      <c r="AC361" s="149">
        <f t="shared" si="48"/>
        <v>-0.33999999999650754</v>
      </c>
      <c r="AD361" s="138">
        <v>44547</v>
      </c>
      <c r="AE361" s="150">
        <f t="shared" si="13"/>
        <v>1.1919999999999999E-3</v>
      </c>
      <c r="AF361" s="151">
        <f t="shared" si="14"/>
        <v>44547</v>
      </c>
      <c r="AG361" s="152" t="s">
        <v>416</v>
      </c>
      <c r="AH361" s="124"/>
    </row>
    <row r="362" spans="1:34" ht="12" customHeight="1">
      <c r="A362" s="155">
        <v>44546</v>
      </c>
      <c r="B362" s="112" t="s">
        <v>589</v>
      </c>
      <c r="C362" s="127" t="s">
        <v>460</v>
      </c>
      <c r="D362" s="112"/>
      <c r="E362" s="112" t="str">
        <f t="shared" si="0"/>
        <v>DCMSHRIRAM</v>
      </c>
      <c r="F362" s="112"/>
      <c r="G362" s="112"/>
      <c r="H362" s="112"/>
      <c r="I362" s="127" t="s">
        <v>461</v>
      </c>
      <c r="J362" s="126" t="s">
        <v>483</v>
      </c>
      <c r="K362" s="127"/>
      <c r="L362" s="127"/>
      <c r="M362" s="128">
        <v>100</v>
      </c>
      <c r="N362" s="129">
        <v>990</v>
      </c>
      <c r="O362" s="130">
        <f t="shared" si="39"/>
        <v>0</v>
      </c>
      <c r="P362" s="130">
        <f>N362-O362</f>
        <v>990</v>
      </c>
      <c r="Q362" s="130"/>
      <c r="R362" s="130">
        <f t="shared" si="3"/>
        <v>99000</v>
      </c>
      <c r="S362" s="131">
        <f t="shared" si="4"/>
        <v>1.0414000000000001</v>
      </c>
      <c r="T362" s="131">
        <f t="shared" si="75"/>
        <v>0</v>
      </c>
      <c r="U362" s="131">
        <f t="shared" si="36"/>
        <v>0.62</v>
      </c>
      <c r="V362" s="131">
        <f>ROUND(R362*F$1817,2)+1</f>
        <v>100</v>
      </c>
      <c r="W362" s="131">
        <v>0</v>
      </c>
      <c r="X362" s="131">
        <f t="shared" si="337"/>
        <v>3.42</v>
      </c>
      <c r="Y362" s="131">
        <f t="shared" si="218"/>
        <v>0.1</v>
      </c>
      <c r="Z362" s="131">
        <f t="shared" si="10"/>
        <v>104.14</v>
      </c>
      <c r="AA362" s="132">
        <f>ROUND(R362-SUM(T362:Y362),2)</f>
        <v>98895.86</v>
      </c>
      <c r="AB362" s="133">
        <f t="shared" si="231"/>
        <v>98896</v>
      </c>
      <c r="AC362" s="134">
        <f t="shared" si="48"/>
        <v>0.13999999999941792</v>
      </c>
      <c r="AD362" s="125">
        <v>44550</v>
      </c>
      <c r="AE362" s="135">
        <f t="shared" si="13"/>
        <v>1.052E-3</v>
      </c>
      <c r="AF362" s="136">
        <f t="shared" si="14"/>
        <v>44550</v>
      </c>
      <c r="AG362" s="137" t="s">
        <v>416</v>
      </c>
      <c r="AH362" s="124"/>
    </row>
    <row r="363" spans="1:34" ht="12" customHeight="1">
      <c r="A363" s="154">
        <v>44547</v>
      </c>
      <c r="B363" s="140" t="s">
        <v>598</v>
      </c>
      <c r="C363" s="141" t="s">
        <v>485</v>
      </c>
      <c r="D363" s="140"/>
      <c r="E363" s="140" t="str">
        <f t="shared" si="0"/>
        <v>A2ZINFRA</v>
      </c>
      <c r="F363" s="140"/>
      <c r="G363" s="140"/>
      <c r="H363" s="140"/>
      <c r="I363" s="141" t="s">
        <v>467</v>
      </c>
      <c r="J363" s="139" t="s">
        <v>483</v>
      </c>
      <c r="K363" s="141"/>
      <c r="L363" s="141"/>
      <c r="M363" s="142">
        <v>1000</v>
      </c>
      <c r="N363" s="143">
        <v>7.65</v>
      </c>
      <c r="O363" s="144">
        <f t="shared" si="39"/>
        <v>0</v>
      </c>
      <c r="P363" s="144">
        <f t="shared" ref="P363:P365" si="338">N363+O363</f>
        <v>7.65</v>
      </c>
      <c r="Q363" s="144"/>
      <c r="R363" s="144">
        <f t="shared" si="3"/>
        <v>7650</v>
      </c>
      <c r="S363" s="145">
        <f t="shared" si="4"/>
        <v>9.1199999999999996E-3</v>
      </c>
      <c r="T363" s="145">
        <f t="shared" si="75"/>
        <v>0</v>
      </c>
      <c r="U363" s="145">
        <f t="shared" si="36"/>
        <v>0.05</v>
      </c>
      <c r="V363" s="145">
        <f t="shared" ref="V363:V365" si="339">ROUND(R363*F$1817,2)</f>
        <v>7.65</v>
      </c>
      <c r="W363" s="145">
        <f t="shared" ref="W363:W365" si="340">ROUND(R363*F$1823,2)</f>
        <v>1.1499999999999999</v>
      </c>
      <c r="X363" s="145">
        <f t="shared" si="337"/>
        <v>0.26</v>
      </c>
      <c r="Y363" s="145">
        <f t="shared" si="218"/>
        <v>0.01</v>
      </c>
      <c r="Z363" s="146">
        <f t="shared" si="10"/>
        <v>9.1199999999999992</v>
      </c>
      <c r="AA363" s="147">
        <f t="shared" ref="AA363:AA365" si="341">-ROUND(R363+SUM(T363:Y363),2)</f>
        <v>-7659.12</v>
      </c>
      <c r="AB363" s="148">
        <f t="shared" si="231"/>
        <v>-7659</v>
      </c>
      <c r="AC363" s="149">
        <f t="shared" si="48"/>
        <v>0.11999999999989086</v>
      </c>
      <c r="AD363" s="138">
        <v>44551</v>
      </c>
      <c r="AE363" s="150">
        <f t="shared" si="13"/>
        <v>1.1919999999999999E-3</v>
      </c>
      <c r="AF363" s="151">
        <f t="shared" si="14"/>
        <v>44551</v>
      </c>
      <c r="AG363" s="152" t="s">
        <v>416</v>
      </c>
      <c r="AH363" s="124"/>
    </row>
    <row r="364" spans="1:34" ht="12" customHeight="1">
      <c r="A364" s="154">
        <v>44550</v>
      </c>
      <c r="B364" s="140" t="s">
        <v>589</v>
      </c>
      <c r="C364" s="141" t="s">
        <v>460</v>
      </c>
      <c r="D364" s="140"/>
      <c r="E364" s="140" t="str">
        <f t="shared" si="0"/>
        <v>DCMSHRIRAM</v>
      </c>
      <c r="F364" s="140"/>
      <c r="G364" s="140"/>
      <c r="H364" s="140"/>
      <c r="I364" s="141" t="s">
        <v>467</v>
      </c>
      <c r="J364" s="139" t="s">
        <v>483</v>
      </c>
      <c r="K364" s="141"/>
      <c r="L364" s="141"/>
      <c r="M364" s="142">
        <v>100</v>
      </c>
      <c r="N364" s="143">
        <v>972</v>
      </c>
      <c r="O364" s="144">
        <f t="shared" si="39"/>
        <v>0</v>
      </c>
      <c r="P364" s="144">
        <f t="shared" si="338"/>
        <v>972</v>
      </c>
      <c r="Q364" s="144"/>
      <c r="R364" s="144">
        <f t="shared" si="3"/>
        <v>97200</v>
      </c>
      <c r="S364" s="145">
        <f t="shared" si="4"/>
        <v>1.1582999999999999</v>
      </c>
      <c r="T364" s="145">
        <f t="shared" si="75"/>
        <v>0</v>
      </c>
      <c r="U364" s="145">
        <f t="shared" si="36"/>
        <v>0.6</v>
      </c>
      <c r="V364" s="145">
        <f t="shared" si="339"/>
        <v>97.2</v>
      </c>
      <c r="W364" s="145">
        <f t="shared" si="340"/>
        <v>14.58</v>
      </c>
      <c r="X364" s="145">
        <f t="shared" si="337"/>
        <v>3.35</v>
      </c>
      <c r="Y364" s="145">
        <f t="shared" si="218"/>
        <v>0.1</v>
      </c>
      <c r="Z364" s="146">
        <f t="shared" si="10"/>
        <v>115.82999999999998</v>
      </c>
      <c r="AA364" s="147">
        <f t="shared" si="341"/>
        <v>-97315.83</v>
      </c>
      <c r="AB364" s="148">
        <f t="shared" si="231"/>
        <v>-97316</v>
      </c>
      <c r="AC364" s="149">
        <f t="shared" si="48"/>
        <v>-0.16999999999825377</v>
      </c>
      <c r="AD364" s="138">
        <v>44552</v>
      </c>
      <c r="AE364" s="150">
        <f t="shared" si="13"/>
        <v>1.1919999999999999E-3</v>
      </c>
      <c r="AF364" s="151">
        <f t="shared" si="14"/>
        <v>44552</v>
      </c>
      <c r="AG364" s="152" t="s">
        <v>416</v>
      </c>
      <c r="AH364" s="124"/>
    </row>
    <row r="365" spans="1:34" ht="12" customHeight="1">
      <c r="A365" s="154">
        <v>44550</v>
      </c>
      <c r="B365" s="140" t="s">
        <v>498</v>
      </c>
      <c r="C365" s="141" t="s">
        <v>485</v>
      </c>
      <c r="D365" s="140"/>
      <c r="E365" s="140" t="str">
        <f t="shared" si="0"/>
        <v>BAJFINANCE</v>
      </c>
      <c r="F365" s="140"/>
      <c r="G365" s="140"/>
      <c r="H365" s="140"/>
      <c r="I365" s="141" t="s">
        <v>467</v>
      </c>
      <c r="J365" s="139" t="s">
        <v>483</v>
      </c>
      <c r="K365" s="141"/>
      <c r="L365" s="141"/>
      <c r="M365" s="142">
        <v>1</v>
      </c>
      <c r="N365" s="143">
        <v>6650</v>
      </c>
      <c r="O365" s="144">
        <f t="shared" si="39"/>
        <v>0</v>
      </c>
      <c r="P365" s="144">
        <f t="shared" si="338"/>
        <v>6650</v>
      </c>
      <c r="Q365" s="144"/>
      <c r="R365" s="144">
        <f t="shared" si="3"/>
        <v>6650</v>
      </c>
      <c r="S365" s="145">
        <f t="shared" si="4"/>
        <v>7.87</v>
      </c>
      <c r="T365" s="145">
        <f t="shared" si="75"/>
        <v>0</v>
      </c>
      <c r="U365" s="145">
        <f t="shared" si="36"/>
        <v>0.03</v>
      </c>
      <c r="V365" s="145">
        <f t="shared" si="339"/>
        <v>6.65</v>
      </c>
      <c r="W365" s="145">
        <f t="shared" si="340"/>
        <v>1</v>
      </c>
      <c r="X365" s="145">
        <f t="shared" ref="X365:X371" si="342">ROUND(R365*G$1820,2)</f>
        <v>0.18</v>
      </c>
      <c r="Y365" s="145">
        <f t="shared" si="218"/>
        <v>0.01</v>
      </c>
      <c r="Z365" s="146">
        <f t="shared" si="10"/>
        <v>7.87</v>
      </c>
      <c r="AA365" s="147">
        <f t="shared" si="341"/>
        <v>-6657.87</v>
      </c>
      <c r="AB365" s="148">
        <f t="shared" si="231"/>
        <v>-6658</v>
      </c>
      <c r="AC365" s="149">
        <f t="shared" si="48"/>
        <v>-0.13000000000010914</v>
      </c>
      <c r="AD365" s="138">
        <v>44552</v>
      </c>
      <c r="AE365" s="150">
        <f t="shared" si="13"/>
        <v>1.183E-3</v>
      </c>
      <c r="AF365" s="151">
        <f t="shared" si="14"/>
        <v>44552</v>
      </c>
      <c r="AG365" s="152" t="s">
        <v>416</v>
      </c>
      <c r="AH365" s="124"/>
    </row>
    <row r="366" spans="1:34" ht="12" customHeight="1">
      <c r="A366" s="155">
        <v>44551</v>
      </c>
      <c r="B366" s="112" t="s">
        <v>589</v>
      </c>
      <c r="C366" s="127" t="s">
        <v>460</v>
      </c>
      <c r="D366" s="112"/>
      <c r="E366" s="112" t="str">
        <f t="shared" si="0"/>
        <v>DCMSHRIRAM</v>
      </c>
      <c r="F366" s="112"/>
      <c r="G366" s="112"/>
      <c r="H366" s="112"/>
      <c r="I366" s="127" t="s">
        <v>461</v>
      </c>
      <c r="J366" s="126" t="s">
        <v>483</v>
      </c>
      <c r="K366" s="127"/>
      <c r="L366" s="127"/>
      <c r="M366" s="128">
        <v>200</v>
      </c>
      <c r="N366" s="129">
        <v>986</v>
      </c>
      <c r="O366" s="130">
        <f t="shared" si="39"/>
        <v>0</v>
      </c>
      <c r="P366" s="130">
        <f>N366-O366</f>
        <v>986</v>
      </c>
      <c r="Q366" s="130"/>
      <c r="R366" s="130">
        <f t="shared" si="3"/>
        <v>197200</v>
      </c>
      <c r="S366" s="131">
        <f t="shared" si="4"/>
        <v>1.0239999999999998</v>
      </c>
      <c r="T366" s="131">
        <f t="shared" si="75"/>
        <v>0</v>
      </c>
      <c r="U366" s="131">
        <f t="shared" si="36"/>
        <v>0.98</v>
      </c>
      <c r="V366" s="131">
        <f>ROUND(R366*F$1817,2)+1</f>
        <v>198.2</v>
      </c>
      <c r="W366" s="131">
        <v>0</v>
      </c>
      <c r="X366" s="131">
        <f t="shared" si="342"/>
        <v>5.42</v>
      </c>
      <c r="Y366" s="131">
        <f t="shared" si="218"/>
        <v>0.2</v>
      </c>
      <c r="Z366" s="131">
        <f t="shared" si="10"/>
        <v>204.79999999999995</v>
      </c>
      <c r="AA366" s="132">
        <f>ROUND(R366-SUM(T366:Y366),2)</f>
        <v>196995.20000000001</v>
      </c>
      <c r="AB366" s="133">
        <f t="shared" si="231"/>
        <v>196995</v>
      </c>
      <c r="AC366" s="134">
        <f t="shared" si="48"/>
        <v>-0.20000000001164153</v>
      </c>
      <c r="AD366" s="125">
        <v>44553</v>
      </c>
      <c r="AE366" s="135">
        <f t="shared" si="13"/>
        <v>1.039E-3</v>
      </c>
      <c r="AF366" s="136">
        <f t="shared" si="14"/>
        <v>44553</v>
      </c>
      <c r="AG366" s="137" t="s">
        <v>416</v>
      </c>
      <c r="AH366" s="124"/>
    </row>
    <row r="367" spans="1:34" ht="12" customHeight="1">
      <c r="A367" s="154">
        <v>44552</v>
      </c>
      <c r="B367" s="140" t="s">
        <v>589</v>
      </c>
      <c r="C367" s="141" t="s">
        <v>460</v>
      </c>
      <c r="D367" s="140"/>
      <c r="E367" s="140" t="str">
        <f t="shared" si="0"/>
        <v>DCMSHRIRAM</v>
      </c>
      <c r="F367" s="140"/>
      <c r="G367" s="140"/>
      <c r="H367" s="140"/>
      <c r="I367" s="141" t="s">
        <v>467</v>
      </c>
      <c r="J367" s="139" t="s">
        <v>483</v>
      </c>
      <c r="K367" s="141"/>
      <c r="L367" s="141"/>
      <c r="M367" s="142">
        <v>135</v>
      </c>
      <c r="N367" s="143">
        <v>980.96294999999998</v>
      </c>
      <c r="O367" s="144">
        <f t="shared" si="39"/>
        <v>0</v>
      </c>
      <c r="P367" s="144">
        <f t="shared" ref="P367:P370" si="343">N367+O367</f>
        <v>980.96294999999998</v>
      </c>
      <c r="Q367" s="144"/>
      <c r="R367" s="144">
        <f t="shared" si="3"/>
        <v>132430</v>
      </c>
      <c r="S367" s="145">
        <f t="shared" si="4"/>
        <v>1.1608888888888886</v>
      </c>
      <c r="T367" s="145">
        <f t="shared" si="75"/>
        <v>0</v>
      </c>
      <c r="U367" s="145">
        <f t="shared" si="36"/>
        <v>0.66</v>
      </c>
      <c r="V367" s="145">
        <f>ROUND(R367*F$1817,2)</f>
        <v>132.43</v>
      </c>
      <c r="W367" s="145">
        <f t="shared" ref="W367:W370" si="344">ROUND(R367*F$1823,2)</f>
        <v>19.86</v>
      </c>
      <c r="X367" s="145">
        <f t="shared" si="342"/>
        <v>3.64</v>
      </c>
      <c r="Y367" s="145">
        <f t="shared" si="218"/>
        <v>0.13</v>
      </c>
      <c r="Z367" s="146">
        <f t="shared" si="10"/>
        <v>156.71999999999997</v>
      </c>
      <c r="AA367" s="147">
        <f t="shared" ref="AA367:AA370" si="345">-ROUND(R367+SUM(T367:Y367),2)</f>
        <v>-132586.72</v>
      </c>
      <c r="AB367" s="148">
        <f t="shared" si="231"/>
        <v>-132587</v>
      </c>
      <c r="AC367" s="149">
        <f t="shared" si="48"/>
        <v>-0.27999999999883585</v>
      </c>
      <c r="AD367" s="138">
        <v>44554</v>
      </c>
      <c r="AE367" s="150">
        <f t="shared" si="13"/>
        <v>1.183E-3</v>
      </c>
      <c r="AF367" s="151">
        <f t="shared" si="14"/>
        <v>44554</v>
      </c>
      <c r="AG367" s="152" t="s">
        <v>416</v>
      </c>
      <c r="AH367" s="124"/>
    </row>
    <row r="368" spans="1:34" ht="12" customHeight="1">
      <c r="A368" s="154">
        <v>44553</v>
      </c>
      <c r="B368" s="140" t="s">
        <v>589</v>
      </c>
      <c r="C368" s="141" t="s">
        <v>460</v>
      </c>
      <c r="D368" s="140"/>
      <c r="E368" s="140" t="str">
        <f t="shared" si="0"/>
        <v>DCMSHRIRAM</v>
      </c>
      <c r="F368" s="140"/>
      <c r="G368" s="140"/>
      <c r="H368" s="140"/>
      <c r="I368" s="141" t="s">
        <v>467</v>
      </c>
      <c r="J368" s="139" t="s">
        <v>483</v>
      </c>
      <c r="K368" s="141"/>
      <c r="L368" s="141"/>
      <c r="M368" s="142">
        <v>65</v>
      </c>
      <c r="N368" s="143">
        <v>978</v>
      </c>
      <c r="O368" s="144">
        <f t="shared" si="39"/>
        <v>0</v>
      </c>
      <c r="P368" s="144">
        <f t="shared" si="343"/>
        <v>978</v>
      </c>
      <c r="Q368" s="144"/>
      <c r="R368" s="144">
        <f t="shared" si="3"/>
        <v>63570</v>
      </c>
      <c r="S368" s="145">
        <f t="shared" si="4"/>
        <v>1.1729230769230767</v>
      </c>
      <c r="T368" s="145">
        <f t="shared" si="75"/>
        <v>0</v>
      </c>
      <c r="U368" s="145">
        <f t="shared" si="36"/>
        <v>0.32</v>
      </c>
      <c r="V368" s="145">
        <f>ROUND(R368*F$1817,2)+1</f>
        <v>64.569999999999993</v>
      </c>
      <c r="W368" s="145">
        <f t="shared" si="344"/>
        <v>9.5399999999999991</v>
      </c>
      <c r="X368" s="145">
        <f t="shared" si="342"/>
        <v>1.75</v>
      </c>
      <c r="Y368" s="145">
        <f t="shared" si="218"/>
        <v>0.06</v>
      </c>
      <c r="Z368" s="146">
        <f t="shared" si="10"/>
        <v>76.239999999999981</v>
      </c>
      <c r="AA368" s="147">
        <f t="shared" si="345"/>
        <v>-63646.239999999998</v>
      </c>
      <c r="AB368" s="148">
        <f t="shared" si="231"/>
        <v>-63646</v>
      </c>
      <c r="AC368" s="149">
        <f t="shared" si="48"/>
        <v>0.23999999999796273</v>
      </c>
      <c r="AD368" s="138">
        <v>44557</v>
      </c>
      <c r="AE368" s="150">
        <f t="shared" si="13"/>
        <v>1.199E-3</v>
      </c>
      <c r="AF368" s="151">
        <f t="shared" si="14"/>
        <v>44557</v>
      </c>
      <c r="AG368" s="152" t="s">
        <v>416</v>
      </c>
      <c r="AH368" s="124"/>
    </row>
    <row r="369" spans="1:34" ht="12" customHeight="1">
      <c r="A369" s="154">
        <v>44554</v>
      </c>
      <c r="B369" s="140" t="s">
        <v>589</v>
      </c>
      <c r="C369" s="141" t="s">
        <v>460</v>
      </c>
      <c r="D369" s="140"/>
      <c r="E369" s="140" t="str">
        <f t="shared" si="0"/>
        <v>DCMSHRIRAM</v>
      </c>
      <c r="F369" s="140"/>
      <c r="G369" s="140"/>
      <c r="H369" s="140"/>
      <c r="I369" s="141" t="s">
        <v>467</v>
      </c>
      <c r="J369" s="139" t="s">
        <v>483</v>
      </c>
      <c r="K369" s="141"/>
      <c r="L369" s="141"/>
      <c r="M369" s="142">
        <v>50</v>
      </c>
      <c r="N369" s="143">
        <v>963</v>
      </c>
      <c r="O369" s="144">
        <f t="shared" si="39"/>
        <v>0</v>
      </c>
      <c r="P369" s="144">
        <f t="shared" si="343"/>
        <v>963</v>
      </c>
      <c r="Q369" s="144"/>
      <c r="R369" s="144">
        <f t="shared" si="3"/>
        <v>48150</v>
      </c>
      <c r="S369" s="145">
        <f t="shared" si="4"/>
        <v>1.1395999999999999</v>
      </c>
      <c r="T369" s="145">
        <f t="shared" si="75"/>
        <v>0</v>
      </c>
      <c r="U369" s="145">
        <f t="shared" si="36"/>
        <v>0.24</v>
      </c>
      <c r="V369" s="145">
        <f t="shared" ref="V369:V370" si="346">ROUND(R369*F$1817,2)</f>
        <v>48.15</v>
      </c>
      <c r="W369" s="145">
        <f t="shared" si="344"/>
        <v>7.22</v>
      </c>
      <c r="X369" s="145">
        <f t="shared" si="342"/>
        <v>1.32</v>
      </c>
      <c r="Y369" s="145">
        <f t="shared" si="218"/>
        <v>0.05</v>
      </c>
      <c r="Z369" s="146">
        <f t="shared" si="10"/>
        <v>56.98</v>
      </c>
      <c r="AA369" s="147">
        <f t="shared" si="345"/>
        <v>-48206.98</v>
      </c>
      <c r="AB369" s="148">
        <f t="shared" si="231"/>
        <v>-48207</v>
      </c>
      <c r="AC369" s="149">
        <f t="shared" si="48"/>
        <v>-1.9999999996798579E-2</v>
      </c>
      <c r="AD369" s="138">
        <v>44558</v>
      </c>
      <c r="AE369" s="150">
        <f t="shared" si="13"/>
        <v>1.183E-3</v>
      </c>
      <c r="AF369" s="151">
        <f t="shared" si="14"/>
        <v>44558</v>
      </c>
      <c r="AG369" s="152" t="s">
        <v>416</v>
      </c>
      <c r="AH369" s="124"/>
    </row>
    <row r="370" spans="1:34" ht="12" customHeight="1">
      <c r="A370" s="154">
        <v>44554</v>
      </c>
      <c r="B370" s="140" t="s">
        <v>562</v>
      </c>
      <c r="C370" s="141" t="s">
        <v>485</v>
      </c>
      <c r="D370" s="140"/>
      <c r="E370" s="140" t="str">
        <f t="shared" si="0"/>
        <v>BAJAJHIND</v>
      </c>
      <c r="F370" s="140"/>
      <c r="G370" s="140"/>
      <c r="H370" s="140"/>
      <c r="I370" s="141" t="s">
        <v>467</v>
      </c>
      <c r="J370" s="139" t="s">
        <v>483</v>
      </c>
      <c r="K370" s="141"/>
      <c r="L370" s="141"/>
      <c r="M370" s="142">
        <v>100</v>
      </c>
      <c r="N370" s="143">
        <v>13.5</v>
      </c>
      <c r="O370" s="144">
        <f t="shared" si="39"/>
        <v>0</v>
      </c>
      <c r="P370" s="144">
        <f t="shared" si="343"/>
        <v>13.5</v>
      </c>
      <c r="Q370" s="144"/>
      <c r="R370" s="144">
        <f t="shared" si="3"/>
        <v>1350</v>
      </c>
      <c r="S370" s="145">
        <f t="shared" si="4"/>
        <v>1.6E-2</v>
      </c>
      <c r="T370" s="145">
        <f t="shared" si="75"/>
        <v>0</v>
      </c>
      <c r="U370" s="145">
        <f t="shared" si="36"/>
        <v>0.01</v>
      </c>
      <c r="V370" s="145">
        <f t="shared" si="346"/>
        <v>1.35</v>
      </c>
      <c r="W370" s="145">
        <f t="shared" si="344"/>
        <v>0.2</v>
      </c>
      <c r="X370" s="145">
        <f t="shared" si="342"/>
        <v>0.04</v>
      </c>
      <c r="Y370" s="145">
        <f t="shared" si="218"/>
        <v>0</v>
      </c>
      <c r="Z370" s="146">
        <f t="shared" si="10"/>
        <v>1.6</v>
      </c>
      <c r="AA370" s="147">
        <f t="shared" si="345"/>
        <v>-1351.6</v>
      </c>
      <c r="AB370" s="148">
        <f t="shared" si="231"/>
        <v>-1352</v>
      </c>
      <c r="AC370" s="149">
        <f t="shared" si="48"/>
        <v>-0.40000000000009095</v>
      </c>
      <c r="AD370" s="138">
        <v>44558</v>
      </c>
      <c r="AE370" s="150">
        <f t="shared" si="13"/>
        <v>1.1850000000000001E-3</v>
      </c>
      <c r="AF370" s="151">
        <f t="shared" si="14"/>
        <v>44558</v>
      </c>
      <c r="AG370" s="152" t="s">
        <v>416</v>
      </c>
      <c r="AH370" s="124"/>
    </row>
    <row r="371" spans="1:34" ht="12" customHeight="1">
      <c r="A371" s="155">
        <v>44557</v>
      </c>
      <c r="B371" s="112" t="s">
        <v>562</v>
      </c>
      <c r="C371" s="127" t="s">
        <v>485</v>
      </c>
      <c r="D371" s="112"/>
      <c r="E371" s="112" t="str">
        <f t="shared" si="0"/>
        <v>BAJAJHIND</v>
      </c>
      <c r="F371" s="112"/>
      <c r="G371" s="112"/>
      <c r="H371" s="112"/>
      <c r="I371" s="127" t="s">
        <v>461</v>
      </c>
      <c r="J371" s="126" t="s">
        <v>483</v>
      </c>
      <c r="K371" s="127"/>
      <c r="L371" s="127"/>
      <c r="M371" s="128">
        <v>100</v>
      </c>
      <c r="N371" s="129">
        <v>14.25</v>
      </c>
      <c r="O371" s="130">
        <f t="shared" si="39"/>
        <v>0</v>
      </c>
      <c r="P371" s="130">
        <f t="shared" ref="P371:P376" si="347">N371-O371</f>
        <v>14.25</v>
      </c>
      <c r="Q371" s="130"/>
      <c r="R371" s="130">
        <f t="shared" si="3"/>
        <v>1425</v>
      </c>
      <c r="S371" s="131">
        <f t="shared" si="4"/>
        <v>1.55E-2</v>
      </c>
      <c r="T371" s="131">
        <f t="shared" si="75"/>
        <v>0</v>
      </c>
      <c r="U371" s="131">
        <f t="shared" si="36"/>
        <v>0.01</v>
      </c>
      <c r="V371" s="131">
        <f>ROUND(R371*F$1817,2)+0.07</f>
        <v>1.5</v>
      </c>
      <c r="W371" s="131">
        <v>0</v>
      </c>
      <c r="X371" s="131">
        <f t="shared" si="342"/>
        <v>0.04</v>
      </c>
      <c r="Y371" s="131">
        <f t="shared" si="218"/>
        <v>0</v>
      </c>
      <c r="Z371" s="131">
        <f t="shared" si="10"/>
        <v>1.55</v>
      </c>
      <c r="AA371" s="132">
        <f t="shared" ref="AA371:AA376" si="348">ROUND(R371-SUM(T371:Y371),2)</f>
        <v>1423.45</v>
      </c>
      <c r="AB371" s="133">
        <f t="shared" si="231"/>
        <v>1423</v>
      </c>
      <c r="AC371" s="134">
        <f t="shared" si="48"/>
        <v>-0.45000000000004547</v>
      </c>
      <c r="AD371" s="125">
        <v>44559</v>
      </c>
      <c r="AE371" s="135">
        <f t="shared" si="13"/>
        <v>1.088E-3</v>
      </c>
      <c r="AF371" s="136">
        <f t="shared" si="14"/>
        <v>44559</v>
      </c>
      <c r="AG371" s="137" t="s">
        <v>416</v>
      </c>
      <c r="AH371" s="124"/>
    </row>
    <row r="372" spans="1:34" ht="12" customHeight="1">
      <c r="A372" s="155">
        <v>44557</v>
      </c>
      <c r="B372" s="112" t="s">
        <v>498</v>
      </c>
      <c r="C372" s="127" t="s">
        <v>485</v>
      </c>
      <c r="D372" s="112"/>
      <c r="E372" s="112" t="str">
        <f t="shared" si="0"/>
        <v>BAJFINANCE</v>
      </c>
      <c r="F372" s="112"/>
      <c r="G372" s="112"/>
      <c r="H372" s="112"/>
      <c r="I372" s="127" t="s">
        <v>461</v>
      </c>
      <c r="J372" s="126" t="s">
        <v>483</v>
      </c>
      <c r="K372" s="127"/>
      <c r="L372" s="127"/>
      <c r="M372" s="128">
        <v>1</v>
      </c>
      <c r="N372" s="129">
        <v>6895</v>
      </c>
      <c r="O372" s="130">
        <f t="shared" si="39"/>
        <v>0</v>
      </c>
      <c r="P372" s="130">
        <f t="shared" si="347"/>
        <v>6895</v>
      </c>
      <c r="Q372" s="130"/>
      <c r="R372" s="130">
        <f t="shared" si="3"/>
        <v>6895</v>
      </c>
      <c r="S372" s="131">
        <f t="shared" si="4"/>
        <v>7.19</v>
      </c>
      <c r="T372" s="131">
        <f t="shared" si="75"/>
        <v>0</v>
      </c>
      <c r="U372" s="131">
        <f t="shared" si="36"/>
        <v>0.04</v>
      </c>
      <c r="V372" s="131">
        <f t="shared" ref="V372:V410" si="349">ROUND(R372*F$1817,2)</f>
        <v>6.9</v>
      </c>
      <c r="W372" s="131">
        <v>0</v>
      </c>
      <c r="X372" s="131">
        <f>ROUND(R372*H$1820,2)</f>
        <v>0.24</v>
      </c>
      <c r="Y372" s="131">
        <f t="shared" si="218"/>
        <v>0.01</v>
      </c>
      <c r="Z372" s="131">
        <f t="shared" si="10"/>
        <v>7.19</v>
      </c>
      <c r="AA372" s="132">
        <f t="shared" si="348"/>
        <v>6887.81</v>
      </c>
      <c r="AB372" s="133">
        <f t="shared" si="231"/>
        <v>6888</v>
      </c>
      <c r="AC372" s="134">
        <f t="shared" si="48"/>
        <v>0.18999999999959982</v>
      </c>
      <c r="AD372" s="125">
        <v>44559</v>
      </c>
      <c r="AE372" s="135">
        <f t="shared" si="13"/>
        <v>1.0430000000000001E-3</v>
      </c>
      <c r="AF372" s="136">
        <f t="shared" si="14"/>
        <v>44559</v>
      </c>
      <c r="AG372" s="137" t="s">
        <v>416</v>
      </c>
      <c r="AH372" s="124"/>
    </row>
    <row r="373" spans="1:34" ht="12" customHeight="1">
      <c r="A373" s="155">
        <v>44557</v>
      </c>
      <c r="B373" s="112" t="s">
        <v>526</v>
      </c>
      <c r="C373" s="127" t="s">
        <v>485</v>
      </c>
      <c r="D373" s="112"/>
      <c r="E373" s="112" t="str">
        <f t="shared" si="0"/>
        <v>SHALPAINTS</v>
      </c>
      <c r="F373" s="112"/>
      <c r="G373" s="112"/>
      <c r="H373" s="112"/>
      <c r="I373" s="127" t="s">
        <v>461</v>
      </c>
      <c r="J373" s="126" t="s">
        <v>483</v>
      </c>
      <c r="K373" s="127"/>
      <c r="L373" s="127"/>
      <c r="M373" s="128">
        <v>100</v>
      </c>
      <c r="N373" s="129">
        <v>111</v>
      </c>
      <c r="O373" s="130">
        <f t="shared" si="39"/>
        <v>0</v>
      </c>
      <c r="P373" s="130">
        <f t="shared" si="347"/>
        <v>111</v>
      </c>
      <c r="Q373" s="130"/>
      <c r="R373" s="130">
        <f t="shared" si="3"/>
        <v>11100</v>
      </c>
      <c r="S373" s="131">
        <f t="shared" si="4"/>
        <v>0.1148</v>
      </c>
      <c r="T373" s="131">
        <f t="shared" si="75"/>
        <v>0</v>
      </c>
      <c r="U373" s="131">
        <f t="shared" si="36"/>
        <v>0.06</v>
      </c>
      <c r="V373" s="131">
        <f t="shared" si="349"/>
        <v>11.1</v>
      </c>
      <c r="W373" s="131">
        <v>0</v>
      </c>
      <c r="X373" s="131">
        <f t="shared" ref="X373:X378" si="350">ROUND(R373*G$1820,2)</f>
        <v>0.31</v>
      </c>
      <c r="Y373" s="131">
        <f t="shared" si="218"/>
        <v>0.01</v>
      </c>
      <c r="Z373" s="131">
        <f t="shared" si="10"/>
        <v>11.48</v>
      </c>
      <c r="AA373" s="132">
        <f t="shared" si="348"/>
        <v>11088.52</v>
      </c>
      <c r="AB373" s="133">
        <f t="shared" si="231"/>
        <v>11089</v>
      </c>
      <c r="AC373" s="134">
        <f t="shared" si="48"/>
        <v>0.47999999999956344</v>
      </c>
      <c r="AD373" s="125">
        <v>44559</v>
      </c>
      <c r="AE373" s="135">
        <f t="shared" si="13"/>
        <v>1.034E-3</v>
      </c>
      <c r="AF373" s="136">
        <f t="shared" si="14"/>
        <v>44559</v>
      </c>
      <c r="AG373" s="137" t="s">
        <v>416</v>
      </c>
      <c r="AH373" s="124"/>
    </row>
    <row r="374" spans="1:34" ht="12" customHeight="1">
      <c r="A374" s="155">
        <v>44557</v>
      </c>
      <c r="B374" s="112" t="s">
        <v>591</v>
      </c>
      <c r="C374" s="127" t="s">
        <v>485</v>
      </c>
      <c r="D374" s="112"/>
      <c r="E374" s="112" t="str">
        <f t="shared" si="0"/>
        <v>VSSL</v>
      </c>
      <c r="F374" s="112"/>
      <c r="G374" s="112"/>
      <c r="H374" s="112"/>
      <c r="I374" s="127" t="s">
        <v>461</v>
      </c>
      <c r="J374" s="126" t="s">
        <v>483</v>
      </c>
      <c r="K374" s="127"/>
      <c r="L374" s="127"/>
      <c r="M374" s="128">
        <v>35</v>
      </c>
      <c r="N374" s="129">
        <v>237</v>
      </c>
      <c r="O374" s="130">
        <f t="shared" si="39"/>
        <v>0</v>
      </c>
      <c r="P374" s="130">
        <f t="shared" si="347"/>
        <v>237</v>
      </c>
      <c r="Q374" s="130"/>
      <c r="R374" s="130">
        <f t="shared" si="3"/>
        <v>8295</v>
      </c>
      <c r="S374" s="131">
        <f t="shared" si="4"/>
        <v>0.24514285714285713</v>
      </c>
      <c r="T374" s="131">
        <f t="shared" si="75"/>
        <v>0</v>
      </c>
      <c r="U374" s="131">
        <f t="shared" si="36"/>
        <v>0.04</v>
      </c>
      <c r="V374" s="131">
        <f t="shared" si="349"/>
        <v>8.3000000000000007</v>
      </c>
      <c r="W374" s="131">
        <v>0</v>
      </c>
      <c r="X374" s="131">
        <f t="shared" si="350"/>
        <v>0.23</v>
      </c>
      <c r="Y374" s="131">
        <f t="shared" si="218"/>
        <v>0.01</v>
      </c>
      <c r="Z374" s="131">
        <f t="shared" si="10"/>
        <v>8.58</v>
      </c>
      <c r="AA374" s="132">
        <f t="shared" si="348"/>
        <v>8286.42</v>
      </c>
      <c r="AB374" s="133">
        <f t="shared" si="231"/>
        <v>8286</v>
      </c>
      <c r="AC374" s="134">
        <f t="shared" si="48"/>
        <v>-0.42000000000007276</v>
      </c>
      <c r="AD374" s="125">
        <v>44559</v>
      </c>
      <c r="AE374" s="135">
        <f t="shared" si="13"/>
        <v>1.034E-3</v>
      </c>
      <c r="AF374" s="136">
        <f t="shared" si="14"/>
        <v>44559</v>
      </c>
      <c r="AG374" s="137" t="s">
        <v>416</v>
      </c>
      <c r="AH374" s="124"/>
    </row>
    <row r="375" spans="1:34" ht="12" customHeight="1">
      <c r="A375" s="155">
        <v>44558</v>
      </c>
      <c r="B375" s="112" t="s">
        <v>593</v>
      </c>
      <c r="C375" s="127" t="s">
        <v>485</v>
      </c>
      <c r="D375" s="112"/>
      <c r="E375" s="112" t="str">
        <f t="shared" si="0"/>
        <v>AVADHSUGAR</v>
      </c>
      <c r="F375" s="112"/>
      <c r="G375" s="112"/>
      <c r="H375" s="112"/>
      <c r="I375" s="127" t="s">
        <v>461</v>
      </c>
      <c r="J375" s="126" t="s">
        <v>483</v>
      </c>
      <c r="K375" s="127"/>
      <c r="L375" s="127"/>
      <c r="M375" s="128">
        <v>10</v>
      </c>
      <c r="N375" s="129">
        <v>470</v>
      </c>
      <c r="O375" s="130">
        <f t="shared" si="39"/>
        <v>0</v>
      </c>
      <c r="P375" s="130">
        <f t="shared" si="347"/>
        <v>470</v>
      </c>
      <c r="Q375" s="130"/>
      <c r="R375" s="130">
        <f t="shared" si="3"/>
        <v>4700</v>
      </c>
      <c r="S375" s="131">
        <f t="shared" si="4"/>
        <v>0.48499999999999999</v>
      </c>
      <c r="T375" s="131">
        <f t="shared" si="75"/>
        <v>0</v>
      </c>
      <c r="U375" s="131">
        <f t="shared" si="36"/>
        <v>0.02</v>
      </c>
      <c r="V375" s="131">
        <f t="shared" si="349"/>
        <v>4.7</v>
      </c>
      <c r="W375" s="131">
        <v>0</v>
      </c>
      <c r="X375" s="131">
        <f t="shared" si="350"/>
        <v>0.13</v>
      </c>
      <c r="Y375" s="131">
        <f t="shared" si="218"/>
        <v>0</v>
      </c>
      <c r="Z375" s="131">
        <f t="shared" si="10"/>
        <v>4.8499999999999996</v>
      </c>
      <c r="AA375" s="132">
        <f t="shared" si="348"/>
        <v>4695.1499999999996</v>
      </c>
      <c r="AB375" s="133">
        <f t="shared" si="231"/>
        <v>4695</v>
      </c>
      <c r="AC375" s="134">
        <f t="shared" si="48"/>
        <v>-0.1499999999996362</v>
      </c>
      <c r="AD375" s="125">
        <v>44560</v>
      </c>
      <c r="AE375" s="135">
        <f t="shared" si="13"/>
        <v>1.0319999999999999E-3</v>
      </c>
      <c r="AF375" s="136">
        <f t="shared" si="14"/>
        <v>44560</v>
      </c>
      <c r="AG375" s="137" t="s">
        <v>416</v>
      </c>
      <c r="AH375" s="124"/>
    </row>
    <row r="376" spans="1:34" ht="12" customHeight="1">
      <c r="A376" s="155">
        <v>44558</v>
      </c>
      <c r="B376" s="112" t="s">
        <v>562</v>
      </c>
      <c r="C376" s="127" t="s">
        <v>485</v>
      </c>
      <c r="D376" s="112"/>
      <c r="E376" s="112" t="str">
        <f t="shared" si="0"/>
        <v>BAJAJHIND</v>
      </c>
      <c r="F376" s="112"/>
      <c r="G376" s="112"/>
      <c r="H376" s="112"/>
      <c r="I376" s="127" t="s">
        <v>461</v>
      </c>
      <c r="J376" s="126" t="s">
        <v>483</v>
      </c>
      <c r="K376" s="127"/>
      <c r="L376" s="127"/>
      <c r="M376" s="128">
        <v>100</v>
      </c>
      <c r="N376" s="129">
        <v>14.75</v>
      </c>
      <c r="O376" s="130">
        <f t="shared" si="39"/>
        <v>0</v>
      </c>
      <c r="P376" s="130">
        <f t="shared" si="347"/>
        <v>14.75</v>
      </c>
      <c r="Q376" s="130"/>
      <c r="R376" s="130">
        <f t="shared" si="3"/>
        <v>1475</v>
      </c>
      <c r="S376" s="131">
        <f t="shared" si="4"/>
        <v>1.5300000000000001E-2</v>
      </c>
      <c r="T376" s="131">
        <f t="shared" si="75"/>
        <v>0</v>
      </c>
      <c r="U376" s="131">
        <f t="shared" si="36"/>
        <v>0.01</v>
      </c>
      <c r="V376" s="131">
        <f t="shared" si="349"/>
        <v>1.48</v>
      </c>
      <c r="W376" s="131">
        <v>0</v>
      </c>
      <c r="X376" s="131">
        <f t="shared" si="350"/>
        <v>0.04</v>
      </c>
      <c r="Y376" s="131">
        <f t="shared" si="218"/>
        <v>0</v>
      </c>
      <c r="Z376" s="131">
        <f t="shared" si="10"/>
        <v>1.53</v>
      </c>
      <c r="AA376" s="132">
        <f t="shared" si="348"/>
        <v>1473.47</v>
      </c>
      <c r="AB376" s="133">
        <f t="shared" si="231"/>
        <v>1473</v>
      </c>
      <c r="AC376" s="134">
        <f t="shared" si="48"/>
        <v>-0.47000000000002728</v>
      </c>
      <c r="AD376" s="125">
        <v>44560</v>
      </c>
      <c r="AE376" s="135">
        <f t="shared" si="13"/>
        <v>1.0369999999999999E-3</v>
      </c>
      <c r="AF376" s="136">
        <f t="shared" si="14"/>
        <v>44560</v>
      </c>
      <c r="AG376" s="137" t="s">
        <v>416</v>
      </c>
      <c r="AH376" s="124"/>
    </row>
    <row r="377" spans="1:34" ht="12" customHeight="1">
      <c r="A377" s="154">
        <v>44558</v>
      </c>
      <c r="B377" s="140" t="s">
        <v>526</v>
      </c>
      <c r="C377" s="141" t="s">
        <v>485</v>
      </c>
      <c r="D377" s="140"/>
      <c r="E377" s="140" t="str">
        <f t="shared" si="0"/>
        <v>SHALPAINTS</v>
      </c>
      <c r="F377" s="140"/>
      <c r="G377" s="140"/>
      <c r="H377" s="140"/>
      <c r="I377" s="141" t="s">
        <v>467</v>
      </c>
      <c r="J377" s="139" t="s">
        <v>483</v>
      </c>
      <c r="K377" s="141"/>
      <c r="L377" s="141"/>
      <c r="M377" s="142">
        <v>100</v>
      </c>
      <c r="N377" s="143">
        <v>113</v>
      </c>
      <c r="O377" s="144">
        <f t="shared" si="39"/>
        <v>0</v>
      </c>
      <c r="P377" s="144">
        <f t="shared" ref="P377:P378" si="351">N377+O377</f>
        <v>113</v>
      </c>
      <c r="Q377" s="144"/>
      <c r="R377" s="144">
        <f t="shared" si="3"/>
        <v>11300</v>
      </c>
      <c r="S377" s="145">
        <f t="shared" si="4"/>
        <v>0.1338</v>
      </c>
      <c r="T377" s="145">
        <f t="shared" si="75"/>
        <v>0</v>
      </c>
      <c r="U377" s="145">
        <f t="shared" si="36"/>
        <v>0.06</v>
      </c>
      <c r="V377" s="145">
        <f t="shared" si="349"/>
        <v>11.3</v>
      </c>
      <c r="W377" s="145">
        <f t="shared" ref="W377:W378" si="352">ROUND(R377*F$1823,2)</f>
        <v>1.7</v>
      </c>
      <c r="X377" s="145">
        <f t="shared" si="350"/>
        <v>0.31</v>
      </c>
      <c r="Y377" s="145">
        <f t="shared" si="218"/>
        <v>0.01</v>
      </c>
      <c r="Z377" s="146">
        <f t="shared" si="10"/>
        <v>13.38</v>
      </c>
      <c r="AA377" s="147">
        <f t="shared" ref="AA377:AA378" si="353">-ROUND(R377+SUM(T377:Y377),2)</f>
        <v>-11313.38</v>
      </c>
      <c r="AB377" s="148">
        <f t="shared" si="231"/>
        <v>-11313</v>
      </c>
      <c r="AC377" s="149">
        <f t="shared" si="48"/>
        <v>0.37999999999919964</v>
      </c>
      <c r="AD377" s="138">
        <v>44560</v>
      </c>
      <c r="AE377" s="150">
        <f t="shared" si="13"/>
        <v>1.1839999999999999E-3</v>
      </c>
      <c r="AF377" s="151">
        <f t="shared" si="14"/>
        <v>44560</v>
      </c>
      <c r="AG377" s="152" t="s">
        <v>416</v>
      </c>
      <c r="AH377" s="124"/>
    </row>
    <row r="378" spans="1:34" ht="12" customHeight="1">
      <c r="A378" s="154">
        <v>44558</v>
      </c>
      <c r="B378" s="140" t="s">
        <v>591</v>
      </c>
      <c r="C378" s="141" t="s">
        <v>485</v>
      </c>
      <c r="D378" s="140"/>
      <c r="E378" s="140" t="str">
        <f t="shared" si="0"/>
        <v>VSSL</v>
      </c>
      <c r="F378" s="140"/>
      <c r="G378" s="140"/>
      <c r="H378" s="140"/>
      <c r="I378" s="141" t="s">
        <v>467</v>
      </c>
      <c r="J378" s="139" t="s">
        <v>483</v>
      </c>
      <c r="K378" s="141"/>
      <c r="L378" s="141"/>
      <c r="M378" s="142">
        <v>50</v>
      </c>
      <c r="N378" s="143">
        <v>252.5</v>
      </c>
      <c r="O378" s="144">
        <f t="shared" si="39"/>
        <v>0</v>
      </c>
      <c r="P378" s="144">
        <f t="shared" si="351"/>
        <v>252.5</v>
      </c>
      <c r="Q378" s="144"/>
      <c r="R378" s="144">
        <f t="shared" si="3"/>
        <v>12625</v>
      </c>
      <c r="S378" s="145">
        <f t="shared" si="4"/>
        <v>0.29880000000000001</v>
      </c>
      <c r="T378" s="145">
        <f t="shared" si="75"/>
        <v>0</v>
      </c>
      <c r="U378" s="145">
        <f t="shared" si="36"/>
        <v>0.06</v>
      </c>
      <c r="V378" s="145">
        <f t="shared" si="349"/>
        <v>12.63</v>
      </c>
      <c r="W378" s="145">
        <f t="shared" si="352"/>
        <v>1.89</v>
      </c>
      <c r="X378" s="145">
        <f t="shared" si="350"/>
        <v>0.35</v>
      </c>
      <c r="Y378" s="145">
        <f t="shared" si="218"/>
        <v>0.01</v>
      </c>
      <c r="Z378" s="146">
        <f t="shared" si="10"/>
        <v>14.940000000000001</v>
      </c>
      <c r="AA378" s="147">
        <f t="shared" si="353"/>
        <v>-12639.94</v>
      </c>
      <c r="AB378" s="148">
        <f t="shared" si="231"/>
        <v>-12640</v>
      </c>
      <c r="AC378" s="149">
        <f t="shared" si="48"/>
        <v>-5.9999999999490683E-2</v>
      </c>
      <c r="AD378" s="138">
        <v>44560</v>
      </c>
      <c r="AE378" s="150">
        <f t="shared" si="13"/>
        <v>1.183E-3</v>
      </c>
      <c r="AF378" s="151">
        <f t="shared" si="14"/>
        <v>44560</v>
      </c>
      <c r="AG378" s="152" t="s">
        <v>416</v>
      </c>
      <c r="AH378" s="124"/>
    </row>
    <row r="379" spans="1:34" ht="12" customHeight="1">
      <c r="A379" s="155">
        <v>44559</v>
      </c>
      <c r="B379" s="112" t="s">
        <v>598</v>
      </c>
      <c r="C379" s="127" t="s">
        <v>485</v>
      </c>
      <c r="D379" s="112"/>
      <c r="E379" s="112" t="str">
        <f t="shared" si="0"/>
        <v>A2ZINFRA</v>
      </c>
      <c r="F379" s="112"/>
      <c r="G379" s="112"/>
      <c r="H379" s="112"/>
      <c r="I379" s="127" t="s">
        <v>461</v>
      </c>
      <c r="J379" s="126" t="s">
        <v>483</v>
      </c>
      <c r="K379" s="127"/>
      <c r="L379" s="127"/>
      <c r="M379" s="128">
        <v>1000</v>
      </c>
      <c r="N379" s="129">
        <v>8.66</v>
      </c>
      <c r="O379" s="130">
        <f t="shared" si="39"/>
        <v>0</v>
      </c>
      <c r="P379" s="130">
        <f>N379-O379</f>
        <v>8.66</v>
      </c>
      <c r="Q379" s="130"/>
      <c r="R379" s="130">
        <f t="shared" si="3"/>
        <v>8660</v>
      </c>
      <c r="S379" s="131">
        <f t="shared" si="4"/>
        <v>9.020000000000002E-3</v>
      </c>
      <c r="T379" s="131">
        <f t="shared" si="75"/>
        <v>0</v>
      </c>
      <c r="U379" s="131">
        <f t="shared" si="36"/>
        <v>0.05</v>
      </c>
      <c r="V379" s="131">
        <f t="shared" si="349"/>
        <v>8.66</v>
      </c>
      <c r="W379" s="131">
        <v>0</v>
      </c>
      <c r="X379" s="131">
        <f t="shared" ref="X379:X380" si="354">ROUND(R379*H$1820,2)</f>
        <v>0.3</v>
      </c>
      <c r="Y379" s="131">
        <f t="shared" si="218"/>
        <v>0.01</v>
      </c>
      <c r="Z379" s="131">
        <f t="shared" si="10"/>
        <v>9.0200000000000014</v>
      </c>
      <c r="AA379" s="132">
        <f>ROUND(R379-SUM(T379:Y379),2)</f>
        <v>8650.98</v>
      </c>
      <c r="AB379" s="133">
        <f t="shared" si="231"/>
        <v>8651</v>
      </c>
      <c r="AC379" s="134">
        <f t="shared" si="48"/>
        <v>2.0000000000436557E-2</v>
      </c>
      <c r="AD379" s="125">
        <v>44561</v>
      </c>
      <c r="AE379" s="135">
        <f t="shared" si="13"/>
        <v>1.042E-3</v>
      </c>
      <c r="AF379" s="136">
        <f t="shared" si="14"/>
        <v>44561</v>
      </c>
      <c r="AG379" s="137" t="s">
        <v>416</v>
      </c>
      <c r="AH379" s="124"/>
    </row>
    <row r="380" spans="1:34" ht="12" customHeight="1">
      <c r="A380" s="154">
        <v>44559</v>
      </c>
      <c r="B380" s="140" t="s">
        <v>562</v>
      </c>
      <c r="C380" s="141" t="s">
        <v>485</v>
      </c>
      <c r="D380" s="140"/>
      <c r="E380" s="140" t="str">
        <f t="shared" si="0"/>
        <v>BAJAJHIND</v>
      </c>
      <c r="F380" s="140"/>
      <c r="G380" s="140"/>
      <c r="H380" s="140"/>
      <c r="I380" s="141" t="s">
        <v>467</v>
      </c>
      <c r="J380" s="139" t="s">
        <v>483</v>
      </c>
      <c r="K380" s="141"/>
      <c r="L380" s="141"/>
      <c r="M380" s="142">
        <v>200</v>
      </c>
      <c r="N380" s="143">
        <v>15</v>
      </c>
      <c r="O380" s="144">
        <f t="shared" si="39"/>
        <v>0</v>
      </c>
      <c r="P380" s="144">
        <f t="shared" ref="P380:P381" si="355">N380+O380</f>
        <v>15</v>
      </c>
      <c r="Q380" s="144"/>
      <c r="R380" s="144">
        <f t="shared" si="3"/>
        <v>3000</v>
      </c>
      <c r="S380" s="145">
        <f t="shared" si="4"/>
        <v>1.7850000000000001E-2</v>
      </c>
      <c r="T380" s="145">
        <f t="shared" si="75"/>
        <v>0</v>
      </c>
      <c r="U380" s="145">
        <f t="shared" si="36"/>
        <v>0.02</v>
      </c>
      <c r="V380" s="145">
        <f t="shared" si="349"/>
        <v>3</v>
      </c>
      <c r="W380" s="145">
        <f t="shared" ref="W380:W381" si="356">ROUND(R380*F$1823,2)</f>
        <v>0.45</v>
      </c>
      <c r="X380" s="145">
        <f t="shared" si="354"/>
        <v>0.1</v>
      </c>
      <c r="Y380" s="145">
        <f t="shared" si="218"/>
        <v>0</v>
      </c>
      <c r="Z380" s="146">
        <f t="shared" si="10"/>
        <v>3.5700000000000003</v>
      </c>
      <c r="AA380" s="147">
        <f t="shared" ref="AA380:AA381" si="357">-ROUND(R380+SUM(T380:Y380),2)</f>
        <v>-3003.57</v>
      </c>
      <c r="AB380" s="148">
        <f t="shared" si="231"/>
        <v>-3004</v>
      </c>
      <c r="AC380" s="149">
        <f t="shared" si="48"/>
        <v>-0.42999999999983629</v>
      </c>
      <c r="AD380" s="138">
        <v>44561</v>
      </c>
      <c r="AE380" s="150">
        <f t="shared" si="13"/>
        <v>1.1900000000000001E-3</v>
      </c>
      <c r="AF380" s="151">
        <f t="shared" si="14"/>
        <v>44561</v>
      </c>
      <c r="AG380" s="152" t="s">
        <v>416</v>
      </c>
      <c r="AH380" s="124"/>
    </row>
    <row r="381" spans="1:34" ht="12" customHeight="1">
      <c r="A381" s="154">
        <v>44560</v>
      </c>
      <c r="B381" s="140" t="s">
        <v>526</v>
      </c>
      <c r="C381" s="141" t="s">
        <v>485</v>
      </c>
      <c r="D381" s="140"/>
      <c r="E381" s="140" t="str">
        <f t="shared" si="0"/>
        <v>SHALPAINTS</v>
      </c>
      <c r="F381" s="140"/>
      <c r="G381" s="140"/>
      <c r="H381" s="140"/>
      <c r="I381" s="141" t="s">
        <v>467</v>
      </c>
      <c r="J381" s="139" t="s">
        <v>483</v>
      </c>
      <c r="K381" s="141"/>
      <c r="L381" s="141"/>
      <c r="M381" s="142">
        <v>100</v>
      </c>
      <c r="N381" s="143">
        <v>109</v>
      </c>
      <c r="O381" s="144">
        <f t="shared" si="39"/>
        <v>0</v>
      </c>
      <c r="P381" s="144">
        <f t="shared" si="355"/>
        <v>109</v>
      </c>
      <c r="Q381" s="144"/>
      <c r="R381" s="144">
        <f t="shared" si="3"/>
        <v>10900</v>
      </c>
      <c r="S381" s="145">
        <f t="shared" si="4"/>
        <v>0.12900000000000003</v>
      </c>
      <c r="T381" s="145">
        <f t="shared" si="75"/>
        <v>0</v>
      </c>
      <c r="U381" s="145">
        <f t="shared" si="36"/>
        <v>0.05</v>
      </c>
      <c r="V381" s="145">
        <f t="shared" si="349"/>
        <v>10.9</v>
      </c>
      <c r="W381" s="145">
        <f t="shared" si="356"/>
        <v>1.64</v>
      </c>
      <c r="X381" s="145">
        <f>ROUND(R381*G$1820,2)</f>
        <v>0.3</v>
      </c>
      <c r="Y381" s="145">
        <f t="shared" si="218"/>
        <v>0.01</v>
      </c>
      <c r="Z381" s="146">
        <f t="shared" si="10"/>
        <v>12.900000000000002</v>
      </c>
      <c r="AA381" s="147">
        <f t="shared" si="357"/>
        <v>-10912.9</v>
      </c>
      <c r="AB381" s="148">
        <f t="shared" si="231"/>
        <v>-10913</v>
      </c>
      <c r="AC381" s="149">
        <f t="shared" si="48"/>
        <v>-0.1000000000003638</v>
      </c>
      <c r="AD381" s="138">
        <v>44564</v>
      </c>
      <c r="AE381" s="150">
        <f t="shared" si="13"/>
        <v>1.183E-3</v>
      </c>
      <c r="AF381" s="151">
        <f t="shared" si="14"/>
        <v>44564</v>
      </c>
      <c r="AG381" s="152" t="s">
        <v>416</v>
      </c>
      <c r="AH381" s="124"/>
    </row>
    <row r="382" spans="1:34" ht="12" customHeight="1">
      <c r="A382" s="155">
        <v>44561</v>
      </c>
      <c r="B382" s="112" t="s">
        <v>496</v>
      </c>
      <c r="C382" s="127" t="s">
        <v>485</v>
      </c>
      <c r="D382" s="112"/>
      <c r="E382" s="112" t="str">
        <f t="shared" si="0"/>
        <v>NATIONALUM</v>
      </c>
      <c r="F382" s="112"/>
      <c r="G382" s="112"/>
      <c r="H382" s="112"/>
      <c r="I382" s="127" t="s">
        <v>461</v>
      </c>
      <c r="J382" s="126" t="s">
        <v>483</v>
      </c>
      <c r="K382" s="127"/>
      <c r="L382" s="127"/>
      <c r="M382" s="128">
        <v>50</v>
      </c>
      <c r="N382" s="129">
        <v>101.25</v>
      </c>
      <c r="O382" s="130">
        <f t="shared" si="39"/>
        <v>0</v>
      </c>
      <c r="P382" s="130">
        <f t="shared" ref="P382:P383" si="358">N382-O382</f>
        <v>101.25</v>
      </c>
      <c r="Q382" s="130"/>
      <c r="R382" s="130">
        <f t="shared" si="3"/>
        <v>5062.5</v>
      </c>
      <c r="S382" s="131">
        <f t="shared" si="4"/>
        <v>0.10539999999999999</v>
      </c>
      <c r="T382" s="131">
        <f t="shared" si="75"/>
        <v>0</v>
      </c>
      <c r="U382" s="131">
        <f t="shared" si="36"/>
        <v>0.03</v>
      </c>
      <c r="V382" s="131">
        <f t="shared" si="349"/>
        <v>5.0599999999999996</v>
      </c>
      <c r="W382" s="131">
        <v>0</v>
      </c>
      <c r="X382" s="131">
        <f>ROUND(R382*H$1820,2)</f>
        <v>0.17</v>
      </c>
      <c r="Y382" s="131">
        <f t="shared" si="218"/>
        <v>0.01</v>
      </c>
      <c r="Z382" s="131">
        <f t="shared" si="10"/>
        <v>5.27</v>
      </c>
      <c r="AA382" s="132">
        <f t="shared" ref="AA382:AA383" si="359">ROUND(R382-SUM(T382:Y382),2)</f>
        <v>5057.2299999999996</v>
      </c>
      <c r="AB382" s="133">
        <f t="shared" si="231"/>
        <v>5057</v>
      </c>
      <c r="AC382" s="134">
        <f t="shared" si="48"/>
        <v>-0.22999999999956344</v>
      </c>
      <c r="AD382" s="125">
        <v>44565</v>
      </c>
      <c r="AE382" s="135">
        <f t="shared" si="13"/>
        <v>1.041E-3</v>
      </c>
      <c r="AF382" s="136">
        <f t="shared" si="14"/>
        <v>44565</v>
      </c>
      <c r="AG382" s="137" t="s">
        <v>416</v>
      </c>
      <c r="AH382" s="124"/>
    </row>
    <row r="383" spans="1:34" ht="12" customHeight="1">
      <c r="A383" s="155">
        <v>44561</v>
      </c>
      <c r="B383" s="112" t="s">
        <v>526</v>
      </c>
      <c r="C383" s="127" t="s">
        <v>485</v>
      </c>
      <c r="D383" s="112"/>
      <c r="E383" s="112" t="str">
        <f t="shared" si="0"/>
        <v>SHALPAINTS</v>
      </c>
      <c r="F383" s="112"/>
      <c r="G383" s="112"/>
      <c r="H383" s="112"/>
      <c r="I383" s="127" t="s">
        <v>461</v>
      </c>
      <c r="J383" s="126" t="s">
        <v>483</v>
      </c>
      <c r="K383" s="127"/>
      <c r="L383" s="127"/>
      <c r="M383" s="128">
        <v>200</v>
      </c>
      <c r="N383" s="129">
        <v>113.22499999999999</v>
      </c>
      <c r="O383" s="130">
        <f t="shared" si="39"/>
        <v>0</v>
      </c>
      <c r="P383" s="130">
        <f t="shared" si="358"/>
        <v>113.22499999999999</v>
      </c>
      <c r="Q383" s="130"/>
      <c r="R383" s="130">
        <f t="shared" si="3"/>
        <v>22645</v>
      </c>
      <c r="S383" s="131">
        <f t="shared" si="4"/>
        <v>0.11699999999999999</v>
      </c>
      <c r="T383" s="131">
        <f t="shared" si="75"/>
        <v>0</v>
      </c>
      <c r="U383" s="131">
        <f t="shared" si="36"/>
        <v>0.11</v>
      </c>
      <c r="V383" s="131">
        <f t="shared" si="349"/>
        <v>22.65</v>
      </c>
      <c r="W383" s="131">
        <v>0</v>
      </c>
      <c r="X383" s="131">
        <f>ROUND(R383*G$1820,2)</f>
        <v>0.62</v>
      </c>
      <c r="Y383" s="131">
        <f t="shared" si="218"/>
        <v>0.02</v>
      </c>
      <c r="Z383" s="131">
        <f t="shared" si="10"/>
        <v>23.4</v>
      </c>
      <c r="AA383" s="132">
        <f t="shared" si="359"/>
        <v>22621.599999999999</v>
      </c>
      <c r="AB383" s="133">
        <f t="shared" si="231"/>
        <v>22622</v>
      </c>
      <c r="AC383" s="134">
        <f t="shared" si="48"/>
        <v>0.40000000000145519</v>
      </c>
      <c r="AD383" s="125">
        <v>44565</v>
      </c>
      <c r="AE383" s="135">
        <f t="shared" si="13"/>
        <v>1.0330000000000001E-3</v>
      </c>
      <c r="AF383" s="136">
        <f t="shared" si="14"/>
        <v>44565</v>
      </c>
      <c r="AG383" s="137" t="s">
        <v>416</v>
      </c>
      <c r="AH383" s="124"/>
    </row>
    <row r="384" spans="1:34" ht="12" customHeight="1">
      <c r="A384" s="154">
        <v>44561</v>
      </c>
      <c r="B384" s="140" t="s">
        <v>576</v>
      </c>
      <c r="C384" s="141" t="s">
        <v>485</v>
      </c>
      <c r="D384" s="140"/>
      <c r="E384" s="140" t="str">
        <f t="shared" si="0"/>
        <v>CDSL</v>
      </c>
      <c r="F384" s="140"/>
      <c r="G384" s="140"/>
      <c r="H384" s="140"/>
      <c r="I384" s="141" t="s">
        <v>467</v>
      </c>
      <c r="J384" s="139" t="s">
        <v>483</v>
      </c>
      <c r="K384" s="141"/>
      <c r="L384" s="141"/>
      <c r="M384" s="142">
        <v>2</v>
      </c>
      <c r="N384" s="143">
        <v>1495</v>
      </c>
      <c r="O384" s="144">
        <f t="shared" si="39"/>
        <v>0</v>
      </c>
      <c r="P384" s="144">
        <f>N384+O384</f>
        <v>1495</v>
      </c>
      <c r="Q384" s="144"/>
      <c r="R384" s="144">
        <f t="shared" si="3"/>
        <v>2990</v>
      </c>
      <c r="S384" s="145">
        <f t="shared" si="4"/>
        <v>1.7800000000000002</v>
      </c>
      <c r="T384" s="145">
        <f t="shared" si="75"/>
        <v>0</v>
      </c>
      <c r="U384" s="145">
        <f t="shared" si="36"/>
        <v>0.02</v>
      </c>
      <c r="V384" s="145">
        <f t="shared" si="349"/>
        <v>2.99</v>
      </c>
      <c r="W384" s="145">
        <f>ROUND(R384*F$1823,2)</f>
        <v>0.45</v>
      </c>
      <c r="X384" s="145">
        <f>ROUND(R384*H$1820,2)</f>
        <v>0.1</v>
      </c>
      <c r="Y384" s="145">
        <f t="shared" si="218"/>
        <v>0</v>
      </c>
      <c r="Z384" s="146">
        <f t="shared" si="10"/>
        <v>3.5600000000000005</v>
      </c>
      <c r="AA384" s="147">
        <f>-ROUND(R384+SUM(T384:Y384),2)</f>
        <v>-2993.56</v>
      </c>
      <c r="AB384" s="148">
        <f t="shared" si="231"/>
        <v>-2994</v>
      </c>
      <c r="AC384" s="149">
        <f t="shared" si="48"/>
        <v>-0.44000000000005457</v>
      </c>
      <c r="AD384" s="138">
        <v>44565</v>
      </c>
      <c r="AE384" s="150">
        <f t="shared" si="13"/>
        <v>1.191E-3</v>
      </c>
      <c r="AF384" s="151">
        <f t="shared" si="14"/>
        <v>44565</v>
      </c>
      <c r="AG384" s="152" t="s">
        <v>416</v>
      </c>
      <c r="AH384" s="124"/>
    </row>
    <row r="385" spans="1:34" ht="12" customHeight="1">
      <c r="A385" s="155">
        <v>44564</v>
      </c>
      <c r="B385" s="112" t="s">
        <v>589</v>
      </c>
      <c r="C385" s="127" t="s">
        <v>460</v>
      </c>
      <c r="D385" s="112"/>
      <c r="E385" s="112" t="str">
        <f t="shared" si="0"/>
        <v>DCMSHRIRAM</v>
      </c>
      <c r="F385" s="112"/>
      <c r="G385" s="112"/>
      <c r="H385" s="112"/>
      <c r="I385" s="127" t="s">
        <v>461</v>
      </c>
      <c r="J385" s="126" t="s">
        <v>483</v>
      </c>
      <c r="K385" s="127"/>
      <c r="L385" s="127"/>
      <c r="M385" s="128">
        <v>50</v>
      </c>
      <c r="N385" s="129">
        <v>967</v>
      </c>
      <c r="O385" s="130">
        <f t="shared" si="39"/>
        <v>0</v>
      </c>
      <c r="P385" s="130">
        <f>N385-O385</f>
        <v>967</v>
      </c>
      <c r="Q385" s="130"/>
      <c r="R385" s="130">
        <f t="shared" si="3"/>
        <v>48350</v>
      </c>
      <c r="S385" s="131">
        <f t="shared" si="4"/>
        <v>0.99939999999999996</v>
      </c>
      <c r="T385" s="131">
        <f t="shared" si="75"/>
        <v>0</v>
      </c>
      <c r="U385" s="131">
        <f t="shared" si="36"/>
        <v>0.24</v>
      </c>
      <c r="V385" s="131">
        <f t="shared" si="349"/>
        <v>48.35</v>
      </c>
      <c r="W385" s="131">
        <v>0</v>
      </c>
      <c r="X385" s="131">
        <f t="shared" ref="X385:X387" si="360">ROUND(R385*G$1820,2)</f>
        <v>1.33</v>
      </c>
      <c r="Y385" s="131">
        <f t="shared" si="218"/>
        <v>0.05</v>
      </c>
      <c r="Z385" s="131">
        <f t="shared" si="10"/>
        <v>49.97</v>
      </c>
      <c r="AA385" s="132">
        <f>ROUND(R385-SUM(T385:Y385),2)</f>
        <v>48300.03</v>
      </c>
      <c r="AB385" s="133">
        <f t="shared" si="231"/>
        <v>48300</v>
      </c>
      <c r="AC385" s="134">
        <f t="shared" si="48"/>
        <v>-2.9999999998835847E-2</v>
      </c>
      <c r="AD385" s="125">
        <v>44566</v>
      </c>
      <c r="AE385" s="135">
        <f t="shared" si="13"/>
        <v>1.034E-3</v>
      </c>
      <c r="AF385" s="136">
        <f t="shared" si="14"/>
        <v>44566</v>
      </c>
      <c r="AG385" s="137" t="s">
        <v>416</v>
      </c>
      <c r="AH385" s="124"/>
    </row>
    <row r="386" spans="1:34" ht="12" customHeight="1">
      <c r="A386" s="154">
        <v>44564</v>
      </c>
      <c r="B386" s="140" t="s">
        <v>599</v>
      </c>
      <c r="C386" s="141" t="s">
        <v>485</v>
      </c>
      <c r="D386" s="140"/>
      <c r="E386" s="140" t="str">
        <f t="shared" si="0"/>
        <v>ASHOKA</v>
      </c>
      <c r="F386" s="140"/>
      <c r="G386" s="140"/>
      <c r="H386" s="140"/>
      <c r="I386" s="141" t="s">
        <v>467</v>
      </c>
      <c r="J386" s="139" t="s">
        <v>483</v>
      </c>
      <c r="K386" s="141"/>
      <c r="L386" s="141"/>
      <c r="M386" s="142">
        <v>100</v>
      </c>
      <c r="N386" s="143">
        <v>102.75</v>
      </c>
      <c r="O386" s="144">
        <f t="shared" si="39"/>
        <v>0</v>
      </c>
      <c r="P386" s="144">
        <f>N386+O386</f>
        <v>102.75</v>
      </c>
      <c r="Q386" s="144"/>
      <c r="R386" s="144">
        <f t="shared" si="3"/>
        <v>10275</v>
      </c>
      <c r="S386" s="145">
        <f t="shared" si="4"/>
        <v>0.1216</v>
      </c>
      <c r="T386" s="145">
        <f t="shared" si="75"/>
        <v>0</v>
      </c>
      <c r="U386" s="145">
        <f t="shared" si="36"/>
        <v>0.05</v>
      </c>
      <c r="V386" s="145">
        <f t="shared" si="349"/>
        <v>10.28</v>
      </c>
      <c r="W386" s="145">
        <f>ROUND(R386*F$1823,2)</f>
        <v>1.54</v>
      </c>
      <c r="X386" s="145">
        <f t="shared" si="360"/>
        <v>0.28000000000000003</v>
      </c>
      <c r="Y386" s="145">
        <f t="shared" si="218"/>
        <v>0.01</v>
      </c>
      <c r="Z386" s="146">
        <f t="shared" si="10"/>
        <v>12.16</v>
      </c>
      <c r="AA386" s="147">
        <f>-ROUND(R386+SUM(T386:Y386),2)</f>
        <v>-10287.16</v>
      </c>
      <c r="AB386" s="148">
        <f t="shared" si="231"/>
        <v>-10287</v>
      </c>
      <c r="AC386" s="149">
        <f t="shared" si="48"/>
        <v>0.15999999999985448</v>
      </c>
      <c r="AD386" s="138">
        <v>44566</v>
      </c>
      <c r="AE386" s="150">
        <f t="shared" si="13"/>
        <v>1.183E-3</v>
      </c>
      <c r="AF386" s="151">
        <f t="shared" si="14"/>
        <v>44566</v>
      </c>
      <c r="AG386" s="152" t="s">
        <v>416</v>
      </c>
      <c r="AH386" s="124"/>
    </row>
    <row r="387" spans="1:34" ht="12" customHeight="1">
      <c r="A387" s="155">
        <v>44564</v>
      </c>
      <c r="B387" s="112" t="s">
        <v>541</v>
      </c>
      <c r="C387" s="127" t="s">
        <v>485</v>
      </c>
      <c r="D387" s="112"/>
      <c r="E387" s="112" t="str">
        <f t="shared" si="0"/>
        <v>GREAVESCOT</v>
      </c>
      <c r="F387" s="112"/>
      <c r="G387" s="112"/>
      <c r="H387" s="112"/>
      <c r="I387" s="127" t="s">
        <v>461</v>
      </c>
      <c r="J387" s="126" t="s">
        <v>483</v>
      </c>
      <c r="K387" s="127"/>
      <c r="L387" s="127"/>
      <c r="M387" s="128">
        <v>50</v>
      </c>
      <c r="N387" s="129">
        <v>156</v>
      </c>
      <c r="O387" s="130">
        <f t="shared" si="39"/>
        <v>0</v>
      </c>
      <c r="P387" s="130">
        <f t="shared" ref="P387:P389" si="361">N387-O387</f>
        <v>156</v>
      </c>
      <c r="Q387" s="130"/>
      <c r="R387" s="130">
        <f t="shared" si="3"/>
        <v>7800</v>
      </c>
      <c r="S387" s="131">
        <f t="shared" si="4"/>
        <v>0.16120000000000001</v>
      </c>
      <c r="T387" s="131">
        <f t="shared" si="75"/>
        <v>0</v>
      </c>
      <c r="U387" s="131">
        <f t="shared" si="36"/>
        <v>0.04</v>
      </c>
      <c r="V387" s="131">
        <f t="shared" si="349"/>
        <v>7.8</v>
      </c>
      <c r="W387" s="131">
        <v>0</v>
      </c>
      <c r="X387" s="131">
        <f t="shared" si="360"/>
        <v>0.21</v>
      </c>
      <c r="Y387" s="131">
        <f t="shared" si="218"/>
        <v>0.01</v>
      </c>
      <c r="Z387" s="131">
        <f t="shared" si="10"/>
        <v>8.06</v>
      </c>
      <c r="AA387" s="132">
        <f t="shared" ref="AA387:AA389" si="362">ROUND(R387-SUM(T387:Y387),2)</f>
        <v>7791.94</v>
      </c>
      <c r="AB387" s="133">
        <f t="shared" si="231"/>
        <v>7792</v>
      </c>
      <c r="AC387" s="134">
        <f t="shared" si="48"/>
        <v>6.0000000000400178E-2</v>
      </c>
      <c r="AD387" s="125">
        <v>44566</v>
      </c>
      <c r="AE387" s="135">
        <f t="shared" si="13"/>
        <v>1.0330000000000001E-3</v>
      </c>
      <c r="AF387" s="136">
        <f t="shared" si="14"/>
        <v>44566</v>
      </c>
      <c r="AG387" s="137" t="s">
        <v>416</v>
      </c>
      <c r="AH387" s="124"/>
    </row>
    <row r="388" spans="1:34" ht="12" customHeight="1">
      <c r="A388" s="155">
        <v>44565</v>
      </c>
      <c r="B388" s="112" t="s">
        <v>562</v>
      </c>
      <c r="C388" s="127" t="s">
        <v>485</v>
      </c>
      <c r="D388" s="112"/>
      <c r="E388" s="112" t="str">
        <f t="shared" si="0"/>
        <v>BAJAJHIND</v>
      </c>
      <c r="F388" s="112"/>
      <c r="G388" s="112"/>
      <c r="H388" s="112"/>
      <c r="I388" s="127" t="s">
        <v>461</v>
      </c>
      <c r="J388" s="126" t="s">
        <v>483</v>
      </c>
      <c r="K388" s="127"/>
      <c r="L388" s="127"/>
      <c r="M388" s="128">
        <v>200</v>
      </c>
      <c r="N388" s="129">
        <v>15.85</v>
      </c>
      <c r="O388" s="130">
        <f t="shared" si="39"/>
        <v>0</v>
      </c>
      <c r="P388" s="130">
        <f t="shared" si="361"/>
        <v>15.85</v>
      </c>
      <c r="Q388" s="130"/>
      <c r="R388" s="130">
        <f t="shared" si="3"/>
        <v>3170</v>
      </c>
      <c r="S388" s="131">
        <f t="shared" si="4"/>
        <v>1.6500000000000001E-2</v>
      </c>
      <c r="T388" s="131">
        <f t="shared" si="75"/>
        <v>0</v>
      </c>
      <c r="U388" s="131">
        <f t="shared" si="36"/>
        <v>0.02</v>
      </c>
      <c r="V388" s="131">
        <f t="shared" si="349"/>
        <v>3.17</v>
      </c>
      <c r="W388" s="131">
        <v>0</v>
      </c>
      <c r="X388" s="131">
        <f>ROUND(R388*H$1820,2)</f>
        <v>0.11</v>
      </c>
      <c r="Y388" s="131">
        <f t="shared" si="218"/>
        <v>0</v>
      </c>
      <c r="Z388" s="131">
        <f t="shared" si="10"/>
        <v>3.3</v>
      </c>
      <c r="AA388" s="132">
        <f t="shared" si="362"/>
        <v>3166.7</v>
      </c>
      <c r="AB388" s="133">
        <f t="shared" si="231"/>
        <v>3167</v>
      </c>
      <c r="AC388" s="134">
        <f t="shared" si="48"/>
        <v>0.3000000000001819</v>
      </c>
      <c r="AD388" s="125">
        <v>44567</v>
      </c>
      <c r="AE388" s="135">
        <f t="shared" si="13"/>
        <v>1.041E-3</v>
      </c>
      <c r="AF388" s="136">
        <f t="shared" si="14"/>
        <v>44567</v>
      </c>
      <c r="AG388" s="137" t="s">
        <v>416</v>
      </c>
      <c r="AH388" s="124"/>
    </row>
    <row r="389" spans="1:34" ht="12" customHeight="1">
      <c r="A389" s="155">
        <v>44565</v>
      </c>
      <c r="B389" s="112" t="s">
        <v>573</v>
      </c>
      <c r="C389" s="127" t="s">
        <v>485</v>
      </c>
      <c r="D389" s="112"/>
      <c r="E389" s="112" t="str">
        <f t="shared" si="0"/>
        <v>INDSUCR</v>
      </c>
      <c r="F389" s="112"/>
      <c r="G389" s="112"/>
      <c r="H389" s="112"/>
      <c r="I389" s="127" t="s">
        <v>461</v>
      </c>
      <c r="J389" s="126" t="s">
        <v>483</v>
      </c>
      <c r="K389" s="127"/>
      <c r="L389" s="127"/>
      <c r="M389" s="128">
        <v>50</v>
      </c>
      <c r="N389" s="129">
        <v>48.4</v>
      </c>
      <c r="O389" s="130">
        <f t="shared" si="39"/>
        <v>0</v>
      </c>
      <c r="P389" s="130">
        <f t="shared" si="361"/>
        <v>48.4</v>
      </c>
      <c r="Q389" s="130"/>
      <c r="R389" s="130">
        <f t="shared" si="3"/>
        <v>2420</v>
      </c>
      <c r="S389" s="131">
        <f t="shared" si="4"/>
        <v>0.10559999999999999</v>
      </c>
      <c r="T389" s="131">
        <f t="shared" si="75"/>
        <v>0</v>
      </c>
      <c r="U389" s="131">
        <f t="shared" si="36"/>
        <v>0.44</v>
      </c>
      <c r="V389" s="131">
        <f t="shared" si="349"/>
        <v>2.42</v>
      </c>
      <c r="W389" s="131">
        <v>0</v>
      </c>
      <c r="X389" s="131">
        <f>ROUND(R389*0.001,2)</f>
        <v>2.42</v>
      </c>
      <c r="Y389" s="131">
        <f t="shared" si="218"/>
        <v>0</v>
      </c>
      <c r="Z389" s="131">
        <f t="shared" si="10"/>
        <v>5.2799999999999994</v>
      </c>
      <c r="AA389" s="132">
        <f t="shared" si="362"/>
        <v>2414.7199999999998</v>
      </c>
      <c r="AB389" s="133">
        <f t="shared" si="231"/>
        <v>2415</v>
      </c>
      <c r="AC389" s="134">
        <f t="shared" si="48"/>
        <v>0.28000000000020009</v>
      </c>
      <c r="AD389" s="125">
        <v>44567</v>
      </c>
      <c r="AE389" s="135">
        <f t="shared" si="13"/>
        <v>2.1819999999999999E-3</v>
      </c>
      <c r="AF389" s="136">
        <f t="shared" si="14"/>
        <v>44567</v>
      </c>
      <c r="AG389" s="137" t="s">
        <v>416</v>
      </c>
      <c r="AH389" s="124"/>
    </row>
    <row r="390" spans="1:34" ht="12" customHeight="1">
      <c r="A390" s="154">
        <v>44565</v>
      </c>
      <c r="B390" s="140" t="s">
        <v>598</v>
      </c>
      <c r="C390" s="141" t="s">
        <v>485</v>
      </c>
      <c r="D390" s="140"/>
      <c r="E390" s="140" t="str">
        <f t="shared" si="0"/>
        <v>A2ZINFRA</v>
      </c>
      <c r="F390" s="140"/>
      <c r="G390" s="140"/>
      <c r="H390" s="140"/>
      <c r="I390" s="141" t="s">
        <v>467</v>
      </c>
      <c r="J390" s="139" t="s">
        <v>483</v>
      </c>
      <c r="K390" s="141"/>
      <c r="L390" s="141"/>
      <c r="M390" s="142">
        <v>1000</v>
      </c>
      <c r="N390" s="143">
        <v>10.4</v>
      </c>
      <c r="O390" s="144">
        <f t="shared" si="39"/>
        <v>0</v>
      </c>
      <c r="P390" s="144">
        <f>N390+O390</f>
        <v>10.4</v>
      </c>
      <c r="Q390" s="144"/>
      <c r="R390" s="144">
        <f t="shared" si="3"/>
        <v>10400</v>
      </c>
      <c r="S390" s="145">
        <f t="shared" si="4"/>
        <v>1.239E-2</v>
      </c>
      <c r="T390" s="145">
        <f t="shared" si="75"/>
        <v>0</v>
      </c>
      <c r="U390" s="145">
        <f t="shared" si="36"/>
        <v>0.06</v>
      </c>
      <c r="V390" s="145">
        <f t="shared" si="349"/>
        <v>10.4</v>
      </c>
      <c r="W390" s="145">
        <f>ROUND(R390*F$1823,2)</f>
        <v>1.56</v>
      </c>
      <c r="X390" s="145">
        <f>ROUND(R390*H$1820,2)</f>
        <v>0.36</v>
      </c>
      <c r="Y390" s="145">
        <f t="shared" si="218"/>
        <v>0.01</v>
      </c>
      <c r="Z390" s="146">
        <f t="shared" si="10"/>
        <v>12.39</v>
      </c>
      <c r="AA390" s="147">
        <f>-ROUND(R390+SUM(T390:Y390),2)</f>
        <v>-10412.39</v>
      </c>
      <c r="AB390" s="148">
        <f t="shared" si="231"/>
        <v>-10412</v>
      </c>
      <c r="AC390" s="149">
        <f t="shared" si="48"/>
        <v>0.38999999999941792</v>
      </c>
      <c r="AD390" s="138">
        <v>44567</v>
      </c>
      <c r="AE390" s="150">
        <f t="shared" si="13"/>
        <v>1.191E-3</v>
      </c>
      <c r="AF390" s="151">
        <f t="shared" si="14"/>
        <v>44567</v>
      </c>
      <c r="AG390" s="152" t="s">
        <v>416</v>
      </c>
      <c r="AH390" s="124"/>
    </row>
    <row r="391" spans="1:34" ht="12" customHeight="1">
      <c r="A391" s="155">
        <v>44565</v>
      </c>
      <c r="B391" s="112" t="s">
        <v>589</v>
      </c>
      <c r="C391" s="127" t="s">
        <v>460</v>
      </c>
      <c r="D391" s="112"/>
      <c r="E391" s="112" t="str">
        <f t="shared" si="0"/>
        <v>DCMSHRIRAM</v>
      </c>
      <c r="F391" s="112"/>
      <c r="G391" s="112"/>
      <c r="H391" s="112"/>
      <c r="I391" s="127" t="s">
        <v>461</v>
      </c>
      <c r="J391" s="126" t="s">
        <v>483</v>
      </c>
      <c r="K391" s="127"/>
      <c r="L391" s="127"/>
      <c r="M391" s="128">
        <v>360</v>
      </c>
      <c r="N391" s="129">
        <v>1008.2056</v>
      </c>
      <c r="O391" s="130">
        <f t="shared" si="39"/>
        <v>0</v>
      </c>
      <c r="P391" s="130">
        <f>N391-O391</f>
        <v>1008.2056</v>
      </c>
      <c r="Q391" s="130"/>
      <c r="R391" s="130">
        <f t="shared" si="3"/>
        <v>362954.02</v>
      </c>
      <c r="S391" s="131">
        <f t="shared" si="4"/>
        <v>1.0419166666666668</v>
      </c>
      <c r="T391" s="131">
        <f t="shared" si="75"/>
        <v>0</v>
      </c>
      <c r="U391" s="131">
        <f t="shared" si="36"/>
        <v>1.8</v>
      </c>
      <c r="V391" s="131">
        <f t="shared" si="349"/>
        <v>362.95</v>
      </c>
      <c r="W391" s="131">
        <v>0</v>
      </c>
      <c r="X391" s="131">
        <f t="shared" ref="X391:X392" si="363">ROUND(R391*G$1820,2)</f>
        <v>9.98</v>
      </c>
      <c r="Y391" s="131">
        <f t="shared" si="218"/>
        <v>0.36</v>
      </c>
      <c r="Z391" s="131">
        <f t="shared" si="10"/>
        <v>375.09000000000003</v>
      </c>
      <c r="AA391" s="132">
        <f>ROUND(R391-SUM(T391:Y391),2)</f>
        <v>362578.93</v>
      </c>
      <c r="AB391" s="133">
        <f t="shared" si="231"/>
        <v>362579</v>
      </c>
      <c r="AC391" s="134">
        <f t="shared" si="48"/>
        <v>7.0000000006984919E-2</v>
      </c>
      <c r="AD391" s="125">
        <v>44567</v>
      </c>
      <c r="AE391" s="135">
        <f t="shared" si="13"/>
        <v>1.0330000000000001E-3</v>
      </c>
      <c r="AF391" s="136">
        <f t="shared" si="14"/>
        <v>44567</v>
      </c>
      <c r="AG391" s="137" t="s">
        <v>416</v>
      </c>
      <c r="AH391" s="124"/>
    </row>
    <row r="392" spans="1:34" ht="12" customHeight="1">
      <c r="A392" s="154">
        <v>44566</v>
      </c>
      <c r="B392" s="140" t="s">
        <v>589</v>
      </c>
      <c r="C392" s="141" t="s">
        <v>460</v>
      </c>
      <c r="D392" s="140"/>
      <c r="E392" s="140" t="str">
        <f t="shared" si="0"/>
        <v>DCMSHRIRAM</v>
      </c>
      <c r="F392" s="140"/>
      <c r="G392" s="140"/>
      <c r="H392" s="140"/>
      <c r="I392" s="141" t="s">
        <v>467</v>
      </c>
      <c r="J392" s="139" t="s">
        <v>483</v>
      </c>
      <c r="K392" s="141"/>
      <c r="L392" s="141"/>
      <c r="M392" s="142">
        <v>100</v>
      </c>
      <c r="N392" s="143">
        <v>1030</v>
      </c>
      <c r="O392" s="144">
        <f t="shared" si="39"/>
        <v>0</v>
      </c>
      <c r="P392" s="144">
        <f>N392+O392</f>
        <v>1030</v>
      </c>
      <c r="Q392" s="144"/>
      <c r="R392" s="144">
        <f t="shared" si="3"/>
        <v>103000</v>
      </c>
      <c r="S392" s="145">
        <f t="shared" si="4"/>
        <v>1.2189000000000001</v>
      </c>
      <c r="T392" s="145">
        <f t="shared" si="75"/>
        <v>0</v>
      </c>
      <c r="U392" s="145">
        <f t="shared" si="36"/>
        <v>0.51</v>
      </c>
      <c r="V392" s="145">
        <f t="shared" si="349"/>
        <v>103</v>
      </c>
      <c r="W392" s="145">
        <f>ROUND(R392*F$1823,2)</f>
        <v>15.45</v>
      </c>
      <c r="X392" s="145">
        <f t="shared" si="363"/>
        <v>2.83</v>
      </c>
      <c r="Y392" s="145">
        <f t="shared" si="218"/>
        <v>0.1</v>
      </c>
      <c r="Z392" s="146">
        <f t="shared" si="10"/>
        <v>121.89</v>
      </c>
      <c r="AA392" s="147">
        <f>-ROUND(R392+SUM(T392:Y392),2)</f>
        <v>-103121.89</v>
      </c>
      <c r="AB392" s="148">
        <f t="shared" si="231"/>
        <v>-103122</v>
      </c>
      <c r="AC392" s="149">
        <f t="shared" si="48"/>
        <v>-0.11000000000058208</v>
      </c>
      <c r="AD392" s="138">
        <v>44568</v>
      </c>
      <c r="AE392" s="150">
        <f t="shared" si="13"/>
        <v>1.183E-3</v>
      </c>
      <c r="AF392" s="151">
        <f t="shared" si="14"/>
        <v>44568</v>
      </c>
      <c r="AG392" s="152" t="s">
        <v>416</v>
      </c>
      <c r="AH392" s="124"/>
    </row>
    <row r="393" spans="1:34" ht="12" customHeight="1">
      <c r="A393" s="155">
        <v>44566</v>
      </c>
      <c r="B393" s="112" t="s">
        <v>591</v>
      </c>
      <c r="C393" s="127" t="s">
        <v>485</v>
      </c>
      <c r="D393" s="112"/>
      <c r="E393" s="112" t="str">
        <f t="shared" si="0"/>
        <v>VSSL</v>
      </c>
      <c r="F393" s="112"/>
      <c r="G393" s="112"/>
      <c r="H393" s="112"/>
      <c r="I393" s="127" t="s">
        <v>461</v>
      </c>
      <c r="J393" s="126" t="s">
        <v>483</v>
      </c>
      <c r="K393" s="127"/>
      <c r="L393" s="127"/>
      <c r="M393" s="128">
        <v>50</v>
      </c>
      <c r="N393" s="129">
        <v>263</v>
      </c>
      <c r="O393" s="130">
        <f t="shared" si="39"/>
        <v>0</v>
      </c>
      <c r="P393" s="130">
        <f t="shared" ref="P393:P394" si="364">N393-O393</f>
        <v>263</v>
      </c>
      <c r="Q393" s="130"/>
      <c r="R393" s="130">
        <f t="shared" si="3"/>
        <v>13150</v>
      </c>
      <c r="S393" s="131">
        <f t="shared" si="4"/>
        <v>0.27379999999999999</v>
      </c>
      <c r="T393" s="131">
        <f t="shared" si="75"/>
        <v>0</v>
      </c>
      <c r="U393" s="131">
        <f t="shared" si="36"/>
        <v>0.08</v>
      </c>
      <c r="V393" s="131">
        <f t="shared" si="349"/>
        <v>13.15</v>
      </c>
      <c r="W393" s="131">
        <v>0</v>
      </c>
      <c r="X393" s="131">
        <f t="shared" ref="X393:X394" si="365">ROUND(R393*H$1820,2)</f>
        <v>0.45</v>
      </c>
      <c r="Y393" s="131">
        <f t="shared" si="218"/>
        <v>0.01</v>
      </c>
      <c r="Z393" s="131">
        <f t="shared" si="10"/>
        <v>13.69</v>
      </c>
      <c r="AA393" s="132">
        <f t="shared" ref="AA393:AA394" si="366">ROUND(R393-SUM(T393:Y393),2)</f>
        <v>13136.31</v>
      </c>
      <c r="AB393" s="133">
        <f t="shared" si="231"/>
        <v>13136</v>
      </c>
      <c r="AC393" s="134">
        <f t="shared" si="48"/>
        <v>-0.30999999999949068</v>
      </c>
      <c r="AD393" s="125">
        <v>44568</v>
      </c>
      <c r="AE393" s="135">
        <f t="shared" si="13"/>
        <v>1.041E-3</v>
      </c>
      <c r="AF393" s="136">
        <f t="shared" si="14"/>
        <v>44568</v>
      </c>
      <c r="AG393" s="137" t="s">
        <v>416</v>
      </c>
      <c r="AH393" s="124"/>
    </row>
    <row r="394" spans="1:34" ht="12" customHeight="1">
      <c r="A394" s="155">
        <v>44566</v>
      </c>
      <c r="B394" s="112" t="s">
        <v>498</v>
      </c>
      <c r="C394" s="127" t="s">
        <v>485</v>
      </c>
      <c r="D394" s="112"/>
      <c r="E394" s="112" t="str">
        <f t="shared" si="0"/>
        <v>BAJFINANCE</v>
      </c>
      <c r="F394" s="112"/>
      <c r="G394" s="112"/>
      <c r="H394" s="112"/>
      <c r="I394" s="127" t="s">
        <v>461</v>
      </c>
      <c r="J394" s="126" t="s">
        <v>483</v>
      </c>
      <c r="K394" s="127"/>
      <c r="L394" s="127"/>
      <c r="M394" s="128">
        <v>3</v>
      </c>
      <c r="N394" s="129">
        <v>7566</v>
      </c>
      <c r="O394" s="130">
        <f t="shared" si="39"/>
        <v>0</v>
      </c>
      <c r="P394" s="130">
        <f t="shared" si="364"/>
        <v>7566</v>
      </c>
      <c r="Q394" s="130"/>
      <c r="R394" s="130">
        <f t="shared" si="3"/>
        <v>22698</v>
      </c>
      <c r="S394" s="131">
        <f t="shared" si="4"/>
        <v>7.88</v>
      </c>
      <c r="T394" s="131">
        <f t="shared" si="75"/>
        <v>0</v>
      </c>
      <c r="U394" s="131">
        <f t="shared" si="36"/>
        <v>0.14000000000000001</v>
      </c>
      <c r="V394" s="131">
        <f t="shared" si="349"/>
        <v>22.7</v>
      </c>
      <c r="W394" s="131">
        <v>0</v>
      </c>
      <c r="X394" s="131">
        <f t="shared" si="365"/>
        <v>0.78</v>
      </c>
      <c r="Y394" s="131">
        <f t="shared" si="218"/>
        <v>0.02</v>
      </c>
      <c r="Z394" s="131">
        <f t="shared" si="10"/>
        <v>23.64</v>
      </c>
      <c r="AA394" s="132">
        <f t="shared" si="366"/>
        <v>22674.36</v>
      </c>
      <c r="AB394" s="133">
        <f t="shared" si="231"/>
        <v>22674</v>
      </c>
      <c r="AC394" s="134">
        <f t="shared" si="48"/>
        <v>-0.36000000000058208</v>
      </c>
      <c r="AD394" s="125">
        <v>44568</v>
      </c>
      <c r="AE394" s="135">
        <f t="shared" si="13"/>
        <v>1.042E-3</v>
      </c>
      <c r="AF394" s="136">
        <f t="shared" si="14"/>
        <v>44568</v>
      </c>
      <c r="AG394" s="137" t="s">
        <v>416</v>
      </c>
      <c r="AH394" s="124"/>
    </row>
    <row r="395" spans="1:34" ht="12" customHeight="1">
      <c r="A395" s="154">
        <v>44567</v>
      </c>
      <c r="B395" s="140" t="s">
        <v>589</v>
      </c>
      <c r="C395" s="141" t="s">
        <v>460</v>
      </c>
      <c r="D395" s="140"/>
      <c r="E395" s="140" t="str">
        <f t="shared" si="0"/>
        <v>DCMSHRIRAM</v>
      </c>
      <c r="F395" s="140"/>
      <c r="G395" s="140"/>
      <c r="H395" s="140"/>
      <c r="I395" s="141" t="s">
        <v>467</v>
      </c>
      <c r="J395" s="139" t="s">
        <v>483</v>
      </c>
      <c r="K395" s="141"/>
      <c r="L395" s="141"/>
      <c r="M395" s="142">
        <v>160</v>
      </c>
      <c r="N395" s="143">
        <v>999.46029999999996</v>
      </c>
      <c r="O395" s="144">
        <f t="shared" si="39"/>
        <v>0</v>
      </c>
      <c r="P395" s="144">
        <f t="shared" ref="P395:P396" si="367">N395+O395</f>
        <v>999.46029999999996</v>
      </c>
      <c r="Q395" s="144"/>
      <c r="R395" s="144">
        <f t="shared" si="3"/>
        <v>159913.65</v>
      </c>
      <c r="S395" s="145">
        <f t="shared" si="4"/>
        <v>1.1828125</v>
      </c>
      <c r="T395" s="145">
        <f t="shared" si="75"/>
        <v>0</v>
      </c>
      <c r="U395" s="145">
        <f t="shared" si="36"/>
        <v>0.79</v>
      </c>
      <c r="V395" s="145">
        <f t="shared" si="349"/>
        <v>159.91</v>
      </c>
      <c r="W395" s="145">
        <f t="shared" ref="W395:W396" si="368">ROUND(R395*F$1823,2)</f>
        <v>23.99</v>
      </c>
      <c r="X395" s="145">
        <f t="shared" ref="X395:X400" si="369">ROUND(R395*G$1820,2)</f>
        <v>4.4000000000000004</v>
      </c>
      <c r="Y395" s="145">
        <f t="shared" si="218"/>
        <v>0.16</v>
      </c>
      <c r="Z395" s="146">
        <f t="shared" si="10"/>
        <v>189.25</v>
      </c>
      <c r="AA395" s="147">
        <f t="shared" ref="AA395:AA396" si="370">-ROUND(R395+SUM(T395:Y395),2)</f>
        <v>-160102.9</v>
      </c>
      <c r="AB395" s="148">
        <f t="shared" si="231"/>
        <v>-160103</v>
      </c>
      <c r="AC395" s="149">
        <f t="shared" si="48"/>
        <v>-0.10000000000582077</v>
      </c>
      <c r="AD395" s="138">
        <v>44571</v>
      </c>
      <c r="AE395" s="150">
        <f t="shared" si="13"/>
        <v>1.183E-3</v>
      </c>
      <c r="AF395" s="151">
        <f t="shared" si="14"/>
        <v>44571</v>
      </c>
      <c r="AG395" s="152" t="s">
        <v>416</v>
      </c>
      <c r="AH395" s="124"/>
    </row>
    <row r="396" spans="1:34" ht="12" customHeight="1">
      <c r="A396" s="154">
        <v>44568</v>
      </c>
      <c r="B396" s="140" t="s">
        <v>561</v>
      </c>
      <c r="C396" s="141" t="s">
        <v>485</v>
      </c>
      <c r="D396" s="140"/>
      <c r="E396" s="140" t="str">
        <f t="shared" si="0"/>
        <v>RENUKA</v>
      </c>
      <c r="F396" s="140"/>
      <c r="G396" s="140"/>
      <c r="H396" s="140"/>
      <c r="I396" s="141" t="s">
        <v>467</v>
      </c>
      <c r="J396" s="139" t="s">
        <v>483</v>
      </c>
      <c r="K396" s="141"/>
      <c r="L396" s="141"/>
      <c r="M396" s="142">
        <v>100</v>
      </c>
      <c r="N396" s="143">
        <v>34.200000000000003</v>
      </c>
      <c r="O396" s="144">
        <f t="shared" si="39"/>
        <v>0</v>
      </c>
      <c r="P396" s="144">
        <f t="shared" si="367"/>
        <v>34.200000000000003</v>
      </c>
      <c r="Q396" s="144"/>
      <c r="R396" s="144">
        <f t="shared" si="3"/>
        <v>3420</v>
      </c>
      <c r="S396" s="145">
        <f t="shared" si="4"/>
        <v>4.0399999999999998E-2</v>
      </c>
      <c r="T396" s="145">
        <f t="shared" si="75"/>
        <v>0</v>
      </c>
      <c r="U396" s="145">
        <f t="shared" si="36"/>
        <v>0.02</v>
      </c>
      <c r="V396" s="145">
        <f t="shared" si="349"/>
        <v>3.42</v>
      </c>
      <c r="W396" s="145">
        <f t="shared" si="368"/>
        <v>0.51</v>
      </c>
      <c r="X396" s="145">
        <f t="shared" si="369"/>
        <v>0.09</v>
      </c>
      <c r="Y396" s="145">
        <f t="shared" si="218"/>
        <v>0</v>
      </c>
      <c r="Z396" s="146">
        <f t="shared" si="10"/>
        <v>4.04</v>
      </c>
      <c r="AA396" s="147">
        <f t="shared" si="370"/>
        <v>-3424.04</v>
      </c>
      <c r="AB396" s="148">
        <f t="shared" si="231"/>
        <v>-3424</v>
      </c>
      <c r="AC396" s="149">
        <f t="shared" si="48"/>
        <v>3.999999999996362E-2</v>
      </c>
      <c r="AD396" s="138">
        <v>44572</v>
      </c>
      <c r="AE396" s="150">
        <f t="shared" si="13"/>
        <v>1.181E-3</v>
      </c>
      <c r="AF396" s="151">
        <f t="shared" si="14"/>
        <v>44572</v>
      </c>
      <c r="AG396" s="152" t="s">
        <v>416</v>
      </c>
      <c r="AH396" s="124"/>
    </row>
    <row r="397" spans="1:34" ht="12" customHeight="1">
      <c r="A397" s="155">
        <v>44568</v>
      </c>
      <c r="B397" s="112" t="s">
        <v>496</v>
      </c>
      <c r="C397" s="127" t="s">
        <v>485</v>
      </c>
      <c r="D397" s="112"/>
      <c r="E397" s="112" t="str">
        <f t="shared" si="0"/>
        <v>NATIONALUM</v>
      </c>
      <c r="F397" s="112"/>
      <c r="G397" s="112"/>
      <c r="H397" s="112"/>
      <c r="I397" s="127" t="s">
        <v>461</v>
      </c>
      <c r="J397" s="126" t="s">
        <v>483</v>
      </c>
      <c r="K397" s="127"/>
      <c r="L397" s="127"/>
      <c r="M397" s="128">
        <v>50</v>
      </c>
      <c r="N397" s="129">
        <v>109.6</v>
      </c>
      <c r="O397" s="130">
        <f t="shared" si="39"/>
        <v>0</v>
      </c>
      <c r="P397" s="130">
        <f t="shared" ref="P397:P398" si="371">N397-O397</f>
        <v>109.6</v>
      </c>
      <c r="Q397" s="130"/>
      <c r="R397" s="130">
        <f t="shared" si="3"/>
        <v>5480</v>
      </c>
      <c r="S397" s="131">
        <f t="shared" si="4"/>
        <v>0.11340000000000001</v>
      </c>
      <c r="T397" s="131">
        <f t="shared" si="75"/>
        <v>0</v>
      </c>
      <c r="U397" s="131">
        <f t="shared" si="36"/>
        <v>0.03</v>
      </c>
      <c r="V397" s="131">
        <f t="shared" si="349"/>
        <v>5.48</v>
      </c>
      <c r="W397" s="131">
        <v>0</v>
      </c>
      <c r="X397" s="131">
        <f t="shared" si="369"/>
        <v>0.15</v>
      </c>
      <c r="Y397" s="131">
        <f t="shared" si="218"/>
        <v>0.01</v>
      </c>
      <c r="Z397" s="131">
        <f t="shared" si="10"/>
        <v>5.6700000000000008</v>
      </c>
      <c r="AA397" s="132">
        <f t="shared" ref="AA397:AA398" si="372">ROUND(R397-SUM(T397:Y397),2)</f>
        <v>5474.33</v>
      </c>
      <c r="AB397" s="133">
        <f t="shared" si="231"/>
        <v>5474</v>
      </c>
      <c r="AC397" s="134">
        <f t="shared" si="48"/>
        <v>-0.32999999999992724</v>
      </c>
      <c r="AD397" s="125">
        <v>44572</v>
      </c>
      <c r="AE397" s="135">
        <f t="shared" si="13"/>
        <v>1.0349999999999999E-3</v>
      </c>
      <c r="AF397" s="136">
        <f t="shared" si="14"/>
        <v>44572</v>
      </c>
      <c r="AG397" s="137" t="s">
        <v>416</v>
      </c>
      <c r="AH397" s="124"/>
    </row>
    <row r="398" spans="1:34" ht="12" customHeight="1">
      <c r="A398" s="155">
        <v>44568</v>
      </c>
      <c r="B398" s="112" t="s">
        <v>589</v>
      </c>
      <c r="C398" s="127" t="s">
        <v>460</v>
      </c>
      <c r="D398" s="112"/>
      <c r="E398" s="112" t="str">
        <f t="shared" si="0"/>
        <v>DCMSHRIRAM</v>
      </c>
      <c r="F398" s="112"/>
      <c r="G398" s="112"/>
      <c r="H398" s="112"/>
      <c r="I398" s="127" t="s">
        <v>461</v>
      </c>
      <c r="J398" s="126" t="s">
        <v>483</v>
      </c>
      <c r="K398" s="127"/>
      <c r="L398" s="127"/>
      <c r="M398" s="128">
        <v>50</v>
      </c>
      <c r="N398" s="129">
        <v>1010</v>
      </c>
      <c r="O398" s="130">
        <f t="shared" si="39"/>
        <v>0</v>
      </c>
      <c r="P398" s="130">
        <f t="shared" si="371"/>
        <v>1010</v>
      </c>
      <c r="Q398" s="130"/>
      <c r="R398" s="130">
        <f t="shared" si="3"/>
        <v>50500</v>
      </c>
      <c r="S398" s="131">
        <f t="shared" si="4"/>
        <v>1.0438000000000001</v>
      </c>
      <c r="T398" s="131">
        <f t="shared" si="75"/>
        <v>0</v>
      </c>
      <c r="U398" s="131">
        <f t="shared" si="36"/>
        <v>0.25</v>
      </c>
      <c r="V398" s="131">
        <f t="shared" si="349"/>
        <v>50.5</v>
      </c>
      <c r="W398" s="131">
        <v>0</v>
      </c>
      <c r="X398" s="131">
        <f t="shared" si="369"/>
        <v>1.39</v>
      </c>
      <c r="Y398" s="131">
        <f t="shared" si="218"/>
        <v>0.05</v>
      </c>
      <c r="Z398" s="131">
        <f t="shared" si="10"/>
        <v>52.19</v>
      </c>
      <c r="AA398" s="132">
        <f t="shared" si="372"/>
        <v>50447.81</v>
      </c>
      <c r="AB398" s="133">
        <f t="shared" si="231"/>
        <v>50448</v>
      </c>
      <c r="AC398" s="134">
        <f t="shared" si="48"/>
        <v>0.19000000000232831</v>
      </c>
      <c r="AD398" s="125">
        <v>44572</v>
      </c>
      <c r="AE398" s="135">
        <f t="shared" si="13"/>
        <v>1.0330000000000001E-3</v>
      </c>
      <c r="AF398" s="136">
        <f t="shared" si="14"/>
        <v>44572</v>
      </c>
      <c r="AG398" s="137" t="s">
        <v>416</v>
      </c>
      <c r="AH398" s="124"/>
    </row>
    <row r="399" spans="1:34" ht="12" customHeight="1">
      <c r="A399" s="154">
        <v>44571</v>
      </c>
      <c r="B399" s="140" t="s">
        <v>589</v>
      </c>
      <c r="C399" s="141" t="s">
        <v>460</v>
      </c>
      <c r="D399" s="140"/>
      <c r="E399" s="140" t="str">
        <f t="shared" si="0"/>
        <v>DCMSHRIRAM</v>
      </c>
      <c r="F399" s="140"/>
      <c r="G399" s="140"/>
      <c r="H399" s="140"/>
      <c r="I399" s="141" t="s">
        <v>467</v>
      </c>
      <c r="J399" s="139" t="s">
        <v>483</v>
      </c>
      <c r="K399" s="141"/>
      <c r="L399" s="141"/>
      <c r="M399" s="142">
        <v>50</v>
      </c>
      <c r="N399" s="143">
        <v>1004</v>
      </c>
      <c r="O399" s="144">
        <f t="shared" si="39"/>
        <v>0</v>
      </c>
      <c r="P399" s="144">
        <f t="shared" ref="P399:P406" si="373">N399+O399</f>
        <v>1004</v>
      </c>
      <c r="Q399" s="144"/>
      <c r="R399" s="144">
        <f t="shared" si="3"/>
        <v>50200</v>
      </c>
      <c r="S399" s="145">
        <f t="shared" si="4"/>
        <v>1.1882000000000001</v>
      </c>
      <c r="T399" s="145">
        <f t="shared" si="75"/>
        <v>0</v>
      </c>
      <c r="U399" s="145">
        <f t="shared" si="36"/>
        <v>0.25</v>
      </c>
      <c r="V399" s="145">
        <f t="shared" si="349"/>
        <v>50.2</v>
      </c>
      <c r="W399" s="145">
        <f t="shared" ref="W399:W406" si="374">ROUND(R399*F$1823,2)</f>
        <v>7.53</v>
      </c>
      <c r="X399" s="145">
        <f t="shared" si="369"/>
        <v>1.38</v>
      </c>
      <c r="Y399" s="145">
        <f t="shared" si="218"/>
        <v>0.05</v>
      </c>
      <c r="Z399" s="146">
        <f t="shared" si="10"/>
        <v>59.410000000000004</v>
      </c>
      <c r="AA399" s="147">
        <f t="shared" ref="AA399:AA406" si="375">-ROUND(R399+SUM(T399:Y399),2)</f>
        <v>-50259.41</v>
      </c>
      <c r="AB399" s="148">
        <f t="shared" si="231"/>
        <v>-50259</v>
      </c>
      <c r="AC399" s="149">
        <f t="shared" si="48"/>
        <v>0.41000000000349246</v>
      </c>
      <c r="AD399" s="138">
        <v>44573</v>
      </c>
      <c r="AE399" s="150">
        <f t="shared" si="13"/>
        <v>1.183E-3</v>
      </c>
      <c r="AF399" s="151">
        <f t="shared" si="14"/>
        <v>44573</v>
      </c>
      <c r="AG399" s="152" t="s">
        <v>416</v>
      </c>
      <c r="AH399" s="124"/>
    </row>
    <row r="400" spans="1:34" ht="12" customHeight="1">
      <c r="A400" s="154">
        <v>44572</v>
      </c>
      <c r="B400" s="140" t="s">
        <v>495</v>
      </c>
      <c r="C400" s="141" t="s">
        <v>485</v>
      </c>
      <c r="D400" s="140"/>
      <c r="E400" s="140" t="str">
        <f t="shared" si="0"/>
        <v>SAIL</v>
      </c>
      <c r="F400" s="140"/>
      <c r="G400" s="140"/>
      <c r="H400" s="140"/>
      <c r="I400" s="141" t="s">
        <v>467</v>
      </c>
      <c r="J400" s="139" t="s">
        <v>483</v>
      </c>
      <c r="K400" s="141"/>
      <c r="L400" s="141"/>
      <c r="M400" s="142">
        <v>100</v>
      </c>
      <c r="N400" s="143">
        <v>106</v>
      </c>
      <c r="O400" s="144">
        <f t="shared" si="39"/>
        <v>0</v>
      </c>
      <c r="P400" s="144">
        <f t="shared" si="373"/>
        <v>106</v>
      </c>
      <c r="Q400" s="144"/>
      <c r="R400" s="144">
        <f t="shared" si="3"/>
        <v>10600</v>
      </c>
      <c r="S400" s="145">
        <f t="shared" si="4"/>
        <v>0.12539999999999998</v>
      </c>
      <c r="T400" s="145">
        <f t="shared" si="75"/>
        <v>0</v>
      </c>
      <c r="U400" s="145">
        <f t="shared" si="36"/>
        <v>0.05</v>
      </c>
      <c r="V400" s="145">
        <f t="shared" si="349"/>
        <v>10.6</v>
      </c>
      <c r="W400" s="145">
        <f t="shared" si="374"/>
        <v>1.59</v>
      </c>
      <c r="X400" s="145">
        <f t="shared" si="369"/>
        <v>0.28999999999999998</v>
      </c>
      <c r="Y400" s="145">
        <f t="shared" si="218"/>
        <v>0.01</v>
      </c>
      <c r="Z400" s="146">
        <f t="shared" si="10"/>
        <v>12.54</v>
      </c>
      <c r="AA400" s="147">
        <f t="shared" si="375"/>
        <v>-10612.54</v>
      </c>
      <c r="AB400" s="148">
        <f t="shared" si="231"/>
        <v>-10613</v>
      </c>
      <c r="AC400" s="149">
        <f t="shared" si="48"/>
        <v>-0.45999999999912689</v>
      </c>
      <c r="AD400" s="138">
        <v>44574</v>
      </c>
      <c r="AE400" s="150">
        <f t="shared" si="13"/>
        <v>1.183E-3</v>
      </c>
      <c r="AF400" s="151">
        <f t="shared" si="14"/>
        <v>44574</v>
      </c>
      <c r="AG400" s="152" t="s">
        <v>416</v>
      </c>
      <c r="AH400" s="124"/>
    </row>
    <row r="401" spans="1:34" ht="12" customHeight="1">
      <c r="A401" s="154">
        <v>44572</v>
      </c>
      <c r="B401" s="140" t="s">
        <v>600</v>
      </c>
      <c r="C401" s="141" t="s">
        <v>485</v>
      </c>
      <c r="D401" s="140"/>
      <c r="E401" s="140" t="str">
        <f t="shared" si="0"/>
        <v>TOYAMIND</v>
      </c>
      <c r="F401" s="140"/>
      <c r="G401" s="140"/>
      <c r="H401" s="140"/>
      <c r="I401" s="141" t="s">
        <v>467</v>
      </c>
      <c r="J401" s="139" t="s">
        <v>483</v>
      </c>
      <c r="K401" s="141"/>
      <c r="L401" s="141"/>
      <c r="M401" s="142">
        <v>2000</v>
      </c>
      <c r="N401" s="143">
        <v>5.27</v>
      </c>
      <c r="O401" s="144">
        <f t="shared" si="39"/>
        <v>0</v>
      </c>
      <c r="P401" s="144">
        <f t="shared" si="373"/>
        <v>5.27</v>
      </c>
      <c r="Q401" s="144"/>
      <c r="R401" s="144">
        <f t="shared" si="3"/>
        <v>10540</v>
      </c>
      <c r="S401" s="145">
        <f t="shared" si="4"/>
        <v>6.2749999999999993E-3</v>
      </c>
      <c r="T401" s="145">
        <f t="shared" si="75"/>
        <v>0</v>
      </c>
      <c r="U401" s="145">
        <f t="shared" si="36"/>
        <v>0.06</v>
      </c>
      <c r="V401" s="145">
        <f t="shared" si="349"/>
        <v>10.54</v>
      </c>
      <c r="W401" s="145">
        <f t="shared" si="374"/>
        <v>1.58</v>
      </c>
      <c r="X401" s="145">
        <f t="shared" ref="X401:X408" si="376">ROUND(R401*H$1820,2)</f>
        <v>0.36</v>
      </c>
      <c r="Y401" s="145">
        <f t="shared" si="218"/>
        <v>0.01</v>
      </c>
      <c r="Z401" s="146">
        <f t="shared" si="10"/>
        <v>12.549999999999999</v>
      </c>
      <c r="AA401" s="147">
        <f t="shared" si="375"/>
        <v>-10552.55</v>
      </c>
      <c r="AB401" s="148">
        <f t="shared" si="231"/>
        <v>-10553</v>
      </c>
      <c r="AC401" s="149">
        <f t="shared" si="48"/>
        <v>-0.4500000000007276</v>
      </c>
      <c r="AD401" s="138">
        <v>44574</v>
      </c>
      <c r="AE401" s="150">
        <f t="shared" si="13"/>
        <v>1.191E-3</v>
      </c>
      <c r="AF401" s="151">
        <f t="shared" si="14"/>
        <v>44574</v>
      </c>
      <c r="AG401" s="152" t="s">
        <v>416</v>
      </c>
      <c r="AH401" s="124"/>
    </row>
    <row r="402" spans="1:34" ht="12" customHeight="1">
      <c r="A402" s="154">
        <v>44572</v>
      </c>
      <c r="B402" s="140" t="s">
        <v>601</v>
      </c>
      <c r="C402" s="141" t="s">
        <v>485</v>
      </c>
      <c r="D402" s="140"/>
      <c r="E402" s="140" t="str">
        <f t="shared" si="0"/>
        <v>FEDERALBNK</v>
      </c>
      <c r="F402" s="140"/>
      <c r="G402" s="140"/>
      <c r="H402" s="140"/>
      <c r="I402" s="141" t="s">
        <v>467</v>
      </c>
      <c r="J402" s="139" t="s">
        <v>483</v>
      </c>
      <c r="K402" s="141"/>
      <c r="L402" s="141"/>
      <c r="M402" s="142">
        <v>100</v>
      </c>
      <c r="N402" s="143">
        <v>95</v>
      </c>
      <c r="O402" s="144">
        <f t="shared" si="39"/>
        <v>0</v>
      </c>
      <c r="P402" s="144">
        <f t="shared" si="373"/>
        <v>95</v>
      </c>
      <c r="Q402" s="144"/>
      <c r="R402" s="144">
        <f t="shared" si="3"/>
        <v>9500</v>
      </c>
      <c r="S402" s="145">
        <f t="shared" si="4"/>
        <v>0.1133</v>
      </c>
      <c r="T402" s="145">
        <f t="shared" si="75"/>
        <v>0</v>
      </c>
      <c r="U402" s="145">
        <f t="shared" si="36"/>
        <v>0.06</v>
      </c>
      <c r="V402" s="145">
        <f t="shared" si="349"/>
        <v>9.5</v>
      </c>
      <c r="W402" s="145">
        <f t="shared" si="374"/>
        <v>1.43</v>
      </c>
      <c r="X402" s="145">
        <f t="shared" si="376"/>
        <v>0.33</v>
      </c>
      <c r="Y402" s="145">
        <f t="shared" si="218"/>
        <v>0.01</v>
      </c>
      <c r="Z402" s="146">
        <f t="shared" si="10"/>
        <v>11.33</v>
      </c>
      <c r="AA402" s="147">
        <f t="shared" si="375"/>
        <v>-9511.33</v>
      </c>
      <c r="AB402" s="148">
        <f t="shared" si="231"/>
        <v>-9511</v>
      </c>
      <c r="AC402" s="149">
        <f t="shared" si="48"/>
        <v>0.32999999999992724</v>
      </c>
      <c r="AD402" s="138">
        <v>44574</v>
      </c>
      <c r="AE402" s="150">
        <f t="shared" si="13"/>
        <v>1.193E-3</v>
      </c>
      <c r="AF402" s="151">
        <f t="shared" si="14"/>
        <v>44574</v>
      </c>
      <c r="AG402" s="152" t="s">
        <v>416</v>
      </c>
      <c r="AH402" s="124"/>
    </row>
    <row r="403" spans="1:34" ht="12" customHeight="1">
      <c r="A403" s="154">
        <v>44572</v>
      </c>
      <c r="B403" s="140" t="s">
        <v>481</v>
      </c>
      <c r="C403" s="141" t="s">
        <v>485</v>
      </c>
      <c r="D403" s="140"/>
      <c r="E403" s="140" t="str">
        <f t="shared" si="0"/>
        <v>HINDALCO</v>
      </c>
      <c r="F403" s="140"/>
      <c r="G403" s="140"/>
      <c r="H403" s="140"/>
      <c r="I403" s="141" t="s">
        <v>467</v>
      </c>
      <c r="J403" s="139" t="s">
        <v>483</v>
      </c>
      <c r="K403" s="141"/>
      <c r="L403" s="141"/>
      <c r="M403" s="142">
        <v>50</v>
      </c>
      <c r="N403" s="143">
        <v>489.2</v>
      </c>
      <c r="O403" s="144">
        <f t="shared" si="39"/>
        <v>0</v>
      </c>
      <c r="P403" s="144">
        <f t="shared" si="373"/>
        <v>489.2</v>
      </c>
      <c r="Q403" s="144"/>
      <c r="R403" s="144">
        <f t="shared" si="3"/>
        <v>24460</v>
      </c>
      <c r="S403" s="145">
        <f t="shared" si="4"/>
        <v>0.58279999999999998</v>
      </c>
      <c r="T403" s="145">
        <f t="shared" si="75"/>
        <v>0</v>
      </c>
      <c r="U403" s="145">
        <f t="shared" si="36"/>
        <v>0.15</v>
      </c>
      <c r="V403" s="145">
        <f t="shared" si="349"/>
        <v>24.46</v>
      </c>
      <c r="W403" s="145">
        <f t="shared" si="374"/>
        <v>3.67</v>
      </c>
      <c r="X403" s="145">
        <f t="shared" si="376"/>
        <v>0.84</v>
      </c>
      <c r="Y403" s="145">
        <f t="shared" si="218"/>
        <v>0.02</v>
      </c>
      <c r="Z403" s="146">
        <f t="shared" si="10"/>
        <v>29.14</v>
      </c>
      <c r="AA403" s="147">
        <f t="shared" si="375"/>
        <v>-24489.14</v>
      </c>
      <c r="AB403" s="148">
        <f t="shared" si="231"/>
        <v>-24489</v>
      </c>
      <c r="AC403" s="149">
        <f t="shared" si="48"/>
        <v>0.13999999999941792</v>
      </c>
      <c r="AD403" s="138">
        <v>44574</v>
      </c>
      <c r="AE403" s="150">
        <f t="shared" si="13"/>
        <v>1.191E-3</v>
      </c>
      <c r="AF403" s="151">
        <f t="shared" si="14"/>
        <v>44574</v>
      </c>
      <c r="AG403" s="152" t="s">
        <v>416</v>
      </c>
      <c r="AH403" s="124"/>
    </row>
    <row r="404" spans="1:34" ht="12" customHeight="1">
      <c r="A404" s="154">
        <v>44572</v>
      </c>
      <c r="B404" s="140" t="s">
        <v>521</v>
      </c>
      <c r="C404" s="141" t="s">
        <v>485</v>
      </c>
      <c r="D404" s="140"/>
      <c r="E404" s="140" t="str">
        <f t="shared" si="0"/>
        <v>IDEA</v>
      </c>
      <c r="F404" s="140"/>
      <c r="G404" s="140"/>
      <c r="H404" s="140"/>
      <c r="I404" s="141" t="s">
        <v>467</v>
      </c>
      <c r="J404" s="139" t="s">
        <v>483</v>
      </c>
      <c r="K404" s="141"/>
      <c r="L404" s="141"/>
      <c r="M404" s="142">
        <v>5000</v>
      </c>
      <c r="N404" s="143">
        <v>12.79</v>
      </c>
      <c r="O404" s="144">
        <f t="shared" si="39"/>
        <v>0</v>
      </c>
      <c r="P404" s="144">
        <f t="shared" si="373"/>
        <v>12.79</v>
      </c>
      <c r="Q404" s="144"/>
      <c r="R404" s="144">
        <f t="shared" si="3"/>
        <v>63950</v>
      </c>
      <c r="S404" s="145">
        <f t="shared" si="4"/>
        <v>1.5242000000000002E-2</v>
      </c>
      <c r="T404" s="145">
        <f t="shared" si="75"/>
        <v>0</v>
      </c>
      <c r="U404" s="145">
        <f t="shared" si="36"/>
        <v>0.4</v>
      </c>
      <c r="V404" s="145">
        <f t="shared" si="349"/>
        <v>63.95</v>
      </c>
      <c r="W404" s="145">
        <f t="shared" si="374"/>
        <v>9.59</v>
      </c>
      <c r="X404" s="145">
        <f t="shared" si="376"/>
        <v>2.21</v>
      </c>
      <c r="Y404" s="145">
        <f t="shared" si="218"/>
        <v>0.06</v>
      </c>
      <c r="Z404" s="146">
        <f t="shared" si="10"/>
        <v>76.210000000000008</v>
      </c>
      <c r="AA404" s="147">
        <f t="shared" si="375"/>
        <v>-64026.21</v>
      </c>
      <c r="AB404" s="148">
        <f t="shared" si="231"/>
        <v>-64026</v>
      </c>
      <c r="AC404" s="149">
        <f t="shared" si="48"/>
        <v>0.20999999999912689</v>
      </c>
      <c r="AD404" s="138">
        <v>44574</v>
      </c>
      <c r="AE404" s="150">
        <f t="shared" si="13"/>
        <v>1.1919999999999999E-3</v>
      </c>
      <c r="AF404" s="151">
        <f t="shared" si="14"/>
        <v>44574</v>
      </c>
      <c r="AG404" s="152" t="s">
        <v>416</v>
      </c>
      <c r="AH404" s="124"/>
    </row>
    <row r="405" spans="1:34" ht="12" customHeight="1">
      <c r="A405" s="154">
        <v>44572</v>
      </c>
      <c r="B405" s="140" t="s">
        <v>602</v>
      </c>
      <c r="C405" s="141" t="s">
        <v>485</v>
      </c>
      <c r="D405" s="140"/>
      <c r="E405" s="140" t="str">
        <f t="shared" si="0"/>
        <v>JPPOWER</v>
      </c>
      <c r="F405" s="140"/>
      <c r="G405" s="140"/>
      <c r="H405" s="140"/>
      <c r="I405" s="141" t="s">
        <v>467</v>
      </c>
      <c r="J405" s="139" t="s">
        <v>483</v>
      </c>
      <c r="K405" s="141"/>
      <c r="L405" s="141"/>
      <c r="M405" s="142">
        <v>1000</v>
      </c>
      <c r="N405" s="143">
        <v>10.15</v>
      </c>
      <c r="O405" s="144">
        <f t="shared" si="39"/>
        <v>0</v>
      </c>
      <c r="P405" s="144">
        <f t="shared" si="373"/>
        <v>10.15</v>
      </c>
      <c r="Q405" s="144"/>
      <c r="R405" s="144">
        <f t="shared" si="3"/>
        <v>10150</v>
      </c>
      <c r="S405" s="145">
        <f t="shared" si="4"/>
        <v>1.209E-2</v>
      </c>
      <c r="T405" s="145">
        <f t="shared" si="75"/>
        <v>0</v>
      </c>
      <c r="U405" s="145">
        <f t="shared" si="36"/>
        <v>0.06</v>
      </c>
      <c r="V405" s="145">
        <f t="shared" si="349"/>
        <v>10.15</v>
      </c>
      <c r="W405" s="145">
        <f t="shared" si="374"/>
        <v>1.52</v>
      </c>
      <c r="X405" s="145">
        <f t="shared" si="376"/>
        <v>0.35</v>
      </c>
      <c r="Y405" s="145">
        <f t="shared" si="218"/>
        <v>0.01</v>
      </c>
      <c r="Z405" s="146">
        <f t="shared" si="10"/>
        <v>12.09</v>
      </c>
      <c r="AA405" s="147">
        <f t="shared" si="375"/>
        <v>-10162.09</v>
      </c>
      <c r="AB405" s="148">
        <f t="shared" si="231"/>
        <v>-10162</v>
      </c>
      <c r="AC405" s="149">
        <f t="shared" si="48"/>
        <v>9.0000000000145519E-2</v>
      </c>
      <c r="AD405" s="138">
        <v>44574</v>
      </c>
      <c r="AE405" s="150">
        <f t="shared" si="13"/>
        <v>1.191E-3</v>
      </c>
      <c r="AF405" s="151">
        <f t="shared" si="14"/>
        <v>44574</v>
      </c>
      <c r="AG405" s="152" t="s">
        <v>416</v>
      </c>
      <c r="AH405" s="124"/>
    </row>
    <row r="406" spans="1:34" ht="12" customHeight="1">
      <c r="A406" s="154">
        <v>44572</v>
      </c>
      <c r="B406" s="140" t="s">
        <v>591</v>
      </c>
      <c r="C406" s="141" t="s">
        <v>485</v>
      </c>
      <c r="D406" s="140"/>
      <c r="E406" s="140" t="str">
        <f t="shared" si="0"/>
        <v>VSSL</v>
      </c>
      <c r="F406" s="140"/>
      <c r="G406" s="140"/>
      <c r="H406" s="140"/>
      <c r="I406" s="141" t="s">
        <v>467</v>
      </c>
      <c r="J406" s="139" t="s">
        <v>483</v>
      </c>
      <c r="K406" s="141"/>
      <c r="L406" s="141"/>
      <c r="M406" s="142">
        <v>50</v>
      </c>
      <c r="N406" s="143">
        <v>265</v>
      </c>
      <c r="O406" s="144">
        <f t="shared" si="39"/>
        <v>0</v>
      </c>
      <c r="P406" s="144">
        <f t="shared" si="373"/>
        <v>265</v>
      </c>
      <c r="Q406" s="144"/>
      <c r="R406" s="144">
        <f t="shared" si="3"/>
        <v>13250</v>
      </c>
      <c r="S406" s="145">
        <f t="shared" si="4"/>
        <v>0.31580000000000003</v>
      </c>
      <c r="T406" s="145">
        <f t="shared" si="75"/>
        <v>0</v>
      </c>
      <c r="U406" s="145">
        <f t="shared" si="36"/>
        <v>0.08</v>
      </c>
      <c r="V406" s="145">
        <f t="shared" si="349"/>
        <v>13.25</v>
      </c>
      <c r="W406" s="145">
        <f t="shared" si="374"/>
        <v>1.99</v>
      </c>
      <c r="X406" s="145">
        <f t="shared" si="376"/>
        <v>0.46</v>
      </c>
      <c r="Y406" s="145">
        <f t="shared" si="218"/>
        <v>0.01</v>
      </c>
      <c r="Z406" s="146">
        <f t="shared" si="10"/>
        <v>15.790000000000001</v>
      </c>
      <c r="AA406" s="147">
        <f t="shared" si="375"/>
        <v>-13265.79</v>
      </c>
      <c r="AB406" s="148">
        <f t="shared" si="231"/>
        <v>-13266</v>
      </c>
      <c r="AC406" s="149">
        <f t="shared" si="48"/>
        <v>-0.20999999999912689</v>
      </c>
      <c r="AD406" s="138">
        <v>44574</v>
      </c>
      <c r="AE406" s="150">
        <f t="shared" si="13"/>
        <v>1.1919999999999999E-3</v>
      </c>
      <c r="AF406" s="151">
        <f t="shared" si="14"/>
        <v>44574</v>
      </c>
      <c r="AG406" s="152" t="s">
        <v>416</v>
      </c>
      <c r="AH406" s="124"/>
    </row>
    <row r="407" spans="1:34" ht="12" customHeight="1">
      <c r="A407" s="155">
        <v>44573</v>
      </c>
      <c r="B407" s="112" t="s">
        <v>521</v>
      </c>
      <c r="C407" s="127" t="s">
        <v>485</v>
      </c>
      <c r="D407" s="112"/>
      <c r="E407" s="112" t="str">
        <f t="shared" si="0"/>
        <v>IDEA</v>
      </c>
      <c r="F407" s="112"/>
      <c r="G407" s="112"/>
      <c r="H407" s="112"/>
      <c r="I407" s="127" t="s">
        <v>461</v>
      </c>
      <c r="J407" s="126" t="s">
        <v>483</v>
      </c>
      <c r="K407" s="127"/>
      <c r="L407" s="127"/>
      <c r="M407" s="128">
        <v>5000</v>
      </c>
      <c r="N407" s="129">
        <v>12.7</v>
      </c>
      <c r="O407" s="130">
        <f t="shared" si="39"/>
        <v>0</v>
      </c>
      <c r="P407" s="130">
        <f t="shared" ref="P407:P408" si="377">N407-O407</f>
        <v>12.7</v>
      </c>
      <c r="Q407" s="130"/>
      <c r="R407" s="130">
        <f t="shared" si="3"/>
        <v>63500</v>
      </c>
      <c r="S407" s="131">
        <f t="shared" si="4"/>
        <v>1.3228E-2</v>
      </c>
      <c r="T407" s="131">
        <f t="shared" si="75"/>
        <v>0</v>
      </c>
      <c r="U407" s="131">
        <f t="shared" si="36"/>
        <v>0.39</v>
      </c>
      <c r="V407" s="131">
        <f t="shared" si="349"/>
        <v>63.5</v>
      </c>
      <c r="W407" s="131">
        <v>0</v>
      </c>
      <c r="X407" s="131">
        <f t="shared" si="376"/>
        <v>2.19</v>
      </c>
      <c r="Y407" s="131">
        <f t="shared" si="218"/>
        <v>0.06</v>
      </c>
      <c r="Z407" s="131">
        <f t="shared" si="10"/>
        <v>66.14</v>
      </c>
      <c r="AA407" s="132">
        <f t="shared" ref="AA407:AA408" si="378">ROUND(R407-SUM(T407:Y407),2)</f>
        <v>63433.86</v>
      </c>
      <c r="AB407" s="133">
        <f t="shared" si="231"/>
        <v>63434</v>
      </c>
      <c r="AC407" s="134">
        <f t="shared" si="48"/>
        <v>0.13999999999941792</v>
      </c>
      <c r="AD407" s="125">
        <v>44575</v>
      </c>
      <c r="AE407" s="135">
        <f t="shared" si="13"/>
        <v>1.042E-3</v>
      </c>
      <c r="AF407" s="136">
        <f t="shared" si="14"/>
        <v>44575</v>
      </c>
      <c r="AG407" s="137" t="s">
        <v>416</v>
      </c>
      <c r="AH407" s="124"/>
    </row>
    <row r="408" spans="1:34" ht="12" customHeight="1">
      <c r="A408" s="155">
        <v>44573</v>
      </c>
      <c r="B408" s="112" t="s">
        <v>481</v>
      </c>
      <c r="C408" s="127" t="s">
        <v>485</v>
      </c>
      <c r="D408" s="112"/>
      <c r="E408" s="112" t="str">
        <f t="shared" si="0"/>
        <v>HINDALCO</v>
      </c>
      <c r="F408" s="112"/>
      <c r="G408" s="112"/>
      <c r="H408" s="112"/>
      <c r="I408" s="127" t="s">
        <v>461</v>
      </c>
      <c r="J408" s="126" t="s">
        <v>483</v>
      </c>
      <c r="K408" s="127"/>
      <c r="L408" s="127"/>
      <c r="M408" s="128">
        <v>50</v>
      </c>
      <c r="N408" s="129">
        <v>498.5</v>
      </c>
      <c r="O408" s="130">
        <f t="shared" si="39"/>
        <v>0</v>
      </c>
      <c r="P408" s="130">
        <f t="shared" si="377"/>
        <v>498.5</v>
      </c>
      <c r="Q408" s="130"/>
      <c r="R408" s="130">
        <f t="shared" si="3"/>
        <v>24925</v>
      </c>
      <c r="S408" s="131">
        <f t="shared" si="4"/>
        <v>0.51919999999999999</v>
      </c>
      <c r="T408" s="131">
        <f t="shared" si="75"/>
        <v>0</v>
      </c>
      <c r="U408" s="131">
        <f t="shared" si="36"/>
        <v>0.15</v>
      </c>
      <c r="V408" s="131">
        <f t="shared" si="349"/>
        <v>24.93</v>
      </c>
      <c r="W408" s="131">
        <v>0</v>
      </c>
      <c r="X408" s="131">
        <f t="shared" si="376"/>
        <v>0.86</v>
      </c>
      <c r="Y408" s="131">
        <f t="shared" si="218"/>
        <v>0.02</v>
      </c>
      <c r="Z408" s="131">
        <f t="shared" si="10"/>
        <v>25.959999999999997</v>
      </c>
      <c r="AA408" s="132">
        <f t="shared" si="378"/>
        <v>24899.040000000001</v>
      </c>
      <c r="AB408" s="133">
        <f t="shared" si="231"/>
        <v>24899</v>
      </c>
      <c r="AC408" s="134">
        <f t="shared" si="48"/>
        <v>-4.0000000000873115E-2</v>
      </c>
      <c r="AD408" s="125">
        <v>44575</v>
      </c>
      <c r="AE408" s="135">
        <f t="shared" si="13"/>
        <v>1.042E-3</v>
      </c>
      <c r="AF408" s="136">
        <f t="shared" si="14"/>
        <v>44575</v>
      </c>
      <c r="AG408" s="137" t="s">
        <v>416</v>
      </c>
      <c r="AH408" s="124"/>
    </row>
    <row r="409" spans="1:34" ht="12" customHeight="1">
      <c r="A409" s="154">
        <v>44574</v>
      </c>
      <c r="B409" s="140" t="s">
        <v>473</v>
      </c>
      <c r="C409" s="141" t="s">
        <v>485</v>
      </c>
      <c r="D409" s="140"/>
      <c r="E409" s="140" t="str">
        <f t="shared" si="0"/>
        <v>CIPLA</v>
      </c>
      <c r="F409" s="140"/>
      <c r="G409" s="140"/>
      <c r="H409" s="140"/>
      <c r="I409" s="141" t="s">
        <v>467</v>
      </c>
      <c r="J409" s="139" t="s">
        <v>483</v>
      </c>
      <c r="K409" s="141"/>
      <c r="L409" s="141"/>
      <c r="M409" s="142">
        <v>70</v>
      </c>
      <c r="N409" s="143">
        <v>927.78571428571433</v>
      </c>
      <c r="O409" s="144">
        <f t="shared" si="39"/>
        <v>0</v>
      </c>
      <c r="P409" s="144">
        <f>N409+O409</f>
        <v>927.78571428571433</v>
      </c>
      <c r="Q409" s="144"/>
      <c r="R409" s="144">
        <f t="shared" si="3"/>
        <v>64945</v>
      </c>
      <c r="S409" s="145">
        <f t="shared" si="4"/>
        <v>1.0980000000000001</v>
      </c>
      <c r="T409" s="145">
        <f t="shared" si="75"/>
        <v>0</v>
      </c>
      <c r="U409" s="145">
        <f t="shared" si="36"/>
        <v>0.32</v>
      </c>
      <c r="V409" s="145">
        <f t="shared" si="349"/>
        <v>64.95</v>
      </c>
      <c r="W409" s="145">
        <f>ROUND(R409*F$1823,2)</f>
        <v>9.74</v>
      </c>
      <c r="X409" s="145">
        <f t="shared" ref="X409:X413" si="379">ROUND(R409*G$1820,2)</f>
        <v>1.79</v>
      </c>
      <c r="Y409" s="145">
        <f t="shared" si="218"/>
        <v>0.06</v>
      </c>
      <c r="Z409" s="146">
        <f t="shared" si="10"/>
        <v>76.86</v>
      </c>
      <c r="AA409" s="147">
        <f>-ROUND(R409+SUM(T409:Y409),2)</f>
        <v>-65021.86</v>
      </c>
      <c r="AB409" s="148">
        <f t="shared" si="231"/>
        <v>-65022</v>
      </c>
      <c r="AC409" s="149">
        <f t="shared" si="48"/>
        <v>-0.13999999999941792</v>
      </c>
      <c r="AD409" s="138">
        <v>44578</v>
      </c>
      <c r="AE409" s="150">
        <f t="shared" si="13"/>
        <v>1.183E-3</v>
      </c>
      <c r="AF409" s="151">
        <f t="shared" si="14"/>
        <v>44578</v>
      </c>
      <c r="AG409" s="152" t="s">
        <v>416</v>
      </c>
      <c r="AH409" s="124"/>
    </row>
    <row r="410" spans="1:34" ht="12" customHeight="1">
      <c r="A410" s="155">
        <v>44574</v>
      </c>
      <c r="B410" s="112" t="s">
        <v>589</v>
      </c>
      <c r="C410" s="127" t="s">
        <v>460</v>
      </c>
      <c r="D410" s="112"/>
      <c r="E410" s="112" t="str">
        <f t="shared" si="0"/>
        <v>DCMSHRIRAM</v>
      </c>
      <c r="F410" s="112"/>
      <c r="G410" s="112"/>
      <c r="H410" s="112"/>
      <c r="I410" s="127" t="s">
        <v>461</v>
      </c>
      <c r="J410" s="126" t="s">
        <v>483</v>
      </c>
      <c r="K410" s="127"/>
      <c r="L410" s="127"/>
      <c r="M410" s="128">
        <v>175</v>
      </c>
      <c r="N410" s="129">
        <v>1007.6</v>
      </c>
      <c r="O410" s="130">
        <f t="shared" si="39"/>
        <v>0</v>
      </c>
      <c r="P410" s="130">
        <f>N410-O410</f>
        <v>1007.6</v>
      </c>
      <c r="Q410" s="130"/>
      <c r="R410" s="130">
        <f t="shared" si="3"/>
        <v>176330</v>
      </c>
      <c r="S410" s="131">
        <f t="shared" si="4"/>
        <v>1.0413142857142859</v>
      </c>
      <c r="T410" s="131">
        <f t="shared" si="75"/>
        <v>0</v>
      </c>
      <c r="U410" s="131">
        <f t="shared" si="36"/>
        <v>0.87</v>
      </c>
      <c r="V410" s="131">
        <f t="shared" si="349"/>
        <v>176.33</v>
      </c>
      <c r="W410" s="131">
        <v>0</v>
      </c>
      <c r="X410" s="131">
        <f t="shared" si="379"/>
        <v>4.8499999999999996</v>
      </c>
      <c r="Y410" s="131">
        <f t="shared" si="218"/>
        <v>0.18</v>
      </c>
      <c r="Z410" s="131">
        <f t="shared" si="10"/>
        <v>182.23000000000002</v>
      </c>
      <c r="AA410" s="132">
        <f>ROUND(R410-SUM(T410:Y410),2)</f>
        <v>176147.77</v>
      </c>
      <c r="AB410" s="133">
        <f t="shared" si="231"/>
        <v>176148</v>
      </c>
      <c r="AC410" s="134">
        <f t="shared" si="48"/>
        <v>0.23000000001047738</v>
      </c>
      <c r="AD410" s="125">
        <v>44578</v>
      </c>
      <c r="AE410" s="135">
        <f t="shared" si="13"/>
        <v>1.0330000000000001E-3</v>
      </c>
      <c r="AF410" s="136">
        <f t="shared" si="14"/>
        <v>44578</v>
      </c>
      <c r="AG410" s="137" t="s">
        <v>416</v>
      </c>
      <c r="AH410" s="124"/>
    </row>
    <row r="411" spans="1:34" ht="12" customHeight="1">
      <c r="A411" s="154">
        <v>44575</v>
      </c>
      <c r="B411" s="140" t="s">
        <v>589</v>
      </c>
      <c r="C411" s="141" t="s">
        <v>460</v>
      </c>
      <c r="D411" s="140"/>
      <c r="E411" s="140" t="str">
        <f t="shared" si="0"/>
        <v>DCMSHRIRAM</v>
      </c>
      <c r="F411" s="140"/>
      <c r="G411" s="140"/>
      <c r="H411" s="140"/>
      <c r="I411" s="141" t="s">
        <v>467</v>
      </c>
      <c r="J411" s="139" t="s">
        <v>483</v>
      </c>
      <c r="K411" s="141"/>
      <c r="L411" s="141"/>
      <c r="M411" s="142">
        <v>175</v>
      </c>
      <c r="N411" s="143">
        <v>1002</v>
      </c>
      <c r="O411" s="144">
        <f t="shared" si="39"/>
        <v>0</v>
      </c>
      <c r="P411" s="144">
        <f>N411+O411</f>
        <v>1002</v>
      </c>
      <c r="Q411" s="144"/>
      <c r="R411" s="144">
        <f t="shared" si="3"/>
        <v>175350</v>
      </c>
      <c r="S411" s="145">
        <f t="shared" si="4"/>
        <v>0.11725714285714284</v>
      </c>
      <c r="T411" s="145">
        <f t="shared" si="75"/>
        <v>0</v>
      </c>
      <c r="U411" s="145">
        <f t="shared" si="36"/>
        <v>0.87</v>
      </c>
      <c r="V411" s="145">
        <f>ROUND(R411*F$1817,2)-175</f>
        <v>0.34999999999999432</v>
      </c>
      <c r="W411" s="145">
        <f>ROUND(R411*F$1823,2)-12</f>
        <v>14.3</v>
      </c>
      <c r="X411" s="145">
        <f t="shared" si="379"/>
        <v>4.82</v>
      </c>
      <c r="Y411" s="145">
        <f t="shared" si="218"/>
        <v>0.18</v>
      </c>
      <c r="Z411" s="146">
        <f t="shared" si="10"/>
        <v>20.519999999999996</v>
      </c>
      <c r="AA411" s="147">
        <f>-ROUND(R411+SUM(T411:Y411),2)</f>
        <v>-175370.52</v>
      </c>
      <c r="AB411" s="148">
        <f t="shared" si="231"/>
        <v>-175371</v>
      </c>
      <c r="AC411" s="149">
        <f t="shared" si="48"/>
        <v>-0.48000000001047738</v>
      </c>
      <c r="AD411" s="138">
        <v>44579</v>
      </c>
      <c r="AE411" s="150">
        <f t="shared" si="13"/>
        <v>1.17E-4</v>
      </c>
      <c r="AF411" s="151">
        <f t="shared" si="14"/>
        <v>44579</v>
      </c>
      <c r="AG411" s="152" t="s">
        <v>416</v>
      </c>
      <c r="AH411" s="124"/>
    </row>
    <row r="412" spans="1:34" ht="12" customHeight="1">
      <c r="A412" s="155">
        <v>44575</v>
      </c>
      <c r="B412" s="112" t="s">
        <v>589</v>
      </c>
      <c r="C412" s="127" t="s">
        <v>460</v>
      </c>
      <c r="D412" s="112"/>
      <c r="E412" s="112" t="str">
        <f t="shared" si="0"/>
        <v>DCMSHRIRAM</v>
      </c>
      <c r="F412" s="112"/>
      <c r="G412" s="112"/>
      <c r="H412" s="112"/>
      <c r="I412" s="127" t="s">
        <v>461</v>
      </c>
      <c r="J412" s="126" t="s">
        <v>483</v>
      </c>
      <c r="K412" s="127"/>
      <c r="L412" s="127"/>
      <c r="M412" s="128">
        <v>100</v>
      </c>
      <c r="N412" s="129">
        <v>1008</v>
      </c>
      <c r="O412" s="130">
        <f t="shared" si="39"/>
        <v>0</v>
      </c>
      <c r="P412" s="130">
        <f>N412-O412</f>
        <v>1008</v>
      </c>
      <c r="Q412" s="130"/>
      <c r="R412" s="130">
        <f t="shared" si="3"/>
        <v>100800</v>
      </c>
      <c r="S412" s="131">
        <f t="shared" si="4"/>
        <v>1.0416999999999998</v>
      </c>
      <c r="T412" s="131">
        <f t="shared" si="75"/>
        <v>0</v>
      </c>
      <c r="U412" s="131">
        <f t="shared" si="36"/>
        <v>0.5</v>
      </c>
      <c r="V412" s="131">
        <f t="shared" ref="V412:V416" si="380">ROUND(R412*F$1817,2)</f>
        <v>100.8</v>
      </c>
      <c r="W412" s="131">
        <v>0</v>
      </c>
      <c r="X412" s="131">
        <f t="shared" si="379"/>
        <v>2.77</v>
      </c>
      <c r="Y412" s="131">
        <f t="shared" si="218"/>
        <v>0.1</v>
      </c>
      <c r="Z412" s="131">
        <f t="shared" si="10"/>
        <v>104.16999999999999</v>
      </c>
      <c r="AA412" s="132">
        <f>ROUND(R412-SUM(T412:Y412),2)</f>
        <v>100695.83</v>
      </c>
      <c r="AB412" s="133">
        <f t="shared" si="231"/>
        <v>100696</v>
      </c>
      <c r="AC412" s="134">
        <f t="shared" si="48"/>
        <v>0.16999999999825377</v>
      </c>
      <c r="AD412" s="125">
        <v>44579</v>
      </c>
      <c r="AE412" s="135">
        <f t="shared" si="13"/>
        <v>1.0330000000000001E-3</v>
      </c>
      <c r="AF412" s="136">
        <f t="shared" si="14"/>
        <v>44579</v>
      </c>
      <c r="AG412" s="137" t="s">
        <v>416</v>
      </c>
      <c r="AH412" s="124"/>
    </row>
    <row r="413" spans="1:34" ht="12" customHeight="1">
      <c r="A413" s="154">
        <v>44575</v>
      </c>
      <c r="B413" s="140" t="s">
        <v>603</v>
      </c>
      <c r="C413" s="141" t="s">
        <v>485</v>
      </c>
      <c r="D413" s="140"/>
      <c r="E413" s="140" t="str">
        <f t="shared" si="0"/>
        <v>MCX</v>
      </c>
      <c r="F413" s="140"/>
      <c r="G413" s="140"/>
      <c r="H413" s="140"/>
      <c r="I413" s="141" t="s">
        <v>467</v>
      </c>
      <c r="J413" s="139" t="s">
        <v>483</v>
      </c>
      <c r="K413" s="141"/>
      <c r="L413" s="141"/>
      <c r="M413" s="142">
        <v>40</v>
      </c>
      <c r="N413" s="143">
        <v>1636.875</v>
      </c>
      <c r="O413" s="144">
        <f t="shared" si="39"/>
        <v>0</v>
      </c>
      <c r="P413" s="144">
        <f>N413+O413</f>
        <v>1636.875</v>
      </c>
      <c r="Q413" s="144"/>
      <c r="R413" s="144">
        <f t="shared" si="3"/>
        <v>65475</v>
      </c>
      <c r="S413" s="145">
        <f t="shared" si="4"/>
        <v>1.9372499999999999</v>
      </c>
      <c r="T413" s="145">
        <f t="shared" si="75"/>
        <v>0</v>
      </c>
      <c r="U413" s="145">
        <f t="shared" si="36"/>
        <v>0.32</v>
      </c>
      <c r="V413" s="145">
        <f t="shared" si="380"/>
        <v>65.48</v>
      </c>
      <c r="W413" s="145">
        <f>ROUND(R413*F$1823,2)</f>
        <v>9.82</v>
      </c>
      <c r="X413" s="145">
        <f t="shared" si="379"/>
        <v>1.8</v>
      </c>
      <c r="Y413" s="145">
        <f t="shared" si="218"/>
        <v>7.0000000000000007E-2</v>
      </c>
      <c r="Z413" s="146">
        <f t="shared" si="10"/>
        <v>77.489999999999995</v>
      </c>
      <c r="AA413" s="147">
        <f>-ROUND(R413+SUM(T413:Y413),2)</f>
        <v>-65552.490000000005</v>
      </c>
      <c r="AB413" s="148">
        <f t="shared" si="231"/>
        <v>-65552</v>
      </c>
      <c r="AC413" s="149">
        <f t="shared" si="48"/>
        <v>0.49000000000523869</v>
      </c>
      <c r="AD413" s="138">
        <v>44579</v>
      </c>
      <c r="AE413" s="150">
        <f t="shared" si="13"/>
        <v>1.1839999999999999E-3</v>
      </c>
      <c r="AF413" s="151">
        <f t="shared" si="14"/>
        <v>44579</v>
      </c>
      <c r="AG413" s="152" t="s">
        <v>416</v>
      </c>
      <c r="AH413" s="124"/>
    </row>
    <row r="414" spans="1:34" ht="12" customHeight="1">
      <c r="A414" s="155">
        <v>44578</v>
      </c>
      <c r="B414" s="112" t="s">
        <v>589</v>
      </c>
      <c r="C414" s="127" t="s">
        <v>460</v>
      </c>
      <c r="D414" s="112"/>
      <c r="E414" s="112" t="str">
        <f t="shared" si="0"/>
        <v>DCMSHRIRAM</v>
      </c>
      <c r="F414" s="112"/>
      <c r="G414" s="112"/>
      <c r="H414" s="112"/>
      <c r="I414" s="127" t="s">
        <v>461</v>
      </c>
      <c r="J414" s="126" t="s">
        <v>483</v>
      </c>
      <c r="K414" s="127"/>
      <c r="L414" s="127"/>
      <c r="M414" s="128">
        <v>150</v>
      </c>
      <c r="N414" s="129">
        <v>1043.3603000000001</v>
      </c>
      <c r="O414" s="130">
        <f t="shared" si="39"/>
        <v>0</v>
      </c>
      <c r="P414" s="130">
        <f t="shared" ref="P414:P418" si="381">N414-O414</f>
        <v>1043.3603000000001</v>
      </c>
      <c r="Q414" s="130"/>
      <c r="R414" s="130">
        <f t="shared" si="3"/>
        <v>156504.04999999999</v>
      </c>
      <c r="S414" s="131">
        <f t="shared" si="4"/>
        <v>1.0868666666666666</v>
      </c>
      <c r="T414" s="131">
        <f t="shared" si="75"/>
        <v>0</v>
      </c>
      <c r="U414" s="131">
        <f t="shared" si="36"/>
        <v>0.97</v>
      </c>
      <c r="V414" s="131">
        <f t="shared" si="380"/>
        <v>156.5</v>
      </c>
      <c r="W414" s="131">
        <v>0</v>
      </c>
      <c r="X414" s="131">
        <f t="shared" ref="X414:X416" si="382">ROUND(R414*H$1820,2)</f>
        <v>5.4</v>
      </c>
      <c r="Y414" s="131">
        <f t="shared" si="218"/>
        <v>0.16</v>
      </c>
      <c r="Z414" s="131">
        <f t="shared" si="10"/>
        <v>163.03</v>
      </c>
      <c r="AA414" s="132">
        <f t="shared" ref="AA414:AA418" si="383">ROUND(R414-SUM(T414:Y414),2)</f>
        <v>156341.01999999999</v>
      </c>
      <c r="AB414" s="133">
        <f t="shared" si="231"/>
        <v>156341</v>
      </c>
      <c r="AC414" s="134">
        <f t="shared" si="48"/>
        <v>-1.9999999989522621E-2</v>
      </c>
      <c r="AD414" s="125">
        <v>44580</v>
      </c>
      <c r="AE414" s="135">
        <f t="shared" si="13"/>
        <v>1.042E-3</v>
      </c>
      <c r="AF414" s="136">
        <f t="shared" si="14"/>
        <v>44580</v>
      </c>
      <c r="AG414" s="137" t="s">
        <v>416</v>
      </c>
      <c r="AH414" s="124"/>
    </row>
    <row r="415" spans="1:34" ht="12" customHeight="1">
      <c r="A415" s="155">
        <v>44578</v>
      </c>
      <c r="B415" s="112" t="s">
        <v>565</v>
      </c>
      <c r="C415" s="127" t="s">
        <v>485</v>
      </c>
      <c r="D415" s="112"/>
      <c r="E415" s="112" t="str">
        <f t="shared" si="0"/>
        <v>BRNL</v>
      </c>
      <c r="F415" s="112"/>
      <c r="G415" s="112"/>
      <c r="H415" s="112"/>
      <c r="I415" s="127" t="s">
        <v>461</v>
      </c>
      <c r="J415" s="126" t="s">
        <v>483</v>
      </c>
      <c r="K415" s="127"/>
      <c r="L415" s="127"/>
      <c r="M415" s="128">
        <v>100</v>
      </c>
      <c r="N415" s="129">
        <v>34.799999999999997</v>
      </c>
      <c r="O415" s="130">
        <f t="shared" si="39"/>
        <v>0</v>
      </c>
      <c r="P415" s="130">
        <f t="shared" si="381"/>
        <v>34.799999999999997</v>
      </c>
      <c r="Q415" s="130"/>
      <c r="R415" s="130">
        <f t="shared" si="3"/>
        <v>3480</v>
      </c>
      <c r="S415" s="131">
        <f t="shared" si="4"/>
        <v>3.6200000000000003E-2</v>
      </c>
      <c r="T415" s="131">
        <f t="shared" si="75"/>
        <v>0</v>
      </c>
      <c r="U415" s="131">
        <f t="shared" si="36"/>
        <v>0.02</v>
      </c>
      <c r="V415" s="131">
        <f t="shared" si="380"/>
        <v>3.48</v>
      </c>
      <c r="W415" s="131">
        <v>0</v>
      </c>
      <c r="X415" s="131">
        <f t="shared" si="382"/>
        <v>0.12</v>
      </c>
      <c r="Y415" s="131">
        <f t="shared" si="218"/>
        <v>0</v>
      </c>
      <c r="Z415" s="131">
        <f t="shared" si="10"/>
        <v>3.62</v>
      </c>
      <c r="AA415" s="132">
        <f t="shared" si="383"/>
        <v>3476.38</v>
      </c>
      <c r="AB415" s="133">
        <f t="shared" si="231"/>
        <v>3476</v>
      </c>
      <c r="AC415" s="134">
        <f t="shared" si="48"/>
        <v>-0.38000000000010914</v>
      </c>
      <c r="AD415" s="125">
        <v>44580</v>
      </c>
      <c r="AE415" s="135">
        <f t="shared" si="13"/>
        <v>1.0399999999999999E-3</v>
      </c>
      <c r="AF415" s="136">
        <f t="shared" si="14"/>
        <v>44580</v>
      </c>
      <c r="AG415" s="137" t="s">
        <v>416</v>
      </c>
      <c r="AH415" s="124"/>
    </row>
    <row r="416" spans="1:34" ht="12" customHeight="1">
      <c r="A416" s="155">
        <v>44578</v>
      </c>
      <c r="B416" s="112" t="s">
        <v>561</v>
      </c>
      <c r="C416" s="127" t="s">
        <v>485</v>
      </c>
      <c r="D416" s="112"/>
      <c r="E416" s="112" t="str">
        <f t="shared" si="0"/>
        <v>RENUKA</v>
      </c>
      <c r="F416" s="112"/>
      <c r="G416" s="112"/>
      <c r="H416" s="112"/>
      <c r="I416" s="127" t="s">
        <v>461</v>
      </c>
      <c r="J416" s="126" t="s">
        <v>483</v>
      </c>
      <c r="K416" s="127"/>
      <c r="L416" s="127"/>
      <c r="M416" s="128">
        <v>100</v>
      </c>
      <c r="N416" s="129">
        <v>34.5</v>
      </c>
      <c r="O416" s="130">
        <f t="shared" si="39"/>
        <v>0</v>
      </c>
      <c r="P416" s="130">
        <f t="shared" si="381"/>
        <v>34.5</v>
      </c>
      <c r="Q416" s="130"/>
      <c r="R416" s="130">
        <f t="shared" si="3"/>
        <v>3450</v>
      </c>
      <c r="S416" s="131">
        <f t="shared" si="4"/>
        <v>3.5900000000000001E-2</v>
      </c>
      <c r="T416" s="131">
        <f t="shared" si="75"/>
        <v>0</v>
      </c>
      <c r="U416" s="131">
        <f t="shared" si="36"/>
        <v>0.02</v>
      </c>
      <c r="V416" s="131">
        <f t="shared" si="380"/>
        <v>3.45</v>
      </c>
      <c r="W416" s="131">
        <v>0</v>
      </c>
      <c r="X416" s="131">
        <f t="shared" si="382"/>
        <v>0.12</v>
      </c>
      <c r="Y416" s="131">
        <f t="shared" si="218"/>
        <v>0</v>
      </c>
      <c r="Z416" s="131">
        <f t="shared" si="10"/>
        <v>3.5900000000000003</v>
      </c>
      <c r="AA416" s="132">
        <f t="shared" si="383"/>
        <v>3446.41</v>
      </c>
      <c r="AB416" s="133">
        <f t="shared" si="231"/>
        <v>3446</v>
      </c>
      <c r="AC416" s="134">
        <f t="shared" si="48"/>
        <v>-0.40999999999985448</v>
      </c>
      <c r="AD416" s="125">
        <v>44580</v>
      </c>
      <c r="AE416" s="135">
        <f t="shared" si="13"/>
        <v>1.041E-3</v>
      </c>
      <c r="AF416" s="136">
        <f t="shared" si="14"/>
        <v>44580</v>
      </c>
      <c r="AG416" s="137" t="s">
        <v>416</v>
      </c>
      <c r="AH416" s="124"/>
    </row>
    <row r="417" spans="1:34" ht="12" customHeight="1">
      <c r="A417" s="155">
        <v>44578</v>
      </c>
      <c r="B417" s="112" t="s">
        <v>600</v>
      </c>
      <c r="C417" s="127" t="s">
        <v>485</v>
      </c>
      <c r="D417" s="112"/>
      <c r="E417" s="112" t="str">
        <f t="shared" si="0"/>
        <v>TOYAMIND</v>
      </c>
      <c r="F417" s="112"/>
      <c r="G417" s="112"/>
      <c r="H417" s="112"/>
      <c r="I417" s="127" t="s">
        <v>461</v>
      </c>
      <c r="J417" s="126" t="s">
        <v>483</v>
      </c>
      <c r="K417" s="127"/>
      <c r="L417" s="127"/>
      <c r="M417" s="128">
        <v>2000</v>
      </c>
      <c r="N417" s="129">
        <v>6.35</v>
      </c>
      <c r="O417" s="130">
        <f t="shared" si="39"/>
        <v>0</v>
      </c>
      <c r="P417" s="130">
        <f t="shared" si="381"/>
        <v>6.35</v>
      </c>
      <c r="Q417" s="130"/>
      <c r="R417" s="130">
        <f t="shared" si="3"/>
        <v>12700</v>
      </c>
      <c r="S417" s="131">
        <f t="shared" si="4"/>
        <v>1.3349999999999999E-2</v>
      </c>
      <c r="T417" s="131">
        <f t="shared" si="75"/>
        <v>0</v>
      </c>
      <c r="U417" s="131">
        <f t="shared" si="36"/>
        <v>2.29</v>
      </c>
      <c r="V417" s="131">
        <f>ROUND(R417*F$1817,2)-1</f>
        <v>11.7</v>
      </c>
      <c r="W417" s="131">
        <v>0</v>
      </c>
      <c r="X417" s="131">
        <f>ROUND(R417*0.1%,2)</f>
        <v>12.7</v>
      </c>
      <c r="Y417" s="131">
        <f t="shared" si="218"/>
        <v>0.01</v>
      </c>
      <c r="Z417" s="131">
        <f t="shared" si="10"/>
        <v>26.7</v>
      </c>
      <c r="AA417" s="132">
        <f t="shared" si="383"/>
        <v>12673.3</v>
      </c>
      <c r="AB417" s="133">
        <f t="shared" si="231"/>
        <v>12673</v>
      </c>
      <c r="AC417" s="134">
        <f t="shared" si="48"/>
        <v>-0.2999999999992724</v>
      </c>
      <c r="AD417" s="125">
        <v>44580</v>
      </c>
      <c r="AE417" s="135">
        <f t="shared" si="13"/>
        <v>2.1020000000000001E-3</v>
      </c>
      <c r="AF417" s="136">
        <f t="shared" si="14"/>
        <v>44580</v>
      </c>
      <c r="AG417" s="137" t="s">
        <v>416</v>
      </c>
      <c r="AH417" s="124"/>
    </row>
    <row r="418" spans="1:34" ht="12" customHeight="1">
      <c r="A418" s="155">
        <v>44578</v>
      </c>
      <c r="B418" s="112" t="s">
        <v>479</v>
      </c>
      <c r="C418" s="127" t="s">
        <v>485</v>
      </c>
      <c r="D418" s="112"/>
      <c r="E418" s="112" t="str">
        <f t="shared" si="0"/>
        <v>TATAPOWER</v>
      </c>
      <c r="F418" s="112"/>
      <c r="G418" s="112"/>
      <c r="H418" s="112"/>
      <c r="I418" s="127" t="s">
        <v>461</v>
      </c>
      <c r="J418" s="126" t="s">
        <v>483</v>
      </c>
      <c r="K418" s="127"/>
      <c r="L418" s="127"/>
      <c r="M418" s="128">
        <v>35</v>
      </c>
      <c r="N418" s="129">
        <v>248</v>
      </c>
      <c r="O418" s="130">
        <f t="shared" si="39"/>
        <v>0</v>
      </c>
      <c r="P418" s="130">
        <f t="shared" si="381"/>
        <v>248</v>
      </c>
      <c r="Q418" s="130"/>
      <c r="R418" s="130">
        <f t="shared" si="3"/>
        <v>8680</v>
      </c>
      <c r="S418" s="131">
        <f t="shared" si="4"/>
        <v>0.25628571428571423</v>
      </c>
      <c r="T418" s="131">
        <f t="shared" si="75"/>
        <v>0</v>
      </c>
      <c r="U418" s="131">
        <f t="shared" si="36"/>
        <v>0.04</v>
      </c>
      <c r="V418" s="131">
        <f t="shared" ref="V418:V452" si="384">ROUND(R418*F$1817,2)</f>
        <v>8.68</v>
      </c>
      <c r="W418" s="131">
        <v>0</v>
      </c>
      <c r="X418" s="131">
        <f t="shared" ref="X418:X421" si="385">ROUND(R418*G$1820,2)</f>
        <v>0.24</v>
      </c>
      <c r="Y418" s="131">
        <f t="shared" si="218"/>
        <v>0.01</v>
      </c>
      <c r="Z418" s="131">
        <f t="shared" si="10"/>
        <v>8.9699999999999989</v>
      </c>
      <c r="AA418" s="132">
        <f t="shared" si="383"/>
        <v>8671.0300000000007</v>
      </c>
      <c r="AB418" s="133">
        <f t="shared" si="231"/>
        <v>8671</v>
      </c>
      <c r="AC418" s="134">
        <f t="shared" si="48"/>
        <v>-3.0000000000654836E-2</v>
      </c>
      <c r="AD418" s="125">
        <v>44580</v>
      </c>
      <c r="AE418" s="135">
        <f t="shared" si="13"/>
        <v>1.0330000000000001E-3</v>
      </c>
      <c r="AF418" s="136">
        <f t="shared" si="14"/>
        <v>44580</v>
      </c>
      <c r="AG418" s="137" t="s">
        <v>416</v>
      </c>
      <c r="AH418" s="124"/>
    </row>
    <row r="419" spans="1:34" ht="12" customHeight="1">
      <c r="A419" s="154">
        <v>44579</v>
      </c>
      <c r="B419" s="140" t="s">
        <v>589</v>
      </c>
      <c r="C419" s="141" t="s">
        <v>460</v>
      </c>
      <c r="D419" s="140"/>
      <c r="E419" s="140" t="str">
        <f t="shared" si="0"/>
        <v>DCMSHRIRAM</v>
      </c>
      <c r="F419" s="140"/>
      <c r="G419" s="140"/>
      <c r="H419" s="140"/>
      <c r="I419" s="141" t="s">
        <v>467</v>
      </c>
      <c r="J419" s="139" t="s">
        <v>483</v>
      </c>
      <c r="K419" s="141"/>
      <c r="L419" s="141"/>
      <c r="M419" s="142">
        <v>100</v>
      </c>
      <c r="N419" s="143">
        <v>1000</v>
      </c>
      <c r="O419" s="144">
        <f t="shared" si="39"/>
        <v>0</v>
      </c>
      <c r="P419" s="144">
        <f t="shared" ref="P419:P423" si="386">N419+O419</f>
        <v>1000</v>
      </c>
      <c r="Q419" s="144"/>
      <c r="R419" s="144">
        <f t="shared" si="3"/>
        <v>100000</v>
      </c>
      <c r="S419" s="145">
        <f t="shared" si="4"/>
        <v>1.1835</v>
      </c>
      <c r="T419" s="145">
        <f t="shared" si="75"/>
        <v>0</v>
      </c>
      <c r="U419" s="145">
        <f t="shared" si="36"/>
        <v>0.5</v>
      </c>
      <c r="V419" s="145">
        <f t="shared" si="384"/>
        <v>100</v>
      </c>
      <c r="W419" s="145">
        <f t="shared" ref="W419:W423" si="387">ROUND(R419*F$1823,2)</f>
        <v>15</v>
      </c>
      <c r="X419" s="145">
        <f t="shared" si="385"/>
        <v>2.75</v>
      </c>
      <c r="Y419" s="145">
        <f t="shared" si="218"/>
        <v>0.1</v>
      </c>
      <c r="Z419" s="146">
        <f t="shared" si="10"/>
        <v>118.35</v>
      </c>
      <c r="AA419" s="147">
        <f t="shared" ref="AA419:AA423" si="388">-ROUND(R419+SUM(T419:Y419),2)</f>
        <v>-100118.35</v>
      </c>
      <c r="AB419" s="148">
        <f t="shared" si="231"/>
        <v>-100118</v>
      </c>
      <c r="AC419" s="149">
        <f t="shared" si="48"/>
        <v>0.35000000000582077</v>
      </c>
      <c r="AD419" s="138">
        <v>44581</v>
      </c>
      <c r="AE419" s="150">
        <f t="shared" si="13"/>
        <v>1.1839999999999999E-3</v>
      </c>
      <c r="AF419" s="151">
        <f t="shared" si="14"/>
        <v>44581</v>
      </c>
      <c r="AG419" s="152" t="s">
        <v>416</v>
      </c>
      <c r="AH419" s="124"/>
    </row>
    <row r="420" spans="1:34" ht="12" customHeight="1">
      <c r="A420" s="154">
        <v>44579</v>
      </c>
      <c r="B420" s="140" t="s">
        <v>589</v>
      </c>
      <c r="C420" s="141" t="s">
        <v>460</v>
      </c>
      <c r="D420" s="140"/>
      <c r="E420" s="140" t="str">
        <f t="shared" si="0"/>
        <v>DCMSHRIRAM</v>
      </c>
      <c r="F420" s="140"/>
      <c r="G420" s="140"/>
      <c r="H420" s="140"/>
      <c r="I420" s="141" t="s">
        <v>467</v>
      </c>
      <c r="J420" s="139" t="s">
        <v>483</v>
      </c>
      <c r="K420" s="141"/>
      <c r="L420" s="141"/>
      <c r="M420" s="142">
        <v>150</v>
      </c>
      <c r="N420" s="143">
        <v>1040</v>
      </c>
      <c r="O420" s="144">
        <f t="shared" si="39"/>
        <v>0</v>
      </c>
      <c r="P420" s="144">
        <f t="shared" si="386"/>
        <v>1040</v>
      </c>
      <c r="Q420" s="144"/>
      <c r="R420" s="144">
        <f t="shared" si="3"/>
        <v>156000</v>
      </c>
      <c r="S420" s="145">
        <f t="shared" si="4"/>
        <v>1.2308000000000001</v>
      </c>
      <c r="T420" s="145">
        <f t="shared" si="75"/>
        <v>0</v>
      </c>
      <c r="U420" s="145">
        <f t="shared" si="36"/>
        <v>0.77</v>
      </c>
      <c r="V420" s="145">
        <f t="shared" si="384"/>
        <v>156</v>
      </c>
      <c r="W420" s="145">
        <f t="shared" si="387"/>
        <v>23.4</v>
      </c>
      <c r="X420" s="145">
        <f t="shared" si="385"/>
        <v>4.29</v>
      </c>
      <c r="Y420" s="145">
        <f t="shared" si="218"/>
        <v>0.16</v>
      </c>
      <c r="Z420" s="146">
        <f t="shared" si="10"/>
        <v>184.62</v>
      </c>
      <c r="AA420" s="147">
        <f t="shared" si="388"/>
        <v>-156184.62</v>
      </c>
      <c r="AB420" s="148">
        <f t="shared" si="231"/>
        <v>-156185</v>
      </c>
      <c r="AC420" s="149">
        <f t="shared" si="48"/>
        <v>-0.38000000000465661</v>
      </c>
      <c r="AD420" s="138">
        <v>44581</v>
      </c>
      <c r="AE420" s="150">
        <f t="shared" si="13"/>
        <v>1.183E-3</v>
      </c>
      <c r="AF420" s="151">
        <f t="shared" si="14"/>
        <v>44581</v>
      </c>
      <c r="AG420" s="152" t="s">
        <v>416</v>
      </c>
      <c r="AH420" s="124"/>
    </row>
    <row r="421" spans="1:34" ht="12" customHeight="1">
      <c r="A421" s="154">
        <v>44579</v>
      </c>
      <c r="B421" s="140" t="s">
        <v>589</v>
      </c>
      <c r="C421" s="141" t="s">
        <v>460</v>
      </c>
      <c r="D421" s="140"/>
      <c r="E421" s="140" t="str">
        <f t="shared" si="0"/>
        <v>DCMSHRIRAM</v>
      </c>
      <c r="F421" s="140"/>
      <c r="G421" s="140"/>
      <c r="H421" s="140"/>
      <c r="I421" s="141" t="s">
        <v>467</v>
      </c>
      <c r="J421" s="139" t="s">
        <v>483</v>
      </c>
      <c r="K421" s="141"/>
      <c r="L421" s="141"/>
      <c r="M421" s="142">
        <v>47</v>
      </c>
      <c r="N421" s="143">
        <v>1030</v>
      </c>
      <c r="O421" s="144">
        <f t="shared" si="39"/>
        <v>0</v>
      </c>
      <c r="P421" s="144">
        <f t="shared" si="386"/>
        <v>1030</v>
      </c>
      <c r="Q421" s="144"/>
      <c r="R421" s="144">
        <f t="shared" si="3"/>
        <v>48410</v>
      </c>
      <c r="S421" s="145">
        <f t="shared" si="4"/>
        <v>1.2189361702127657</v>
      </c>
      <c r="T421" s="145">
        <f t="shared" si="75"/>
        <v>0</v>
      </c>
      <c r="U421" s="145">
        <f t="shared" si="36"/>
        <v>0.24</v>
      </c>
      <c r="V421" s="145">
        <f t="shared" si="384"/>
        <v>48.41</v>
      </c>
      <c r="W421" s="145">
        <f t="shared" si="387"/>
        <v>7.26</v>
      </c>
      <c r="X421" s="145">
        <f t="shared" si="385"/>
        <v>1.33</v>
      </c>
      <c r="Y421" s="145">
        <f t="shared" si="218"/>
        <v>0.05</v>
      </c>
      <c r="Z421" s="146">
        <f t="shared" si="10"/>
        <v>57.289999999999992</v>
      </c>
      <c r="AA421" s="147">
        <f t="shared" si="388"/>
        <v>-48467.29</v>
      </c>
      <c r="AB421" s="148">
        <f t="shared" si="231"/>
        <v>-48467</v>
      </c>
      <c r="AC421" s="149">
        <f t="shared" si="48"/>
        <v>0.29000000000087311</v>
      </c>
      <c r="AD421" s="138">
        <v>44581</v>
      </c>
      <c r="AE421" s="150">
        <f t="shared" si="13"/>
        <v>1.183E-3</v>
      </c>
      <c r="AF421" s="151">
        <f t="shared" si="14"/>
        <v>44581</v>
      </c>
      <c r="AG421" s="152" t="s">
        <v>416</v>
      </c>
      <c r="AH421" s="124"/>
    </row>
    <row r="422" spans="1:34" ht="12" customHeight="1">
      <c r="A422" s="154">
        <v>44579</v>
      </c>
      <c r="B422" s="140" t="s">
        <v>479</v>
      </c>
      <c r="C422" s="141" t="s">
        <v>485</v>
      </c>
      <c r="D422" s="140"/>
      <c r="E422" s="140" t="str">
        <f t="shared" si="0"/>
        <v>TATAPOWER</v>
      </c>
      <c r="F422" s="140"/>
      <c r="G422" s="140"/>
      <c r="H422" s="140"/>
      <c r="I422" s="141" t="s">
        <v>467</v>
      </c>
      <c r="J422" s="139" t="s">
        <v>483</v>
      </c>
      <c r="K422" s="141"/>
      <c r="L422" s="141"/>
      <c r="M422" s="142">
        <v>30</v>
      </c>
      <c r="N422" s="143">
        <v>245.5</v>
      </c>
      <c r="O422" s="144">
        <f t="shared" si="39"/>
        <v>0</v>
      </c>
      <c r="P422" s="144">
        <f t="shared" si="386"/>
        <v>245.5</v>
      </c>
      <c r="Q422" s="144"/>
      <c r="R422" s="144">
        <f t="shared" si="3"/>
        <v>7365</v>
      </c>
      <c r="S422" s="145">
        <f t="shared" si="4"/>
        <v>0.29266666666666663</v>
      </c>
      <c r="T422" s="145">
        <f t="shared" si="75"/>
        <v>0</v>
      </c>
      <c r="U422" s="145">
        <f t="shared" si="36"/>
        <v>0.05</v>
      </c>
      <c r="V422" s="145">
        <f t="shared" si="384"/>
        <v>7.37</v>
      </c>
      <c r="W422" s="145">
        <f t="shared" si="387"/>
        <v>1.1000000000000001</v>
      </c>
      <c r="X422" s="145">
        <f t="shared" ref="X422:X425" si="389">ROUND(R422*H$1820,2)</f>
        <v>0.25</v>
      </c>
      <c r="Y422" s="145">
        <f t="shared" si="218"/>
        <v>0.01</v>
      </c>
      <c r="Z422" s="146">
        <f t="shared" si="10"/>
        <v>8.7799999999999994</v>
      </c>
      <c r="AA422" s="147">
        <f t="shared" si="388"/>
        <v>-7373.78</v>
      </c>
      <c r="AB422" s="148">
        <f t="shared" si="231"/>
        <v>-7374</v>
      </c>
      <c r="AC422" s="149">
        <f t="shared" si="48"/>
        <v>-0.22000000000025466</v>
      </c>
      <c r="AD422" s="138">
        <v>44581</v>
      </c>
      <c r="AE422" s="150">
        <f t="shared" si="13"/>
        <v>1.1919999999999999E-3</v>
      </c>
      <c r="AF422" s="151">
        <f t="shared" si="14"/>
        <v>44581</v>
      </c>
      <c r="AG422" s="152" t="s">
        <v>416</v>
      </c>
      <c r="AH422" s="124"/>
    </row>
    <row r="423" spans="1:34" ht="12" customHeight="1">
      <c r="A423" s="154">
        <v>44579</v>
      </c>
      <c r="B423" s="140" t="s">
        <v>604</v>
      </c>
      <c r="C423" s="141" t="s">
        <v>485</v>
      </c>
      <c r="D423" s="140"/>
      <c r="E423" s="140" t="str">
        <f t="shared" si="0"/>
        <v>TATASTEEL</v>
      </c>
      <c r="F423" s="140"/>
      <c r="G423" s="140"/>
      <c r="H423" s="140"/>
      <c r="I423" s="141" t="s">
        <v>467</v>
      </c>
      <c r="J423" s="139" t="s">
        <v>483</v>
      </c>
      <c r="K423" s="141"/>
      <c r="L423" s="141"/>
      <c r="M423" s="142">
        <v>4</v>
      </c>
      <c r="N423" s="143">
        <v>1205</v>
      </c>
      <c r="O423" s="144">
        <f t="shared" si="39"/>
        <v>0</v>
      </c>
      <c r="P423" s="144">
        <f t="shared" si="386"/>
        <v>1205</v>
      </c>
      <c r="Q423" s="144"/>
      <c r="R423" s="144">
        <f t="shared" si="3"/>
        <v>4820</v>
      </c>
      <c r="S423" s="145">
        <f t="shared" si="4"/>
        <v>1.4350000000000001</v>
      </c>
      <c r="T423" s="145">
        <f t="shared" si="75"/>
        <v>0</v>
      </c>
      <c r="U423" s="145">
        <f t="shared" si="36"/>
        <v>0.03</v>
      </c>
      <c r="V423" s="145">
        <f t="shared" si="384"/>
        <v>4.82</v>
      </c>
      <c r="W423" s="145">
        <f t="shared" si="387"/>
        <v>0.72</v>
      </c>
      <c r="X423" s="145">
        <f t="shared" si="389"/>
        <v>0.17</v>
      </c>
      <c r="Y423" s="145">
        <f t="shared" si="218"/>
        <v>0</v>
      </c>
      <c r="Z423" s="146">
        <f t="shared" si="10"/>
        <v>5.74</v>
      </c>
      <c r="AA423" s="147">
        <f t="shared" si="388"/>
        <v>-4825.74</v>
      </c>
      <c r="AB423" s="148">
        <f t="shared" si="231"/>
        <v>-4826</v>
      </c>
      <c r="AC423" s="149">
        <f t="shared" si="48"/>
        <v>-0.26000000000021828</v>
      </c>
      <c r="AD423" s="138">
        <v>44581</v>
      </c>
      <c r="AE423" s="150">
        <f t="shared" si="13"/>
        <v>1.191E-3</v>
      </c>
      <c r="AF423" s="151">
        <f t="shared" si="14"/>
        <v>44581</v>
      </c>
      <c r="AG423" s="152" t="s">
        <v>416</v>
      </c>
      <c r="AH423" s="124"/>
    </row>
    <row r="424" spans="1:34" ht="12" customHeight="1">
      <c r="A424" s="155">
        <v>44580</v>
      </c>
      <c r="B424" s="112" t="s">
        <v>589</v>
      </c>
      <c r="C424" s="127" t="s">
        <v>460</v>
      </c>
      <c r="D424" s="112"/>
      <c r="E424" s="112" t="str">
        <f t="shared" si="0"/>
        <v>DCMSHRIRAM</v>
      </c>
      <c r="F424" s="112"/>
      <c r="G424" s="112"/>
      <c r="H424" s="112"/>
      <c r="I424" s="127" t="s">
        <v>461</v>
      </c>
      <c r="J424" s="126" t="s">
        <v>483</v>
      </c>
      <c r="K424" s="127"/>
      <c r="L424" s="127"/>
      <c r="M424" s="128">
        <v>47</v>
      </c>
      <c r="N424" s="129">
        <v>1101</v>
      </c>
      <c r="O424" s="130">
        <f t="shared" si="39"/>
        <v>0</v>
      </c>
      <c r="P424" s="130">
        <f>N424-O424</f>
        <v>1101</v>
      </c>
      <c r="Q424" s="130"/>
      <c r="R424" s="130">
        <f t="shared" si="3"/>
        <v>51747</v>
      </c>
      <c r="S424" s="131">
        <f t="shared" si="4"/>
        <v>1.1470212765957446</v>
      </c>
      <c r="T424" s="131">
        <f t="shared" si="75"/>
        <v>0</v>
      </c>
      <c r="U424" s="131">
        <f t="shared" si="36"/>
        <v>0.32</v>
      </c>
      <c r="V424" s="131">
        <f t="shared" si="384"/>
        <v>51.75</v>
      </c>
      <c r="W424" s="131">
        <v>0</v>
      </c>
      <c r="X424" s="131">
        <f t="shared" si="389"/>
        <v>1.79</v>
      </c>
      <c r="Y424" s="131">
        <f t="shared" si="218"/>
        <v>0.05</v>
      </c>
      <c r="Z424" s="131">
        <f t="shared" si="10"/>
        <v>53.91</v>
      </c>
      <c r="AA424" s="132">
        <f>ROUND(R424-SUM(T424:Y424),2)</f>
        <v>51693.09</v>
      </c>
      <c r="AB424" s="133">
        <f t="shared" si="231"/>
        <v>51693</v>
      </c>
      <c r="AC424" s="134">
        <f t="shared" si="48"/>
        <v>-8.999999999650754E-2</v>
      </c>
      <c r="AD424" s="125">
        <v>44582</v>
      </c>
      <c r="AE424" s="135">
        <f t="shared" si="13"/>
        <v>1.042E-3</v>
      </c>
      <c r="AF424" s="136">
        <f t="shared" si="14"/>
        <v>44582</v>
      </c>
      <c r="AG424" s="137" t="s">
        <v>416</v>
      </c>
      <c r="AH424" s="124"/>
    </row>
    <row r="425" spans="1:34" ht="12" customHeight="1">
      <c r="A425" s="154">
        <v>44580</v>
      </c>
      <c r="B425" s="140" t="s">
        <v>498</v>
      </c>
      <c r="C425" s="141" t="s">
        <v>485</v>
      </c>
      <c r="D425" s="140"/>
      <c r="E425" s="140" t="str">
        <f t="shared" si="0"/>
        <v>BAJFINANCE</v>
      </c>
      <c r="F425" s="140"/>
      <c r="G425" s="140"/>
      <c r="H425" s="140"/>
      <c r="I425" s="141" t="s">
        <v>467</v>
      </c>
      <c r="J425" s="139" t="s">
        <v>483</v>
      </c>
      <c r="K425" s="141"/>
      <c r="L425" s="141"/>
      <c r="M425" s="142">
        <v>1</v>
      </c>
      <c r="N425" s="143">
        <v>7575</v>
      </c>
      <c r="O425" s="144">
        <f t="shared" si="39"/>
        <v>0</v>
      </c>
      <c r="P425" s="144">
        <f>N425+O425</f>
        <v>7575</v>
      </c>
      <c r="Q425" s="144"/>
      <c r="R425" s="144">
        <f t="shared" si="3"/>
        <v>7575</v>
      </c>
      <c r="S425" s="145">
        <f t="shared" si="4"/>
        <v>9.0399999999999991</v>
      </c>
      <c r="T425" s="145">
        <f t="shared" si="75"/>
        <v>0</v>
      </c>
      <c r="U425" s="145">
        <f t="shared" si="36"/>
        <v>0.05</v>
      </c>
      <c r="V425" s="145">
        <f t="shared" si="384"/>
        <v>7.58</v>
      </c>
      <c r="W425" s="145">
        <f>ROUND(R425*F$1823,2)</f>
        <v>1.1399999999999999</v>
      </c>
      <c r="X425" s="145">
        <f t="shared" si="389"/>
        <v>0.26</v>
      </c>
      <c r="Y425" s="145">
        <f t="shared" si="218"/>
        <v>0.01</v>
      </c>
      <c r="Z425" s="146">
        <f t="shared" si="10"/>
        <v>9.0399999999999991</v>
      </c>
      <c r="AA425" s="147">
        <f>-ROUND(R425+SUM(T425:Y425),2)</f>
        <v>-7584.04</v>
      </c>
      <c r="AB425" s="148">
        <f t="shared" si="231"/>
        <v>-7584</v>
      </c>
      <c r="AC425" s="149">
        <f t="shared" si="48"/>
        <v>3.999999999996362E-2</v>
      </c>
      <c r="AD425" s="138">
        <v>44582</v>
      </c>
      <c r="AE425" s="150">
        <f t="shared" si="13"/>
        <v>1.193E-3</v>
      </c>
      <c r="AF425" s="151">
        <f t="shared" si="14"/>
        <v>44582</v>
      </c>
      <c r="AG425" s="152" t="s">
        <v>416</v>
      </c>
      <c r="AH425" s="124"/>
    </row>
    <row r="426" spans="1:34" ht="12" customHeight="1">
      <c r="A426" s="155">
        <v>44580</v>
      </c>
      <c r="B426" s="112" t="s">
        <v>479</v>
      </c>
      <c r="C426" s="127" t="s">
        <v>485</v>
      </c>
      <c r="D426" s="112"/>
      <c r="E426" s="112" t="str">
        <f t="shared" si="0"/>
        <v>TATAPOWER</v>
      </c>
      <c r="F426" s="112"/>
      <c r="G426" s="112"/>
      <c r="H426" s="112"/>
      <c r="I426" s="127" t="s">
        <v>461</v>
      </c>
      <c r="J426" s="126" t="s">
        <v>483</v>
      </c>
      <c r="K426" s="127"/>
      <c r="L426" s="127"/>
      <c r="M426" s="128">
        <v>35</v>
      </c>
      <c r="N426" s="129">
        <v>240.5</v>
      </c>
      <c r="O426" s="130">
        <f t="shared" si="39"/>
        <v>0</v>
      </c>
      <c r="P426" s="130">
        <f t="shared" ref="P426:P428" si="390">N426-O426</f>
        <v>240.5</v>
      </c>
      <c r="Q426" s="130"/>
      <c r="R426" s="130">
        <f t="shared" si="3"/>
        <v>8417.5</v>
      </c>
      <c r="S426" s="131">
        <f t="shared" si="4"/>
        <v>0.24857142857142855</v>
      </c>
      <c r="T426" s="131">
        <f t="shared" si="75"/>
        <v>0</v>
      </c>
      <c r="U426" s="131">
        <f t="shared" si="36"/>
        <v>0.04</v>
      </c>
      <c r="V426" s="131">
        <f t="shared" si="384"/>
        <v>8.42</v>
      </c>
      <c r="W426" s="131">
        <v>0</v>
      </c>
      <c r="X426" s="131">
        <f t="shared" ref="X426:X433" si="391">ROUND(R426*G$1820,2)</f>
        <v>0.23</v>
      </c>
      <c r="Y426" s="131">
        <f t="shared" si="218"/>
        <v>0.01</v>
      </c>
      <c r="Z426" s="131">
        <f t="shared" si="10"/>
        <v>8.6999999999999993</v>
      </c>
      <c r="AA426" s="132">
        <f t="shared" ref="AA426:AA428" si="392">ROUND(R426-SUM(T426:Y426),2)</f>
        <v>8408.7999999999993</v>
      </c>
      <c r="AB426" s="133">
        <f t="shared" si="231"/>
        <v>8409</v>
      </c>
      <c r="AC426" s="134">
        <f t="shared" si="48"/>
        <v>0.2000000000007276</v>
      </c>
      <c r="AD426" s="125">
        <v>44582</v>
      </c>
      <c r="AE426" s="135">
        <f t="shared" si="13"/>
        <v>1.034E-3</v>
      </c>
      <c r="AF426" s="136">
        <f t="shared" si="14"/>
        <v>44582</v>
      </c>
      <c r="AG426" s="137" t="s">
        <v>416</v>
      </c>
      <c r="AH426" s="124"/>
    </row>
    <row r="427" spans="1:34" ht="12" customHeight="1">
      <c r="A427" s="155">
        <v>44581</v>
      </c>
      <c r="B427" s="112" t="s">
        <v>598</v>
      </c>
      <c r="C427" s="127" t="s">
        <v>485</v>
      </c>
      <c r="D427" s="112"/>
      <c r="E427" s="112" t="str">
        <f t="shared" si="0"/>
        <v>A2ZINFRA</v>
      </c>
      <c r="F427" s="112"/>
      <c r="G427" s="112"/>
      <c r="H427" s="112"/>
      <c r="I427" s="127" t="s">
        <v>461</v>
      </c>
      <c r="J427" s="126" t="s">
        <v>483</v>
      </c>
      <c r="K427" s="127"/>
      <c r="L427" s="127"/>
      <c r="M427" s="128">
        <v>1000</v>
      </c>
      <c r="N427" s="129">
        <v>11.4</v>
      </c>
      <c r="O427" s="130">
        <f t="shared" si="39"/>
        <v>0</v>
      </c>
      <c r="P427" s="130">
        <f t="shared" si="390"/>
        <v>11.4</v>
      </c>
      <c r="Q427" s="130"/>
      <c r="R427" s="130">
        <f t="shared" si="3"/>
        <v>11400</v>
      </c>
      <c r="S427" s="131">
        <f t="shared" si="4"/>
        <v>1.1780000000000001E-2</v>
      </c>
      <c r="T427" s="131">
        <f t="shared" si="75"/>
        <v>0</v>
      </c>
      <c r="U427" s="131">
        <f t="shared" si="36"/>
        <v>0.06</v>
      </c>
      <c r="V427" s="131">
        <f t="shared" si="384"/>
        <v>11.4</v>
      </c>
      <c r="W427" s="131">
        <v>0</v>
      </c>
      <c r="X427" s="131">
        <f t="shared" si="391"/>
        <v>0.31</v>
      </c>
      <c r="Y427" s="131">
        <f t="shared" si="218"/>
        <v>0.01</v>
      </c>
      <c r="Z427" s="131">
        <f t="shared" si="10"/>
        <v>11.780000000000001</v>
      </c>
      <c r="AA427" s="132">
        <f t="shared" si="392"/>
        <v>11388.22</v>
      </c>
      <c r="AB427" s="133">
        <f t="shared" si="231"/>
        <v>11388</v>
      </c>
      <c r="AC427" s="134">
        <f t="shared" si="48"/>
        <v>-0.21999999999934516</v>
      </c>
      <c r="AD427" s="125">
        <v>44585</v>
      </c>
      <c r="AE427" s="135">
        <f t="shared" si="13"/>
        <v>1.0330000000000001E-3</v>
      </c>
      <c r="AF427" s="136">
        <f t="shared" si="14"/>
        <v>44585</v>
      </c>
      <c r="AG427" s="137" t="s">
        <v>416</v>
      </c>
      <c r="AH427" s="124"/>
    </row>
    <row r="428" spans="1:34" ht="12" customHeight="1">
      <c r="A428" s="155">
        <v>44581</v>
      </c>
      <c r="B428" s="112" t="s">
        <v>591</v>
      </c>
      <c r="C428" s="127" t="s">
        <v>485</v>
      </c>
      <c r="D428" s="112"/>
      <c r="E428" s="112" t="str">
        <f t="shared" si="0"/>
        <v>VSSL</v>
      </c>
      <c r="F428" s="112"/>
      <c r="G428" s="112"/>
      <c r="H428" s="112"/>
      <c r="I428" s="127" t="s">
        <v>461</v>
      </c>
      <c r="J428" s="126" t="s">
        <v>483</v>
      </c>
      <c r="K428" s="127"/>
      <c r="L428" s="127"/>
      <c r="M428" s="128">
        <v>50</v>
      </c>
      <c r="N428" s="129">
        <v>272.32499999999999</v>
      </c>
      <c r="O428" s="130">
        <f t="shared" si="39"/>
        <v>0</v>
      </c>
      <c r="P428" s="130">
        <f t="shared" si="390"/>
        <v>272.32499999999999</v>
      </c>
      <c r="Q428" s="130"/>
      <c r="R428" s="130">
        <f t="shared" si="3"/>
        <v>13616.25</v>
      </c>
      <c r="S428" s="131">
        <f t="shared" si="4"/>
        <v>0.28139999999999998</v>
      </c>
      <c r="T428" s="131">
        <f t="shared" si="75"/>
        <v>0</v>
      </c>
      <c r="U428" s="131">
        <f t="shared" si="36"/>
        <v>7.0000000000000007E-2</v>
      </c>
      <c r="V428" s="131">
        <f t="shared" si="384"/>
        <v>13.62</v>
      </c>
      <c r="W428" s="131">
        <v>0</v>
      </c>
      <c r="X428" s="131">
        <f t="shared" si="391"/>
        <v>0.37</v>
      </c>
      <c r="Y428" s="131">
        <f t="shared" si="218"/>
        <v>0.01</v>
      </c>
      <c r="Z428" s="131">
        <f t="shared" si="10"/>
        <v>14.069999999999999</v>
      </c>
      <c r="AA428" s="132">
        <f t="shared" si="392"/>
        <v>13602.18</v>
      </c>
      <c r="AB428" s="133">
        <f t="shared" si="231"/>
        <v>13602</v>
      </c>
      <c r="AC428" s="134">
        <f t="shared" si="48"/>
        <v>-0.18000000000029104</v>
      </c>
      <c r="AD428" s="125">
        <v>44585</v>
      </c>
      <c r="AE428" s="135">
        <f t="shared" si="13"/>
        <v>1.0330000000000001E-3</v>
      </c>
      <c r="AF428" s="136">
        <f t="shared" si="14"/>
        <v>44585</v>
      </c>
      <c r="AG428" s="137" t="s">
        <v>416</v>
      </c>
      <c r="AH428" s="124"/>
    </row>
    <row r="429" spans="1:34" ht="12" customHeight="1">
      <c r="A429" s="154">
        <v>44581</v>
      </c>
      <c r="B429" s="140" t="s">
        <v>605</v>
      </c>
      <c r="C429" s="141" t="s">
        <v>485</v>
      </c>
      <c r="D429" s="140"/>
      <c r="E429" s="140" t="str">
        <f t="shared" si="0"/>
        <v>LICHSGFIN</v>
      </c>
      <c r="F429" s="140"/>
      <c r="G429" s="140"/>
      <c r="H429" s="140"/>
      <c r="I429" s="141" t="s">
        <v>467</v>
      </c>
      <c r="J429" s="139" t="s">
        <v>483</v>
      </c>
      <c r="K429" s="141"/>
      <c r="L429" s="141"/>
      <c r="M429" s="142">
        <v>50</v>
      </c>
      <c r="N429" s="143">
        <v>365</v>
      </c>
      <c r="O429" s="144">
        <f t="shared" si="39"/>
        <v>0</v>
      </c>
      <c r="P429" s="144">
        <f t="shared" ref="P429:P435" si="393">N429+O429</f>
        <v>365</v>
      </c>
      <c r="Q429" s="144"/>
      <c r="R429" s="144">
        <f t="shared" si="3"/>
        <v>18250</v>
      </c>
      <c r="S429" s="145">
        <f t="shared" si="4"/>
        <v>0.43199999999999994</v>
      </c>
      <c r="T429" s="145">
        <f t="shared" si="75"/>
        <v>0</v>
      </c>
      <c r="U429" s="145">
        <f t="shared" si="36"/>
        <v>0.09</v>
      </c>
      <c r="V429" s="145">
        <f t="shared" si="384"/>
        <v>18.25</v>
      </c>
      <c r="W429" s="145">
        <f t="shared" ref="W429:W435" si="394">ROUND(R429*F$1823,2)</f>
        <v>2.74</v>
      </c>
      <c r="X429" s="145">
        <f t="shared" si="391"/>
        <v>0.5</v>
      </c>
      <c r="Y429" s="145">
        <f t="shared" si="218"/>
        <v>0.02</v>
      </c>
      <c r="Z429" s="146">
        <f t="shared" si="10"/>
        <v>21.599999999999998</v>
      </c>
      <c r="AA429" s="147">
        <f t="shared" ref="AA429:AA435" si="395">-ROUND(R429+SUM(T429:Y429),2)</f>
        <v>-18271.599999999999</v>
      </c>
      <c r="AB429" s="148">
        <f t="shared" si="231"/>
        <v>-18272</v>
      </c>
      <c r="AC429" s="149">
        <f t="shared" si="48"/>
        <v>-0.40000000000145519</v>
      </c>
      <c r="AD429" s="138">
        <v>44585</v>
      </c>
      <c r="AE429" s="150">
        <f t="shared" si="13"/>
        <v>1.1839999999999999E-3</v>
      </c>
      <c r="AF429" s="151">
        <f t="shared" si="14"/>
        <v>44585</v>
      </c>
      <c r="AG429" s="152" t="s">
        <v>416</v>
      </c>
      <c r="AH429" s="124"/>
    </row>
    <row r="430" spans="1:34" ht="12" customHeight="1">
      <c r="A430" s="154">
        <v>44582</v>
      </c>
      <c r="B430" s="140" t="s">
        <v>599</v>
      </c>
      <c r="C430" s="141" t="s">
        <v>485</v>
      </c>
      <c r="D430" s="140"/>
      <c r="E430" s="140" t="str">
        <f t="shared" si="0"/>
        <v>ASHOKA</v>
      </c>
      <c r="F430" s="140"/>
      <c r="G430" s="140"/>
      <c r="H430" s="140"/>
      <c r="I430" s="141" t="s">
        <v>467</v>
      </c>
      <c r="J430" s="139" t="s">
        <v>483</v>
      </c>
      <c r="K430" s="141"/>
      <c r="L430" s="141"/>
      <c r="M430" s="142">
        <v>50</v>
      </c>
      <c r="N430" s="143">
        <v>99</v>
      </c>
      <c r="O430" s="144">
        <f t="shared" si="39"/>
        <v>0</v>
      </c>
      <c r="P430" s="144">
        <f t="shared" si="393"/>
        <v>99</v>
      </c>
      <c r="Q430" s="144"/>
      <c r="R430" s="144">
        <f t="shared" si="3"/>
        <v>4950</v>
      </c>
      <c r="S430" s="145">
        <f t="shared" si="4"/>
        <v>0.11720000000000001</v>
      </c>
      <c r="T430" s="145">
        <f t="shared" si="75"/>
        <v>0</v>
      </c>
      <c r="U430" s="145">
        <f t="shared" si="36"/>
        <v>0.03</v>
      </c>
      <c r="V430" s="145">
        <f t="shared" si="384"/>
        <v>4.95</v>
      </c>
      <c r="W430" s="145">
        <f t="shared" si="394"/>
        <v>0.74</v>
      </c>
      <c r="X430" s="145">
        <f t="shared" si="391"/>
        <v>0.14000000000000001</v>
      </c>
      <c r="Y430" s="145">
        <f t="shared" si="218"/>
        <v>0</v>
      </c>
      <c r="Z430" s="146">
        <f t="shared" si="10"/>
        <v>5.86</v>
      </c>
      <c r="AA430" s="147">
        <f t="shared" si="395"/>
        <v>-4955.8599999999997</v>
      </c>
      <c r="AB430" s="148">
        <f t="shared" si="231"/>
        <v>-4956</v>
      </c>
      <c r="AC430" s="149">
        <f t="shared" si="48"/>
        <v>-0.14000000000032742</v>
      </c>
      <c r="AD430" s="138">
        <v>44586</v>
      </c>
      <c r="AE430" s="150">
        <f t="shared" si="13"/>
        <v>1.1839999999999999E-3</v>
      </c>
      <c r="AF430" s="151">
        <f t="shared" si="14"/>
        <v>44586</v>
      </c>
      <c r="AG430" s="152" t="s">
        <v>416</v>
      </c>
      <c r="AH430" s="124"/>
    </row>
    <row r="431" spans="1:34" ht="12" customHeight="1">
      <c r="A431" s="154">
        <v>44582</v>
      </c>
      <c r="B431" s="140" t="s">
        <v>498</v>
      </c>
      <c r="C431" s="141" t="s">
        <v>485</v>
      </c>
      <c r="D431" s="140"/>
      <c r="E431" s="140" t="str">
        <f t="shared" si="0"/>
        <v>BAJFINANCE</v>
      </c>
      <c r="F431" s="140"/>
      <c r="G431" s="140"/>
      <c r="H431" s="140"/>
      <c r="I431" s="141" t="s">
        <v>467</v>
      </c>
      <c r="J431" s="139" t="s">
        <v>483</v>
      </c>
      <c r="K431" s="141"/>
      <c r="L431" s="141"/>
      <c r="M431" s="142">
        <v>2</v>
      </c>
      <c r="N431" s="143">
        <v>7400</v>
      </c>
      <c r="O431" s="144">
        <f t="shared" si="39"/>
        <v>0</v>
      </c>
      <c r="P431" s="144">
        <f t="shared" si="393"/>
        <v>7400</v>
      </c>
      <c r="Q431" s="144"/>
      <c r="R431" s="144">
        <f t="shared" si="3"/>
        <v>14800</v>
      </c>
      <c r="S431" s="145">
        <f t="shared" si="4"/>
        <v>8.7550000000000008</v>
      </c>
      <c r="T431" s="145">
        <f t="shared" si="75"/>
        <v>0</v>
      </c>
      <c r="U431" s="145">
        <f t="shared" si="36"/>
        <v>7.0000000000000007E-2</v>
      </c>
      <c r="V431" s="145">
        <f t="shared" si="384"/>
        <v>14.8</v>
      </c>
      <c r="W431" s="145">
        <f t="shared" si="394"/>
        <v>2.2200000000000002</v>
      </c>
      <c r="X431" s="145">
        <f t="shared" si="391"/>
        <v>0.41</v>
      </c>
      <c r="Y431" s="145">
        <f t="shared" si="218"/>
        <v>0.01</v>
      </c>
      <c r="Z431" s="146">
        <f t="shared" si="10"/>
        <v>17.510000000000002</v>
      </c>
      <c r="AA431" s="147">
        <f t="shared" si="395"/>
        <v>-14817.51</v>
      </c>
      <c r="AB431" s="148">
        <f t="shared" si="231"/>
        <v>-14818</v>
      </c>
      <c r="AC431" s="149">
        <f t="shared" si="48"/>
        <v>-0.48999999999978172</v>
      </c>
      <c r="AD431" s="138">
        <v>44586</v>
      </c>
      <c r="AE431" s="150">
        <f t="shared" si="13"/>
        <v>1.183E-3</v>
      </c>
      <c r="AF431" s="151">
        <f t="shared" si="14"/>
        <v>44586</v>
      </c>
      <c r="AG431" s="152" t="s">
        <v>416</v>
      </c>
      <c r="AH431" s="124"/>
    </row>
    <row r="432" spans="1:34" ht="12" customHeight="1">
      <c r="A432" s="154">
        <v>44582</v>
      </c>
      <c r="B432" s="140" t="s">
        <v>606</v>
      </c>
      <c r="C432" s="141" t="s">
        <v>485</v>
      </c>
      <c r="D432" s="140"/>
      <c r="E432" s="140" t="str">
        <f t="shared" si="0"/>
        <v>MCLEODRUSS</v>
      </c>
      <c r="F432" s="140"/>
      <c r="G432" s="140"/>
      <c r="H432" s="140"/>
      <c r="I432" s="141" t="s">
        <v>467</v>
      </c>
      <c r="J432" s="139" t="s">
        <v>483</v>
      </c>
      <c r="K432" s="141"/>
      <c r="L432" s="141"/>
      <c r="M432" s="142">
        <v>300</v>
      </c>
      <c r="N432" s="143">
        <v>32.833333333333336</v>
      </c>
      <c r="O432" s="144">
        <f t="shared" si="39"/>
        <v>0</v>
      </c>
      <c r="P432" s="144">
        <f t="shared" si="393"/>
        <v>32.833333333333336</v>
      </c>
      <c r="Q432" s="144"/>
      <c r="R432" s="144">
        <f t="shared" si="3"/>
        <v>9850</v>
      </c>
      <c r="S432" s="145">
        <f t="shared" si="4"/>
        <v>3.8866666666666667E-2</v>
      </c>
      <c r="T432" s="145">
        <f t="shared" si="75"/>
        <v>0</v>
      </c>
      <c r="U432" s="145">
        <f t="shared" si="36"/>
        <v>0.05</v>
      </c>
      <c r="V432" s="145">
        <f t="shared" si="384"/>
        <v>9.85</v>
      </c>
      <c r="W432" s="145">
        <f t="shared" si="394"/>
        <v>1.48</v>
      </c>
      <c r="X432" s="145">
        <f t="shared" si="391"/>
        <v>0.27</v>
      </c>
      <c r="Y432" s="145">
        <f t="shared" si="218"/>
        <v>0.01</v>
      </c>
      <c r="Z432" s="146">
        <f t="shared" si="10"/>
        <v>11.66</v>
      </c>
      <c r="AA432" s="147">
        <f t="shared" si="395"/>
        <v>-9861.66</v>
      </c>
      <c r="AB432" s="148">
        <f t="shared" si="231"/>
        <v>-9862</v>
      </c>
      <c r="AC432" s="149">
        <f t="shared" si="48"/>
        <v>-0.34000000000014552</v>
      </c>
      <c r="AD432" s="138">
        <v>44586</v>
      </c>
      <c r="AE432" s="150">
        <f t="shared" si="13"/>
        <v>1.1839999999999999E-3</v>
      </c>
      <c r="AF432" s="151">
        <f t="shared" si="14"/>
        <v>44586</v>
      </c>
      <c r="AG432" s="152" t="s">
        <v>416</v>
      </c>
      <c r="AH432" s="124"/>
    </row>
    <row r="433" spans="1:34" ht="12" customHeight="1">
      <c r="A433" s="154">
        <v>44585</v>
      </c>
      <c r="B433" s="140" t="s">
        <v>498</v>
      </c>
      <c r="C433" s="141" t="s">
        <v>460</v>
      </c>
      <c r="D433" s="140"/>
      <c r="E433" s="140" t="str">
        <f t="shared" si="0"/>
        <v>BAJFINANCE</v>
      </c>
      <c r="F433" s="140"/>
      <c r="G433" s="140"/>
      <c r="H433" s="140"/>
      <c r="I433" s="141" t="s">
        <v>467</v>
      </c>
      <c r="J433" s="139" t="s">
        <v>483</v>
      </c>
      <c r="K433" s="141"/>
      <c r="L433" s="141"/>
      <c r="M433" s="142">
        <v>5</v>
      </c>
      <c r="N433" s="143">
        <v>7002</v>
      </c>
      <c r="O433" s="144">
        <f t="shared" si="39"/>
        <v>0</v>
      </c>
      <c r="P433" s="144">
        <f t="shared" si="393"/>
        <v>7002</v>
      </c>
      <c r="Q433" s="144"/>
      <c r="R433" s="144">
        <f t="shared" si="3"/>
        <v>35010</v>
      </c>
      <c r="S433" s="145">
        <f t="shared" si="4"/>
        <v>8.2859999999999996</v>
      </c>
      <c r="T433" s="145">
        <f t="shared" si="75"/>
        <v>0</v>
      </c>
      <c r="U433" s="145">
        <f t="shared" si="36"/>
        <v>0.17</v>
      </c>
      <c r="V433" s="145">
        <f t="shared" si="384"/>
        <v>35.01</v>
      </c>
      <c r="W433" s="145">
        <f t="shared" si="394"/>
        <v>5.25</v>
      </c>
      <c r="X433" s="145">
        <f t="shared" si="391"/>
        <v>0.96</v>
      </c>
      <c r="Y433" s="145">
        <f t="shared" si="218"/>
        <v>0.04</v>
      </c>
      <c r="Z433" s="146">
        <f t="shared" si="10"/>
        <v>41.43</v>
      </c>
      <c r="AA433" s="147">
        <f t="shared" si="395"/>
        <v>-35051.43</v>
      </c>
      <c r="AB433" s="148">
        <f t="shared" si="231"/>
        <v>-35051</v>
      </c>
      <c r="AC433" s="149">
        <f t="shared" si="48"/>
        <v>0.43000000000029104</v>
      </c>
      <c r="AD433" s="138">
        <v>44588</v>
      </c>
      <c r="AE433" s="150">
        <f t="shared" si="13"/>
        <v>1.183E-3</v>
      </c>
      <c r="AF433" s="151">
        <f t="shared" si="14"/>
        <v>44588</v>
      </c>
      <c r="AG433" s="152" t="s">
        <v>416</v>
      </c>
      <c r="AH433" s="124"/>
    </row>
    <row r="434" spans="1:34" ht="12" customHeight="1">
      <c r="A434" s="154">
        <v>44585</v>
      </c>
      <c r="B434" s="140" t="s">
        <v>600</v>
      </c>
      <c r="C434" s="141" t="s">
        <v>485</v>
      </c>
      <c r="D434" s="140"/>
      <c r="E434" s="140" t="str">
        <f t="shared" si="0"/>
        <v>TOYAMIND</v>
      </c>
      <c r="F434" s="140"/>
      <c r="G434" s="140"/>
      <c r="H434" s="140"/>
      <c r="I434" s="141" t="s">
        <v>467</v>
      </c>
      <c r="J434" s="139" t="s">
        <v>483</v>
      </c>
      <c r="K434" s="141"/>
      <c r="L434" s="141"/>
      <c r="M434" s="142">
        <v>1000</v>
      </c>
      <c r="N434" s="143">
        <v>7.6050000000000004</v>
      </c>
      <c r="O434" s="144">
        <f t="shared" si="39"/>
        <v>0</v>
      </c>
      <c r="P434" s="144">
        <f t="shared" si="393"/>
        <v>7.6050000000000004</v>
      </c>
      <c r="Q434" s="144"/>
      <c r="R434" s="144">
        <f t="shared" si="3"/>
        <v>7605</v>
      </c>
      <c r="S434" s="145">
        <f t="shared" si="4"/>
        <v>1.7740000000000002E-2</v>
      </c>
      <c r="T434" s="145">
        <f t="shared" si="75"/>
        <v>0</v>
      </c>
      <c r="U434" s="145">
        <f t="shared" si="36"/>
        <v>1.37</v>
      </c>
      <c r="V434" s="145">
        <f t="shared" si="384"/>
        <v>7.61</v>
      </c>
      <c r="W434" s="145">
        <f t="shared" si="394"/>
        <v>1.1399999999999999</v>
      </c>
      <c r="X434" s="145">
        <f>ROUND(R434*0.1%,2)</f>
        <v>7.61</v>
      </c>
      <c r="Y434" s="145">
        <f t="shared" si="218"/>
        <v>0.01</v>
      </c>
      <c r="Z434" s="146">
        <f t="shared" si="10"/>
        <v>17.740000000000002</v>
      </c>
      <c r="AA434" s="147">
        <f t="shared" si="395"/>
        <v>-7622.74</v>
      </c>
      <c r="AB434" s="148">
        <f t="shared" si="231"/>
        <v>-7623</v>
      </c>
      <c r="AC434" s="149">
        <f t="shared" si="48"/>
        <v>-0.26000000000021828</v>
      </c>
      <c r="AD434" s="138">
        <v>44588</v>
      </c>
      <c r="AE434" s="150">
        <f t="shared" si="13"/>
        <v>2.333E-3</v>
      </c>
      <c r="AF434" s="151">
        <f t="shared" si="14"/>
        <v>44588</v>
      </c>
      <c r="AG434" s="152" t="s">
        <v>416</v>
      </c>
      <c r="AH434" s="124"/>
    </row>
    <row r="435" spans="1:34" ht="12" customHeight="1">
      <c r="A435" s="154">
        <v>44585</v>
      </c>
      <c r="B435" s="140" t="s">
        <v>598</v>
      </c>
      <c r="C435" s="141" t="s">
        <v>485</v>
      </c>
      <c r="D435" s="140"/>
      <c r="E435" s="140" t="str">
        <f t="shared" si="0"/>
        <v>A2ZINFRA</v>
      </c>
      <c r="F435" s="140"/>
      <c r="G435" s="140"/>
      <c r="H435" s="140"/>
      <c r="I435" s="141" t="s">
        <v>467</v>
      </c>
      <c r="J435" s="139" t="s">
        <v>483</v>
      </c>
      <c r="K435" s="141"/>
      <c r="L435" s="141"/>
      <c r="M435" s="142">
        <v>1000</v>
      </c>
      <c r="N435" s="143">
        <v>12.05</v>
      </c>
      <c r="O435" s="144">
        <f t="shared" si="39"/>
        <v>0</v>
      </c>
      <c r="P435" s="144">
        <f t="shared" si="393"/>
        <v>12.05</v>
      </c>
      <c r="Q435" s="144"/>
      <c r="R435" s="144">
        <f t="shared" si="3"/>
        <v>12050</v>
      </c>
      <c r="S435" s="145">
        <f t="shared" si="4"/>
        <v>1.4260000000000002E-2</v>
      </c>
      <c r="T435" s="145">
        <f t="shared" si="75"/>
        <v>0</v>
      </c>
      <c r="U435" s="145">
        <f t="shared" si="36"/>
        <v>0.06</v>
      </c>
      <c r="V435" s="145">
        <f t="shared" si="384"/>
        <v>12.05</v>
      </c>
      <c r="W435" s="145">
        <f t="shared" si="394"/>
        <v>1.81</v>
      </c>
      <c r="X435" s="145">
        <f t="shared" ref="X435:X436" si="396">ROUND(R435*G$1820,2)</f>
        <v>0.33</v>
      </c>
      <c r="Y435" s="145">
        <f t="shared" si="218"/>
        <v>0.01</v>
      </c>
      <c r="Z435" s="146">
        <f t="shared" si="10"/>
        <v>14.260000000000002</v>
      </c>
      <c r="AA435" s="147">
        <f t="shared" si="395"/>
        <v>-12064.26</v>
      </c>
      <c r="AB435" s="148">
        <f t="shared" si="231"/>
        <v>-12064</v>
      </c>
      <c r="AC435" s="149">
        <f t="shared" si="48"/>
        <v>0.26000000000021828</v>
      </c>
      <c r="AD435" s="138">
        <v>44588</v>
      </c>
      <c r="AE435" s="150">
        <f t="shared" si="13"/>
        <v>1.183E-3</v>
      </c>
      <c r="AF435" s="151">
        <f t="shared" si="14"/>
        <v>44588</v>
      </c>
      <c r="AG435" s="152" t="s">
        <v>416</v>
      </c>
      <c r="AH435" s="124"/>
    </row>
    <row r="436" spans="1:34" ht="12" customHeight="1">
      <c r="A436" s="155">
        <v>44586</v>
      </c>
      <c r="B436" s="112" t="s">
        <v>589</v>
      </c>
      <c r="C436" s="127" t="s">
        <v>460</v>
      </c>
      <c r="D436" s="112"/>
      <c r="E436" s="112" t="str">
        <f t="shared" si="0"/>
        <v>DCMSHRIRAM</v>
      </c>
      <c r="F436" s="112"/>
      <c r="G436" s="112"/>
      <c r="H436" s="112"/>
      <c r="I436" s="127" t="s">
        <v>461</v>
      </c>
      <c r="J436" s="126" t="s">
        <v>483</v>
      </c>
      <c r="K436" s="127"/>
      <c r="L436" s="127"/>
      <c r="M436" s="128">
        <v>115</v>
      </c>
      <c r="N436" s="129">
        <v>1027</v>
      </c>
      <c r="O436" s="130">
        <f t="shared" si="39"/>
        <v>0</v>
      </c>
      <c r="P436" s="130">
        <f>N436-O436</f>
        <v>1027</v>
      </c>
      <c r="Q436" s="130"/>
      <c r="R436" s="130">
        <f t="shared" si="3"/>
        <v>118105</v>
      </c>
      <c r="S436" s="131">
        <f t="shared" si="4"/>
        <v>1.0614782608695652</v>
      </c>
      <c r="T436" s="131">
        <f t="shared" si="75"/>
        <v>0</v>
      </c>
      <c r="U436" s="131">
        <f t="shared" si="36"/>
        <v>0.59</v>
      </c>
      <c r="V436" s="131">
        <f t="shared" si="384"/>
        <v>118.11</v>
      </c>
      <c r="W436" s="131">
        <v>0</v>
      </c>
      <c r="X436" s="131">
        <f t="shared" si="396"/>
        <v>3.25</v>
      </c>
      <c r="Y436" s="131">
        <f t="shared" si="218"/>
        <v>0.12</v>
      </c>
      <c r="Z436" s="131">
        <f t="shared" si="10"/>
        <v>122.07000000000001</v>
      </c>
      <c r="AA436" s="132">
        <f>ROUND(R436-SUM(T436:Y436),2)</f>
        <v>117982.93</v>
      </c>
      <c r="AB436" s="133">
        <f t="shared" si="231"/>
        <v>117983</v>
      </c>
      <c r="AC436" s="134">
        <f t="shared" si="48"/>
        <v>7.0000000006984919E-2</v>
      </c>
      <c r="AD436" s="125">
        <v>44589</v>
      </c>
      <c r="AE436" s="135">
        <f t="shared" si="13"/>
        <v>1.034E-3</v>
      </c>
      <c r="AF436" s="136">
        <f t="shared" si="14"/>
        <v>44589</v>
      </c>
      <c r="AG436" s="137" t="s">
        <v>416</v>
      </c>
      <c r="AH436" s="124"/>
    </row>
    <row r="437" spans="1:34" ht="12" customHeight="1">
      <c r="A437" s="154">
        <v>44586</v>
      </c>
      <c r="B437" s="140" t="s">
        <v>600</v>
      </c>
      <c r="C437" s="141" t="s">
        <v>485</v>
      </c>
      <c r="D437" s="140"/>
      <c r="E437" s="140" t="str">
        <f t="shared" si="0"/>
        <v>TOYAMIND</v>
      </c>
      <c r="F437" s="140"/>
      <c r="G437" s="140"/>
      <c r="H437" s="140"/>
      <c r="I437" s="141" t="s">
        <v>467</v>
      </c>
      <c r="J437" s="139" t="s">
        <v>483</v>
      </c>
      <c r="K437" s="141"/>
      <c r="L437" s="141"/>
      <c r="M437" s="142">
        <v>500</v>
      </c>
      <c r="N437" s="143">
        <v>7.45</v>
      </c>
      <c r="O437" s="144">
        <f t="shared" si="39"/>
        <v>0</v>
      </c>
      <c r="P437" s="144">
        <f t="shared" ref="P437:P438" si="397">N437+O437</f>
        <v>7.45</v>
      </c>
      <c r="Q437" s="144"/>
      <c r="R437" s="144">
        <f t="shared" si="3"/>
        <v>3725</v>
      </c>
      <c r="S437" s="145">
        <f t="shared" si="4"/>
        <v>1.7380000000000003E-2</v>
      </c>
      <c r="T437" s="145">
        <f t="shared" si="75"/>
        <v>0</v>
      </c>
      <c r="U437" s="145">
        <f t="shared" si="36"/>
        <v>0.67</v>
      </c>
      <c r="V437" s="145">
        <f t="shared" si="384"/>
        <v>3.73</v>
      </c>
      <c r="W437" s="145">
        <f t="shared" ref="W437:W438" si="398">ROUND(R437*F$1823,2)</f>
        <v>0.56000000000000005</v>
      </c>
      <c r="X437" s="145">
        <f>ROUND(R437*0.1%,2)</f>
        <v>3.73</v>
      </c>
      <c r="Y437" s="145">
        <f t="shared" si="218"/>
        <v>0</v>
      </c>
      <c r="Z437" s="146">
        <f t="shared" si="10"/>
        <v>8.6900000000000013</v>
      </c>
      <c r="AA437" s="147">
        <f t="shared" ref="AA437:AA438" si="399">-ROUND(R437+SUM(T437:Y437),2)</f>
        <v>-3733.69</v>
      </c>
      <c r="AB437" s="148">
        <f t="shared" si="231"/>
        <v>-3734</v>
      </c>
      <c r="AC437" s="149">
        <f t="shared" si="48"/>
        <v>-0.30999999999994543</v>
      </c>
      <c r="AD437" s="138">
        <v>44589</v>
      </c>
      <c r="AE437" s="150">
        <f t="shared" si="13"/>
        <v>2.333E-3</v>
      </c>
      <c r="AF437" s="151">
        <f t="shared" si="14"/>
        <v>44589</v>
      </c>
      <c r="AG437" s="152" t="s">
        <v>416</v>
      </c>
      <c r="AH437" s="124"/>
    </row>
    <row r="438" spans="1:34" ht="12" customHeight="1">
      <c r="A438" s="154">
        <v>44586</v>
      </c>
      <c r="B438" s="140" t="s">
        <v>607</v>
      </c>
      <c r="C438" s="141" t="s">
        <v>485</v>
      </c>
      <c r="D438" s="140"/>
      <c r="E438" s="140" t="str">
        <f t="shared" si="0"/>
        <v>AUROPHARMA</v>
      </c>
      <c r="F438" s="140"/>
      <c r="G438" s="140"/>
      <c r="H438" s="140"/>
      <c r="I438" s="141" t="s">
        <v>467</v>
      </c>
      <c r="J438" s="139" t="s">
        <v>483</v>
      </c>
      <c r="K438" s="141"/>
      <c r="L438" s="141"/>
      <c r="M438" s="142">
        <v>20</v>
      </c>
      <c r="N438" s="143">
        <v>609</v>
      </c>
      <c r="O438" s="144">
        <f t="shared" si="39"/>
        <v>0</v>
      </c>
      <c r="P438" s="144">
        <f t="shared" si="397"/>
        <v>609</v>
      </c>
      <c r="Q438" s="144"/>
      <c r="R438" s="144">
        <f t="shared" si="3"/>
        <v>12180</v>
      </c>
      <c r="S438" s="145">
        <f t="shared" si="4"/>
        <v>0.72599999999999998</v>
      </c>
      <c r="T438" s="145">
        <f t="shared" si="75"/>
        <v>0</v>
      </c>
      <c r="U438" s="145">
        <f t="shared" si="36"/>
        <v>0.08</v>
      </c>
      <c r="V438" s="145">
        <f t="shared" si="384"/>
        <v>12.18</v>
      </c>
      <c r="W438" s="145">
        <f t="shared" si="398"/>
        <v>1.83</v>
      </c>
      <c r="X438" s="145">
        <f t="shared" ref="X438:X440" si="400">ROUND(R438*H$1820,2)</f>
        <v>0.42</v>
      </c>
      <c r="Y438" s="145">
        <f t="shared" si="218"/>
        <v>0.01</v>
      </c>
      <c r="Z438" s="146">
        <f t="shared" si="10"/>
        <v>14.52</v>
      </c>
      <c r="AA438" s="147">
        <f t="shared" si="399"/>
        <v>-12194.52</v>
      </c>
      <c r="AB438" s="148">
        <f>ROUND(AA438,0)+1</f>
        <v>-12194</v>
      </c>
      <c r="AC438" s="149">
        <f t="shared" si="48"/>
        <v>0.52000000000043656</v>
      </c>
      <c r="AD438" s="138">
        <v>44589</v>
      </c>
      <c r="AE438" s="150">
        <f t="shared" si="13"/>
        <v>1.1919999999999999E-3</v>
      </c>
      <c r="AF438" s="151">
        <f t="shared" si="14"/>
        <v>44589</v>
      </c>
      <c r="AG438" s="152" t="s">
        <v>416</v>
      </c>
      <c r="AH438" s="124"/>
    </row>
    <row r="439" spans="1:34" ht="12" customHeight="1">
      <c r="A439" s="155">
        <v>44588</v>
      </c>
      <c r="B439" s="112" t="s">
        <v>493</v>
      </c>
      <c r="C439" s="127" t="s">
        <v>485</v>
      </c>
      <c r="D439" s="112"/>
      <c r="E439" s="112" t="str">
        <f t="shared" si="0"/>
        <v>SBIN</v>
      </c>
      <c r="F439" s="112"/>
      <c r="G439" s="112"/>
      <c r="H439" s="112"/>
      <c r="I439" s="127" t="s">
        <v>461</v>
      </c>
      <c r="J439" s="126" t="s">
        <v>483</v>
      </c>
      <c r="K439" s="127"/>
      <c r="L439" s="127"/>
      <c r="M439" s="128">
        <v>25</v>
      </c>
      <c r="N439" s="129">
        <v>526.5</v>
      </c>
      <c r="O439" s="130">
        <f t="shared" si="39"/>
        <v>0</v>
      </c>
      <c r="P439" s="130">
        <f t="shared" ref="P439:P441" si="401">N439-O439</f>
        <v>526.5</v>
      </c>
      <c r="Q439" s="130"/>
      <c r="R439" s="130">
        <f t="shared" si="3"/>
        <v>13162.5</v>
      </c>
      <c r="S439" s="131">
        <f t="shared" si="4"/>
        <v>0.54799999999999993</v>
      </c>
      <c r="T439" s="131">
        <f t="shared" si="75"/>
        <v>0</v>
      </c>
      <c r="U439" s="131">
        <f t="shared" si="36"/>
        <v>0.08</v>
      </c>
      <c r="V439" s="131">
        <f t="shared" si="384"/>
        <v>13.16</v>
      </c>
      <c r="W439" s="131">
        <v>0</v>
      </c>
      <c r="X439" s="131">
        <f t="shared" si="400"/>
        <v>0.45</v>
      </c>
      <c r="Y439" s="131">
        <f t="shared" si="218"/>
        <v>0.01</v>
      </c>
      <c r="Z439" s="131">
        <f t="shared" si="10"/>
        <v>13.7</v>
      </c>
      <c r="AA439" s="132">
        <f t="shared" ref="AA439:AA441" si="402">ROUND(R439-SUM(T439:Y439),2)</f>
        <v>13148.8</v>
      </c>
      <c r="AB439" s="133">
        <f t="shared" ref="AB439:AB838" si="403">ROUND(AA439,0)</f>
        <v>13149</v>
      </c>
      <c r="AC439" s="134">
        <f t="shared" si="48"/>
        <v>0.2000000000007276</v>
      </c>
      <c r="AD439" s="125">
        <v>44592</v>
      </c>
      <c r="AE439" s="135">
        <f t="shared" si="13"/>
        <v>1.041E-3</v>
      </c>
      <c r="AF439" s="136">
        <f t="shared" si="14"/>
        <v>44592</v>
      </c>
      <c r="AG439" s="137" t="s">
        <v>416</v>
      </c>
      <c r="AH439" s="124"/>
    </row>
    <row r="440" spans="1:34" ht="12" customHeight="1">
      <c r="A440" s="155">
        <v>44589</v>
      </c>
      <c r="B440" s="112" t="s">
        <v>598</v>
      </c>
      <c r="C440" s="127" t="s">
        <v>485</v>
      </c>
      <c r="D440" s="112"/>
      <c r="E440" s="112" t="str">
        <f t="shared" si="0"/>
        <v>A2ZINFRA</v>
      </c>
      <c r="F440" s="112"/>
      <c r="G440" s="112"/>
      <c r="H440" s="112"/>
      <c r="I440" s="127" t="s">
        <v>461</v>
      </c>
      <c r="J440" s="126" t="s">
        <v>483</v>
      </c>
      <c r="K440" s="127"/>
      <c r="L440" s="127"/>
      <c r="M440" s="128">
        <v>1000</v>
      </c>
      <c r="N440" s="129">
        <v>12.86</v>
      </c>
      <c r="O440" s="130">
        <f t="shared" si="39"/>
        <v>0</v>
      </c>
      <c r="P440" s="130">
        <f t="shared" si="401"/>
        <v>12.86</v>
      </c>
      <c r="Q440" s="130"/>
      <c r="R440" s="130">
        <f t="shared" si="3"/>
        <v>12860</v>
      </c>
      <c r="S440" s="131">
        <f t="shared" si="4"/>
        <v>1.3389999999999999E-2</v>
      </c>
      <c r="T440" s="131">
        <f t="shared" si="75"/>
        <v>0</v>
      </c>
      <c r="U440" s="131">
        <f t="shared" si="36"/>
        <v>0.08</v>
      </c>
      <c r="V440" s="131">
        <f t="shared" si="384"/>
        <v>12.86</v>
      </c>
      <c r="W440" s="131">
        <v>0</v>
      </c>
      <c r="X440" s="131">
        <f t="shared" si="400"/>
        <v>0.44</v>
      </c>
      <c r="Y440" s="131">
        <f t="shared" si="218"/>
        <v>0.01</v>
      </c>
      <c r="Z440" s="131">
        <f t="shared" si="10"/>
        <v>13.389999999999999</v>
      </c>
      <c r="AA440" s="132">
        <f t="shared" si="402"/>
        <v>12846.61</v>
      </c>
      <c r="AB440" s="133">
        <f t="shared" si="403"/>
        <v>12847</v>
      </c>
      <c r="AC440" s="134">
        <f t="shared" si="48"/>
        <v>0.38999999999941792</v>
      </c>
      <c r="AD440" s="125">
        <v>44593</v>
      </c>
      <c r="AE440" s="135">
        <f t="shared" si="13"/>
        <v>1.041E-3</v>
      </c>
      <c r="AF440" s="136">
        <f t="shared" si="14"/>
        <v>44593</v>
      </c>
      <c r="AG440" s="137" t="s">
        <v>416</v>
      </c>
      <c r="AH440" s="124"/>
    </row>
    <row r="441" spans="1:34" ht="12" customHeight="1">
      <c r="A441" s="155">
        <v>44589</v>
      </c>
      <c r="B441" s="112" t="s">
        <v>473</v>
      </c>
      <c r="C441" s="127" t="s">
        <v>485</v>
      </c>
      <c r="D441" s="112"/>
      <c r="E441" s="112" t="str">
        <f t="shared" si="0"/>
        <v>CIPLA</v>
      </c>
      <c r="F441" s="112"/>
      <c r="G441" s="112"/>
      <c r="H441" s="112"/>
      <c r="I441" s="127" t="s">
        <v>461</v>
      </c>
      <c r="J441" s="126" t="s">
        <v>483</v>
      </c>
      <c r="K441" s="127"/>
      <c r="L441" s="127"/>
      <c r="M441" s="128">
        <v>70</v>
      </c>
      <c r="N441" s="129">
        <v>938</v>
      </c>
      <c r="O441" s="130">
        <f t="shared" si="39"/>
        <v>0</v>
      </c>
      <c r="P441" s="130">
        <f t="shared" si="401"/>
        <v>938</v>
      </c>
      <c r="Q441" s="130"/>
      <c r="R441" s="130">
        <f t="shared" si="3"/>
        <v>65660</v>
      </c>
      <c r="S441" s="131">
        <f t="shared" si="4"/>
        <v>0.96957142857142842</v>
      </c>
      <c r="T441" s="131">
        <f t="shared" si="75"/>
        <v>0</v>
      </c>
      <c r="U441" s="131">
        <f t="shared" si="36"/>
        <v>0.33</v>
      </c>
      <c r="V441" s="131">
        <f t="shared" si="384"/>
        <v>65.66</v>
      </c>
      <c r="W441" s="131">
        <v>0</v>
      </c>
      <c r="X441" s="131">
        <f>ROUND(R441*G$1820,2)</f>
        <v>1.81</v>
      </c>
      <c r="Y441" s="131">
        <f t="shared" si="218"/>
        <v>7.0000000000000007E-2</v>
      </c>
      <c r="Z441" s="131">
        <f t="shared" si="10"/>
        <v>67.86999999999999</v>
      </c>
      <c r="AA441" s="132">
        <f t="shared" si="402"/>
        <v>65592.13</v>
      </c>
      <c r="AB441" s="133">
        <f t="shared" si="403"/>
        <v>65592</v>
      </c>
      <c r="AC441" s="134">
        <f t="shared" si="48"/>
        <v>-0.13000000000465661</v>
      </c>
      <c r="AD441" s="125">
        <v>44593</v>
      </c>
      <c r="AE441" s="135">
        <f t="shared" si="13"/>
        <v>1.034E-3</v>
      </c>
      <c r="AF441" s="136">
        <f t="shared" si="14"/>
        <v>44593</v>
      </c>
      <c r="AG441" s="137" t="s">
        <v>416</v>
      </c>
      <c r="AH441" s="124"/>
    </row>
    <row r="442" spans="1:34" ht="12" customHeight="1">
      <c r="A442" s="154">
        <v>44589</v>
      </c>
      <c r="B442" s="140" t="s">
        <v>495</v>
      </c>
      <c r="C442" s="141" t="s">
        <v>485</v>
      </c>
      <c r="D442" s="140"/>
      <c r="E442" s="140" t="str">
        <f t="shared" si="0"/>
        <v>SAIL</v>
      </c>
      <c r="F442" s="140"/>
      <c r="G442" s="140"/>
      <c r="H442" s="140"/>
      <c r="I442" s="141" t="s">
        <v>467</v>
      </c>
      <c r="J442" s="139" t="s">
        <v>483</v>
      </c>
      <c r="K442" s="141"/>
      <c r="L442" s="141"/>
      <c r="M442" s="142">
        <v>700</v>
      </c>
      <c r="N442" s="143">
        <v>99</v>
      </c>
      <c r="O442" s="144">
        <f t="shared" si="39"/>
        <v>0</v>
      </c>
      <c r="P442" s="144">
        <f t="shared" ref="P442:P445" si="404">N442+O442</f>
        <v>99</v>
      </c>
      <c r="Q442" s="144"/>
      <c r="R442" s="144">
        <f t="shared" si="3"/>
        <v>69300</v>
      </c>
      <c r="S442" s="145">
        <f t="shared" si="4"/>
        <v>0.11798571428571429</v>
      </c>
      <c r="T442" s="145">
        <f t="shared" si="75"/>
        <v>0</v>
      </c>
      <c r="U442" s="145">
        <f t="shared" si="36"/>
        <v>0.43</v>
      </c>
      <c r="V442" s="145">
        <f t="shared" si="384"/>
        <v>69.3</v>
      </c>
      <c r="W442" s="145">
        <f t="shared" ref="W442:W445" si="405">ROUND(R442*F$1823,2)</f>
        <v>10.4</v>
      </c>
      <c r="X442" s="145">
        <f>ROUND(R442*H$1820,2)</f>
        <v>2.39</v>
      </c>
      <c r="Y442" s="145">
        <f t="shared" si="218"/>
        <v>7.0000000000000007E-2</v>
      </c>
      <c r="Z442" s="146">
        <f t="shared" si="10"/>
        <v>82.59</v>
      </c>
      <c r="AA442" s="147">
        <f t="shared" ref="AA442:AA445" si="406">-ROUND(R442+SUM(T442:Y442),2)</f>
        <v>-69382.59</v>
      </c>
      <c r="AB442" s="148">
        <f t="shared" si="403"/>
        <v>-69383</v>
      </c>
      <c r="AC442" s="149">
        <f t="shared" si="48"/>
        <v>-0.41000000000349246</v>
      </c>
      <c r="AD442" s="138">
        <v>44593</v>
      </c>
      <c r="AE442" s="150">
        <f t="shared" si="13"/>
        <v>1.1919999999999999E-3</v>
      </c>
      <c r="AF442" s="151">
        <f t="shared" si="14"/>
        <v>44593</v>
      </c>
      <c r="AG442" s="152" t="s">
        <v>416</v>
      </c>
      <c r="AH442" s="124"/>
    </row>
    <row r="443" spans="1:34" ht="12" customHeight="1">
      <c r="A443" s="154">
        <v>44589</v>
      </c>
      <c r="B443" s="140" t="s">
        <v>495</v>
      </c>
      <c r="C443" s="141" t="s">
        <v>485</v>
      </c>
      <c r="D443" s="140"/>
      <c r="E443" s="140" t="str">
        <f t="shared" si="0"/>
        <v>SAIL</v>
      </c>
      <c r="F443" s="140"/>
      <c r="G443" s="140"/>
      <c r="H443" s="140"/>
      <c r="I443" s="141" t="s">
        <v>467</v>
      </c>
      <c r="J443" s="139" t="s">
        <v>483</v>
      </c>
      <c r="K443" s="141"/>
      <c r="L443" s="141"/>
      <c r="M443" s="142">
        <v>200</v>
      </c>
      <c r="N443" s="143">
        <v>98</v>
      </c>
      <c r="O443" s="144">
        <f t="shared" si="39"/>
        <v>0</v>
      </c>
      <c r="P443" s="144">
        <f t="shared" si="404"/>
        <v>98</v>
      </c>
      <c r="Q443" s="144"/>
      <c r="R443" s="144">
        <f t="shared" si="3"/>
        <v>19600</v>
      </c>
      <c r="S443" s="145">
        <f t="shared" si="4"/>
        <v>0.11600000000000002</v>
      </c>
      <c r="T443" s="145">
        <f t="shared" si="75"/>
        <v>0</v>
      </c>
      <c r="U443" s="145">
        <f t="shared" si="36"/>
        <v>0.1</v>
      </c>
      <c r="V443" s="145">
        <f t="shared" si="384"/>
        <v>19.600000000000001</v>
      </c>
      <c r="W443" s="145">
        <f t="shared" si="405"/>
        <v>2.94</v>
      </c>
      <c r="X443" s="145">
        <f t="shared" ref="X443:X445" si="407">ROUND(R443*G$1820,2)</f>
        <v>0.54</v>
      </c>
      <c r="Y443" s="145">
        <f t="shared" si="218"/>
        <v>0.02</v>
      </c>
      <c r="Z443" s="146">
        <f t="shared" si="10"/>
        <v>23.200000000000003</v>
      </c>
      <c r="AA443" s="147">
        <f t="shared" si="406"/>
        <v>-19623.2</v>
      </c>
      <c r="AB443" s="148">
        <f t="shared" si="403"/>
        <v>-19623</v>
      </c>
      <c r="AC443" s="149">
        <f t="shared" si="48"/>
        <v>0.2000000000007276</v>
      </c>
      <c r="AD443" s="138">
        <v>44593</v>
      </c>
      <c r="AE443" s="150">
        <f t="shared" si="13"/>
        <v>1.1839999999999999E-3</v>
      </c>
      <c r="AF443" s="151">
        <f t="shared" si="14"/>
        <v>44593</v>
      </c>
      <c r="AG443" s="152" t="s">
        <v>416</v>
      </c>
      <c r="AH443" s="124"/>
    </row>
    <row r="444" spans="1:34" ht="12" customHeight="1">
      <c r="A444" s="154">
        <v>44589</v>
      </c>
      <c r="B444" s="140" t="s">
        <v>495</v>
      </c>
      <c r="C444" s="141" t="s">
        <v>485</v>
      </c>
      <c r="D444" s="140"/>
      <c r="E444" s="140" t="str">
        <f t="shared" si="0"/>
        <v>SAIL</v>
      </c>
      <c r="F444" s="140"/>
      <c r="G444" s="140"/>
      <c r="H444" s="140"/>
      <c r="I444" s="141" t="s">
        <v>467</v>
      </c>
      <c r="J444" s="139" t="s">
        <v>483</v>
      </c>
      <c r="K444" s="141"/>
      <c r="L444" s="141"/>
      <c r="M444" s="142">
        <v>25</v>
      </c>
      <c r="N444" s="143">
        <v>97.5</v>
      </c>
      <c r="O444" s="144">
        <f t="shared" si="39"/>
        <v>0</v>
      </c>
      <c r="P444" s="144">
        <f t="shared" si="404"/>
        <v>97.5</v>
      </c>
      <c r="Q444" s="144"/>
      <c r="R444" s="144">
        <f t="shared" si="3"/>
        <v>2437.5</v>
      </c>
      <c r="S444" s="145">
        <f t="shared" si="4"/>
        <v>0.11559999999999998</v>
      </c>
      <c r="T444" s="145">
        <f t="shared" si="75"/>
        <v>0</v>
      </c>
      <c r="U444" s="145">
        <f t="shared" si="36"/>
        <v>0.01</v>
      </c>
      <c r="V444" s="145">
        <f t="shared" si="384"/>
        <v>2.44</v>
      </c>
      <c r="W444" s="145">
        <f t="shared" si="405"/>
        <v>0.37</v>
      </c>
      <c r="X444" s="145">
        <f t="shared" si="407"/>
        <v>7.0000000000000007E-2</v>
      </c>
      <c r="Y444" s="145">
        <f t="shared" si="218"/>
        <v>0</v>
      </c>
      <c r="Z444" s="146">
        <f t="shared" si="10"/>
        <v>2.8899999999999997</v>
      </c>
      <c r="AA444" s="147">
        <f t="shared" si="406"/>
        <v>-2440.39</v>
      </c>
      <c r="AB444" s="148">
        <f t="shared" si="403"/>
        <v>-2440</v>
      </c>
      <c r="AC444" s="149">
        <f t="shared" si="48"/>
        <v>0.38999999999987267</v>
      </c>
      <c r="AD444" s="138">
        <v>44593</v>
      </c>
      <c r="AE444" s="150">
        <f t="shared" si="13"/>
        <v>1.186E-3</v>
      </c>
      <c r="AF444" s="151">
        <f t="shared" si="14"/>
        <v>44593</v>
      </c>
      <c r="AG444" s="152" t="s">
        <v>416</v>
      </c>
      <c r="AH444" s="124"/>
    </row>
    <row r="445" spans="1:34" ht="12" customHeight="1">
      <c r="A445" s="154">
        <v>44592</v>
      </c>
      <c r="B445" s="140" t="s">
        <v>598</v>
      </c>
      <c r="C445" s="141" t="s">
        <v>485</v>
      </c>
      <c r="D445" s="140"/>
      <c r="E445" s="140" t="str">
        <f t="shared" si="0"/>
        <v>A2ZINFRA</v>
      </c>
      <c r="F445" s="140"/>
      <c r="G445" s="140"/>
      <c r="H445" s="140"/>
      <c r="I445" s="141" t="s">
        <v>467</v>
      </c>
      <c r="J445" s="139" t="s">
        <v>483</v>
      </c>
      <c r="K445" s="141"/>
      <c r="L445" s="141"/>
      <c r="M445" s="142">
        <v>2250</v>
      </c>
      <c r="N445" s="143">
        <v>12.62222</v>
      </c>
      <c r="O445" s="144">
        <f t="shared" si="39"/>
        <v>0</v>
      </c>
      <c r="P445" s="144">
        <f t="shared" si="404"/>
        <v>12.62222</v>
      </c>
      <c r="Q445" s="144"/>
      <c r="R445" s="144">
        <f t="shared" si="3"/>
        <v>28400</v>
      </c>
      <c r="S445" s="145">
        <f t="shared" si="4"/>
        <v>1.4937777777777777E-2</v>
      </c>
      <c r="T445" s="145">
        <f t="shared" si="75"/>
        <v>0</v>
      </c>
      <c r="U445" s="145">
        <f t="shared" si="36"/>
        <v>0.14000000000000001</v>
      </c>
      <c r="V445" s="145">
        <f t="shared" si="384"/>
        <v>28.4</v>
      </c>
      <c r="W445" s="145">
        <f t="shared" si="405"/>
        <v>4.26</v>
      </c>
      <c r="X445" s="145">
        <f t="shared" si="407"/>
        <v>0.78</v>
      </c>
      <c r="Y445" s="145">
        <f t="shared" si="218"/>
        <v>0.03</v>
      </c>
      <c r="Z445" s="146">
        <f t="shared" si="10"/>
        <v>33.61</v>
      </c>
      <c r="AA445" s="147">
        <f t="shared" si="406"/>
        <v>-28433.61</v>
      </c>
      <c r="AB445" s="148">
        <f t="shared" si="403"/>
        <v>-28434</v>
      </c>
      <c r="AC445" s="149">
        <f t="shared" si="48"/>
        <v>-0.38999999999941792</v>
      </c>
      <c r="AD445" s="138">
        <v>44594</v>
      </c>
      <c r="AE445" s="150">
        <f t="shared" si="13"/>
        <v>1.183E-3</v>
      </c>
      <c r="AF445" s="151">
        <f t="shared" si="14"/>
        <v>44594</v>
      </c>
      <c r="AG445" s="152" t="s">
        <v>416</v>
      </c>
      <c r="AH445" s="124"/>
    </row>
    <row r="446" spans="1:34" ht="12" customHeight="1">
      <c r="A446" s="155">
        <v>44592</v>
      </c>
      <c r="B446" s="112" t="s">
        <v>600</v>
      </c>
      <c r="C446" s="127" t="s">
        <v>485</v>
      </c>
      <c r="D446" s="112"/>
      <c r="E446" s="112" t="str">
        <f t="shared" si="0"/>
        <v>TOYAMIND</v>
      </c>
      <c r="F446" s="112"/>
      <c r="G446" s="112"/>
      <c r="H446" s="112"/>
      <c r="I446" s="127" t="s">
        <v>461</v>
      </c>
      <c r="J446" s="126" t="s">
        <v>483</v>
      </c>
      <c r="K446" s="127"/>
      <c r="L446" s="127"/>
      <c r="M446" s="128">
        <v>500</v>
      </c>
      <c r="N446" s="129">
        <v>8.9700000000000006</v>
      </c>
      <c r="O446" s="130">
        <f t="shared" si="39"/>
        <v>0</v>
      </c>
      <c r="P446" s="130">
        <f t="shared" ref="P446:P447" si="408">N446-O446</f>
        <v>8.9700000000000006</v>
      </c>
      <c r="Q446" s="130"/>
      <c r="R446" s="130">
        <f t="shared" si="3"/>
        <v>4485</v>
      </c>
      <c r="S446" s="131">
        <f t="shared" si="4"/>
        <v>1.958E-2</v>
      </c>
      <c r="T446" s="131">
        <f t="shared" si="75"/>
        <v>0</v>
      </c>
      <c r="U446" s="131">
        <f t="shared" si="36"/>
        <v>0.81</v>
      </c>
      <c r="V446" s="131">
        <f t="shared" si="384"/>
        <v>4.49</v>
      </c>
      <c r="W446" s="131">
        <v>0</v>
      </c>
      <c r="X446" s="131">
        <f>ROUND(R446*0.1%,2)</f>
        <v>4.49</v>
      </c>
      <c r="Y446" s="131">
        <f t="shared" si="218"/>
        <v>0</v>
      </c>
      <c r="Z446" s="131">
        <f t="shared" si="10"/>
        <v>9.7900000000000009</v>
      </c>
      <c r="AA446" s="132">
        <f t="shared" ref="AA446:AA447" si="409">ROUND(R446-SUM(T446:Y446),2)</f>
        <v>4475.21</v>
      </c>
      <c r="AB446" s="133">
        <f t="shared" si="403"/>
        <v>4475</v>
      </c>
      <c r="AC446" s="134">
        <f t="shared" si="48"/>
        <v>-0.21000000000003638</v>
      </c>
      <c r="AD446" s="125">
        <v>44594</v>
      </c>
      <c r="AE446" s="135">
        <f t="shared" si="13"/>
        <v>2.183E-3</v>
      </c>
      <c r="AF446" s="136">
        <f t="shared" si="14"/>
        <v>44594</v>
      </c>
      <c r="AG446" s="137" t="s">
        <v>416</v>
      </c>
      <c r="AH446" s="124"/>
    </row>
    <row r="447" spans="1:34" ht="12" customHeight="1">
      <c r="A447" s="155">
        <v>44592</v>
      </c>
      <c r="B447" s="112" t="s">
        <v>495</v>
      </c>
      <c r="C447" s="127" t="s">
        <v>485</v>
      </c>
      <c r="D447" s="112"/>
      <c r="E447" s="112" t="str">
        <f t="shared" si="0"/>
        <v>SAIL</v>
      </c>
      <c r="F447" s="112"/>
      <c r="G447" s="112"/>
      <c r="H447" s="112"/>
      <c r="I447" s="127" t="s">
        <v>461</v>
      </c>
      <c r="J447" s="126" t="s">
        <v>483</v>
      </c>
      <c r="K447" s="127"/>
      <c r="L447" s="127"/>
      <c r="M447" s="128">
        <v>25</v>
      </c>
      <c r="N447" s="129">
        <v>98.5</v>
      </c>
      <c r="O447" s="130">
        <f t="shared" si="39"/>
        <v>0</v>
      </c>
      <c r="P447" s="130">
        <f t="shared" si="408"/>
        <v>98.5</v>
      </c>
      <c r="Q447" s="130"/>
      <c r="R447" s="130">
        <f t="shared" si="3"/>
        <v>2462.5</v>
      </c>
      <c r="S447" s="131">
        <f t="shared" si="4"/>
        <v>0.10159999999999998</v>
      </c>
      <c r="T447" s="131">
        <f t="shared" si="75"/>
        <v>0</v>
      </c>
      <c r="U447" s="131">
        <f t="shared" si="36"/>
        <v>0.01</v>
      </c>
      <c r="V447" s="131">
        <f t="shared" si="384"/>
        <v>2.46</v>
      </c>
      <c r="W447" s="131">
        <v>0</v>
      </c>
      <c r="X447" s="131">
        <f>ROUND(R447*G$1820,2)</f>
        <v>7.0000000000000007E-2</v>
      </c>
      <c r="Y447" s="131">
        <f t="shared" si="218"/>
        <v>0</v>
      </c>
      <c r="Z447" s="131">
        <f t="shared" si="10"/>
        <v>2.5399999999999996</v>
      </c>
      <c r="AA447" s="132">
        <f t="shared" si="409"/>
        <v>2459.96</v>
      </c>
      <c r="AB447" s="133">
        <f t="shared" si="403"/>
        <v>2460</v>
      </c>
      <c r="AC447" s="134">
        <f t="shared" si="48"/>
        <v>3.999999999996362E-2</v>
      </c>
      <c r="AD447" s="125">
        <v>44594</v>
      </c>
      <c r="AE447" s="135">
        <f t="shared" si="13"/>
        <v>1.031E-3</v>
      </c>
      <c r="AF447" s="136">
        <f t="shared" si="14"/>
        <v>44594</v>
      </c>
      <c r="AG447" s="137" t="s">
        <v>416</v>
      </c>
      <c r="AH447" s="124"/>
    </row>
    <row r="448" spans="1:34" ht="12" customHeight="1">
      <c r="A448" s="154">
        <v>44593</v>
      </c>
      <c r="B448" s="140" t="s">
        <v>598</v>
      </c>
      <c r="C448" s="141" t="s">
        <v>485</v>
      </c>
      <c r="D448" s="140"/>
      <c r="E448" s="140" t="str">
        <f t="shared" si="0"/>
        <v>A2ZINFRA</v>
      </c>
      <c r="F448" s="140"/>
      <c r="G448" s="140"/>
      <c r="H448" s="140"/>
      <c r="I448" s="141" t="s">
        <v>467</v>
      </c>
      <c r="J448" s="139" t="s">
        <v>483</v>
      </c>
      <c r="K448" s="141"/>
      <c r="L448" s="141"/>
      <c r="M448" s="142">
        <v>100</v>
      </c>
      <c r="N448" s="143">
        <v>11.84</v>
      </c>
      <c r="O448" s="144">
        <f t="shared" si="39"/>
        <v>0</v>
      </c>
      <c r="P448" s="144">
        <f t="shared" ref="P448:P450" si="410">N448+O448</f>
        <v>11.84</v>
      </c>
      <c r="Q448" s="144"/>
      <c r="R448" s="144">
        <f t="shared" si="3"/>
        <v>1184</v>
      </c>
      <c r="S448" s="145">
        <f t="shared" si="4"/>
        <v>1.41E-2</v>
      </c>
      <c r="T448" s="145">
        <f t="shared" si="75"/>
        <v>0</v>
      </c>
      <c r="U448" s="145">
        <f t="shared" si="36"/>
        <v>0.01</v>
      </c>
      <c r="V448" s="145">
        <f t="shared" si="384"/>
        <v>1.18</v>
      </c>
      <c r="W448" s="145">
        <f t="shared" ref="W448:W450" si="411">ROUND(R448*F$1823,2)</f>
        <v>0.18</v>
      </c>
      <c r="X448" s="145">
        <f t="shared" ref="X448:X449" si="412">ROUND(R448*H$1820,2)</f>
        <v>0.04</v>
      </c>
      <c r="Y448" s="145">
        <f t="shared" si="218"/>
        <v>0</v>
      </c>
      <c r="Z448" s="146">
        <f t="shared" si="10"/>
        <v>1.41</v>
      </c>
      <c r="AA448" s="147">
        <f t="shared" ref="AA448:AA450" si="413">-ROUND(R448+SUM(T448:Y448),2)</f>
        <v>-1185.4100000000001</v>
      </c>
      <c r="AB448" s="148">
        <f t="shared" si="403"/>
        <v>-1185</v>
      </c>
      <c r="AC448" s="149">
        <f t="shared" si="48"/>
        <v>0.41000000000008185</v>
      </c>
      <c r="AD448" s="138">
        <v>44595</v>
      </c>
      <c r="AE448" s="150">
        <f t="shared" si="13"/>
        <v>1.191E-3</v>
      </c>
      <c r="AF448" s="151">
        <f t="shared" si="14"/>
        <v>44595</v>
      </c>
      <c r="AG448" s="152" t="s">
        <v>416</v>
      </c>
      <c r="AH448" s="124"/>
    </row>
    <row r="449" spans="1:34" ht="12" customHeight="1">
      <c r="A449" s="154">
        <v>44593</v>
      </c>
      <c r="B449" s="140" t="s">
        <v>527</v>
      </c>
      <c r="C449" s="141" t="s">
        <v>485</v>
      </c>
      <c r="D449" s="140"/>
      <c r="E449" s="140" t="str">
        <f t="shared" si="0"/>
        <v>BPCL</v>
      </c>
      <c r="F449" s="140"/>
      <c r="G449" s="140"/>
      <c r="H449" s="140"/>
      <c r="I449" s="141" t="s">
        <v>467</v>
      </c>
      <c r="J449" s="139" t="s">
        <v>483</v>
      </c>
      <c r="K449" s="141"/>
      <c r="L449" s="141"/>
      <c r="M449" s="142">
        <v>40</v>
      </c>
      <c r="N449" s="143">
        <v>384.25</v>
      </c>
      <c r="O449" s="144">
        <f t="shared" si="39"/>
        <v>0</v>
      </c>
      <c r="P449" s="144">
        <f t="shared" si="410"/>
        <v>384.25</v>
      </c>
      <c r="Q449" s="144"/>
      <c r="R449" s="144">
        <f t="shared" si="3"/>
        <v>15370</v>
      </c>
      <c r="S449" s="145">
        <f t="shared" si="4"/>
        <v>0.45824999999999994</v>
      </c>
      <c r="T449" s="145">
        <f t="shared" si="75"/>
        <v>0</v>
      </c>
      <c r="U449" s="145">
        <f t="shared" si="36"/>
        <v>0.1</v>
      </c>
      <c r="V449" s="145">
        <f t="shared" si="384"/>
        <v>15.37</v>
      </c>
      <c r="W449" s="145">
        <f t="shared" si="411"/>
        <v>2.31</v>
      </c>
      <c r="X449" s="145">
        <f t="shared" si="412"/>
        <v>0.53</v>
      </c>
      <c r="Y449" s="145">
        <f t="shared" si="218"/>
        <v>0.02</v>
      </c>
      <c r="Z449" s="146">
        <f t="shared" si="10"/>
        <v>18.329999999999998</v>
      </c>
      <c r="AA449" s="147">
        <f t="shared" si="413"/>
        <v>-15388.33</v>
      </c>
      <c r="AB449" s="148">
        <f t="shared" si="403"/>
        <v>-15388</v>
      </c>
      <c r="AC449" s="149">
        <f t="shared" si="48"/>
        <v>0.32999999999992724</v>
      </c>
      <c r="AD449" s="138">
        <v>44595</v>
      </c>
      <c r="AE449" s="150">
        <f t="shared" si="13"/>
        <v>1.193E-3</v>
      </c>
      <c r="AF449" s="151">
        <f t="shared" si="14"/>
        <v>44595</v>
      </c>
      <c r="AG449" s="152" t="s">
        <v>416</v>
      </c>
      <c r="AH449" s="124"/>
    </row>
    <row r="450" spans="1:34" ht="12" customHeight="1">
      <c r="A450" s="154">
        <v>44593</v>
      </c>
      <c r="B450" s="140" t="s">
        <v>600</v>
      </c>
      <c r="C450" s="141" t="s">
        <v>485</v>
      </c>
      <c r="D450" s="140"/>
      <c r="E450" s="140" t="str">
        <f t="shared" si="0"/>
        <v>TOYAMIND</v>
      </c>
      <c r="F450" s="140"/>
      <c r="G450" s="140"/>
      <c r="H450" s="140"/>
      <c r="I450" s="141" t="s">
        <v>467</v>
      </c>
      <c r="J450" s="139" t="s">
        <v>483</v>
      </c>
      <c r="K450" s="141"/>
      <c r="L450" s="141"/>
      <c r="M450" s="142">
        <v>1000</v>
      </c>
      <c r="N450" s="143">
        <v>9.16</v>
      </c>
      <c r="O450" s="144">
        <f t="shared" si="39"/>
        <v>0</v>
      </c>
      <c r="P450" s="144">
        <f t="shared" si="410"/>
        <v>9.16</v>
      </c>
      <c r="Q450" s="144"/>
      <c r="R450" s="144">
        <f t="shared" si="3"/>
        <v>9160</v>
      </c>
      <c r="S450" s="145">
        <f t="shared" si="4"/>
        <v>2.1350000000000001E-2</v>
      </c>
      <c r="T450" s="145">
        <f t="shared" si="75"/>
        <v>0</v>
      </c>
      <c r="U450" s="145">
        <f t="shared" si="36"/>
        <v>1.65</v>
      </c>
      <c r="V450" s="145">
        <f t="shared" si="384"/>
        <v>9.16</v>
      </c>
      <c r="W450" s="145">
        <f t="shared" si="411"/>
        <v>1.37</v>
      </c>
      <c r="X450" s="145">
        <f t="shared" ref="X450:X451" si="414">ROUND(R450*0.1%,2)</f>
        <v>9.16</v>
      </c>
      <c r="Y450" s="145">
        <f t="shared" si="218"/>
        <v>0.01</v>
      </c>
      <c r="Z450" s="146">
        <f t="shared" si="10"/>
        <v>21.35</v>
      </c>
      <c r="AA450" s="147">
        <f t="shared" si="413"/>
        <v>-9181.35</v>
      </c>
      <c r="AB450" s="148">
        <f t="shared" si="403"/>
        <v>-9181</v>
      </c>
      <c r="AC450" s="149">
        <f t="shared" si="48"/>
        <v>0.3500000000003638</v>
      </c>
      <c r="AD450" s="138">
        <v>44595</v>
      </c>
      <c r="AE450" s="150">
        <f t="shared" si="13"/>
        <v>2.3310000000000002E-3</v>
      </c>
      <c r="AF450" s="151">
        <f t="shared" si="14"/>
        <v>44595</v>
      </c>
      <c r="AG450" s="152" t="s">
        <v>416</v>
      </c>
      <c r="AH450" s="124"/>
    </row>
    <row r="451" spans="1:34" ht="12" customHeight="1">
      <c r="A451" s="155">
        <v>44593</v>
      </c>
      <c r="B451" s="112" t="s">
        <v>600</v>
      </c>
      <c r="C451" s="127" t="s">
        <v>485</v>
      </c>
      <c r="D451" s="112"/>
      <c r="E451" s="112" t="str">
        <f t="shared" si="0"/>
        <v>TOYAMIND</v>
      </c>
      <c r="F451" s="112"/>
      <c r="G451" s="112"/>
      <c r="H451" s="112"/>
      <c r="I451" s="127" t="s">
        <v>461</v>
      </c>
      <c r="J451" s="126" t="s">
        <v>483</v>
      </c>
      <c r="K451" s="127"/>
      <c r="L451" s="127"/>
      <c r="M451" s="128">
        <v>1000</v>
      </c>
      <c r="N451" s="129">
        <v>9.3149999999999995</v>
      </c>
      <c r="O451" s="130">
        <f t="shared" si="39"/>
        <v>0</v>
      </c>
      <c r="P451" s="130">
        <f>N451-O451</f>
        <v>9.3149999999999995</v>
      </c>
      <c r="Q451" s="130"/>
      <c r="R451" s="130">
        <f t="shared" si="3"/>
        <v>9315</v>
      </c>
      <c r="S451" s="131">
        <f t="shared" si="4"/>
        <v>2.0330000000000001E-2</v>
      </c>
      <c r="T451" s="131">
        <f t="shared" si="75"/>
        <v>0</v>
      </c>
      <c r="U451" s="131">
        <f t="shared" si="36"/>
        <v>1.68</v>
      </c>
      <c r="V451" s="131">
        <f t="shared" si="384"/>
        <v>9.32</v>
      </c>
      <c r="W451" s="131">
        <v>0</v>
      </c>
      <c r="X451" s="131">
        <f t="shared" si="414"/>
        <v>9.32</v>
      </c>
      <c r="Y451" s="131">
        <f t="shared" si="218"/>
        <v>0.01</v>
      </c>
      <c r="Z451" s="131">
        <f t="shared" si="10"/>
        <v>20.330000000000002</v>
      </c>
      <c r="AA451" s="132">
        <f>ROUND(R451-SUM(T451:Y451),2)</f>
        <v>9294.67</v>
      </c>
      <c r="AB451" s="133">
        <f t="shared" si="403"/>
        <v>9295</v>
      </c>
      <c r="AC451" s="134">
        <f t="shared" si="48"/>
        <v>0.32999999999992724</v>
      </c>
      <c r="AD451" s="125">
        <v>44595</v>
      </c>
      <c r="AE451" s="135">
        <f t="shared" si="13"/>
        <v>2.183E-3</v>
      </c>
      <c r="AF451" s="136">
        <f t="shared" si="14"/>
        <v>44595</v>
      </c>
      <c r="AG451" s="137" t="s">
        <v>416</v>
      </c>
      <c r="AH451" s="124"/>
    </row>
    <row r="452" spans="1:34" ht="12" customHeight="1">
      <c r="A452" s="154">
        <v>44596</v>
      </c>
      <c r="B452" s="140" t="s">
        <v>608</v>
      </c>
      <c r="C452" s="141" t="s">
        <v>485</v>
      </c>
      <c r="D452" s="140"/>
      <c r="E452" s="140" t="str">
        <f t="shared" si="0"/>
        <v>AUBANK</v>
      </c>
      <c r="F452" s="140"/>
      <c r="G452" s="140"/>
      <c r="H452" s="140"/>
      <c r="I452" s="141" t="s">
        <v>467</v>
      </c>
      <c r="J452" s="139" t="s">
        <v>483</v>
      </c>
      <c r="K452" s="141"/>
      <c r="L452" s="141"/>
      <c r="M452" s="142">
        <v>1</v>
      </c>
      <c r="N452" s="143">
        <v>1355</v>
      </c>
      <c r="O452" s="144">
        <f t="shared" si="39"/>
        <v>0</v>
      </c>
      <c r="P452" s="144">
        <f>N452+O452</f>
        <v>1355</v>
      </c>
      <c r="Q452" s="144"/>
      <c r="R452" s="144">
        <f t="shared" si="3"/>
        <v>1355</v>
      </c>
      <c r="S452" s="145">
        <f t="shared" si="4"/>
        <v>1.61</v>
      </c>
      <c r="T452" s="145">
        <f t="shared" si="75"/>
        <v>0</v>
      </c>
      <c r="U452" s="145">
        <f t="shared" si="36"/>
        <v>0.01</v>
      </c>
      <c r="V452" s="145">
        <f t="shared" si="384"/>
        <v>1.36</v>
      </c>
      <c r="W452" s="145">
        <f>ROUND(R452*F$1823,2)</f>
        <v>0.2</v>
      </c>
      <c r="X452" s="145">
        <f t="shared" ref="X452:X462" si="415">ROUND(R452*G$1820,2)</f>
        <v>0.04</v>
      </c>
      <c r="Y452" s="145">
        <f t="shared" si="218"/>
        <v>0</v>
      </c>
      <c r="Z452" s="146">
        <f t="shared" si="10"/>
        <v>1.61</v>
      </c>
      <c r="AA452" s="147">
        <f>-ROUND(R452+SUM(T452:Y452),2)</f>
        <v>-1356.61</v>
      </c>
      <c r="AB452" s="148">
        <f t="shared" si="403"/>
        <v>-1357</v>
      </c>
      <c r="AC452" s="149">
        <f t="shared" si="48"/>
        <v>-0.39000000000010004</v>
      </c>
      <c r="AD452" s="138">
        <v>44596</v>
      </c>
      <c r="AE452" s="150">
        <f t="shared" si="13"/>
        <v>1.188E-3</v>
      </c>
      <c r="AF452" s="151">
        <f t="shared" si="14"/>
        <v>44596</v>
      </c>
      <c r="AG452" s="152" t="s">
        <v>416</v>
      </c>
      <c r="AH452" s="124"/>
    </row>
    <row r="453" spans="1:34" ht="12" customHeight="1">
      <c r="A453" s="155">
        <v>44596</v>
      </c>
      <c r="B453" s="112" t="s">
        <v>589</v>
      </c>
      <c r="C453" s="127" t="s">
        <v>460</v>
      </c>
      <c r="D453" s="112"/>
      <c r="E453" s="112" t="str">
        <f t="shared" si="0"/>
        <v>DCMSHRIRAM</v>
      </c>
      <c r="F453" s="112"/>
      <c r="G453" s="112"/>
      <c r="H453" s="112"/>
      <c r="I453" s="127" t="s">
        <v>461</v>
      </c>
      <c r="J453" s="126" t="s">
        <v>483</v>
      </c>
      <c r="K453" s="127"/>
      <c r="L453" s="127"/>
      <c r="M453" s="128">
        <v>190</v>
      </c>
      <c r="N453" s="129">
        <v>1162.5684000000001</v>
      </c>
      <c r="O453" s="130">
        <f t="shared" si="39"/>
        <v>0</v>
      </c>
      <c r="P453" s="130">
        <f>N453-O453</f>
        <v>1162.5684000000001</v>
      </c>
      <c r="Q453" s="130"/>
      <c r="R453" s="130">
        <f t="shared" si="3"/>
        <v>220888</v>
      </c>
      <c r="S453" s="131">
        <f t="shared" si="4"/>
        <v>1.2098421052631578</v>
      </c>
      <c r="T453" s="131">
        <f t="shared" si="75"/>
        <v>0</v>
      </c>
      <c r="U453" s="131">
        <f t="shared" si="36"/>
        <v>1.0900000000000001</v>
      </c>
      <c r="V453" s="131">
        <f>ROUND(R453*F$1817,2)+1.6</f>
        <v>222.48999999999998</v>
      </c>
      <c r="W453" s="131">
        <v>0</v>
      </c>
      <c r="X453" s="131">
        <f t="shared" si="415"/>
        <v>6.07</v>
      </c>
      <c r="Y453" s="131">
        <f t="shared" si="218"/>
        <v>0.22</v>
      </c>
      <c r="Z453" s="131">
        <f t="shared" si="10"/>
        <v>229.86999999999998</v>
      </c>
      <c r="AA453" s="132">
        <f>ROUND(R453-SUM(T453:Y453),2)</f>
        <v>220658.13</v>
      </c>
      <c r="AB453" s="133">
        <f t="shared" si="403"/>
        <v>220658</v>
      </c>
      <c r="AC453" s="134">
        <f t="shared" si="48"/>
        <v>-0.13000000000465661</v>
      </c>
      <c r="AD453" s="125">
        <v>44600</v>
      </c>
      <c r="AE453" s="135">
        <f t="shared" si="13"/>
        <v>1.041E-3</v>
      </c>
      <c r="AF453" s="136">
        <f t="shared" si="14"/>
        <v>44600</v>
      </c>
      <c r="AG453" s="137" t="s">
        <v>416</v>
      </c>
      <c r="AH453" s="124"/>
    </row>
    <row r="454" spans="1:34" ht="12" customHeight="1">
      <c r="A454" s="154">
        <v>44599</v>
      </c>
      <c r="B454" s="140" t="s">
        <v>589</v>
      </c>
      <c r="C454" s="141" t="s">
        <v>460</v>
      </c>
      <c r="D454" s="140"/>
      <c r="E454" s="140" t="str">
        <f t="shared" si="0"/>
        <v>DCMSHRIRAM</v>
      </c>
      <c r="F454" s="140"/>
      <c r="G454" s="140"/>
      <c r="H454" s="140"/>
      <c r="I454" s="141" t="s">
        <v>467</v>
      </c>
      <c r="J454" s="139" t="s">
        <v>483</v>
      </c>
      <c r="K454" s="141"/>
      <c r="L454" s="141"/>
      <c r="M454" s="142">
        <v>50</v>
      </c>
      <c r="N454" s="143">
        <v>1187.07</v>
      </c>
      <c r="O454" s="144">
        <f t="shared" si="39"/>
        <v>0</v>
      </c>
      <c r="P454" s="144">
        <f t="shared" ref="P454:P457" si="416">N454+O454</f>
        <v>1187.07</v>
      </c>
      <c r="Q454" s="144"/>
      <c r="R454" s="144">
        <f t="shared" si="3"/>
        <v>59353.5</v>
      </c>
      <c r="S454" s="145">
        <f t="shared" si="4"/>
        <v>1.4046000000000001</v>
      </c>
      <c r="T454" s="145">
        <f t="shared" si="75"/>
        <v>0</v>
      </c>
      <c r="U454" s="145">
        <f t="shared" si="36"/>
        <v>0.28999999999999998</v>
      </c>
      <c r="V454" s="145">
        <f t="shared" ref="V454:V456" si="417">ROUND(R454*F$1817,2)</f>
        <v>59.35</v>
      </c>
      <c r="W454" s="145">
        <f t="shared" ref="W454:W456" si="418">ROUND(R454*F$1823,2)</f>
        <v>8.9</v>
      </c>
      <c r="X454" s="145">
        <f t="shared" si="415"/>
        <v>1.63</v>
      </c>
      <c r="Y454" s="145">
        <f t="shared" si="218"/>
        <v>0.06</v>
      </c>
      <c r="Z454" s="146">
        <f t="shared" si="10"/>
        <v>70.23</v>
      </c>
      <c r="AA454" s="147">
        <f t="shared" ref="AA454:AA457" si="419">-ROUND(R454+SUM(T454:Y454),2)</f>
        <v>-59423.73</v>
      </c>
      <c r="AB454" s="148">
        <f t="shared" si="403"/>
        <v>-59424</v>
      </c>
      <c r="AC454" s="149">
        <f t="shared" si="48"/>
        <v>-0.26999999999679858</v>
      </c>
      <c r="AD454" s="138">
        <v>44601</v>
      </c>
      <c r="AE454" s="150">
        <f t="shared" si="13"/>
        <v>1.183E-3</v>
      </c>
      <c r="AF454" s="151">
        <f t="shared" si="14"/>
        <v>44601</v>
      </c>
      <c r="AG454" s="152" t="s">
        <v>416</v>
      </c>
      <c r="AH454" s="124"/>
    </row>
    <row r="455" spans="1:34" ht="12" customHeight="1">
      <c r="A455" s="154">
        <v>44599</v>
      </c>
      <c r="B455" s="140" t="s">
        <v>608</v>
      </c>
      <c r="C455" s="141" t="s">
        <v>485</v>
      </c>
      <c r="D455" s="140"/>
      <c r="E455" s="140" t="str">
        <f t="shared" si="0"/>
        <v>AUBANK</v>
      </c>
      <c r="F455" s="140"/>
      <c r="G455" s="140"/>
      <c r="H455" s="140"/>
      <c r="I455" s="141" t="s">
        <v>467</v>
      </c>
      <c r="J455" s="139" t="s">
        <v>483</v>
      </c>
      <c r="K455" s="141"/>
      <c r="L455" s="141"/>
      <c r="M455" s="142">
        <v>1</v>
      </c>
      <c r="N455" s="143">
        <v>1335</v>
      </c>
      <c r="O455" s="144">
        <f t="shared" si="39"/>
        <v>0</v>
      </c>
      <c r="P455" s="144">
        <f t="shared" si="416"/>
        <v>1335</v>
      </c>
      <c r="Q455" s="144"/>
      <c r="R455" s="144">
        <f t="shared" si="3"/>
        <v>1335</v>
      </c>
      <c r="S455" s="145">
        <f t="shared" si="4"/>
        <v>1.59</v>
      </c>
      <c r="T455" s="145">
        <f t="shared" si="75"/>
        <v>0</v>
      </c>
      <c r="U455" s="145">
        <f t="shared" si="36"/>
        <v>0.01</v>
      </c>
      <c r="V455" s="145">
        <f t="shared" si="417"/>
        <v>1.34</v>
      </c>
      <c r="W455" s="145">
        <f t="shared" si="418"/>
        <v>0.2</v>
      </c>
      <c r="X455" s="145">
        <f t="shared" si="415"/>
        <v>0.04</v>
      </c>
      <c r="Y455" s="145">
        <f t="shared" si="218"/>
        <v>0</v>
      </c>
      <c r="Z455" s="146">
        <f t="shared" si="10"/>
        <v>1.59</v>
      </c>
      <c r="AA455" s="147">
        <f t="shared" si="419"/>
        <v>-1336.59</v>
      </c>
      <c r="AB455" s="148">
        <f t="shared" si="403"/>
        <v>-1337</v>
      </c>
      <c r="AC455" s="149">
        <f t="shared" si="48"/>
        <v>-0.41000000000008185</v>
      </c>
      <c r="AD455" s="138">
        <v>44601</v>
      </c>
      <c r="AE455" s="150">
        <f t="shared" si="13"/>
        <v>1.191E-3</v>
      </c>
      <c r="AF455" s="151">
        <f t="shared" si="14"/>
        <v>44601</v>
      </c>
      <c r="AG455" s="152" t="s">
        <v>416</v>
      </c>
      <c r="AH455" s="124"/>
    </row>
    <row r="456" spans="1:34" ht="12" customHeight="1">
      <c r="A456" s="154">
        <v>44599</v>
      </c>
      <c r="B456" s="140" t="s">
        <v>527</v>
      </c>
      <c r="C456" s="141" t="s">
        <v>485</v>
      </c>
      <c r="D456" s="140"/>
      <c r="E456" s="140" t="str">
        <f t="shared" si="0"/>
        <v>BPCL</v>
      </c>
      <c r="F456" s="140"/>
      <c r="G456" s="140"/>
      <c r="H456" s="140"/>
      <c r="I456" s="141" t="s">
        <v>467</v>
      </c>
      <c r="J456" s="139" t="s">
        <v>483</v>
      </c>
      <c r="K456" s="141"/>
      <c r="L456" s="141"/>
      <c r="M456" s="142">
        <v>20</v>
      </c>
      <c r="N456" s="143">
        <v>370.75</v>
      </c>
      <c r="O456" s="144">
        <f t="shared" si="39"/>
        <v>0</v>
      </c>
      <c r="P456" s="144">
        <f t="shared" si="416"/>
        <v>370.75</v>
      </c>
      <c r="Q456" s="144"/>
      <c r="R456" s="144">
        <f t="shared" si="3"/>
        <v>7415</v>
      </c>
      <c r="S456" s="145">
        <f t="shared" si="4"/>
        <v>0.43899999999999995</v>
      </c>
      <c r="T456" s="145">
        <f t="shared" si="75"/>
        <v>0</v>
      </c>
      <c r="U456" s="145">
        <f t="shared" si="36"/>
        <v>0.04</v>
      </c>
      <c r="V456" s="145">
        <f t="shared" si="417"/>
        <v>7.42</v>
      </c>
      <c r="W456" s="145">
        <f t="shared" si="418"/>
        <v>1.1100000000000001</v>
      </c>
      <c r="X456" s="145">
        <f t="shared" si="415"/>
        <v>0.2</v>
      </c>
      <c r="Y456" s="145">
        <f t="shared" si="218"/>
        <v>0.01</v>
      </c>
      <c r="Z456" s="146">
        <f t="shared" si="10"/>
        <v>8.7799999999999994</v>
      </c>
      <c r="AA456" s="147">
        <f t="shared" si="419"/>
        <v>-7423.78</v>
      </c>
      <c r="AB456" s="148">
        <f t="shared" si="403"/>
        <v>-7424</v>
      </c>
      <c r="AC456" s="149">
        <f t="shared" si="48"/>
        <v>-0.22000000000025466</v>
      </c>
      <c r="AD456" s="138">
        <v>44601</v>
      </c>
      <c r="AE456" s="150">
        <f t="shared" si="13"/>
        <v>1.1839999999999999E-3</v>
      </c>
      <c r="AF456" s="151">
        <f t="shared" si="14"/>
        <v>44601</v>
      </c>
      <c r="AG456" s="152" t="s">
        <v>416</v>
      </c>
      <c r="AH456" s="124"/>
    </row>
    <row r="457" spans="1:34" ht="12" customHeight="1">
      <c r="A457" s="154">
        <v>44600</v>
      </c>
      <c r="B457" s="140" t="s">
        <v>589</v>
      </c>
      <c r="C457" s="141" t="s">
        <v>460</v>
      </c>
      <c r="D457" s="140"/>
      <c r="E457" s="140" t="str">
        <f t="shared" si="0"/>
        <v>DCMSHRIRAM</v>
      </c>
      <c r="F457" s="140"/>
      <c r="G457" s="140"/>
      <c r="H457" s="140"/>
      <c r="I457" s="141" t="s">
        <v>467</v>
      </c>
      <c r="J457" s="139" t="s">
        <v>483</v>
      </c>
      <c r="K457" s="141"/>
      <c r="L457" s="141"/>
      <c r="M457" s="142">
        <v>190</v>
      </c>
      <c r="N457" s="143">
        <v>1161</v>
      </c>
      <c r="O457" s="144">
        <f t="shared" si="39"/>
        <v>0</v>
      </c>
      <c r="P457" s="144">
        <f t="shared" si="416"/>
        <v>1161</v>
      </c>
      <c r="Q457" s="144"/>
      <c r="R457" s="144">
        <f t="shared" si="3"/>
        <v>220590</v>
      </c>
      <c r="S457" s="145">
        <f t="shared" si="4"/>
        <v>0.69505263157894737</v>
      </c>
      <c r="T457" s="145">
        <f t="shared" si="75"/>
        <v>0</v>
      </c>
      <c r="U457" s="145">
        <f t="shared" si="36"/>
        <v>1.0900000000000001</v>
      </c>
      <c r="V457" s="145">
        <f>ROUND(R457*F$1817,2)-121</f>
        <v>99.59</v>
      </c>
      <c r="W457" s="145">
        <f>ROUND(R457*F$1823,2)-8</f>
        <v>25.090000000000003</v>
      </c>
      <c r="X457" s="145">
        <f t="shared" si="415"/>
        <v>6.07</v>
      </c>
      <c r="Y457" s="145">
        <f t="shared" si="218"/>
        <v>0.22</v>
      </c>
      <c r="Z457" s="146">
        <f t="shared" si="10"/>
        <v>132.06</v>
      </c>
      <c r="AA457" s="147">
        <f t="shared" si="419"/>
        <v>-220722.06</v>
      </c>
      <c r="AB457" s="148">
        <f t="shared" si="403"/>
        <v>-220722</v>
      </c>
      <c r="AC457" s="149">
        <f t="shared" si="48"/>
        <v>5.9999999997671694E-2</v>
      </c>
      <c r="AD457" s="138">
        <v>44602</v>
      </c>
      <c r="AE457" s="150">
        <f t="shared" si="13"/>
        <v>5.9900000000000003E-4</v>
      </c>
      <c r="AF457" s="151">
        <f t="shared" si="14"/>
        <v>44602</v>
      </c>
      <c r="AG457" s="152" t="s">
        <v>416</v>
      </c>
      <c r="AH457" s="124"/>
    </row>
    <row r="458" spans="1:34" ht="12" customHeight="1">
      <c r="A458" s="155">
        <v>44600</v>
      </c>
      <c r="B458" s="112" t="s">
        <v>589</v>
      </c>
      <c r="C458" s="127" t="s">
        <v>460</v>
      </c>
      <c r="D458" s="112"/>
      <c r="E458" s="112" t="str">
        <f t="shared" si="0"/>
        <v>DCMSHRIRAM</v>
      </c>
      <c r="F458" s="112"/>
      <c r="G458" s="112"/>
      <c r="H458" s="112"/>
      <c r="I458" s="127" t="s">
        <v>461</v>
      </c>
      <c r="J458" s="126" t="s">
        <v>483</v>
      </c>
      <c r="K458" s="127"/>
      <c r="L458" s="127"/>
      <c r="M458" s="128">
        <v>60</v>
      </c>
      <c r="N458" s="129">
        <v>1143.75</v>
      </c>
      <c r="O458" s="130">
        <f t="shared" si="39"/>
        <v>0</v>
      </c>
      <c r="P458" s="130">
        <f>N458-O458</f>
        <v>1143.75</v>
      </c>
      <c r="Q458" s="130"/>
      <c r="R458" s="130">
        <f t="shared" si="3"/>
        <v>68625</v>
      </c>
      <c r="S458" s="131">
        <f t="shared" si="4"/>
        <v>1.1821666666666666</v>
      </c>
      <c r="T458" s="131">
        <f t="shared" si="75"/>
        <v>0</v>
      </c>
      <c r="U458" s="131">
        <f t="shared" si="36"/>
        <v>0.34</v>
      </c>
      <c r="V458" s="131">
        <f t="shared" ref="V458:V477" si="420">ROUND(R458*F$1817,2)</f>
        <v>68.63</v>
      </c>
      <c r="W458" s="131">
        <v>0</v>
      </c>
      <c r="X458" s="131">
        <f t="shared" si="415"/>
        <v>1.89</v>
      </c>
      <c r="Y458" s="131">
        <f t="shared" si="218"/>
        <v>7.0000000000000007E-2</v>
      </c>
      <c r="Z458" s="131">
        <f t="shared" si="10"/>
        <v>70.929999999999993</v>
      </c>
      <c r="AA458" s="132">
        <f>ROUND(R458-SUM(T458:Y458),2)</f>
        <v>68554.070000000007</v>
      </c>
      <c r="AB458" s="133">
        <f t="shared" si="403"/>
        <v>68554</v>
      </c>
      <c r="AC458" s="134">
        <f t="shared" si="48"/>
        <v>-7.0000000006984919E-2</v>
      </c>
      <c r="AD458" s="125">
        <v>44602</v>
      </c>
      <c r="AE458" s="135">
        <f t="shared" si="13"/>
        <v>1.034E-3</v>
      </c>
      <c r="AF458" s="136">
        <f t="shared" si="14"/>
        <v>44602</v>
      </c>
      <c r="AG458" s="137" t="s">
        <v>416</v>
      </c>
      <c r="AH458" s="124"/>
    </row>
    <row r="459" spans="1:34" ht="12" customHeight="1">
      <c r="A459" s="154">
        <v>44601</v>
      </c>
      <c r="B459" s="140" t="s">
        <v>589</v>
      </c>
      <c r="C459" s="141" t="s">
        <v>460</v>
      </c>
      <c r="D459" s="140"/>
      <c r="E459" s="140" t="str">
        <f t="shared" si="0"/>
        <v>DCMSHRIRAM</v>
      </c>
      <c r="F459" s="140"/>
      <c r="G459" s="140"/>
      <c r="H459" s="140"/>
      <c r="I459" s="141" t="s">
        <v>467</v>
      </c>
      <c r="J459" s="139" t="s">
        <v>483</v>
      </c>
      <c r="K459" s="141"/>
      <c r="L459" s="141"/>
      <c r="M459" s="142">
        <v>60</v>
      </c>
      <c r="N459" s="143">
        <v>1135</v>
      </c>
      <c r="O459" s="144">
        <f t="shared" si="39"/>
        <v>0</v>
      </c>
      <c r="P459" s="144">
        <f>N459+O459</f>
        <v>1135</v>
      </c>
      <c r="Q459" s="144"/>
      <c r="R459" s="144">
        <f t="shared" si="3"/>
        <v>68100</v>
      </c>
      <c r="S459" s="145">
        <f t="shared" si="4"/>
        <v>1.3433333333333333</v>
      </c>
      <c r="T459" s="145">
        <f t="shared" si="75"/>
        <v>0</v>
      </c>
      <c r="U459" s="145">
        <f t="shared" si="36"/>
        <v>0.34</v>
      </c>
      <c r="V459" s="145">
        <f t="shared" si="420"/>
        <v>68.099999999999994</v>
      </c>
      <c r="W459" s="145">
        <f>ROUND(R459*F$1823,2)</f>
        <v>10.220000000000001</v>
      </c>
      <c r="X459" s="145">
        <f t="shared" si="415"/>
        <v>1.87</v>
      </c>
      <c r="Y459" s="145">
        <f t="shared" si="218"/>
        <v>7.0000000000000007E-2</v>
      </c>
      <c r="Z459" s="146">
        <f t="shared" si="10"/>
        <v>80.599999999999994</v>
      </c>
      <c r="AA459" s="147">
        <f>-ROUND(R459+SUM(T459:Y459),2)</f>
        <v>-68180.600000000006</v>
      </c>
      <c r="AB459" s="148">
        <f t="shared" si="403"/>
        <v>-68181</v>
      </c>
      <c r="AC459" s="149">
        <f t="shared" si="48"/>
        <v>-0.39999999999417923</v>
      </c>
      <c r="AD459" s="138">
        <v>44603</v>
      </c>
      <c r="AE459" s="150">
        <f t="shared" si="13"/>
        <v>1.1839999999999999E-3</v>
      </c>
      <c r="AF459" s="151">
        <f t="shared" si="14"/>
        <v>44603</v>
      </c>
      <c r="AG459" s="152" t="s">
        <v>416</v>
      </c>
      <c r="AH459" s="124"/>
    </row>
    <row r="460" spans="1:34" ht="12" customHeight="1">
      <c r="A460" s="155">
        <v>44602</v>
      </c>
      <c r="B460" s="112" t="s">
        <v>589</v>
      </c>
      <c r="C460" s="127" t="s">
        <v>460</v>
      </c>
      <c r="D460" s="112"/>
      <c r="E460" s="112" t="str">
        <f t="shared" si="0"/>
        <v>DCMSHRIRAM</v>
      </c>
      <c r="F460" s="112"/>
      <c r="G460" s="112"/>
      <c r="H460" s="112"/>
      <c r="I460" s="127" t="s">
        <v>461</v>
      </c>
      <c r="J460" s="126" t="s">
        <v>483</v>
      </c>
      <c r="K460" s="127"/>
      <c r="L460" s="127"/>
      <c r="M460" s="128">
        <v>50</v>
      </c>
      <c r="N460" s="129">
        <v>1142</v>
      </c>
      <c r="O460" s="130">
        <f t="shared" si="39"/>
        <v>0</v>
      </c>
      <c r="P460" s="130">
        <f>N460-O460</f>
        <v>1142</v>
      </c>
      <c r="Q460" s="130"/>
      <c r="R460" s="130">
        <f t="shared" si="3"/>
        <v>57100</v>
      </c>
      <c r="S460" s="131">
        <f t="shared" si="4"/>
        <v>1.1802000000000001</v>
      </c>
      <c r="T460" s="131">
        <f t="shared" si="75"/>
        <v>0</v>
      </c>
      <c r="U460" s="131">
        <f t="shared" si="36"/>
        <v>0.28000000000000003</v>
      </c>
      <c r="V460" s="131">
        <f t="shared" si="420"/>
        <v>57.1</v>
      </c>
      <c r="W460" s="131">
        <v>0</v>
      </c>
      <c r="X460" s="131">
        <f t="shared" si="415"/>
        <v>1.57</v>
      </c>
      <c r="Y460" s="131">
        <f t="shared" si="218"/>
        <v>0.06</v>
      </c>
      <c r="Z460" s="131">
        <f t="shared" si="10"/>
        <v>59.010000000000005</v>
      </c>
      <c r="AA460" s="132">
        <f>ROUND(R460-SUM(T460:Y460),2)</f>
        <v>57040.99</v>
      </c>
      <c r="AB460" s="133">
        <f t="shared" si="403"/>
        <v>57041</v>
      </c>
      <c r="AC460" s="134">
        <f t="shared" si="48"/>
        <v>1.0000000002037268E-2</v>
      </c>
      <c r="AD460" s="125">
        <v>44606</v>
      </c>
      <c r="AE460" s="135">
        <f t="shared" si="13"/>
        <v>1.0330000000000001E-3</v>
      </c>
      <c r="AF460" s="136">
        <f t="shared" si="14"/>
        <v>44606</v>
      </c>
      <c r="AG460" s="137" t="s">
        <v>416</v>
      </c>
      <c r="AH460" s="124"/>
    </row>
    <row r="461" spans="1:34" ht="12" customHeight="1">
      <c r="A461" s="154">
        <v>44603</v>
      </c>
      <c r="B461" s="140" t="s">
        <v>589</v>
      </c>
      <c r="C461" s="141" t="s">
        <v>460</v>
      </c>
      <c r="D461" s="140"/>
      <c r="E461" s="140" t="str">
        <f t="shared" si="0"/>
        <v>DCMSHRIRAM</v>
      </c>
      <c r="F461" s="140"/>
      <c r="G461" s="140"/>
      <c r="H461" s="140"/>
      <c r="I461" s="141" t="s">
        <v>467</v>
      </c>
      <c r="J461" s="139" t="s">
        <v>483</v>
      </c>
      <c r="K461" s="141"/>
      <c r="L461" s="141"/>
      <c r="M461" s="142">
        <v>164</v>
      </c>
      <c r="N461" s="143">
        <v>1126.3973000000001</v>
      </c>
      <c r="O461" s="144">
        <f t="shared" si="39"/>
        <v>0</v>
      </c>
      <c r="P461" s="144">
        <f t="shared" ref="P461:P464" si="421">N461+O461</f>
        <v>1126.3973000000001</v>
      </c>
      <c r="Q461" s="144"/>
      <c r="R461" s="144">
        <f t="shared" si="3"/>
        <v>184729.16</v>
      </c>
      <c r="S461" s="145">
        <f t="shared" si="4"/>
        <v>1.3329878048780488</v>
      </c>
      <c r="T461" s="145">
        <f t="shared" si="75"/>
        <v>0</v>
      </c>
      <c r="U461" s="145">
        <f t="shared" si="36"/>
        <v>0.91</v>
      </c>
      <c r="V461" s="145">
        <f t="shared" si="420"/>
        <v>184.73</v>
      </c>
      <c r="W461" s="145">
        <f t="shared" ref="W461:W464" si="422">ROUND(R461*F$1823,2)</f>
        <v>27.71</v>
      </c>
      <c r="X461" s="145">
        <f t="shared" si="415"/>
        <v>5.08</v>
      </c>
      <c r="Y461" s="145">
        <f t="shared" si="218"/>
        <v>0.18</v>
      </c>
      <c r="Z461" s="146">
        <f t="shared" si="10"/>
        <v>218.61</v>
      </c>
      <c r="AA461" s="147">
        <f t="shared" ref="AA461:AA464" si="423">-ROUND(R461+SUM(T461:Y461),2)</f>
        <v>-184947.77</v>
      </c>
      <c r="AB461" s="148">
        <f t="shared" si="403"/>
        <v>-184948</v>
      </c>
      <c r="AC461" s="149">
        <f t="shared" si="48"/>
        <v>-0.23000000001047738</v>
      </c>
      <c r="AD461" s="138">
        <v>44607</v>
      </c>
      <c r="AE461" s="150">
        <f t="shared" si="13"/>
        <v>1.183E-3</v>
      </c>
      <c r="AF461" s="151">
        <f t="shared" si="14"/>
        <v>44607</v>
      </c>
      <c r="AG461" s="152" t="s">
        <v>416</v>
      </c>
      <c r="AH461" s="124"/>
    </row>
    <row r="462" spans="1:34" ht="12" customHeight="1">
      <c r="A462" s="154">
        <v>44603</v>
      </c>
      <c r="B462" s="140" t="s">
        <v>527</v>
      </c>
      <c r="C462" s="141" t="s">
        <v>485</v>
      </c>
      <c r="D462" s="140"/>
      <c r="E462" s="140" t="str">
        <f t="shared" si="0"/>
        <v>BPCL</v>
      </c>
      <c r="F462" s="140"/>
      <c r="G462" s="140"/>
      <c r="H462" s="140"/>
      <c r="I462" s="141" t="s">
        <v>467</v>
      </c>
      <c r="J462" s="139" t="s">
        <v>483</v>
      </c>
      <c r="K462" s="141"/>
      <c r="L462" s="141"/>
      <c r="M462" s="142">
        <v>20</v>
      </c>
      <c r="N462" s="143">
        <v>370.75</v>
      </c>
      <c r="O462" s="144">
        <f t="shared" si="39"/>
        <v>0</v>
      </c>
      <c r="P462" s="144">
        <f t="shared" si="421"/>
        <v>370.75</v>
      </c>
      <c r="Q462" s="144"/>
      <c r="R462" s="144">
        <f t="shared" si="3"/>
        <v>7415</v>
      </c>
      <c r="S462" s="145">
        <f t="shared" si="4"/>
        <v>0.43899999999999995</v>
      </c>
      <c r="T462" s="145">
        <f t="shared" si="75"/>
        <v>0</v>
      </c>
      <c r="U462" s="145">
        <f t="shared" si="36"/>
        <v>0.04</v>
      </c>
      <c r="V462" s="145">
        <f t="shared" si="420"/>
        <v>7.42</v>
      </c>
      <c r="W462" s="145">
        <f t="shared" si="422"/>
        <v>1.1100000000000001</v>
      </c>
      <c r="X462" s="145">
        <f t="shared" si="415"/>
        <v>0.2</v>
      </c>
      <c r="Y462" s="145">
        <f t="shared" si="218"/>
        <v>0.01</v>
      </c>
      <c r="Z462" s="146">
        <f t="shared" si="10"/>
        <v>8.7799999999999994</v>
      </c>
      <c r="AA462" s="147">
        <f t="shared" si="423"/>
        <v>-7423.78</v>
      </c>
      <c r="AB462" s="148">
        <f t="shared" si="403"/>
        <v>-7424</v>
      </c>
      <c r="AC462" s="149">
        <f t="shared" si="48"/>
        <v>-0.22000000000025466</v>
      </c>
      <c r="AD462" s="138">
        <v>44607</v>
      </c>
      <c r="AE462" s="150">
        <f t="shared" si="13"/>
        <v>1.1839999999999999E-3</v>
      </c>
      <c r="AF462" s="151">
        <f t="shared" si="14"/>
        <v>44607</v>
      </c>
      <c r="AG462" s="152" t="s">
        <v>416</v>
      </c>
      <c r="AH462" s="124"/>
    </row>
    <row r="463" spans="1:34" ht="12" customHeight="1">
      <c r="A463" s="154">
        <v>44603</v>
      </c>
      <c r="B463" s="140" t="s">
        <v>600</v>
      </c>
      <c r="C463" s="141" t="s">
        <v>485</v>
      </c>
      <c r="D463" s="140"/>
      <c r="E463" s="140" t="str">
        <f t="shared" si="0"/>
        <v>TOYAMIND</v>
      </c>
      <c r="F463" s="140"/>
      <c r="G463" s="140"/>
      <c r="H463" s="140"/>
      <c r="I463" s="141" t="s">
        <v>467</v>
      </c>
      <c r="J463" s="139" t="s">
        <v>483</v>
      </c>
      <c r="K463" s="141"/>
      <c r="L463" s="141"/>
      <c r="M463" s="142">
        <v>500</v>
      </c>
      <c r="N463" s="143">
        <v>8.31</v>
      </c>
      <c r="O463" s="144">
        <f t="shared" si="39"/>
        <v>0</v>
      </c>
      <c r="P463" s="144">
        <f t="shared" si="421"/>
        <v>8.31</v>
      </c>
      <c r="Q463" s="144"/>
      <c r="R463" s="144">
        <f t="shared" si="3"/>
        <v>4155</v>
      </c>
      <c r="S463" s="145">
        <f t="shared" si="4"/>
        <v>1.9380000000000001E-2</v>
      </c>
      <c r="T463" s="145">
        <f t="shared" si="75"/>
        <v>0</v>
      </c>
      <c r="U463" s="145">
        <f t="shared" si="36"/>
        <v>0.75</v>
      </c>
      <c r="V463" s="145">
        <f t="shared" si="420"/>
        <v>4.16</v>
      </c>
      <c r="W463" s="145">
        <f t="shared" si="422"/>
        <v>0.62</v>
      </c>
      <c r="X463" s="145">
        <f t="shared" ref="X463:X464" si="424">ROUND(R463*0.1%,2)</f>
        <v>4.16</v>
      </c>
      <c r="Y463" s="145">
        <f t="shared" si="218"/>
        <v>0</v>
      </c>
      <c r="Z463" s="146">
        <f t="shared" si="10"/>
        <v>9.6900000000000013</v>
      </c>
      <c r="AA463" s="147">
        <f t="shared" si="423"/>
        <v>-4164.6899999999996</v>
      </c>
      <c r="AB463" s="148">
        <f t="shared" si="403"/>
        <v>-4165</v>
      </c>
      <c r="AC463" s="149">
        <f t="shared" si="48"/>
        <v>-0.31000000000040018</v>
      </c>
      <c r="AD463" s="138">
        <v>44607</v>
      </c>
      <c r="AE463" s="150">
        <f t="shared" si="13"/>
        <v>2.3319999999999999E-3</v>
      </c>
      <c r="AF463" s="151">
        <f t="shared" si="14"/>
        <v>44607</v>
      </c>
      <c r="AG463" s="152" t="s">
        <v>416</v>
      </c>
      <c r="AH463" s="124"/>
    </row>
    <row r="464" spans="1:34" ht="12" customHeight="1">
      <c r="A464" s="154">
        <v>44606</v>
      </c>
      <c r="B464" s="140" t="s">
        <v>600</v>
      </c>
      <c r="C464" s="141" t="s">
        <v>485</v>
      </c>
      <c r="D464" s="140"/>
      <c r="E464" s="140" t="str">
        <f t="shared" si="0"/>
        <v>TOYAMIND</v>
      </c>
      <c r="F464" s="140"/>
      <c r="G464" s="140"/>
      <c r="H464" s="140"/>
      <c r="I464" s="141" t="s">
        <v>467</v>
      </c>
      <c r="J464" s="139" t="s">
        <v>483</v>
      </c>
      <c r="K464" s="141"/>
      <c r="L464" s="141"/>
      <c r="M464" s="142">
        <v>300</v>
      </c>
      <c r="N464" s="143">
        <v>7.9</v>
      </c>
      <c r="O464" s="144">
        <f t="shared" si="39"/>
        <v>0</v>
      </c>
      <c r="P464" s="144">
        <f t="shared" si="421"/>
        <v>7.9</v>
      </c>
      <c r="Q464" s="144"/>
      <c r="R464" s="144">
        <f t="shared" si="3"/>
        <v>2370</v>
      </c>
      <c r="S464" s="145">
        <f t="shared" si="4"/>
        <v>1.8433333333333333E-2</v>
      </c>
      <c r="T464" s="145">
        <f t="shared" si="75"/>
        <v>0</v>
      </c>
      <c r="U464" s="145">
        <f t="shared" si="36"/>
        <v>0.43</v>
      </c>
      <c r="V464" s="145">
        <f t="shared" si="420"/>
        <v>2.37</v>
      </c>
      <c r="W464" s="145">
        <f t="shared" si="422"/>
        <v>0.36</v>
      </c>
      <c r="X464" s="145">
        <f t="shared" si="424"/>
        <v>2.37</v>
      </c>
      <c r="Y464" s="145">
        <f t="shared" si="218"/>
        <v>0</v>
      </c>
      <c r="Z464" s="146">
        <f t="shared" si="10"/>
        <v>5.53</v>
      </c>
      <c r="AA464" s="147">
        <f t="shared" si="423"/>
        <v>-2375.5300000000002</v>
      </c>
      <c r="AB464" s="148">
        <f t="shared" si="403"/>
        <v>-2376</v>
      </c>
      <c r="AC464" s="149">
        <f t="shared" si="48"/>
        <v>-0.46999999999979991</v>
      </c>
      <c r="AD464" s="138">
        <v>44608</v>
      </c>
      <c r="AE464" s="150">
        <f t="shared" si="13"/>
        <v>2.333E-3</v>
      </c>
      <c r="AF464" s="151">
        <f t="shared" si="14"/>
        <v>44608</v>
      </c>
      <c r="AG464" s="152" t="s">
        <v>416</v>
      </c>
      <c r="AH464" s="124"/>
    </row>
    <row r="465" spans="1:34" ht="12" customHeight="1">
      <c r="A465" s="155">
        <v>44607</v>
      </c>
      <c r="B465" s="112" t="s">
        <v>589</v>
      </c>
      <c r="C465" s="127" t="s">
        <v>460</v>
      </c>
      <c r="D465" s="112"/>
      <c r="E465" s="112" t="str">
        <f t="shared" si="0"/>
        <v>DCMSHRIRAM</v>
      </c>
      <c r="F465" s="112"/>
      <c r="G465" s="112"/>
      <c r="H465" s="112"/>
      <c r="I465" s="127" t="s">
        <v>461</v>
      </c>
      <c r="J465" s="126" t="s">
        <v>483</v>
      </c>
      <c r="K465" s="127"/>
      <c r="L465" s="127"/>
      <c r="M465" s="128">
        <v>70</v>
      </c>
      <c r="N465" s="129">
        <v>1061.8499999999999</v>
      </c>
      <c r="O465" s="130">
        <f t="shared" si="39"/>
        <v>0</v>
      </c>
      <c r="P465" s="130">
        <f>N465-O465</f>
        <v>1061.8499999999999</v>
      </c>
      <c r="Q465" s="130"/>
      <c r="R465" s="130">
        <f t="shared" si="3"/>
        <v>74329.5</v>
      </c>
      <c r="S465" s="131">
        <f t="shared" si="4"/>
        <v>1.0972857142857144</v>
      </c>
      <c r="T465" s="131">
        <f t="shared" si="75"/>
        <v>0</v>
      </c>
      <c r="U465" s="131">
        <f t="shared" si="36"/>
        <v>0.37</v>
      </c>
      <c r="V465" s="131">
        <f t="shared" si="420"/>
        <v>74.33</v>
      </c>
      <c r="W465" s="131">
        <v>0</v>
      </c>
      <c r="X465" s="131">
        <f>ROUND(R465*G$1820,2)</f>
        <v>2.04</v>
      </c>
      <c r="Y465" s="131">
        <f t="shared" si="218"/>
        <v>7.0000000000000007E-2</v>
      </c>
      <c r="Z465" s="131">
        <f t="shared" si="10"/>
        <v>76.81</v>
      </c>
      <c r="AA465" s="132">
        <f>ROUND(R465-SUM(T465:Y465),2)</f>
        <v>74252.69</v>
      </c>
      <c r="AB465" s="133">
        <f t="shared" si="403"/>
        <v>74253</v>
      </c>
      <c r="AC465" s="134">
        <f t="shared" si="48"/>
        <v>0.30999999999767169</v>
      </c>
      <c r="AD465" s="125">
        <v>44609</v>
      </c>
      <c r="AE465" s="135">
        <f t="shared" si="13"/>
        <v>1.0330000000000001E-3</v>
      </c>
      <c r="AF465" s="136">
        <f t="shared" si="14"/>
        <v>44609</v>
      </c>
      <c r="AG465" s="137" t="s">
        <v>416</v>
      </c>
      <c r="AH465" s="124"/>
    </row>
    <row r="466" spans="1:34" ht="12" customHeight="1">
      <c r="A466" s="154">
        <v>44607</v>
      </c>
      <c r="B466" s="140" t="s">
        <v>600</v>
      </c>
      <c r="C466" s="141" t="s">
        <v>485</v>
      </c>
      <c r="D466" s="140"/>
      <c r="E466" s="140" t="str">
        <f t="shared" si="0"/>
        <v>TOYAMIND</v>
      </c>
      <c r="F466" s="140"/>
      <c r="G466" s="140"/>
      <c r="H466" s="140"/>
      <c r="I466" s="141" t="s">
        <v>467</v>
      </c>
      <c r="J466" s="139" t="s">
        <v>483</v>
      </c>
      <c r="K466" s="141"/>
      <c r="L466" s="141"/>
      <c r="M466" s="142">
        <v>200</v>
      </c>
      <c r="N466" s="143">
        <v>7.51</v>
      </c>
      <c r="O466" s="144">
        <f t="shared" si="39"/>
        <v>0</v>
      </c>
      <c r="P466" s="144">
        <f t="shared" ref="P466:P468" si="425">N466+O466</f>
        <v>7.51</v>
      </c>
      <c r="Q466" s="144"/>
      <c r="R466" s="144">
        <f t="shared" si="3"/>
        <v>1502</v>
      </c>
      <c r="S466" s="145">
        <f t="shared" si="4"/>
        <v>1.7500000000000002E-2</v>
      </c>
      <c r="T466" s="145">
        <f t="shared" si="75"/>
        <v>0</v>
      </c>
      <c r="U466" s="145">
        <f t="shared" si="36"/>
        <v>0.27</v>
      </c>
      <c r="V466" s="145">
        <f t="shared" si="420"/>
        <v>1.5</v>
      </c>
      <c r="W466" s="145">
        <f t="shared" ref="W466:W468" si="426">ROUND(R466*F$1823,2)</f>
        <v>0.23</v>
      </c>
      <c r="X466" s="145">
        <f>ROUND(R466*0.1%,2)</f>
        <v>1.5</v>
      </c>
      <c r="Y466" s="145">
        <f t="shared" si="218"/>
        <v>0</v>
      </c>
      <c r="Z466" s="146">
        <f t="shared" si="10"/>
        <v>3.5</v>
      </c>
      <c r="AA466" s="147">
        <f t="shared" ref="AA466:AA468" si="427">-ROUND(R466+SUM(T466:Y466),2)</f>
        <v>-1505.5</v>
      </c>
      <c r="AB466" s="148">
        <f t="shared" si="403"/>
        <v>-1506</v>
      </c>
      <c r="AC466" s="149">
        <f t="shared" si="48"/>
        <v>-0.5</v>
      </c>
      <c r="AD466" s="138">
        <v>44609</v>
      </c>
      <c r="AE466" s="150">
        <f t="shared" si="13"/>
        <v>2.33E-3</v>
      </c>
      <c r="AF466" s="151">
        <f t="shared" si="14"/>
        <v>44609</v>
      </c>
      <c r="AG466" s="152" t="s">
        <v>416</v>
      </c>
      <c r="AH466" s="124"/>
    </row>
    <row r="467" spans="1:34" ht="12" customHeight="1">
      <c r="A467" s="154">
        <v>44610</v>
      </c>
      <c r="B467" s="140" t="s">
        <v>589</v>
      </c>
      <c r="C467" s="141" t="s">
        <v>460</v>
      </c>
      <c r="D467" s="140"/>
      <c r="E467" s="140" t="str">
        <f t="shared" si="0"/>
        <v>DCMSHRIRAM</v>
      </c>
      <c r="F467" s="140"/>
      <c r="G467" s="140"/>
      <c r="H467" s="140"/>
      <c r="I467" s="141" t="s">
        <v>467</v>
      </c>
      <c r="J467" s="139" t="s">
        <v>483</v>
      </c>
      <c r="K467" s="141"/>
      <c r="L467" s="141"/>
      <c r="M467" s="142">
        <v>90</v>
      </c>
      <c r="N467" s="143">
        <v>1047.8888999999999</v>
      </c>
      <c r="O467" s="144">
        <f t="shared" si="39"/>
        <v>0</v>
      </c>
      <c r="P467" s="144">
        <f t="shared" si="425"/>
        <v>1047.8888999999999</v>
      </c>
      <c r="Q467" s="144"/>
      <c r="R467" s="144">
        <f t="shared" si="3"/>
        <v>94310</v>
      </c>
      <c r="S467" s="145">
        <f t="shared" si="4"/>
        <v>1.2401111111111112</v>
      </c>
      <c r="T467" s="145">
        <f t="shared" si="75"/>
        <v>0</v>
      </c>
      <c r="U467" s="145">
        <f t="shared" si="36"/>
        <v>0.47</v>
      </c>
      <c r="V467" s="145">
        <f t="shared" si="420"/>
        <v>94.31</v>
      </c>
      <c r="W467" s="145">
        <f t="shared" si="426"/>
        <v>14.15</v>
      </c>
      <c r="X467" s="145">
        <f t="shared" ref="X467:X469" si="428">ROUND(R467*G$1820,2)</f>
        <v>2.59</v>
      </c>
      <c r="Y467" s="145">
        <f t="shared" si="218"/>
        <v>0.09</v>
      </c>
      <c r="Z467" s="146">
        <f t="shared" si="10"/>
        <v>111.61000000000001</v>
      </c>
      <c r="AA467" s="147">
        <f t="shared" si="427"/>
        <v>-94421.61</v>
      </c>
      <c r="AB467" s="148">
        <f t="shared" si="403"/>
        <v>-94422</v>
      </c>
      <c r="AC467" s="149">
        <f t="shared" si="48"/>
        <v>-0.38999999999941792</v>
      </c>
      <c r="AD467" s="138">
        <v>44614</v>
      </c>
      <c r="AE467" s="150">
        <f t="shared" si="13"/>
        <v>1.183E-3</v>
      </c>
      <c r="AF467" s="151">
        <f t="shared" si="14"/>
        <v>44614</v>
      </c>
      <c r="AG467" s="152" t="s">
        <v>416</v>
      </c>
      <c r="AH467" s="124"/>
    </row>
    <row r="468" spans="1:34" ht="12" customHeight="1">
      <c r="A468" s="154">
        <v>44613</v>
      </c>
      <c r="B468" s="140" t="s">
        <v>589</v>
      </c>
      <c r="C468" s="141" t="s">
        <v>460</v>
      </c>
      <c r="D468" s="140"/>
      <c r="E468" s="140" t="str">
        <f t="shared" si="0"/>
        <v>DCMSHRIRAM</v>
      </c>
      <c r="F468" s="140"/>
      <c r="G468" s="140"/>
      <c r="H468" s="140"/>
      <c r="I468" s="141" t="s">
        <v>467</v>
      </c>
      <c r="J468" s="139" t="s">
        <v>483</v>
      </c>
      <c r="K468" s="141"/>
      <c r="L468" s="141"/>
      <c r="M468" s="142">
        <v>115</v>
      </c>
      <c r="N468" s="143">
        <v>1011.2417</v>
      </c>
      <c r="O468" s="144">
        <f t="shared" si="39"/>
        <v>0</v>
      </c>
      <c r="P468" s="144">
        <f t="shared" si="425"/>
        <v>1011.2417</v>
      </c>
      <c r="Q468" s="144"/>
      <c r="R468" s="144">
        <f t="shared" si="3"/>
        <v>116292.8</v>
      </c>
      <c r="S468" s="145">
        <f t="shared" si="4"/>
        <v>1.1967826086956521</v>
      </c>
      <c r="T468" s="145">
        <f t="shared" si="75"/>
        <v>0</v>
      </c>
      <c r="U468" s="145">
        <f t="shared" si="36"/>
        <v>0.57999999999999996</v>
      </c>
      <c r="V468" s="145">
        <f t="shared" si="420"/>
        <v>116.29</v>
      </c>
      <c r="W468" s="145">
        <f t="shared" si="426"/>
        <v>17.440000000000001</v>
      </c>
      <c r="X468" s="145">
        <f t="shared" si="428"/>
        <v>3.2</v>
      </c>
      <c r="Y468" s="145">
        <f t="shared" si="218"/>
        <v>0.12</v>
      </c>
      <c r="Z468" s="146">
        <f t="shared" si="10"/>
        <v>137.63</v>
      </c>
      <c r="AA468" s="147">
        <f t="shared" si="427"/>
        <v>-116430.43</v>
      </c>
      <c r="AB468" s="148">
        <f t="shared" si="403"/>
        <v>-116430</v>
      </c>
      <c r="AC468" s="149">
        <f t="shared" si="48"/>
        <v>0.42999999999301508</v>
      </c>
      <c r="AD468" s="138">
        <v>44615</v>
      </c>
      <c r="AE468" s="150">
        <f t="shared" si="13"/>
        <v>1.183E-3</v>
      </c>
      <c r="AF468" s="151">
        <f t="shared" si="14"/>
        <v>44615</v>
      </c>
      <c r="AG468" s="152" t="s">
        <v>416</v>
      </c>
      <c r="AH468" s="124"/>
    </row>
    <row r="469" spans="1:34" ht="12" customHeight="1">
      <c r="A469" s="155">
        <v>44613</v>
      </c>
      <c r="B469" s="112" t="s">
        <v>498</v>
      </c>
      <c r="C469" s="127" t="s">
        <v>460</v>
      </c>
      <c r="D469" s="112"/>
      <c r="E469" s="112" t="str">
        <f t="shared" si="0"/>
        <v>BAJFINANCE</v>
      </c>
      <c r="F469" s="112"/>
      <c r="G469" s="112"/>
      <c r="H469" s="112"/>
      <c r="I469" s="127" t="s">
        <v>461</v>
      </c>
      <c r="J469" s="126" t="s">
        <v>483</v>
      </c>
      <c r="K469" s="127"/>
      <c r="L469" s="127"/>
      <c r="M469" s="128">
        <v>3</v>
      </c>
      <c r="N469" s="129">
        <v>7007</v>
      </c>
      <c r="O469" s="130">
        <f t="shared" si="39"/>
        <v>0</v>
      </c>
      <c r="P469" s="130">
        <f t="shared" ref="P469:P470" si="429">N469-O469</f>
        <v>7007</v>
      </c>
      <c r="Q469" s="130"/>
      <c r="R469" s="130">
        <f t="shared" si="3"/>
        <v>21021</v>
      </c>
      <c r="S469" s="131">
        <f t="shared" si="4"/>
        <v>7.2399999999999993</v>
      </c>
      <c r="T469" s="131">
        <f t="shared" si="75"/>
        <v>0</v>
      </c>
      <c r="U469" s="131">
        <f t="shared" si="36"/>
        <v>0.1</v>
      </c>
      <c r="V469" s="131">
        <f t="shared" si="420"/>
        <v>21.02</v>
      </c>
      <c r="W469" s="131">
        <v>0</v>
      </c>
      <c r="X469" s="131">
        <f t="shared" si="428"/>
        <v>0.57999999999999996</v>
      </c>
      <c r="Y469" s="131">
        <f t="shared" si="218"/>
        <v>0.02</v>
      </c>
      <c r="Z469" s="131">
        <f t="shared" si="10"/>
        <v>21.72</v>
      </c>
      <c r="AA469" s="132">
        <f t="shared" ref="AA469:AA470" si="430">ROUND(R469-SUM(T469:Y469),2)</f>
        <v>20999.279999999999</v>
      </c>
      <c r="AB469" s="133">
        <f t="shared" si="403"/>
        <v>20999</v>
      </c>
      <c r="AC469" s="134">
        <f t="shared" si="48"/>
        <v>-0.27999999999883585</v>
      </c>
      <c r="AD469" s="125">
        <v>44615</v>
      </c>
      <c r="AE469" s="135">
        <f t="shared" si="13"/>
        <v>1.0330000000000001E-3</v>
      </c>
      <c r="AF469" s="136">
        <f t="shared" si="14"/>
        <v>44615</v>
      </c>
      <c r="AG469" s="137" t="s">
        <v>416</v>
      </c>
      <c r="AH469" s="124"/>
    </row>
    <row r="470" spans="1:34" ht="12" customHeight="1">
      <c r="A470" s="155">
        <v>44614</v>
      </c>
      <c r="B470" s="112" t="s">
        <v>498</v>
      </c>
      <c r="C470" s="127" t="s">
        <v>460</v>
      </c>
      <c r="D470" s="112"/>
      <c r="E470" s="112" t="str">
        <f t="shared" si="0"/>
        <v>BAJFINANCE</v>
      </c>
      <c r="F470" s="112"/>
      <c r="G470" s="112"/>
      <c r="H470" s="112"/>
      <c r="I470" s="127" t="s">
        <v>461</v>
      </c>
      <c r="J470" s="126" t="s">
        <v>483</v>
      </c>
      <c r="K470" s="127"/>
      <c r="L470" s="127"/>
      <c r="M470" s="128">
        <v>2</v>
      </c>
      <c r="N470" s="129">
        <v>6900</v>
      </c>
      <c r="O470" s="130">
        <f t="shared" si="39"/>
        <v>0</v>
      </c>
      <c r="P470" s="130">
        <f t="shared" si="429"/>
        <v>6900</v>
      </c>
      <c r="Q470" s="130"/>
      <c r="R470" s="130">
        <f t="shared" si="3"/>
        <v>13800</v>
      </c>
      <c r="S470" s="131">
        <f t="shared" si="4"/>
        <v>7.19</v>
      </c>
      <c r="T470" s="131">
        <f t="shared" si="75"/>
        <v>0</v>
      </c>
      <c r="U470" s="131">
        <f t="shared" si="36"/>
        <v>0.09</v>
      </c>
      <c r="V470" s="131">
        <f t="shared" si="420"/>
        <v>13.8</v>
      </c>
      <c r="W470" s="131">
        <v>0</v>
      </c>
      <c r="X470" s="131">
        <f>ROUND(R470*H$1820,2)</f>
        <v>0.48</v>
      </c>
      <c r="Y470" s="131">
        <f t="shared" si="218"/>
        <v>0.01</v>
      </c>
      <c r="Z470" s="131">
        <f t="shared" si="10"/>
        <v>14.38</v>
      </c>
      <c r="AA470" s="132">
        <f t="shared" si="430"/>
        <v>13785.62</v>
      </c>
      <c r="AB470" s="133">
        <f t="shared" si="403"/>
        <v>13786</v>
      </c>
      <c r="AC470" s="134">
        <f t="shared" si="48"/>
        <v>0.37999999999919964</v>
      </c>
      <c r="AD470" s="125">
        <v>44616</v>
      </c>
      <c r="AE470" s="135">
        <f t="shared" si="13"/>
        <v>1.042E-3</v>
      </c>
      <c r="AF470" s="136">
        <f t="shared" si="14"/>
        <v>44616</v>
      </c>
      <c r="AG470" s="137" t="s">
        <v>416</v>
      </c>
      <c r="AH470" s="124"/>
    </row>
    <row r="471" spans="1:34" ht="12" customHeight="1">
      <c r="A471" s="154">
        <v>44614</v>
      </c>
      <c r="B471" s="140" t="s">
        <v>589</v>
      </c>
      <c r="C471" s="141" t="s">
        <v>460</v>
      </c>
      <c r="D471" s="140"/>
      <c r="E471" s="140" t="str">
        <f t="shared" si="0"/>
        <v>DCMSHRIRAM</v>
      </c>
      <c r="F471" s="140"/>
      <c r="G471" s="140"/>
      <c r="H471" s="140"/>
      <c r="I471" s="141" t="s">
        <v>467</v>
      </c>
      <c r="J471" s="139" t="s">
        <v>483</v>
      </c>
      <c r="K471" s="141"/>
      <c r="L471" s="141"/>
      <c r="M471" s="142">
        <v>100</v>
      </c>
      <c r="N471" s="143">
        <v>954.8</v>
      </c>
      <c r="O471" s="144">
        <f t="shared" si="39"/>
        <v>0</v>
      </c>
      <c r="P471" s="144">
        <f>N471+O471</f>
        <v>954.8</v>
      </c>
      <c r="Q471" s="144"/>
      <c r="R471" s="144">
        <f t="shared" si="3"/>
        <v>95480</v>
      </c>
      <c r="S471" s="145">
        <f t="shared" si="4"/>
        <v>1.1299999999999999</v>
      </c>
      <c r="T471" s="145">
        <f t="shared" si="75"/>
        <v>0</v>
      </c>
      <c r="U471" s="145">
        <f t="shared" si="36"/>
        <v>0.47</v>
      </c>
      <c r="V471" s="145">
        <f t="shared" si="420"/>
        <v>95.48</v>
      </c>
      <c r="W471" s="145">
        <f>ROUND(R471*F$1823,2)</f>
        <v>14.32</v>
      </c>
      <c r="X471" s="145">
        <f t="shared" ref="X471:X476" si="431">ROUND(R471*G$1820,2)</f>
        <v>2.63</v>
      </c>
      <c r="Y471" s="145">
        <f t="shared" si="218"/>
        <v>0.1</v>
      </c>
      <c r="Z471" s="146">
        <f t="shared" si="10"/>
        <v>113</v>
      </c>
      <c r="AA471" s="147">
        <f>-ROUND(R471+SUM(T471:Y471),2)</f>
        <v>-95593</v>
      </c>
      <c r="AB471" s="148">
        <f t="shared" si="403"/>
        <v>-95593</v>
      </c>
      <c r="AC471" s="149">
        <f t="shared" si="48"/>
        <v>0</v>
      </c>
      <c r="AD471" s="138">
        <v>44616</v>
      </c>
      <c r="AE471" s="150">
        <f t="shared" si="13"/>
        <v>1.183E-3</v>
      </c>
      <c r="AF471" s="151">
        <f t="shared" si="14"/>
        <v>44616</v>
      </c>
      <c r="AG471" s="152" t="s">
        <v>416</v>
      </c>
      <c r="AH471" s="124"/>
    </row>
    <row r="472" spans="1:34" ht="12" customHeight="1">
      <c r="A472" s="155">
        <v>44614</v>
      </c>
      <c r="B472" s="112" t="s">
        <v>601</v>
      </c>
      <c r="C472" s="127" t="s">
        <v>485</v>
      </c>
      <c r="D472" s="112"/>
      <c r="E472" s="112" t="str">
        <f t="shared" si="0"/>
        <v>FEDERALBNK</v>
      </c>
      <c r="F472" s="112"/>
      <c r="G472" s="112"/>
      <c r="H472" s="112"/>
      <c r="I472" s="127" t="s">
        <v>461</v>
      </c>
      <c r="J472" s="126" t="s">
        <v>483</v>
      </c>
      <c r="K472" s="127"/>
      <c r="L472" s="127"/>
      <c r="M472" s="128">
        <v>100</v>
      </c>
      <c r="N472" s="129">
        <v>97.2</v>
      </c>
      <c r="O472" s="130">
        <f t="shared" si="39"/>
        <v>0</v>
      </c>
      <c r="P472" s="130">
        <f t="shared" ref="P472:P475" si="432">N472-O472</f>
        <v>97.2</v>
      </c>
      <c r="Q472" s="130"/>
      <c r="R472" s="130">
        <f t="shared" si="3"/>
        <v>9720</v>
      </c>
      <c r="S472" s="131">
        <f t="shared" si="4"/>
        <v>0.10050000000000001</v>
      </c>
      <c r="T472" s="131">
        <f t="shared" si="75"/>
        <v>0</v>
      </c>
      <c r="U472" s="131">
        <f t="shared" si="36"/>
        <v>0.05</v>
      </c>
      <c r="V472" s="131">
        <f t="shared" si="420"/>
        <v>9.7200000000000006</v>
      </c>
      <c r="W472" s="131">
        <v>0</v>
      </c>
      <c r="X472" s="131">
        <f t="shared" si="431"/>
        <v>0.27</v>
      </c>
      <c r="Y472" s="131">
        <f t="shared" si="218"/>
        <v>0.01</v>
      </c>
      <c r="Z472" s="131">
        <f t="shared" si="10"/>
        <v>10.050000000000001</v>
      </c>
      <c r="AA472" s="132">
        <f t="shared" ref="AA472:AA475" si="433">ROUND(R472-SUM(T472:Y472),2)</f>
        <v>9709.9500000000007</v>
      </c>
      <c r="AB472" s="133">
        <f t="shared" si="403"/>
        <v>9710</v>
      </c>
      <c r="AC472" s="134">
        <f t="shared" si="48"/>
        <v>4.9999999999272404E-2</v>
      </c>
      <c r="AD472" s="125">
        <v>44616</v>
      </c>
      <c r="AE472" s="135">
        <f t="shared" si="13"/>
        <v>1.034E-3</v>
      </c>
      <c r="AF472" s="136">
        <f t="shared" si="14"/>
        <v>44616</v>
      </c>
      <c r="AG472" s="137" t="s">
        <v>416</v>
      </c>
      <c r="AH472" s="124"/>
    </row>
    <row r="473" spans="1:34" ht="12" customHeight="1">
      <c r="A473" s="155">
        <v>44614</v>
      </c>
      <c r="B473" s="112" t="s">
        <v>607</v>
      </c>
      <c r="C473" s="127" t="s">
        <v>485</v>
      </c>
      <c r="D473" s="112"/>
      <c r="E473" s="112" t="str">
        <f t="shared" si="0"/>
        <v>AUROPHARMA</v>
      </c>
      <c r="F473" s="112"/>
      <c r="G473" s="112"/>
      <c r="H473" s="112"/>
      <c r="I473" s="127" t="s">
        <v>461</v>
      </c>
      <c r="J473" s="126" t="s">
        <v>483</v>
      </c>
      <c r="K473" s="127"/>
      <c r="L473" s="127"/>
      <c r="M473" s="128">
        <v>20</v>
      </c>
      <c r="N473" s="129">
        <v>634</v>
      </c>
      <c r="O473" s="130">
        <f t="shared" si="39"/>
        <v>0</v>
      </c>
      <c r="P473" s="130">
        <f t="shared" si="432"/>
        <v>634</v>
      </c>
      <c r="Q473" s="130"/>
      <c r="R473" s="130">
        <f t="shared" si="3"/>
        <v>12680</v>
      </c>
      <c r="S473" s="131">
        <f t="shared" si="4"/>
        <v>0.65500000000000003</v>
      </c>
      <c r="T473" s="131">
        <f t="shared" si="75"/>
        <v>0</v>
      </c>
      <c r="U473" s="131">
        <f t="shared" si="36"/>
        <v>0.06</v>
      </c>
      <c r="V473" s="131">
        <f t="shared" si="420"/>
        <v>12.68</v>
      </c>
      <c r="W473" s="131">
        <v>0</v>
      </c>
      <c r="X473" s="131">
        <f t="shared" si="431"/>
        <v>0.35</v>
      </c>
      <c r="Y473" s="131">
        <f t="shared" si="218"/>
        <v>0.01</v>
      </c>
      <c r="Z473" s="131">
        <f t="shared" si="10"/>
        <v>13.1</v>
      </c>
      <c r="AA473" s="132">
        <f t="shared" si="433"/>
        <v>12666.9</v>
      </c>
      <c r="AB473" s="133">
        <f t="shared" si="403"/>
        <v>12667</v>
      </c>
      <c r="AC473" s="134">
        <f t="shared" si="48"/>
        <v>0.1000000000003638</v>
      </c>
      <c r="AD473" s="125">
        <v>44616</v>
      </c>
      <c r="AE473" s="135">
        <f t="shared" si="13"/>
        <v>1.0330000000000001E-3</v>
      </c>
      <c r="AF473" s="136">
        <f t="shared" si="14"/>
        <v>44616</v>
      </c>
      <c r="AG473" s="137" t="s">
        <v>416</v>
      </c>
      <c r="AH473" s="124"/>
    </row>
    <row r="474" spans="1:34" ht="12" customHeight="1">
      <c r="A474" s="155">
        <v>44614</v>
      </c>
      <c r="B474" s="112" t="s">
        <v>605</v>
      </c>
      <c r="C474" s="127" t="s">
        <v>485</v>
      </c>
      <c r="D474" s="112"/>
      <c r="E474" s="112" t="str">
        <f t="shared" si="0"/>
        <v>LICHSGFIN</v>
      </c>
      <c r="F474" s="112"/>
      <c r="G474" s="112"/>
      <c r="H474" s="112"/>
      <c r="I474" s="127" t="s">
        <v>461</v>
      </c>
      <c r="J474" s="126" t="s">
        <v>483</v>
      </c>
      <c r="K474" s="127"/>
      <c r="L474" s="127"/>
      <c r="M474" s="128">
        <v>50</v>
      </c>
      <c r="N474" s="129">
        <v>367</v>
      </c>
      <c r="O474" s="130">
        <f t="shared" si="39"/>
        <v>0</v>
      </c>
      <c r="P474" s="130">
        <f t="shared" si="432"/>
        <v>367</v>
      </c>
      <c r="Q474" s="130"/>
      <c r="R474" s="130">
        <f t="shared" si="3"/>
        <v>18350</v>
      </c>
      <c r="S474" s="131">
        <f t="shared" si="4"/>
        <v>0.37920000000000004</v>
      </c>
      <c r="T474" s="131">
        <f t="shared" si="75"/>
        <v>0</v>
      </c>
      <c r="U474" s="131">
        <f t="shared" si="36"/>
        <v>0.09</v>
      </c>
      <c r="V474" s="131">
        <f t="shared" si="420"/>
        <v>18.350000000000001</v>
      </c>
      <c r="W474" s="131">
        <v>0</v>
      </c>
      <c r="X474" s="131">
        <f t="shared" si="431"/>
        <v>0.5</v>
      </c>
      <c r="Y474" s="131">
        <f t="shared" si="218"/>
        <v>0.02</v>
      </c>
      <c r="Z474" s="131">
        <f t="shared" si="10"/>
        <v>18.96</v>
      </c>
      <c r="AA474" s="132">
        <f t="shared" si="433"/>
        <v>18331.04</v>
      </c>
      <c r="AB474" s="133">
        <f t="shared" si="403"/>
        <v>18331</v>
      </c>
      <c r="AC474" s="134">
        <f t="shared" si="48"/>
        <v>-4.0000000000873115E-2</v>
      </c>
      <c r="AD474" s="125">
        <v>44616</v>
      </c>
      <c r="AE474" s="135">
        <f t="shared" si="13"/>
        <v>1.0330000000000001E-3</v>
      </c>
      <c r="AF474" s="136">
        <f t="shared" si="14"/>
        <v>44616</v>
      </c>
      <c r="AG474" s="137" t="s">
        <v>416</v>
      </c>
      <c r="AH474" s="124"/>
    </row>
    <row r="475" spans="1:34" ht="12" customHeight="1">
      <c r="A475" s="155">
        <v>44615</v>
      </c>
      <c r="B475" s="112" t="s">
        <v>589</v>
      </c>
      <c r="C475" s="127" t="s">
        <v>460</v>
      </c>
      <c r="D475" s="112"/>
      <c r="E475" s="112" t="str">
        <f t="shared" si="0"/>
        <v>DCMSHRIRAM</v>
      </c>
      <c r="F475" s="112"/>
      <c r="G475" s="112"/>
      <c r="H475" s="112"/>
      <c r="I475" s="127" t="s">
        <v>461</v>
      </c>
      <c r="J475" s="126" t="s">
        <v>483</v>
      </c>
      <c r="K475" s="127"/>
      <c r="L475" s="127"/>
      <c r="M475" s="128">
        <v>10</v>
      </c>
      <c r="N475" s="129">
        <v>980</v>
      </c>
      <c r="O475" s="130">
        <f t="shared" si="39"/>
        <v>0</v>
      </c>
      <c r="P475" s="130">
        <f t="shared" si="432"/>
        <v>980</v>
      </c>
      <c r="Q475" s="130"/>
      <c r="R475" s="130">
        <f t="shared" si="3"/>
        <v>9800</v>
      </c>
      <c r="S475" s="131">
        <f t="shared" si="4"/>
        <v>1.0130000000000001</v>
      </c>
      <c r="T475" s="131">
        <f t="shared" si="75"/>
        <v>0</v>
      </c>
      <c r="U475" s="131">
        <f t="shared" si="36"/>
        <v>0.05</v>
      </c>
      <c r="V475" s="131">
        <f t="shared" si="420"/>
        <v>9.8000000000000007</v>
      </c>
      <c r="W475" s="131">
        <v>0</v>
      </c>
      <c r="X475" s="131">
        <f t="shared" si="431"/>
        <v>0.27</v>
      </c>
      <c r="Y475" s="131">
        <f t="shared" si="218"/>
        <v>0.01</v>
      </c>
      <c r="Z475" s="131">
        <f t="shared" si="10"/>
        <v>10.130000000000001</v>
      </c>
      <c r="AA475" s="132">
        <f t="shared" si="433"/>
        <v>9789.8700000000008</v>
      </c>
      <c r="AB475" s="133">
        <f t="shared" si="403"/>
        <v>9790</v>
      </c>
      <c r="AC475" s="134">
        <f t="shared" si="48"/>
        <v>0.12999999999919964</v>
      </c>
      <c r="AD475" s="125">
        <v>44617</v>
      </c>
      <c r="AE475" s="135">
        <f t="shared" si="13"/>
        <v>1.034E-3</v>
      </c>
      <c r="AF475" s="136">
        <f t="shared" si="14"/>
        <v>44617</v>
      </c>
      <c r="AG475" s="137" t="s">
        <v>416</v>
      </c>
      <c r="AH475" s="124"/>
    </row>
    <row r="476" spans="1:34" ht="12" customHeight="1">
      <c r="A476" s="154">
        <v>44615</v>
      </c>
      <c r="B476" s="140" t="s">
        <v>605</v>
      </c>
      <c r="C476" s="141" t="s">
        <v>485</v>
      </c>
      <c r="D476" s="140"/>
      <c r="E476" s="140" t="str">
        <f t="shared" si="0"/>
        <v>LICHSGFIN</v>
      </c>
      <c r="F476" s="140"/>
      <c r="G476" s="140"/>
      <c r="H476" s="140"/>
      <c r="I476" s="141" t="s">
        <v>467</v>
      </c>
      <c r="J476" s="139" t="s">
        <v>483</v>
      </c>
      <c r="K476" s="141"/>
      <c r="L476" s="141"/>
      <c r="M476" s="142">
        <v>50</v>
      </c>
      <c r="N476" s="143">
        <v>365</v>
      </c>
      <c r="O476" s="144">
        <f t="shared" si="39"/>
        <v>0</v>
      </c>
      <c r="P476" s="144">
        <f t="shared" ref="P476:P481" si="434">N476+O476</f>
        <v>365</v>
      </c>
      <c r="Q476" s="144"/>
      <c r="R476" s="144">
        <f t="shared" si="3"/>
        <v>18250</v>
      </c>
      <c r="S476" s="145">
        <f t="shared" si="4"/>
        <v>0.43199999999999994</v>
      </c>
      <c r="T476" s="145">
        <f t="shared" si="75"/>
        <v>0</v>
      </c>
      <c r="U476" s="145">
        <f t="shared" si="36"/>
        <v>0.09</v>
      </c>
      <c r="V476" s="145">
        <f t="shared" si="420"/>
        <v>18.25</v>
      </c>
      <c r="W476" s="145">
        <f t="shared" ref="W476:W481" si="435">ROUND(R476*F$1823,2)</f>
        <v>2.74</v>
      </c>
      <c r="X476" s="145">
        <f t="shared" si="431"/>
        <v>0.5</v>
      </c>
      <c r="Y476" s="145">
        <f t="shared" si="218"/>
        <v>0.02</v>
      </c>
      <c r="Z476" s="146">
        <f t="shared" si="10"/>
        <v>21.599999999999998</v>
      </c>
      <c r="AA476" s="147">
        <f t="shared" ref="AA476:AA481" si="436">-ROUND(R476+SUM(T476:Y476),2)</f>
        <v>-18271.599999999999</v>
      </c>
      <c r="AB476" s="148">
        <f t="shared" si="403"/>
        <v>-18272</v>
      </c>
      <c r="AC476" s="149">
        <f t="shared" si="48"/>
        <v>-0.40000000000145519</v>
      </c>
      <c r="AD476" s="138">
        <v>44617</v>
      </c>
      <c r="AE476" s="150">
        <f t="shared" si="13"/>
        <v>1.1839999999999999E-3</v>
      </c>
      <c r="AF476" s="151">
        <f t="shared" si="14"/>
        <v>44617</v>
      </c>
      <c r="AG476" s="152" t="s">
        <v>416</v>
      </c>
      <c r="AH476" s="124"/>
    </row>
    <row r="477" spans="1:34" ht="12" customHeight="1">
      <c r="A477" s="154">
        <v>44615</v>
      </c>
      <c r="B477" s="140" t="s">
        <v>493</v>
      </c>
      <c r="C477" s="141" t="s">
        <v>485</v>
      </c>
      <c r="D477" s="140"/>
      <c r="E477" s="140" t="str">
        <f t="shared" si="0"/>
        <v>SBIN</v>
      </c>
      <c r="F477" s="140"/>
      <c r="G477" s="140"/>
      <c r="H477" s="140"/>
      <c r="I477" s="141" t="s">
        <v>467</v>
      </c>
      <c r="J477" s="139" t="s">
        <v>483</v>
      </c>
      <c r="K477" s="141"/>
      <c r="L477" s="141"/>
      <c r="M477" s="142">
        <v>10</v>
      </c>
      <c r="N477" s="143">
        <v>500</v>
      </c>
      <c r="O477" s="144">
        <f t="shared" si="39"/>
        <v>0</v>
      </c>
      <c r="P477" s="144">
        <f t="shared" si="434"/>
        <v>500</v>
      </c>
      <c r="Q477" s="144"/>
      <c r="R477" s="144">
        <f t="shared" si="3"/>
        <v>5000</v>
      </c>
      <c r="S477" s="145">
        <f t="shared" si="4"/>
        <v>0.59599999999999997</v>
      </c>
      <c r="T477" s="145">
        <f t="shared" si="75"/>
        <v>0</v>
      </c>
      <c r="U477" s="145">
        <f t="shared" si="36"/>
        <v>0.03</v>
      </c>
      <c r="V477" s="145">
        <f t="shared" si="420"/>
        <v>5</v>
      </c>
      <c r="W477" s="145">
        <f t="shared" si="435"/>
        <v>0.75</v>
      </c>
      <c r="X477" s="145">
        <f>ROUND(R477*H$1820,2)</f>
        <v>0.17</v>
      </c>
      <c r="Y477" s="145">
        <f t="shared" si="218"/>
        <v>0.01</v>
      </c>
      <c r="Z477" s="146">
        <f t="shared" si="10"/>
        <v>5.96</v>
      </c>
      <c r="AA477" s="147">
        <f t="shared" si="436"/>
        <v>-5005.96</v>
      </c>
      <c r="AB477" s="148">
        <f t="shared" si="403"/>
        <v>-5006</v>
      </c>
      <c r="AC477" s="149">
        <f t="shared" si="48"/>
        <v>-3.999999999996362E-2</v>
      </c>
      <c r="AD477" s="138">
        <v>44617</v>
      </c>
      <c r="AE477" s="150">
        <f t="shared" si="13"/>
        <v>1.1919999999999999E-3</v>
      </c>
      <c r="AF477" s="151">
        <f t="shared" si="14"/>
        <v>44617</v>
      </c>
      <c r="AG477" s="152" t="s">
        <v>416</v>
      </c>
      <c r="AH477" s="124"/>
    </row>
    <row r="478" spans="1:34" ht="12" customHeight="1">
      <c r="A478" s="154">
        <v>44260</v>
      </c>
      <c r="B478" s="140" t="s">
        <v>609</v>
      </c>
      <c r="C478" s="141" t="s">
        <v>460</v>
      </c>
      <c r="D478" s="140"/>
      <c r="E478" s="140" t="str">
        <f t="shared" si="0"/>
        <v>SETFGOLD</v>
      </c>
      <c r="F478" s="140"/>
      <c r="G478" s="140"/>
      <c r="H478" s="140"/>
      <c r="I478" s="141" t="s">
        <v>467</v>
      </c>
      <c r="J478" s="139" t="s">
        <v>483</v>
      </c>
      <c r="K478" s="141"/>
      <c r="L478" s="141"/>
      <c r="M478" s="142">
        <v>400</v>
      </c>
      <c r="N478" s="143">
        <v>39.71</v>
      </c>
      <c r="O478" s="144">
        <f t="shared" si="39"/>
        <v>0</v>
      </c>
      <c r="P478" s="144">
        <f t="shared" si="434"/>
        <v>39.71</v>
      </c>
      <c r="Q478" s="144"/>
      <c r="R478" s="144">
        <f t="shared" si="3"/>
        <v>15884</v>
      </c>
      <c r="S478" s="145">
        <f t="shared" si="4"/>
        <v>7.3000000000000001E-3</v>
      </c>
      <c r="T478" s="145">
        <f t="shared" si="75"/>
        <v>0</v>
      </c>
      <c r="U478" s="145">
        <f t="shared" si="36"/>
        <v>0.08</v>
      </c>
      <c r="V478" s="145">
        <f>ROUND(R478*F$1817,2)-15.88</f>
        <v>0</v>
      </c>
      <c r="W478" s="145">
        <f t="shared" si="435"/>
        <v>2.38</v>
      </c>
      <c r="X478" s="145">
        <f t="shared" ref="X478:X493" si="437">ROUND(R478*G$1820,2)</f>
        <v>0.44</v>
      </c>
      <c r="Y478" s="145">
        <f t="shared" si="218"/>
        <v>0.02</v>
      </c>
      <c r="Z478" s="146">
        <f t="shared" si="10"/>
        <v>2.92</v>
      </c>
      <c r="AA478" s="147">
        <f t="shared" si="436"/>
        <v>-15886.92</v>
      </c>
      <c r="AB478" s="148">
        <f t="shared" si="403"/>
        <v>-15887</v>
      </c>
      <c r="AC478" s="149">
        <f t="shared" si="48"/>
        <v>-7.999999999992724E-2</v>
      </c>
      <c r="AD478" s="138">
        <v>44438</v>
      </c>
      <c r="AE478" s="150">
        <f t="shared" si="13"/>
        <v>1.84E-4</v>
      </c>
      <c r="AF478" s="151">
        <f t="shared" si="14"/>
        <v>44438</v>
      </c>
      <c r="AG478" s="152" t="s">
        <v>416</v>
      </c>
      <c r="AH478" s="124"/>
    </row>
    <row r="479" spans="1:34" ht="12" customHeight="1">
      <c r="A479" s="154">
        <v>44368</v>
      </c>
      <c r="B479" s="140" t="s">
        <v>609</v>
      </c>
      <c r="C479" s="141" t="s">
        <v>460</v>
      </c>
      <c r="D479" s="140"/>
      <c r="E479" s="140" t="str">
        <f t="shared" si="0"/>
        <v>SETFGOLD</v>
      </c>
      <c r="F479" s="140"/>
      <c r="G479" s="140"/>
      <c r="H479" s="140"/>
      <c r="I479" s="141" t="s">
        <v>467</v>
      </c>
      <c r="J479" s="139" t="s">
        <v>483</v>
      </c>
      <c r="K479" s="141"/>
      <c r="L479" s="141"/>
      <c r="M479" s="142">
        <v>1600</v>
      </c>
      <c r="N479" s="143">
        <v>41.95</v>
      </c>
      <c r="O479" s="144">
        <f t="shared" si="39"/>
        <v>0</v>
      </c>
      <c r="P479" s="144">
        <f t="shared" si="434"/>
        <v>41.95</v>
      </c>
      <c r="Q479" s="144"/>
      <c r="R479" s="144">
        <f t="shared" si="3"/>
        <v>67120</v>
      </c>
      <c r="S479" s="145">
        <f t="shared" si="4"/>
        <v>7.7000000000000002E-3</v>
      </c>
      <c r="T479" s="145">
        <f t="shared" si="75"/>
        <v>0</v>
      </c>
      <c r="U479" s="145">
        <f t="shared" si="36"/>
        <v>0.33</v>
      </c>
      <c r="V479" s="145">
        <f>ROUND(R479*F$1817,2)-67.12</f>
        <v>0</v>
      </c>
      <c r="W479" s="145">
        <f t="shared" si="435"/>
        <v>10.07</v>
      </c>
      <c r="X479" s="145">
        <f t="shared" si="437"/>
        <v>1.85</v>
      </c>
      <c r="Y479" s="145">
        <f t="shared" si="218"/>
        <v>7.0000000000000007E-2</v>
      </c>
      <c r="Z479" s="146">
        <f t="shared" si="10"/>
        <v>12.32</v>
      </c>
      <c r="AA479" s="147">
        <f t="shared" si="436"/>
        <v>-67132.320000000007</v>
      </c>
      <c r="AB479" s="148">
        <f t="shared" si="403"/>
        <v>-67132</v>
      </c>
      <c r="AC479" s="149">
        <f t="shared" si="48"/>
        <v>0.32000000000698492</v>
      </c>
      <c r="AD479" s="138">
        <v>44370</v>
      </c>
      <c r="AE479" s="150">
        <f t="shared" si="13"/>
        <v>1.84E-4</v>
      </c>
      <c r="AF479" s="151">
        <f t="shared" si="14"/>
        <v>44370</v>
      </c>
      <c r="AG479" s="152" t="s">
        <v>416</v>
      </c>
      <c r="AH479" s="124"/>
    </row>
    <row r="480" spans="1:34" ht="12" customHeight="1">
      <c r="A480" s="154">
        <v>44433</v>
      </c>
      <c r="B480" s="140" t="s">
        <v>609</v>
      </c>
      <c r="C480" s="141" t="s">
        <v>460</v>
      </c>
      <c r="D480" s="140"/>
      <c r="E480" s="140" t="str">
        <f t="shared" si="0"/>
        <v>SETFGOLD</v>
      </c>
      <c r="F480" s="140"/>
      <c r="G480" s="140"/>
      <c r="H480" s="140"/>
      <c r="I480" s="141" t="s">
        <v>467</v>
      </c>
      <c r="J480" s="139" t="s">
        <v>483</v>
      </c>
      <c r="K480" s="141"/>
      <c r="L480" s="141"/>
      <c r="M480" s="142">
        <v>500</v>
      </c>
      <c r="N480" s="143">
        <v>42.1</v>
      </c>
      <c r="O480" s="144">
        <f t="shared" si="39"/>
        <v>0</v>
      </c>
      <c r="P480" s="144">
        <f t="shared" si="434"/>
        <v>42.1</v>
      </c>
      <c r="Q480" s="144"/>
      <c r="R480" s="144">
        <f t="shared" si="3"/>
        <v>21050</v>
      </c>
      <c r="S480" s="145">
        <f t="shared" si="4"/>
        <v>7.7200000000000003E-3</v>
      </c>
      <c r="T480" s="145">
        <f t="shared" si="75"/>
        <v>0</v>
      </c>
      <c r="U480" s="145">
        <f t="shared" si="36"/>
        <v>0.1</v>
      </c>
      <c r="V480" s="145">
        <f>ROUND(R480*F$1817,2)-21.05</f>
        <v>0</v>
      </c>
      <c r="W480" s="145">
        <f t="shared" si="435"/>
        <v>3.16</v>
      </c>
      <c r="X480" s="145">
        <f t="shared" si="437"/>
        <v>0.57999999999999996</v>
      </c>
      <c r="Y480" s="145">
        <f t="shared" si="218"/>
        <v>0.02</v>
      </c>
      <c r="Z480" s="146">
        <f t="shared" si="10"/>
        <v>3.8600000000000003</v>
      </c>
      <c r="AA480" s="147">
        <f t="shared" si="436"/>
        <v>-21053.86</v>
      </c>
      <c r="AB480" s="148">
        <f t="shared" si="403"/>
        <v>-21054</v>
      </c>
      <c r="AC480" s="149">
        <f t="shared" si="48"/>
        <v>-0.13999999999941792</v>
      </c>
      <c r="AD480" s="138">
        <v>44435</v>
      </c>
      <c r="AE480" s="150">
        <f t="shared" si="13"/>
        <v>1.83E-4</v>
      </c>
      <c r="AF480" s="151">
        <f t="shared" si="14"/>
        <v>44435</v>
      </c>
      <c r="AG480" s="152" t="s">
        <v>416</v>
      </c>
      <c r="AH480" s="124"/>
    </row>
    <row r="481" spans="1:34" ht="12" customHeight="1">
      <c r="A481" s="154">
        <v>44434</v>
      </c>
      <c r="B481" s="140" t="s">
        <v>609</v>
      </c>
      <c r="C481" s="141" t="s">
        <v>460</v>
      </c>
      <c r="D481" s="140"/>
      <c r="E481" s="140" t="str">
        <f t="shared" si="0"/>
        <v>SETFGOLD</v>
      </c>
      <c r="F481" s="140"/>
      <c r="G481" s="140"/>
      <c r="H481" s="140"/>
      <c r="I481" s="141" t="s">
        <v>467</v>
      </c>
      <c r="J481" s="139" t="s">
        <v>483</v>
      </c>
      <c r="K481" s="141"/>
      <c r="L481" s="141"/>
      <c r="M481" s="142">
        <v>400</v>
      </c>
      <c r="N481" s="143">
        <v>41.85</v>
      </c>
      <c r="O481" s="144">
        <f t="shared" si="39"/>
        <v>0</v>
      </c>
      <c r="P481" s="144">
        <f t="shared" si="434"/>
        <v>41.85</v>
      </c>
      <c r="Q481" s="144"/>
      <c r="R481" s="144">
        <f t="shared" si="3"/>
        <v>16740</v>
      </c>
      <c r="S481" s="145">
        <f t="shared" si="4"/>
        <v>7.6749999999999995E-3</v>
      </c>
      <c r="T481" s="145">
        <f t="shared" si="75"/>
        <v>0</v>
      </c>
      <c r="U481" s="145">
        <f t="shared" si="36"/>
        <v>0.08</v>
      </c>
      <c r="V481" s="145">
        <f>ROUND(R481*F$1817,2)-16.74</f>
        <v>0</v>
      </c>
      <c r="W481" s="145">
        <f t="shared" si="435"/>
        <v>2.5099999999999998</v>
      </c>
      <c r="X481" s="145">
        <f t="shared" si="437"/>
        <v>0.46</v>
      </c>
      <c r="Y481" s="145">
        <f t="shared" si="218"/>
        <v>0.02</v>
      </c>
      <c r="Z481" s="146">
        <f t="shared" si="10"/>
        <v>3.07</v>
      </c>
      <c r="AA481" s="147">
        <f t="shared" si="436"/>
        <v>-16743.07</v>
      </c>
      <c r="AB481" s="148">
        <f t="shared" si="403"/>
        <v>-16743</v>
      </c>
      <c r="AC481" s="149">
        <f t="shared" si="48"/>
        <v>6.9999999999708962E-2</v>
      </c>
      <c r="AD481" s="138">
        <v>44438</v>
      </c>
      <c r="AE481" s="150">
        <f t="shared" si="13"/>
        <v>1.83E-4</v>
      </c>
      <c r="AF481" s="151">
        <f t="shared" si="14"/>
        <v>44438</v>
      </c>
      <c r="AG481" s="152" t="s">
        <v>416</v>
      </c>
      <c r="AH481" s="124"/>
    </row>
    <row r="482" spans="1:34" ht="12" customHeight="1">
      <c r="A482" s="155">
        <v>44616</v>
      </c>
      <c r="B482" s="112" t="s">
        <v>609</v>
      </c>
      <c r="C482" s="127" t="s">
        <v>460</v>
      </c>
      <c r="D482" s="112"/>
      <c r="E482" s="112" t="str">
        <f t="shared" si="0"/>
        <v>SETFGOLD</v>
      </c>
      <c r="F482" s="112"/>
      <c r="G482" s="112"/>
      <c r="H482" s="112"/>
      <c r="I482" s="127" t="s">
        <v>461</v>
      </c>
      <c r="J482" s="126" t="s">
        <v>483</v>
      </c>
      <c r="K482" s="127"/>
      <c r="L482" s="127"/>
      <c r="M482" s="128">
        <v>1500</v>
      </c>
      <c r="N482" s="129">
        <v>45.58</v>
      </c>
      <c r="O482" s="130">
        <f t="shared" si="39"/>
        <v>0</v>
      </c>
      <c r="P482" s="130">
        <f>N482-O482</f>
        <v>45.58</v>
      </c>
      <c r="Q482" s="130"/>
      <c r="R482" s="130">
        <f t="shared" si="3"/>
        <v>68370</v>
      </c>
      <c r="S482" s="131">
        <f t="shared" si="4"/>
        <v>1.5266666666666664E-3</v>
      </c>
      <c r="T482" s="131">
        <f t="shared" si="75"/>
        <v>0</v>
      </c>
      <c r="U482" s="131">
        <f t="shared" si="36"/>
        <v>0.34</v>
      </c>
      <c r="V482" s="131">
        <f>ROUND(R482*F$1817,2)-68.37</f>
        <v>0</v>
      </c>
      <c r="W482" s="131">
        <v>0</v>
      </c>
      <c r="X482" s="131">
        <f t="shared" si="437"/>
        <v>1.88</v>
      </c>
      <c r="Y482" s="131">
        <f t="shared" si="218"/>
        <v>7.0000000000000007E-2</v>
      </c>
      <c r="Z482" s="131">
        <f t="shared" si="10"/>
        <v>2.2899999999999996</v>
      </c>
      <c r="AA482" s="132">
        <f>ROUND(R482-SUM(T482:Y482),2)</f>
        <v>68367.710000000006</v>
      </c>
      <c r="AB482" s="133">
        <f t="shared" si="403"/>
        <v>68368</v>
      </c>
      <c r="AC482" s="134">
        <f t="shared" si="48"/>
        <v>0.28999999999359716</v>
      </c>
      <c r="AD482" s="125">
        <v>44620</v>
      </c>
      <c r="AE482" s="135">
        <f t="shared" si="13"/>
        <v>3.3000000000000003E-5</v>
      </c>
      <c r="AF482" s="136">
        <f t="shared" si="14"/>
        <v>44620</v>
      </c>
      <c r="AG482" s="137" t="s">
        <v>416</v>
      </c>
      <c r="AH482" s="124"/>
    </row>
    <row r="483" spans="1:34" ht="12" customHeight="1">
      <c r="A483" s="154">
        <v>44616</v>
      </c>
      <c r="B483" s="140" t="s">
        <v>589</v>
      </c>
      <c r="C483" s="141" t="s">
        <v>460</v>
      </c>
      <c r="D483" s="140"/>
      <c r="E483" s="140" t="str">
        <f t="shared" si="0"/>
        <v>DCMSHRIRAM</v>
      </c>
      <c r="F483" s="140"/>
      <c r="G483" s="140"/>
      <c r="H483" s="140"/>
      <c r="I483" s="141" t="s">
        <v>467</v>
      </c>
      <c r="J483" s="139" t="s">
        <v>483</v>
      </c>
      <c r="K483" s="141"/>
      <c r="L483" s="141"/>
      <c r="M483" s="142">
        <v>10</v>
      </c>
      <c r="N483" s="143">
        <v>950</v>
      </c>
      <c r="O483" s="144">
        <f t="shared" si="39"/>
        <v>0</v>
      </c>
      <c r="P483" s="144">
        <f t="shared" ref="P483:P488" si="438">N483+O483</f>
        <v>950</v>
      </c>
      <c r="Q483" s="144"/>
      <c r="R483" s="144">
        <f t="shared" si="3"/>
        <v>9500</v>
      </c>
      <c r="S483" s="145">
        <f t="shared" si="4"/>
        <v>1.125</v>
      </c>
      <c r="T483" s="145">
        <f t="shared" si="75"/>
        <v>0</v>
      </c>
      <c r="U483" s="145">
        <f t="shared" si="36"/>
        <v>0.05</v>
      </c>
      <c r="V483" s="145">
        <f t="shared" ref="V483:V487" si="439">ROUND(R483*F$1817,2)</f>
        <v>9.5</v>
      </c>
      <c r="W483" s="145">
        <f t="shared" ref="W483:W488" si="440">ROUND(R483*F$1823,2)</f>
        <v>1.43</v>
      </c>
      <c r="X483" s="145">
        <f t="shared" si="437"/>
        <v>0.26</v>
      </c>
      <c r="Y483" s="145">
        <f t="shared" si="218"/>
        <v>0.01</v>
      </c>
      <c r="Z483" s="146">
        <f t="shared" si="10"/>
        <v>11.25</v>
      </c>
      <c r="AA483" s="147">
        <f t="shared" ref="AA483:AA488" si="441">-ROUND(R483+SUM(T483:Y483),2)</f>
        <v>-9511.25</v>
      </c>
      <c r="AB483" s="148">
        <f t="shared" si="403"/>
        <v>-9511</v>
      </c>
      <c r="AC483" s="149">
        <f t="shared" si="48"/>
        <v>0.25</v>
      </c>
      <c r="AD483" s="138">
        <v>44620</v>
      </c>
      <c r="AE483" s="150">
        <f t="shared" si="13"/>
        <v>1.1839999999999999E-3</v>
      </c>
      <c r="AF483" s="151">
        <f t="shared" si="14"/>
        <v>44620</v>
      </c>
      <c r="AG483" s="152" t="s">
        <v>416</v>
      </c>
      <c r="AH483" s="124"/>
    </row>
    <row r="484" spans="1:34" ht="12" customHeight="1">
      <c r="A484" s="154">
        <v>44616</v>
      </c>
      <c r="B484" s="140" t="s">
        <v>607</v>
      </c>
      <c r="C484" s="141" t="s">
        <v>485</v>
      </c>
      <c r="D484" s="140"/>
      <c r="E484" s="140" t="str">
        <f t="shared" si="0"/>
        <v>AUROPHARMA</v>
      </c>
      <c r="F484" s="140"/>
      <c r="G484" s="140"/>
      <c r="H484" s="140"/>
      <c r="I484" s="141" t="s">
        <v>467</v>
      </c>
      <c r="J484" s="139" t="s">
        <v>483</v>
      </c>
      <c r="K484" s="141"/>
      <c r="L484" s="141"/>
      <c r="M484" s="142">
        <v>20</v>
      </c>
      <c r="N484" s="143">
        <v>625.5</v>
      </c>
      <c r="O484" s="144">
        <f t="shared" si="39"/>
        <v>0</v>
      </c>
      <c r="P484" s="144">
        <f t="shared" si="438"/>
        <v>625.5</v>
      </c>
      <c r="Q484" s="144"/>
      <c r="R484" s="144">
        <f t="shared" si="3"/>
        <v>12510</v>
      </c>
      <c r="S484" s="145">
        <f t="shared" si="4"/>
        <v>0.74</v>
      </c>
      <c r="T484" s="145">
        <f t="shared" si="75"/>
        <v>0</v>
      </c>
      <c r="U484" s="145">
        <f t="shared" si="36"/>
        <v>0.06</v>
      </c>
      <c r="V484" s="145">
        <f t="shared" si="439"/>
        <v>12.51</v>
      </c>
      <c r="W484" s="145">
        <f t="shared" si="440"/>
        <v>1.88</v>
      </c>
      <c r="X484" s="145">
        <f t="shared" si="437"/>
        <v>0.34</v>
      </c>
      <c r="Y484" s="145">
        <f t="shared" si="218"/>
        <v>0.01</v>
      </c>
      <c r="Z484" s="146">
        <f t="shared" si="10"/>
        <v>14.799999999999999</v>
      </c>
      <c r="AA484" s="147">
        <f t="shared" si="441"/>
        <v>-12524.8</v>
      </c>
      <c r="AB484" s="148">
        <f t="shared" si="403"/>
        <v>-12525</v>
      </c>
      <c r="AC484" s="149">
        <f t="shared" si="48"/>
        <v>-0.2000000000007276</v>
      </c>
      <c r="AD484" s="138">
        <v>44620</v>
      </c>
      <c r="AE484" s="150">
        <f t="shared" si="13"/>
        <v>1.183E-3</v>
      </c>
      <c r="AF484" s="151">
        <f t="shared" si="14"/>
        <v>44620</v>
      </c>
      <c r="AG484" s="152" t="s">
        <v>416</v>
      </c>
      <c r="AH484" s="124"/>
    </row>
    <row r="485" spans="1:34" ht="12" customHeight="1">
      <c r="A485" s="154">
        <v>44616</v>
      </c>
      <c r="B485" s="140" t="s">
        <v>527</v>
      </c>
      <c r="C485" s="141" t="s">
        <v>485</v>
      </c>
      <c r="D485" s="140"/>
      <c r="E485" s="140" t="str">
        <f t="shared" si="0"/>
        <v>BPCL</v>
      </c>
      <c r="F485" s="140"/>
      <c r="G485" s="140"/>
      <c r="H485" s="140"/>
      <c r="I485" s="141" t="s">
        <v>467</v>
      </c>
      <c r="J485" s="139" t="s">
        <v>483</v>
      </c>
      <c r="K485" s="141"/>
      <c r="L485" s="141"/>
      <c r="M485" s="142">
        <v>10</v>
      </c>
      <c r="N485" s="143">
        <v>345</v>
      </c>
      <c r="O485" s="144">
        <f t="shared" si="39"/>
        <v>0</v>
      </c>
      <c r="P485" s="144">
        <f t="shared" si="438"/>
        <v>345</v>
      </c>
      <c r="Q485" s="144"/>
      <c r="R485" s="144">
        <f t="shared" si="3"/>
        <v>3450</v>
      </c>
      <c r="S485" s="145">
        <f t="shared" si="4"/>
        <v>0.40800000000000003</v>
      </c>
      <c r="T485" s="145">
        <f t="shared" si="75"/>
        <v>0</v>
      </c>
      <c r="U485" s="145">
        <f t="shared" si="36"/>
        <v>0.02</v>
      </c>
      <c r="V485" s="145">
        <f t="shared" si="439"/>
        <v>3.45</v>
      </c>
      <c r="W485" s="145">
        <f t="shared" si="440"/>
        <v>0.52</v>
      </c>
      <c r="X485" s="145">
        <f t="shared" si="437"/>
        <v>0.09</v>
      </c>
      <c r="Y485" s="145">
        <f t="shared" si="218"/>
        <v>0</v>
      </c>
      <c r="Z485" s="146">
        <f t="shared" si="10"/>
        <v>4.08</v>
      </c>
      <c r="AA485" s="147">
        <f t="shared" si="441"/>
        <v>-3454.08</v>
      </c>
      <c r="AB485" s="148">
        <f t="shared" si="403"/>
        <v>-3454</v>
      </c>
      <c r="AC485" s="149">
        <f t="shared" si="48"/>
        <v>7.999999999992724E-2</v>
      </c>
      <c r="AD485" s="138">
        <v>44620</v>
      </c>
      <c r="AE485" s="150">
        <f t="shared" si="13"/>
        <v>1.183E-3</v>
      </c>
      <c r="AF485" s="151">
        <f t="shared" si="14"/>
        <v>44620</v>
      </c>
      <c r="AG485" s="152" t="s">
        <v>416</v>
      </c>
      <c r="AH485" s="124"/>
    </row>
    <row r="486" spans="1:34" ht="12" customHeight="1">
      <c r="A486" s="154">
        <v>44616</v>
      </c>
      <c r="B486" s="140" t="s">
        <v>601</v>
      </c>
      <c r="C486" s="141" t="s">
        <v>485</v>
      </c>
      <c r="D486" s="140"/>
      <c r="E486" s="140" t="str">
        <f t="shared" si="0"/>
        <v>FEDERALBNK</v>
      </c>
      <c r="F486" s="140"/>
      <c r="G486" s="140"/>
      <c r="H486" s="140"/>
      <c r="I486" s="141" t="s">
        <v>467</v>
      </c>
      <c r="J486" s="139" t="s">
        <v>483</v>
      </c>
      <c r="K486" s="141"/>
      <c r="L486" s="141"/>
      <c r="M486" s="142">
        <v>50</v>
      </c>
      <c r="N486" s="143">
        <v>96</v>
      </c>
      <c r="O486" s="144">
        <f t="shared" si="39"/>
        <v>0</v>
      </c>
      <c r="P486" s="144">
        <f t="shared" si="438"/>
        <v>96</v>
      </c>
      <c r="Q486" s="144"/>
      <c r="R486" s="144">
        <f t="shared" si="3"/>
        <v>4800</v>
      </c>
      <c r="S486" s="145">
        <f t="shared" si="4"/>
        <v>0.11339999999999999</v>
      </c>
      <c r="T486" s="145">
        <f t="shared" si="75"/>
        <v>0</v>
      </c>
      <c r="U486" s="145">
        <f t="shared" si="36"/>
        <v>0.02</v>
      </c>
      <c r="V486" s="145">
        <f t="shared" si="439"/>
        <v>4.8</v>
      </c>
      <c r="W486" s="145">
        <f t="shared" si="440"/>
        <v>0.72</v>
      </c>
      <c r="X486" s="145">
        <f t="shared" si="437"/>
        <v>0.13</v>
      </c>
      <c r="Y486" s="145">
        <f t="shared" si="218"/>
        <v>0</v>
      </c>
      <c r="Z486" s="146">
        <f t="shared" si="10"/>
        <v>5.669999999999999</v>
      </c>
      <c r="AA486" s="147">
        <f t="shared" si="441"/>
        <v>-4805.67</v>
      </c>
      <c r="AB486" s="148">
        <f t="shared" si="403"/>
        <v>-4806</v>
      </c>
      <c r="AC486" s="149">
        <f t="shared" si="48"/>
        <v>-0.32999999999992724</v>
      </c>
      <c r="AD486" s="138">
        <v>44620</v>
      </c>
      <c r="AE486" s="150">
        <f t="shared" si="13"/>
        <v>1.181E-3</v>
      </c>
      <c r="AF486" s="151">
        <f t="shared" si="14"/>
        <v>44620</v>
      </c>
      <c r="AG486" s="152" t="s">
        <v>416</v>
      </c>
      <c r="AH486" s="124"/>
    </row>
    <row r="487" spans="1:34" ht="12" customHeight="1">
      <c r="A487" s="154">
        <v>44616</v>
      </c>
      <c r="B487" s="140" t="s">
        <v>605</v>
      </c>
      <c r="C487" s="141" t="s">
        <v>485</v>
      </c>
      <c r="D487" s="140"/>
      <c r="E487" s="140" t="str">
        <f t="shared" si="0"/>
        <v>LICHSGFIN</v>
      </c>
      <c r="F487" s="140"/>
      <c r="G487" s="140"/>
      <c r="H487" s="140"/>
      <c r="I487" s="141" t="s">
        <v>467</v>
      </c>
      <c r="J487" s="139" t="s">
        <v>483</v>
      </c>
      <c r="K487" s="141"/>
      <c r="L487" s="141"/>
      <c r="M487" s="142">
        <v>25</v>
      </c>
      <c r="N487" s="143">
        <v>343</v>
      </c>
      <c r="O487" s="144">
        <f t="shared" si="39"/>
        <v>0</v>
      </c>
      <c r="P487" s="144">
        <f t="shared" si="438"/>
        <v>343</v>
      </c>
      <c r="Q487" s="144"/>
      <c r="R487" s="144">
        <f t="shared" si="3"/>
        <v>8575</v>
      </c>
      <c r="S487" s="145">
        <f t="shared" si="4"/>
        <v>0.40639999999999998</v>
      </c>
      <c r="T487" s="145">
        <f t="shared" si="75"/>
        <v>0</v>
      </c>
      <c r="U487" s="145">
        <f t="shared" si="36"/>
        <v>0.04</v>
      </c>
      <c r="V487" s="145">
        <f t="shared" si="439"/>
        <v>8.58</v>
      </c>
      <c r="W487" s="145">
        <f t="shared" si="440"/>
        <v>1.29</v>
      </c>
      <c r="X487" s="145">
        <f t="shared" si="437"/>
        <v>0.24</v>
      </c>
      <c r="Y487" s="145">
        <f t="shared" si="218"/>
        <v>0.01</v>
      </c>
      <c r="Z487" s="146">
        <f t="shared" si="10"/>
        <v>10.16</v>
      </c>
      <c r="AA487" s="147">
        <f t="shared" si="441"/>
        <v>-8585.16</v>
      </c>
      <c r="AB487" s="148">
        <f t="shared" si="403"/>
        <v>-8585</v>
      </c>
      <c r="AC487" s="149">
        <f t="shared" si="48"/>
        <v>0.15999999999985448</v>
      </c>
      <c r="AD487" s="138">
        <v>44620</v>
      </c>
      <c r="AE487" s="150">
        <f t="shared" si="13"/>
        <v>1.1850000000000001E-3</v>
      </c>
      <c r="AF487" s="151">
        <f t="shared" si="14"/>
        <v>44620</v>
      </c>
      <c r="AG487" s="152" t="s">
        <v>416</v>
      </c>
      <c r="AH487" s="124"/>
    </row>
    <row r="488" spans="1:34" ht="12" customHeight="1">
      <c r="A488" s="154">
        <v>44617</v>
      </c>
      <c r="B488" s="140" t="s">
        <v>609</v>
      </c>
      <c r="C488" s="141" t="s">
        <v>460</v>
      </c>
      <c r="D488" s="140"/>
      <c r="E488" s="140" t="str">
        <f t="shared" si="0"/>
        <v>SETFGOLD</v>
      </c>
      <c r="F488" s="140"/>
      <c r="G488" s="140"/>
      <c r="H488" s="140"/>
      <c r="I488" s="141" t="s">
        <v>467</v>
      </c>
      <c r="J488" s="139" t="s">
        <v>483</v>
      </c>
      <c r="K488" s="141"/>
      <c r="L488" s="141"/>
      <c r="M488" s="142">
        <v>1500</v>
      </c>
      <c r="N488" s="143">
        <v>45.01</v>
      </c>
      <c r="O488" s="144">
        <f t="shared" si="39"/>
        <v>0</v>
      </c>
      <c r="P488" s="144">
        <f t="shared" si="438"/>
        <v>45.01</v>
      </c>
      <c r="Q488" s="144"/>
      <c r="R488" s="144">
        <f t="shared" si="3"/>
        <v>67515</v>
      </c>
      <c r="S488" s="145">
        <f t="shared" si="4"/>
        <v>8.26E-3</v>
      </c>
      <c r="T488" s="145">
        <f t="shared" si="75"/>
        <v>0</v>
      </c>
      <c r="U488" s="145">
        <f t="shared" si="36"/>
        <v>0.33</v>
      </c>
      <c r="V488" s="145">
        <f>ROUND(R488*F$1817,2)-67.52</f>
        <v>0</v>
      </c>
      <c r="W488" s="145">
        <f t="shared" si="440"/>
        <v>10.130000000000001</v>
      </c>
      <c r="X488" s="145">
        <f t="shared" si="437"/>
        <v>1.86</v>
      </c>
      <c r="Y488" s="145">
        <f t="shared" si="218"/>
        <v>7.0000000000000007E-2</v>
      </c>
      <c r="Z488" s="146">
        <f t="shared" si="10"/>
        <v>12.39</v>
      </c>
      <c r="AA488" s="147">
        <f t="shared" si="441"/>
        <v>-67527.39</v>
      </c>
      <c r="AB488" s="148">
        <f t="shared" si="403"/>
        <v>-67527</v>
      </c>
      <c r="AC488" s="149">
        <f t="shared" si="48"/>
        <v>0.38999999999941792</v>
      </c>
      <c r="AD488" s="138">
        <v>44622</v>
      </c>
      <c r="AE488" s="150">
        <f t="shared" si="13"/>
        <v>1.84E-4</v>
      </c>
      <c r="AF488" s="151">
        <f t="shared" si="14"/>
        <v>44622</v>
      </c>
      <c r="AG488" s="152" t="s">
        <v>416</v>
      </c>
      <c r="AH488" s="124"/>
    </row>
    <row r="489" spans="1:34" ht="12" customHeight="1">
      <c r="A489" s="155">
        <v>44617</v>
      </c>
      <c r="B489" s="112" t="s">
        <v>589</v>
      </c>
      <c r="C489" s="127" t="s">
        <v>460</v>
      </c>
      <c r="D489" s="112"/>
      <c r="E489" s="112" t="str">
        <f t="shared" si="0"/>
        <v>DCMSHRIRAM</v>
      </c>
      <c r="F489" s="112"/>
      <c r="G489" s="112"/>
      <c r="H489" s="112"/>
      <c r="I489" s="127" t="s">
        <v>461</v>
      </c>
      <c r="J489" s="126" t="s">
        <v>483</v>
      </c>
      <c r="K489" s="127"/>
      <c r="L489" s="127"/>
      <c r="M489" s="128">
        <v>10</v>
      </c>
      <c r="N489" s="129">
        <v>984</v>
      </c>
      <c r="O489" s="130">
        <f t="shared" si="39"/>
        <v>0</v>
      </c>
      <c r="P489" s="130">
        <f>N489-O489</f>
        <v>984</v>
      </c>
      <c r="Q489" s="130"/>
      <c r="R489" s="130">
        <f t="shared" si="3"/>
        <v>9840</v>
      </c>
      <c r="S489" s="131">
        <f t="shared" si="4"/>
        <v>1.0169999999999999</v>
      </c>
      <c r="T489" s="131">
        <f t="shared" si="75"/>
        <v>0</v>
      </c>
      <c r="U489" s="131">
        <f t="shared" si="36"/>
        <v>0.05</v>
      </c>
      <c r="V489" s="131">
        <f t="shared" ref="V489:V490" si="442">ROUND(R489*F$1817,2)</f>
        <v>9.84</v>
      </c>
      <c r="W489" s="131">
        <v>0</v>
      </c>
      <c r="X489" s="131">
        <f t="shared" si="437"/>
        <v>0.27</v>
      </c>
      <c r="Y489" s="131">
        <f t="shared" si="218"/>
        <v>0.01</v>
      </c>
      <c r="Z489" s="131">
        <f t="shared" si="10"/>
        <v>10.17</v>
      </c>
      <c r="AA489" s="132">
        <f>ROUND(R489-SUM(T489:Y489),2)</f>
        <v>9829.83</v>
      </c>
      <c r="AB489" s="133">
        <f t="shared" si="403"/>
        <v>9830</v>
      </c>
      <c r="AC489" s="134">
        <f t="shared" si="48"/>
        <v>0.17000000000007276</v>
      </c>
      <c r="AD489" s="125">
        <v>44622</v>
      </c>
      <c r="AE489" s="135">
        <f t="shared" si="13"/>
        <v>1.034E-3</v>
      </c>
      <c r="AF489" s="136">
        <f t="shared" si="14"/>
        <v>44622</v>
      </c>
      <c r="AG489" s="137" t="s">
        <v>416</v>
      </c>
      <c r="AH489" s="124"/>
    </row>
    <row r="490" spans="1:34" ht="12" customHeight="1">
      <c r="A490" s="154">
        <v>44620</v>
      </c>
      <c r="B490" s="140" t="s">
        <v>589</v>
      </c>
      <c r="C490" s="141" t="s">
        <v>460</v>
      </c>
      <c r="D490" s="140"/>
      <c r="E490" s="140" t="str">
        <f t="shared" si="0"/>
        <v>DCMSHRIRAM</v>
      </c>
      <c r="F490" s="140"/>
      <c r="G490" s="140"/>
      <c r="H490" s="140"/>
      <c r="I490" s="141" t="s">
        <v>467</v>
      </c>
      <c r="J490" s="139" t="s">
        <v>483</v>
      </c>
      <c r="K490" s="141"/>
      <c r="L490" s="141"/>
      <c r="M490" s="142">
        <v>10</v>
      </c>
      <c r="N490" s="143">
        <v>974</v>
      </c>
      <c r="O490" s="144">
        <f t="shared" si="39"/>
        <v>0</v>
      </c>
      <c r="P490" s="144">
        <f>N490+O490</f>
        <v>974</v>
      </c>
      <c r="Q490" s="144"/>
      <c r="R490" s="144">
        <f t="shared" si="3"/>
        <v>9740</v>
      </c>
      <c r="S490" s="145">
        <f t="shared" si="4"/>
        <v>1.0529999999999999</v>
      </c>
      <c r="T490" s="145">
        <f t="shared" si="75"/>
        <v>0</v>
      </c>
      <c r="U490" s="145">
        <f t="shared" si="36"/>
        <v>0.05</v>
      </c>
      <c r="V490" s="145">
        <f t="shared" si="442"/>
        <v>9.74</v>
      </c>
      <c r="W490" s="145">
        <f>ROUND(R490*F$1823,2)-1</f>
        <v>0.45999999999999996</v>
      </c>
      <c r="X490" s="145">
        <f t="shared" si="437"/>
        <v>0.27</v>
      </c>
      <c r="Y490" s="145">
        <f t="shared" si="218"/>
        <v>0.01</v>
      </c>
      <c r="Z490" s="146">
        <f t="shared" si="10"/>
        <v>10.53</v>
      </c>
      <c r="AA490" s="147">
        <f>-ROUND(R490+SUM(T490:Y490),2)</f>
        <v>-9750.5300000000007</v>
      </c>
      <c r="AB490" s="148">
        <f t="shared" si="403"/>
        <v>-9751</v>
      </c>
      <c r="AC490" s="149">
        <f t="shared" si="48"/>
        <v>-0.46999999999934516</v>
      </c>
      <c r="AD490" s="138">
        <v>44623</v>
      </c>
      <c r="AE490" s="150">
        <f t="shared" si="13"/>
        <v>1.0809999999999999E-3</v>
      </c>
      <c r="AF490" s="151">
        <f t="shared" si="14"/>
        <v>44623</v>
      </c>
      <c r="AG490" s="152" t="s">
        <v>416</v>
      </c>
      <c r="AH490" s="124"/>
    </row>
    <row r="491" spans="1:34" ht="12" customHeight="1">
      <c r="A491" s="155">
        <v>44620</v>
      </c>
      <c r="B491" s="112" t="s">
        <v>589</v>
      </c>
      <c r="C491" s="127" t="s">
        <v>460</v>
      </c>
      <c r="D491" s="112"/>
      <c r="E491" s="112" t="str">
        <f t="shared" si="0"/>
        <v>DCMSHRIRAM</v>
      </c>
      <c r="F491" s="112"/>
      <c r="G491" s="112"/>
      <c r="H491" s="112"/>
      <c r="I491" s="127" t="s">
        <v>461</v>
      </c>
      <c r="J491" s="126" t="s">
        <v>483</v>
      </c>
      <c r="K491" s="127"/>
      <c r="L491" s="127"/>
      <c r="M491" s="128">
        <v>31</v>
      </c>
      <c r="N491" s="129">
        <v>1031.8710000000001</v>
      </c>
      <c r="O491" s="130">
        <f t="shared" si="39"/>
        <v>0</v>
      </c>
      <c r="P491" s="130">
        <f t="shared" ref="P491:P495" si="443">N491-O491</f>
        <v>1031.8710000000001</v>
      </c>
      <c r="Q491" s="130"/>
      <c r="R491" s="130">
        <f t="shared" si="3"/>
        <v>31988</v>
      </c>
      <c r="S491" s="131">
        <f t="shared" si="4"/>
        <v>0.51806451612903226</v>
      </c>
      <c r="T491" s="131">
        <f t="shared" si="75"/>
        <v>0</v>
      </c>
      <c r="U491" s="131">
        <f t="shared" si="36"/>
        <v>0.16</v>
      </c>
      <c r="V491" s="131">
        <f>ROUND(R491*F$1817,2)-17</f>
        <v>14.989999999999998</v>
      </c>
      <c r="W491" s="131">
        <v>0</v>
      </c>
      <c r="X491" s="131">
        <f t="shared" si="437"/>
        <v>0.88</v>
      </c>
      <c r="Y491" s="131">
        <f t="shared" si="218"/>
        <v>0.03</v>
      </c>
      <c r="Z491" s="131">
        <f t="shared" si="10"/>
        <v>16.059999999999999</v>
      </c>
      <c r="AA491" s="132">
        <f t="shared" ref="AA491:AA495" si="444">ROUND(R491-SUM(T491:Y491),2)</f>
        <v>31971.94</v>
      </c>
      <c r="AB491" s="133">
        <f t="shared" si="403"/>
        <v>31972</v>
      </c>
      <c r="AC491" s="134">
        <f t="shared" si="48"/>
        <v>6.0000000001309672E-2</v>
      </c>
      <c r="AD491" s="125">
        <v>44623</v>
      </c>
      <c r="AE491" s="135">
        <f t="shared" si="13"/>
        <v>5.0199999999999995E-4</v>
      </c>
      <c r="AF491" s="136">
        <f t="shared" si="14"/>
        <v>44623</v>
      </c>
      <c r="AG491" s="137" t="s">
        <v>416</v>
      </c>
      <c r="AH491" s="124"/>
    </row>
    <row r="492" spans="1:34" ht="12" customHeight="1">
      <c r="A492" s="155">
        <v>44620</v>
      </c>
      <c r="B492" s="112" t="s">
        <v>527</v>
      </c>
      <c r="C492" s="127" t="s">
        <v>485</v>
      </c>
      <c r="D492" s="112"/>
      <c r="E492" s="112" t="str">
        <f t="shared" si="0"/>
        <v>BPCL</v>
      </c>
      <c r="F492" s="112"/>
      <c r="G492" s="112"/>
      <c r="H492" s="112"/>
      <c r="I492" s="127" t="s">
        <v>461</v>
      </c>
      <c r="J492" s="126" t="s">
        <v>483</v>
      </c>
      <c r="K492" s="127"/>
      <c r="L492" s="127"/>
      <c r="M492" s="128">
        <v>10</v>
      </c>
      <c r="N492" s="129">
        <v>348.35</v>
      </c>
      <c r="O492" s="130">
        <f t="shared" si="39"/>
        <v>0</v>
      </c>
      <c r="P492" s="130">
        <f t="shared" si="443"/>
        <v>348.35</v>
      </c>
      <c r="Q492" s="130"/>
      <c r="R492" s="130">
        <f t="shared" si="3"/>
        <v>3483.5</v>
      </c>
      <c r="S492" s="131">
        <f t="shared" si="4"/>
        <v>0.36</v>
      </c>
      <c r="T492" s="131">
        <f t="shared" si="75"/>
        <v>0</v>
      </c>
      <c r="U492" s="131">
        <f t="shared" si="36"/>
        <v>0.02</v>
      </c>
      <c r="V492" s="131">
        <f t="shared" ref="V492:V497" si="445">ROUND(R492*F$1817,2)</f>
        <v>3.48</v>
      </c>
      <c r="W492" s="131">
        <v>0</v>
      </c>
      <c r="X492" s="131">
        <f t="shared" si="437"/>
        <v>0.1</v>
      </c>
      <c r="Y492" s="131">
        <f t="shared" si="218"/>
        <v>0</v>
      </c>
      <c r="Z492" s="131">
        <f t="shared" si="10"/>
        <v>3.6</v>
      </c>
      <c r="AA492" s="132">
        <f t="shared" si="444"/>
        <v>3479.9</v>
      </c>
      <c r="AB492" s="133">
        <f t="shared" si="403"/>
        <v>3480</v>
      </c>
      <c r="AC492" s="134">
        <f t="shared" si="48"/>
        <v>9.9999999999909051E-2</v>
      </c>
      <c r="AD492" s="125">
        <v>44623</v>
      </c>
      <c r="AE492" s="135">
        <f t="shared" si="13"/>
        <v>1.0330000000000001E-3</v>
      </c>
      <c r="AF492" s="136">
        <f t="shared" si="14"/>
        <v>44623</v>
      </c>
      <c r="AG492" s="137" t="s">
        <v>416</v>
      </c>
      <c r="AH492" s="124"/>
    </row>
    <row r="493" spans="1:34" ht="12" customHeight="1">
      <c r="A493" s="155">
        <v>44620</v>
      </c>
      <c r="B493" s="112" t="s">
        <v>601</v>
      </c>
      <c r="C493" s="127" t="s">
        <v>485</v>
      </c>
      <c r="D493" s="112"/>
      <c r="E493" s="112" t="str">
        <f t="shared" si="0"/>
        <v>FEDERALBNK</v>
      </c>
      <c r="F493" s="112"/>
      <c r="G493" s="112"/>
      <c r="H493" s="112"/>
      <c r="I493" s="127" t="s">
        <v>461</v>
      </c>
      <c r="J493" s="126" t="s">
        <v>483</v>
      </c>
      <c r="K493" s="127"/>
      <c r="L493" s="127"/>
      <c r="M493" s="128">
        <v>50</v>
      </c>
      <c r="N493" s="129">
        <v>96.75</v>
      </c>
      <c r="O493" s="130">
        <f t="shared" si="39"/>
        <v>0</v>
      </c>
      <c r="P493" s="130">
        <f t="shared" si="443"/>
        <v>96.75</v>
      </c>
      <c r="Q493" s="130"/>
      <c r="R493" s="130">
        <f t="shared" si="3"/>
        <v>4837.5</v>
      </c>
      <c r="S493" s="131">
        <f t="shared" si="4"/>
        <v>9.9799999999999986E-2</v>
      </c>
      <c r="T493" s="131">
        <f t="shared" si="75"/>
        <v>0</v>
      </c>
      <c r="U493" s="131">
        <f t="shared" si="36"/>
        <v>0.02</v>
      </c>
      <c r="V493" s="131">
        <f t="shared" si="445"/>
        <v>4.84</v>
      </c>
      <c r="W493" s="131">
        <v>0</v>
      </c>
      <c r="X493" s="131">
        <f t="shared" si="437"/>
        <v>0.13</v>
      </c>
      <c r="Y493" s="131">
        <f t="shared" si="218"/>
        <v>0</v>
      </c>
      <c r="Z493" s="131">
        <f t="shared" si="10"/>
        <v>4.9899999999999993</v>
      </c>
      <c r="AA493" s="132">
        <f t="shared" si="444"/>
        <v>4832.51</v>
      </c>
      <c r="AB493" s="133">
        <f t="shared" si="403"/>
        <v>4833</v>
      </c>
      <c r="AC493" s="134">
        <f t="shared" si="48"/>
        <v>0.48999999999978172</v>
      </c>
      <c r="AD493" s="125">
        <v>44623</v>
      </c>
      <c r="AE493" s="135">
        <f t="shared" si="13"/>
        <v>1.0319999999999999E-3</v>
      </c>
      <c r="AF493" s="136">
        <f t="shared" si="14"/>
        <v>44623</v>
      </c>
      <c r="AG493" s="137" t="s">
        <v>416</v>
      </c>
      <c r="AH493" s="124"/>
    </row>
    <row r="494" spans="1:34" ht="12" customHeight="1">
      <c r="A494" s="155">
        <v>44622</v>
      </c>
      <c r="B494" s="112" t="s">
        <v>605</v>
      </c>
      <c r="C494" s="127" t="s">
        <v>485</v>
      </c>
      <c r="D494" s="112"/>
      <c r="E494" s="112" t="str">
        <f t="shared" si="0"/>
        <v>LICHSGFIN</v>
      </c>
      <c r="F494" s="112"/>
      <c r="G494" s="112"/>
      <c r="H494" s="112"/>
      <c r="I494" s="127" t="s">
        <v>461</v>
      </c>
      <c r="J494" s="126" t="s">
        <v>483</v>
      </c>
      <c r="K494" s="127"/>
      <c r="L494" s="127"/>
      <c r="M494" s="128">
        <v>25</v>
      </c>
      <c r="N494" s="129">
        <v>346</v>
      </c>
      <c r="O494" s="130">
        <f t="shared" si="39"/>
        <v>0</v>
      </c>
      <c r="P494" s="130">
        <f t="shared" si="443"/>
        <v>346</v>
      </c>
      <c r="Q494" s="130"/>
      <c r="R494" s="130">
        <f t="shared" si="3"/>
        <v>8650</v>
      </c>
      <c r="S494" s="131">
        <f t="shared" si="4"/>
        <v>0.36040000000000005</v>
      </c>
      <c r="T494" s="131">
        <f t="shared" si="75"/>
        <v>0</v>
      </c>
      <c r="U494" s="131">
        <f t="shared" si="36"/>
        <v>0.05</v>
      </c>
      <c r="V494" s="131">
        <f t="shared" si="445"/>
        <v>8.65</v>
      </c>
      <c r="W494" s="131">
        <v>0</v>
      </c>
      <c r="X494" s="131">
        <f t="shared" ref="X494:X495" si="446">ROUND(R494*H$1820,2)</f>
        <v>0.3</v>
      </c>
      <c r="Y494" s="131">
        <f t="shared" si="218"/>
        <v>0.01</v>
      </c>
      <c r="Z494" s="131">
        <f t="shared" si="10"/>
        <v>9.0100000000000016</v>
      </c>
      <c r="AA494" s="132">
        <f t="shared" si="444"/>
        <v>8640.99</v>
      </c>
      <c r="AB494" s="133">
        <f t="shared" si="403"/>
        <v>8641</v>
      </c>
      <c r="AC494" s="134">
        <f t="shared" si="48"/>
        <v>1.0000000000218279E-2</v>
      </c>
      <c r="AD494" s="125">
        <v>44624</v>
      </c>
      <c r="AE494" s="135">
        <f t="shared" si="13"/>
        <v>1.042E-3</v>
      </c>
      <c r="AF494" s="136">
        <f t="shared" si="14"/>
        <v>44624</v>
      </c>
      <c r="AG494" s="137" t="s">
        <v>416</v>
      </c>
      <c r="AH494" s="124"/>
    </row>
    <row r="495" spans="1:34" ht="12" customHeight="1">
      <c r="A495" s="155">
        <v>44622</v>
      </c>
      <c r="B495" s="112" t="s">
        <v>604</v>
      </c>
      <c r="C495" s="127" t="s">
        <v>485</v>
      </c>
      <c r="D495" s="112"/>
      <c r="E495" s="112" t="str">
        <f t="shared" si="0"/>
        <v>TATASTEEL</v>
      </c>
      <c r="F495" s="112"/>
      <c r="G495" s="112"/>
      <c r="H495" s="112"/>
      <c r="I495" s="127" t="s">
        <v>461</v>
      </c>
      <c r="J495" s="126" t="s">
        <v>483</v>
      </c>
      <c r="K495" s="127"/>
      <c r="L495" s="127"/>
      <c r="M495" s="128">
        <v>10</v>
      </c>
      <c r="N495" s="129">
        <v>1295</v>
      </c>
      <c r="O495" s="130">
        <f t="shared" si="39"/>
        <v>0</v>
      </c>
      <c r="P495" s="130">
        <f t="shared" si="443"/>
        <v>1295</v>
      </c>
      <c r="Q495" s="130"/>
      <c r="R495" s="130">
        <f t="shared" si="3"/>
        <v>12950</v>
      </c>
      <c r="S495" s="131">
        <f t="shared" si="4"/>
        <v>1.3489999999999998</v>
      </c>
      <c r="T495" s="131">
        <f t="shared" si="75"/>
        <v>0</v>
      </c>
      <c r="U495" s="131">
        <f t="shared" si="36"/>
        <v>0.08</v>
      </c>
      <c r="V495" s="131">
        <f t="shared" si="445"/>
        <v>12.95</v>
      </c>
      <c r="W495" s="131">
        <v>0</v>
      </c>
      <c r="X495" s="131">
        <f t="shared" si="446"/>
        <v>0.45</v>
      </c>
      <c r="Y495" s="131">
        <f t="shared" si="218"/>
        <v>0.01</v>
      </c>
      <c r="Z495" s="131">
        <f t="shared" si="10"/>
        <v>13.489999999999998</v>
      </c>
      <c r="AA495" s="132">
        <f t="shared" si="444"/>
        <v>12936.51</v>
      </c>
      <c r="AB495" s="133">
        <f t="shared" si="403"/>
        <v>12937</v>
      </c>
      <c r="AC495" s="134">
        <f t="shared" si="48"/>
        <v>0.48999999999978172</v>
      </c>
      <c r="AD495" s="125">
        <v>44624</v>
      </c>
      <c r="AE495" s="135">
        <f t="shared" si="13"/>
        <v>1.042E-3</v>
      </c>
      <c r="AF495" s="136">
        <f t="shared" si="14"/>
        <v>44624</v>
      </c>
      <c r="AG495" s="137" t="s">
        <v>416</v>
      </c>
      <c r="AH495" s="124"/>
    </row>
    <row r="496" spans="1:34" ht="12" customHeight="1">
      <c r="A496" s="154">
        <v>44624</v>
      </c>
      <c r="B496" s="140" t="s">
        <v>589</v>
      </c>
      <c r="C496" s="141" t="s">
        <v>460</v>
      </c>
      <c r="D496" s="140"/>
      <c r="E496" s="140" t="str">
        <f t="shared" si="0"/>
        <v>DCMSHRIRAM</v>
      </c>
      <c r="F496" s="140"/>
      <c r="G496" s="140"/>
      <c r="H496" s="140"/>
      <c r="I496" s="141" t="s">
        <v>467</v>
      </c>
      <c r="J496" s="139" t="s">
        <v>483</v>
      </c>
      <c r="K496" s="141"/>
      <c r="L496" s="141"/>
      <c r="M496" s="142">
        <v>20</v>
      </c>
      <c r="N496" s="143">
        <v>1035.5</v>
      </c>
      <c r="O496" s="144">
        <f t="shared" si="39"/>
        <v>0</v>
      </c>
      <c r="P496" s="144">
        <f t="shared" ref="P496:P497" si="447">N496+O496</f>
        <v>1035.5</v>
      </c>
      <c r="Q496" s="144"/>
      <c r="R496" s="144">
        <f t="shared" si="3"/>
        <v>20710</v>
      </c>
      <c r="S496" s="145">
        <f t="shared" si="4"/>
        <v>1.2255</v>
      </c>
      <c r="T496" s="145">
        <f t="shared" si="75"/>
        <v>0</v>
      </c>
      <c r="U496" s="145">
        <f t="shared" si="36"/>
        <v>0.1</v>
      </c>
      <c r="V496" s="145">
        <f t="shared" si="445"/>
        <v>20.71</v>
      </c>
      <c r="W496" s="145">
        <f t="shared" ref="W496:W497" si="448">ROUND(R496*F$1823,2)</f>
        <v>3.11</v>
      </c>
      <c r="X496" s="145">
        <f t="shared" ref="X496:X520" si="449">ROUND(R496*G$1820,2)</f>
        <v>0.56999999999999995</v>
      </c>
      <c r="Y496" s="145">
        <f t="shared" si="218"/>
        <v>0.02</v>
      </c>
      <c r="Z496" s="146">
        <f t="shared" si="10"/>
        <v>24.51</v>
      </c>
      <c r="AA496" s="147">
        <f t="shared" ref="AA496:AA497" si="450">-ROUND(R496+SUM(T496:Y496),2)</f>
        <v>-20734.509999999998</v>
      </c>
      <c r="AB496" s="148">
        <f t="shared" si="403"/>
        <v>-20735</v>
      </c>
      <c r="AC496" s="149">
        <f t="shared" si="48"/>
        <v>-0.49000000000160071</v>
      </c>
      <c r="AD496" s="138">
        <v>44628</v>
      </c>
      <c r="AE496" s="150">
        <f t="shared" si="13"/>
        <v>1.183E-3</v>
      </c>
      <c r="AF496" s="151">
        <f t="shared" si="14"/>
        <v>44628</v>
      </c>
      <c r="AG496" s="152" t="s">
        <v>416</v>
      </c>
      <c r="AH496" s="124"/>
    </row>
    <row r="497" spans="1:34" ht="12" customHeight="1">
      <c r="A497" s="154">
        <v>44627</v>
      </c>
      <c r="B497" s="140" t="s">
        <v>589</v>
      </c>
      <c r="C497" s="141" t="s">
        <v>460</v>
      </c>
      <c r="D497" s="140"/>
      <c r="E497" s="140" t="str">
        <f t="shared" si="0"/>
        <v>DCMSHRIRAM</v>
      </c>
      <c r="F497" s="140"/>
      <c r="G497" s="140"/>
      <c r="H497" s="140"/>
      <c r="I497" s="141" t="s">
        <v>467</v>
      </c>
      <c r="J497" s="139" t="s">
        <v>483</v>
      </c>
      <c r="K497" s="141"/>
      <c r="L497" s="141"/>
      <c r="M497" s="142">
        <v>30</v>
      </c>
      <c r="N497" s="143">
        <v>983.83330000000001</v>
      </c>
      <c r="O497" s="144">
        <f t="shared" si="39"/>
        <v>0</v>
      </c>
      <c r="P497" s="144">
        <f t="shared" si="447"/>
        <v>983.83330000000001</v>
      </c>
      <c r="Q497" s="144"/>
      <c r="R497" s="144">
        <f t="shared" si="3"/>
        <v>29515</v>
      </c>
      <c r="S497" s="145">
        <f t="shared" si="4"/>
        <v>1.1646666666666665</v>
      </c>
      <c r="T497" s="145">
        <f t="shared" si="75"/>
        <v>0</v>
      </c>
      <c r="U497" s="145">
        <f t="shared" si="36"/>
        <v>0.15</v>
      </c>
      <c r="V497" s="145">
        <f t="shared" si="445"/>
        <v>29.52</v>
      </c>
      <c r="W497" s="145">
        <f t="shared" si="448"/>
        <v>4.43</v>
      </c>
      <c r="X497" s="145">
        <f t="shared" si="449"/>
        <v>0.81</v>
      </c>
      <c r="Y497" s="145">
        <f t="shared" si="218"/>
        <v>0.03</v>
      </c>
      <c r="Z497" s="146">
        <f t="shared" si="10"/>
        <v>34.94</v>
      </c>
      <c r="AA497" s="147">
        <f t="shared" si="450"/>
        <v>-29549.94</v>
      </c>
      <c r="AB497" s="148">
        <f t="shared" si="403"/>
        <v>-29550</v>
      </c>
      <c r="AC497" s="149">
        <f t="shared" si="48"/>
        <v>-6.0000000001309672E-2</v>
      </c>
      <c r="AD497" s="138">
        <v>44629</v>
      </c>
      <c r="AE497" s="150">
        <f t="shared" si="13"/>
        <v>1.1839999999999999E-3</v>
      </c>
      <c r="AF497" s="151">
        <f t="shared" si="14"/>
        <v>44629</v>
      </c>
      <c r="AG497" s="152" t="s">
        <v>416</v>
      </c>
      <c r="AH497" s="124"/>
    </row>
    <row r="498" spans="1:34" ht="12" customHeight="1">
      <c r="A498" s="155">
        <v>44627</v>
      </c>
      <c r="B498" s="112" t="s">
        <v>609</v>
      </c>
      <c r="C498" s="127" t="s">
        <v>460</v>
      </c>
      <c r="D498" s="112"/>
      <c r="E498" s="112" t="str">
        <f t="shared" si="0"/>
        <v>SETFGOLD</v>
      </c>
      <c r="F498" s="112"/>
      <c r="G498" s="112"/>
      <c r="H498" s="112"/>
      <c r="I498" s="127" t="s">
        <v>461</v>
      </c>
      <c r="J498" s="126" t="s">
        <v>483</v>
      </c>
      <c r="K498" s="127"/>
      <c r="L498" s="127"/>
      <c r="M498" s="128">
        <v>1500</v>
      </c>
      <c r="N498" s="129">
        <v>46.82</v>
      </c>
      <c r="O498" s="130">
        <f t="shared" si="39"/>
        <v>0</v>
      </c>
      <c r="P498" s="130">
        <f>N498-O498</f>
        <v>46.82</v>
      </c>
      <c r="Q498" s="130"/>
      <c r="R498" s="130">
        <f t="shared" si="3"/>
        <v>70230</v>
      </c>
      <c r="S498" s="131">
        <f t="shared" si="4"/>
        <v>1.5666666666666665E-3</v>
      </c>
      <c r="T498" s="131">
        <f t="shared" si="75"/>
        <v>0</v>
      </c>
      <c r="U498" s="131">
        <f t="shared" si="36"/>
        <v>0.35</v>
      </c>
      <c r="V498" s="131">
        <f>ROUND(R498*F$1817,2)-70.23</f>
        <v>0</v>
      </c>
      <c r="W498" s="131">
        <v>0</v>
      </c>
      <c r="X498" s="131">
        <f t="shared" si="449"/>
        <v>1.93</v>
      </c>
      <c r="Y498" s="131">
        <f t="shared" si="218"/>
        <v>7.0000000000000007E-2</v>
      </c>
      <c r="Z498" s="131">
        <f t="shared" si="10"/>
        <v>2.3499999999999996</v>
      </c>
      <c r="AA498" s="132">
        <f>ROUND(R498-SUM(T498:Y498),2)</f>
        <v>70227.649999999994</v>
      </c>
      <c r="AB498" s="133">
        <f t="shared" si="403"/>
        <v>70228</v>
      </c>
      <c r="AC498" s="134">
        <f t="shared" si="48"/>
        <v>0.35000000000582077</v>
      </c>
      <c r="AD498" s="125">
        <v>44629</v>
      </c>
      <c r="AE498" s="135">
        <f t="shared" si="13"/>
        <v>3.3000000000000003E-5</v>
      </c>
      <c r="AF498" s="136">
        <f t="shared" si="14"/>
        <v>44629</v>
      </c>
      <c r="AG498" s="137" t="s">
        <v>416</v>
      </c>
      <c r="AH498" s="124"/>
    </row>
    <row r="499" spans="1:34" ht="12" customHeight="1">
      <c r="A499" s="154">
        <v>44628</v>
      </c>
      <c r="B499" s="140" t="s">
        <v>493</v>
      </c>
      <c r="C499" s="141" t="s">
        <v>485</v>
      </c>
      <c r="D499" s="140"/>
      <c r="E499" s="140" t="str">
        <f t="shared" si="0"/>
        <v>SBIN</v>
      </c>
      <c r="F499" s="140"/>
      <c r="G499" s="140"/>
      <c r="H499" s="140"/>
      <c r="I499" s="141" t="s">
        <v>467</v>
      </c>
      <c r="J499" s="139" t="s">
        <v>483</v>
      </c>
      <c r="K499" s="141"/>
      <c r="L499" s="141"/>
      <c r="M499" s="142">
        <v>75</v>
      </c>
      <c r="N499" s="143">
        <v>434.35</v>
      </c>
      <c r="O499" s="144">
        <f t="shared" si="39"/>
        <v>0</v>
      </c>
      <c r="P499" s="144">
        <f t="shared" ref="P499:P500" si="451">N499+O499</f>
        <v>434.35</v>
      </c>
      <c r="Q499" s="144"/>
      <c r="R499" s="144">
        <f t="shared" si="3"/>
        <v>32576.25</v>
      </c>
      <c r="S499" s="145">
        <f t="shared" si="4"/>
        <v>0.51413333333333322</v>
      </c>
      <c r="T499" s="145">
        <f t="shared" si="75"/>
        <v>0</v>
      </c>
      <c r="U499" s="145">
        <f t="shared" si="36"/>
        <v>0.16</v>
      </c>
      <c r="V499" s="145">
        <f>ROUND(R499*F$1817,2)</f>
        <v>32.58</v>
      </c>
      <c r="W499" s="145">
        <f t="shared" ref="W499:W500" si="452">ROUND(R499*F$1823,2)</f>
        <v>4.8899999999999997</v>
      </c>
      <c r="X499" s="145">
        <f t="shared" si="449"/>
        <v>0.9</v>
      </c>
      <c r="Y499" s="145">
        <f t="shared" si="218"/>
        <v>0.03</v>
      </c>
      <c r="Z499" s="146">
        <f t="shared" si="10"/>
        <v>38.559999999999995</v>
      </c>
      <c r="AA499" s="147">
        <f t="shared" ref="AA499:AA500" si="453">-ROUND(R499+SUM(T499:Y499),2)</f>
        <v>-32614.81</v>
      </c>
      <c r="AB499" s="148">
        <f t="shared" si="403"/>
        <v>-32615</v>
      </c>
      <c r="AC499" s="149">
        <f t="shared" si="48"/>
        <v>-0.18999999999869033</v>
      </c>
      <c r="AD499" s="138">
        <v>44630</v>
      </c>
      <c r="AE499" s="150">
        <f t="shared" si="13"/>
        <v>1.1839999999999999E-3</v>
      </c>
      <c r="AF499" s="151">
        <f t="shared" si="14"/>
        <v>44630</v>
      </c>
      <c r="AG499" s="152" t="s">
        <v>416</v>
      </c>
      <c r="AH499" s="124"/>
    </row>
    <row r="500" spans="1:34" ht="12" customHeight="1">
      <c r="A500" s="154">
        <v>44629</v>
      </c>
      <c r="B500" s="140" t="s">
        <v>609</v>
      </c>
      <c r="C500" s="141" t="s">
        <v>460</v>
      </c>
      <c r="D500" s="140"/>
      <c r="E500" s="140" t="str">
        <f t="shared" si="0"/>
        <v>SETFGOLD</v>
      </c>
      <c r="F500" s="140"/>
      <c r="G500" s="140"/>
      <c r="H500" s="140"/>
      <c r="I500" s="141" t="s">
        <v>461</v>
      </c>
      <c r="J500" s="139" t="s">
        <v>483</v>
      </c>
      <c r="K500" s="141"/>
      <c r="L500" s="141"/>
      <c r="M500" s="142">
        <v>1</v>
      </c>
      <c r="N500" s="143">
        <v>46.35</v>
      </c>
      <c r="O500" s="144">
        <f t="shared" si="39"/>
        <v>0</v>
      </c>
      <c r="P500" s="144">
        <f t="shared" si="451"/>
        <v>46.35</v>
      </c>
      <c r="Q500" s="144"/>
      <c r="R500" s="144">
        <f t="shared" si="3"/>
        <v>46.35</v>
      </c>
      <c r="S500" s="145">
        <f t="shared" si="4"/>
        <v>0.01</v>
      </c>
      <c r="T500" s="145">
        <f t="shared" si="75"/>
        <v>0</v>
      </c>
      <c r="U500" s="145">
        <f t="shared" si="36"/>
        <v>0</v>
      </c>
      <c r="V500" s="145">
        <f>ROUND(R500*F$1817,2)-0.05</f>
        <v>0</v>
      </c>
      <c r="W500" s="145">
        <f t="shared" si="452"/>
        <v>0.01</v>
      </c>
      <c r="X500" s="145">
        <f t="shared" si="449"/>
        <v>0</v>
      </c>
      <c r="Y500" s="145">
        <f t="shared" si="218"/>
        <v>0</v>
      </c>
      <c r="Z500" s="146">
        <f t="shared" si="10"/>
        <v>0.01</v>
      </c>
      <c r="AA500" s="147">
        <f t="shared" si="453"/>
        <v>-46.36</v>
      </c>
      <c r="AB500" s="148">
        <f t="shared" si="403"/>
        <v>-46</v>
      </c>
      <c r="AC500" s="149">
        <f t="shared" si="48"/>
        <v>0.35999999999999943</v>
      </c>
      <c r="AD500" s="138">
        <v>44631</v>
      </c>
      <c r="AE500" s="150">
        <f t="shared" si="13"/>
        <v>2.1599999999999999E-4</v>
      </c>
      <c r="AF500" s="151">
        <f t="shared" si="14"/>
        <v>44631</v>
      </c>
      <c r="AG500" s="152" t="s">
        <v>416</v>
      </c>
      <c r="AH500" s="124"/>
    </row>
    <row r="501" spans="1:34" ht="12" customHeight="1">
      <c r="A501" s="155">
        <v>44629</v>
      </c>
      <c r="B501" s="112" t="s">
        <v>589</v>
      </c>
      <c r="C501" s="127" t="s">
        <v>460</v>
      </c>
      <c r="D501" s="112"/>
      <c r="E501" s="112" t="str">
        <f t="shared" si="0"/>
        <v>DCMSHRIRAM</v>
      </c>
      <c r="F501" s="112"/>
      <c r="G501" s="112"/>
      <c r="H501" s="112"/>
      <c r="I501" s="127" t="s">
        <v>461</v>
      </c>
      <c r="J501" s="126" t="s">
        <v>483</v>
      </c>
      <c r="K501" s="127"/>
      <c r="L501" s="127"/>
      <c r="M501" s="128">
        <v>20</v>
      </c>
      <c r="N501" s="129">
        <v>993</v>
      </c>
      <c r="O501" s="130">
        <f t="shared" si="39"/>
        <v>0</v>
      </c>
      <c r="P501" s="130">
        <f>N501-O501</f>
        <v>993</v>
      </c>
      <c r="Q501" s="130"/>
      <c r="R501" s="130">
        <f t="shared" si="3"/>
        <v>19860</v>
      </c>
      <c r="S501" s="131">
        <f t="shared" si="4"/>
        <v>1.0265</v>
      </c>
      <c r="T501" s="131">
        <f t="shared" si="75"/>
        <v>0</v>
      </c>
      <c r="U501" s="131">
        <f t="shared" si="36"/>
        <v>0.1</v>
      </c>
      <c r="V501" s="131">
        <f>ROUND(R501*F$1817,2)</f>
        <v>19.86</v>
      </c>
      <c r="W501" s="131">
        <v>0</v>
      </c>
      <c r="X501" s="131">
        <f t="shared" si="449"/>
        <v>0.55000000000000004</v>
      </c>
      <c r="Y501" s="131">
        <f t="shared" si="218"/>
        <v>0.02</v>
      </c>
      <c r="Z501" s="131">
        <f t="shared" si="10"/>
        <v>20.53</v>
      </c>
      <c r="AA501" s="132">
        <f>ROUND(R501-SUM(T501:Y501),2)</f>
        <v>19839.47</v>
      </c>
      <c r="AB501" s="133">
        <f t="shared" si="403"/>
        <v>19839</v>
      </c>
      <c r="AC501" s="134">
        <f t="shared" si="48"/>
        <v>-0.47000000000116415</v>
      </c>
      <c r="AD501" s="125">
        <v>44631</v>
      </c>
      <c r="AE501" s="135">
        <f t="shared" si="13"/>
        <v>1.034E-3</v>
      </c>
      <c r="AF501" s="136">
        <f t="shared" si="14"/>
        <v>44631</v>
      </c>
      <c r="AG501" s="137" t="s">
        <v>416</v>
      </c>
      <c r="AH501" s="124"/>
    </row>
    <row r="502" spans="1:34" ht="12" customHeight="1">
      <c r="A502" s="154">
        <v>44630</v>
      </c>
      <c r="B502" s="140" t="s">
        <v>609</v>
      </c>
      <c r="C502" s="141" t="s">
        <v>460</v>
      </c>
      <c r="D502" s="140"/>
      <c r="E502" s="140" t="str">
        <f t="shared" si="0"/>
        <v>SETFGOLD</v>
      </c>
      <c r="F502" s="140"/>
      <c r="G502" s="140"/>
      <c r="H502" s="140"/>
      <c r="I502" s="141" t="s">
        <v>461</v>
      </c>
      <c r="J502" s="139" t="s">
        <v>483</v>
      </c>
      <c r="K502" s="141"/>
      <c r="L502" s="141"/>
      <c r="M502" s="142">
        <v>1500</v>
      </c>
      <c r="N502" s="143">
        <v>45.4833</v>
      </c>
      <c r="O502" s="144">
        <f t="shared" si="39"/>
        <v>0</v>
      </c>
      <c r="P502" s="144">
        <f>N502+O502</f>
        <v>45.4833</v>
      </c>
      <c r="Q502" s="144"/>
      <c r="R502" s="144">
        <f t="shared" si="3"/>
        <v>68224.95</v>
      </c>
      <c r="S502" s="145">
        <f t="shared" si="4"/>
        <v>8.3466666666666672E-3</v>
      </c>
      <c r="T502" s="145">
        <f t="shared" si="75"/>
        <v>0</v>
      </c>
      <c r="U502" s="145">
        <f t="shared" si="36"/>
        <v>0.34</v>
      </c>
      <c r="V502" s="145">
        <f>ROUND(R502*F$1817,2)-68.22</f>
        <v>0</v>
      </c>
      <c r="W502" s="145">
        <f>ROUND(R502*F$1823,2)</f>
        <v>10.23</v>
      </c>
      <c r="X502" s="145">
        <f t="shared" si="449"/>
        <v>1.88</v>
      </c>
      <c r="Y502" s="145">
        <f t="shared" si="218"/>
        <v>7.0000000000000007E-2</v>
      </c>
      <c r="Z502" s="146">
        <f t="shared" si="10"/>
        <v>12.52</v>
      </c>
      <c r="AA502" s="147">
        <f>-ROUND(R502+SUM(T502:Y502),2)</f>
        <v>-68237.47</v>
      </c>
      <c r="AB502" s="148">
        <f t="shared" si="403"/>
        <v>-68237</v>
      </c>
      <c r="AC502" s="149">
        <f t="shared" si="48"/>
        <v>0.47000000000116415</v>
      </c>
      <c r="AD502" s="138">
        <v>44634</v>
      </c>
      <c r="AE502" s="150">
        <f t="shared" si="13"/>
        <v>1.84E-4</v>
      </c>
      <c r="AF502" s="151">
        <f t="shared" si="14"/>
        <v>44634</v>
      </c>
      <c r="AG502" s="152" t="s">
        <v>416</v>
      </c>
      <c r="AH502" s="124"/>
    </row>
    <row r="503" spans="1:34" ht="12" customHeight="1">
      <c r="A503" s="155">
        <v>44634</v>
      </c>
      <c r="B503" s="112" t="s">
        <v>589</v>
      </c>
      <c r="C503" s="127" t="s">
        <v>460</v>
      </c>
      <c r="D503" s="112"/>
      <c r="E503" s="112" t="str">
        <f t="shared" si="0"/>
        <v>DCMSHRIRAM</v>
      </c>
      <c r="F503" s="112"/>
      <c r="G503" s="112"/>
      <c r="H503" s="112"/>
      <c r="I503" s="127" t="s">
        <v>461</v>
      </c>
      <c r="J503" s="126" t="s">
        <v>483</v>
      </c>
      <c r="K503" s="127"/>
      <c r="L503" s="127"/>
      <c r="M503" s="128">
        <v>30</v>
      </c>
      <c r="N503" s="129">
        <v>1057</v>
      </c>
      <c r="O503" s="130">
        <f t="shared" si="39"/>
        <v>0</v>
      </c>
      <c r="P503" s="130">
        <f t="shared" ref="P503:P504" si="454">N503-O503</f>
        <v>1057</v>
      </c>
      <c r="Q503" s="130"/>
      <c r="R503" s="130">
        <f t="shared" si="3"/>
        <v>31710</v>
      </c>
      <c r="S503" s="131">
        <f t="shared" si="4"/>
        <v>1.0923333333333334</v>
      </c>
      <c r="T503" s="131">
        <f t="shared" si="75"/>
        <v>0</v>
      </c>
      <c r="U503" s="131">
        <f t="shared" si="36"/>
        <v>0.16</v>
      </c>
      <c r="V503" s="131">
        <f t="shared" ref="V503:V545" si="455">ROUND(R503*F$1817,2)</f>
        <v>31.71</v>
      </c>
      <c r="W503" s="131">
        <v>0</v>
      </c>
      <c r="X503" s="131">
        <f t="shared" si="449"/>
        <v>0.87</v>
      </c>
      <c r="Y503" s="131">
        <f t="shared" si="218"/>
        <v>0.03</v>
      </c>
      <c r="Z503" s="131">
        <f t="shared" si="10"/>
        <v>32.770000000000003</v>
      </c>
      <c r="AA503" s="132">
        <f t="shared" ref="AA503:AA504" si="456">ROUND(R503-SUM(T503:Y503),2)</f>
        <v>31677.23</v>
      </c>
      <c r="AB503" s="133">
        <f t="shared" si="403"/>
        <v>31677</v>
      </c>
      <c r="AC503" s="134">
        <f t="shared" si="48"/>
        <v>-0.22999999999956344</v>
      </c>
      <c r="AD503" s="125">
        <v>44636</v>
      </c>
      <c r="AE503" s="135">
        <f t="shared" si="13"/>
        <v>1.0330000000000001E-3</v>
      </c>
      <c r="AF503" s="136">
        <f t="shared" si="14"/>
        <v>44636</v>
      </c>
      <c r="AG503" s="137" t="s">
        <v>416</v>
      </c>
      <c r="AH503" s="124"/>
    </row>
    <row r="504" spans="1:34" ht="12" customHeight="1">
      <c r="A504" s="155">
        <v>44634</v>
      </c>
      <c r="B504" s="112" t="s">
        <v>576</v>
      </c>
      <c r="C504" s="127" t="s">
        <v>485</v>
      </c>
      <c r="D504" s="112"/>
      <c r="E504" s="112" t="str">
        <f t="shared" si="0"/>
        <v>CDSL</v>
      </c>
      <c r="F504" s="112"/>
      <c r="G504" s="112"/>
      <c r="H504" s="112"/>
      <c r="I504" s="127" t="s">
        <v>461</v>
      </c>
      <c r="J504" s="126" t="s">
        <v>483</v>
      </c>
      <c r="K504" s="127"/>
      <c r="L504" s="127"/>
      <c r="M504" s="128">
        <v>2</v>
      </c>
      <c r="N504" s="129">
        <v>1560</v>
      </c>
      <c r="O504" s="130">
        <f t="shared" si="39"/>
        <v>0</v>
      </c>
      <c r="P504" s="130">
        <f t="shared" si="454"/>
        <v>1560</v>
      </c>
      <c r="Q504" s="130"/>
      <c r="R504" s="130">
        <f t="shared" si="3"/>
        <v>3120</v>
      </c>
      <c r="S504" s="131">
        <f t="shared" si="4"/>
        <v>1.615</v>
      </c>
      <c r="T504" s="131">
        <f t="shared" si="75"/>
        <v>0</v>
      </c>
      <c r="U504" s="131">
        <f t="shared" si="36"/>
        <v>0.02</v>
      </c>
      <c r="V504" s="131">
        <f t="shared" si="455"/>
        <v>3.12</v>
      </c>
      <c r="W504" s="131">
        <v>0</v>
      </c>
      <c r="X504" s="131">
        <f t="shared" si="449"/>
        <v>0.09</v>
      </c>
      <c r="Y504" s="131">
        <f t="shared" si="218"/>
        <v>0</v>
      </c>
      <c r="Z504" s="131">
        <f t="shared" si="10"/>
        <v>3.23</v>
      </c>
      <c r="AA504" s="132">
        <f t="shared" si="456"/>
        <v>3116.77</v>
      </c>
      <c r="AB504" s="133">
        <f t="shared" si="403"/>
        <v>3117</v>
      </c>
      <c r="AC504" s="134">
        <f t="shared" si="48"/>
        <v>0.23000000000001819</v>
      </c>
      <c r="AD504" s="125">
        <v>44636</v>
      </c>
      <c r="AE504" s="135">
        <f t="shared" si="13"/>
        <v>1.0349999999999999E-3</v>
      </c>
      <c r="AF504" s="136">
        <f t="shared" si="14"/>
        <v>44636</v>
      </c>
      <c r="AG504" s="137" t="s">
        <v>416</v>
      </c>
      <c r="AH504" s="124"/>
    </row>
    <row r="505" spans="1:34" ht="12" customHeight="1">
      <c r="A505" s="154">
        <v>44635</v>
      </c>
      <c r="B505" s="140" t="s">
        <v>589</v>
      </c>
      <c r="C505" s="141" t="s">
        <v>460</v>
      </c>
      <c r="D505" s="140"/>
      <c r="E505" s="140" t="str">
        <f t="shared" si="0"/>
        <v>DCMSHRIRAM</v>
      </c>
      <c r="F505" s="140"/>
      <c r="G505" s="140"/>
      <c r="H505" s="140"/>
      <c r="I505" s="141" t="s">
        <v>467</v>
      </c>
      <c r="J505" s="139" t="s">
        <v>483</v>
      </c>
      <c r="K505" s="141"/>
      <c r="L505" s="141"/>
      <c r="M505" s="142">
        <v>10</v>
      </c>
      <c r="N505" s="143">
        <v>1040</v>
      </c>
      <c r="O505" s="144">
        <f t="shared" si="39"/>
        <v>0</v>
      </c>
      <c r="P505" s="144">
        <f>N505+O505</f>
        <v>1040</v>
      </c>
      <c r="Q505" s="144"/>
      <c r="R505" s="144">
        <f t="shared" si="3"/>
        <v>10400</v>
      </c>
      <c r="S505" s="145">
        <f t="shared" si="4"/>
        <v>1.2310000000000001</v>
      </c>
      <c r="T505" s="145">
        <f t="shared" si="75"/>
        <v>0</v>
      </c>
      <c r="U505" s="145">
        <f t="shared" si="36"/>
        <v>0.05</v>
      </c>
      <c r="V505" s="145">
        <f t="shared" si="455"/>
        <v>10.4</v>
      </c>
      <c r="W505" s="145">
        <f>ROUND(R505*F$1823,2)</f>
        <v>1.56</v>
      </c>
      <c r="X505" s="145">
        <f t="shared" si="449"/>
        <v>0.28999999999999998</v>
      </c>
      <c r="Y505" s="145">
        <f t="shared" si="218"/>
        <v>0.01</v>
      </c>
      <c r="Z505" s="146">
        <f t="shared" si="10"/>
        <v>12.31</v>
      </c>
      <c r="AA505" s="147">
        <f>-ROUND(R505+SUM(T505:Y505),2)</f>
        <v>-10412.31</v>
      </c>
      <c r="AB505" s="148">
        <f t="shared" si="403"/>
        <v>-10412</v>
      </c>
      <c r="AC505" s="149">
        <f t="shared" si="48"/>
        <v>0.30999999999949068</v>
      </c>
      <c r="AD505" s="138">
        <v>44637</v>
      </c>
      <c r="AE505" s="150">
        <f t="shared" si="13"/>
        <v>1.1839999999999999E-3</v>
      </c>
      <c r="AF505" s="151">
        <f t="shared" si="14"/>
        <v>44637</v>
      </c>
      <c r="AG505" s="152" t="s">
        <v>416</v>
      </c>
      <c r="AH505" s="124"/>
    </row>
    <row r="506" spans="1:34" ht="12" customHeight="1">
      <c r="A506" s="155">
        <v>44642</v>
      </c>
      <c r="B506" s="112" t="s">
        <v>589</v>
      </c>
      <c r="C506" s="127" t="s">
        <v>460</v>
      </c>
      <c r="D506" s="112"/>
      <c r="E506" s="112" t="str">
        <f t="shared" si="0"/>
        <v>DCMSHRIRAM</v>
      </c>
      <c r="F506" s="112"/>
      <c r="G506" s="112"/>
      <c r="H506" s="112"/>
      <c r="I506" s="127" t="s">
        <v>461</v>
      </c>
      <c r="J506" s="126" t="s">
        <v>483</v>
      </c>
      <c r="K506" s="127"/>
      <c r="L506" s="127"/>
      <c r="M506" s="128">
        <v>16</v>
      </c>
      <c r="N506" s="129">
        <v>1065.9563000000001</v>
      </c>
      <c r="O506" s="130">
        <f t="shared" si="39"/>
        <v>0</v>
      </c>
      <c r="P506" s="130">
        <f>N506-O506</f>
        <v>1065.9563000000001</v>
      </c>
      <c r="Q506" s="130"/>
      <c r="R506" s="130">
        <f t="shared" si="3"/>
        <v>17055.3</v>
      </c>
      <c r="S506" s="131">
        <f t="shared" si="4"/>
        <v>1.1018749999999997</v>
      </c>
      <c r="T506" s="131">
        <f t="shared" si="75"/>
        <v>0</v>
      </c>
      <c r="U506" s="131">
        <f t="shared" si="36"/>
        <v>0.08</v>
      </c>
      <c r="V506" s="131">
        <f t="shared" si="455"/>
        <v>17.059999999999999</v>
      </c>
      <c r="W506" s="131">
        <v>0</v>
      </c>
      <c r="X506" s="131">
        <f t="shared" si="449"/>
        <v>0.47</v>
      </c>
      <c r="Y506" s="131">
        <f t="shared" si="218"/>
        <v>0.02</v>
      </c>
      <c r="Z506" s="131">
        <f t="shared" si="10"/>
        <v>17.629999999999995</v>
      </c>
      <c r="AA506" s="132">
        <f>ROUND(R506-SUM(T506:Y506),2)</f>
        <v>17037.669999999998</v>
      </c>
      <c r="AB506" s="133">
        <f t="shared" si="403"/>
        <v>17038</v>
      </c>
      <c r="AC506" s="134">
        <f t="shared" si="48"/>
        <v>0.33000000000174623</v>
      </c>
      <c r="AD506" s="125">
        <v>44644</v>
      </c>
      <c r="AE506" s="135">
        <f t="shared" si="13"/>
        <v>1.034E-3</v>
      </c>
      <c r="AF506" s="136">
        <f t="shared" si="14"/>
        <v>44644</v>
      </c>
      <c r="AG506" s="137" t="s">
        <v>416</v>
      </c>
      <c r="AH506" s="124"/>
    </row>
    <row r="507" spans="1:34" ht="12" customHeight="1">
      <c r="A507" s="154">
        <v>44643</v>
      </c>
      <c r="B507" s="140" t="s">
        <v>589</v>
      </c>
      <c r="C507" s="141" t="s">
        <v>460</v>
      </c>
      <c r="D507" s="140"/>
      <c r="E507" s="140" t="str">
        <f t="shared" si="0"/>
        <v>DCMSHRIRAM</v>
      </c>
      <c r="F507" s="140"/>
      <c r="G507" s="140"/>
      <c r="H507" s="140"/>
      <c r="I507" s="141" t="s">
        <v>467</v>
      </c>
      <c r="J507" s="139" t="s">
        <v>483</v>
      </c>
      <c r="K507" s="141"/>
      <c r="L507" s="141"/>
      <c r="M507" s="142">
        <v>16</v>
      </c>
      <c r="N507" s="143">
        <v>1061</v>
      </c>
      <c r="O507" s="144">
        <f t="shared" si="39"/>
        <v>0</v>
      </c>
      <c r="P507" s="144">
        <f>N507+O507</f>
        <v>1061</v>
      </c>
      <c r="Q507" s="144"/>
      <c r="R507" s="144">
        <f t="shared" si="3"/>
        <v>16976</v>
      </c>
      <c r="S507" s="145">
        <f t="shared" si="4"/>
        <v>1.2562499999999999</v>
      </c>
      <c r="T507" s="145">
        <f t="shared" si="75"/>
        <v>0</v>
      </c>
      <c r="U507" s="145">
        <f t="shared" si="36"/>
        <v>0.08</v>
      </c>
      <c r="V507" s="145">
        <f t="shared" si="455"/>
        <v>16.98</v>
      </c>
      <c r="W507" s="145">
        <f>ROUND(R507*F$1823,2)</f>
        <v>2.5499999999999998</v>
      </c>
      <c r="X507" s="145">
        <f t="shared" si="449"/>
        <v>0.47</v>
      </c>
      <c r="Y507" s="145">
        <f t="shared" si="218"/>
        <v>0.02</v>
      </c>
      <c r="Z507" s="146">
        <f t="shared" si="10"/>
        <v>20.099999999999998</v>
      </c>
      <c r="AA507" s="147">
        <f>-ROUND(R507+SUM(T507:Y507),2)</f>
        <v>-16996.099999999999</v>
      </c>
      <c r="AB507" s="148">
        <f t="shared" si="403"/>
        <v>-16996</v>
      </c>
      <c r="AC507" s="149">
        <f t="shared" si="48"/>
        <v>9.9999999998544808E-2</v>
      </c>
      <c r="AD507" s="138">
        <v>44645</v>
      </c>
      <c r="AE507" s="150">
        <f t="shared" si="13"/>
        <v>1.1839999999999999E-3</v>
      </c>
      <c r="AF507" s="151">
        <f t="shared" si="14"/>
        <v>44645</v>
      </c>
      <c r="AG507" s="152" t="s">
        <v>416</v>
      </c>
      <c r="AH507" s="124"/>
    </row>
    <row r="508" spans="1:34" ht="12" customHeight="1">
      <c r="A508" s="155">
        <v>44643</v>
      </c>
      <c r="B508" s="112" t="s">
        <v>495</v>
      </c>
      <c r="C508" s="127" t="s">
        <v>485</v>
      </c>
      <c r="D508" s="112"/>
      <c r="E508" s="112" t="str">
        <f t="shared" si="0"/>
        <v>SAIL</v>
      </c>
      <c r="F508" s="112"/>
      <c r="G508" s="112"/>
      <c r="H508" s="112"/>
      <c r="I508" s="127" t="s">
        <v>461</v>
      </c>
      <c r="J508" s="126" t="s">
        <v>483</v>
      </c>
      <c r="K508" s="127"/>
      <c r="L508" s="127"/>
      <c r="M508" s="128">
        <v>600</v>
      </c>
      <c r="N508" s="129">
        <v>103.58329999999999</v>
      </c>
      <c r="O508" s="130">
        <f t="shared" si="39"/>
        <v>0</v>
      </c>
      <c r="P508" s="130">
        <f t="shared" ref="P508:P509" si="457">N508-O508</f>
        <v>103.58329999999999</v>
      </c>
      <c r="Q508" s="130"/>
      <c r="R508" s="130">
        <f t="shared" si="3"/>
        <v>62149.98</v>
      </c>
      <c r="S508" s="131">
        <f t="shared" si="4"/>
        <v>0.10705000000000001</v>
      </c>
      <c r="T508" s="131">
        <f t="shared" si="75"/>
        <v>0</v>
      </c>
      <c r="U508" s="131">
        <f t="shared" si="36"/>
        <v>0.31</v>
      </c>
      <c r="V508" s="131">
        <f t="shared" si="455"/>
        <v>62.15</v>
      </c>
      <c r="W508" s="131">
        <v>0</v>
      </c>
      <c r="X508" s="131">
        <f t="shared" si="449"/>
        <v>1.71</v>
      </c>
      <c r="Y508" s="131">
        <f t="shared" si="218"/>
        <v>0.06</v>
      </c>
      <c r="Z508" s="131">
        <f t="shared" si="10"/>
        <v>64.23</v>
      </c>
      <c r="AA508" s="132">
        <f t="shared" ref="AA508:AA509" si="458">ROUND(R508-SUM(T508:Y508),2)</f>
        <v>62085.75</v>
      </c>
      <c r="AB508" s="133">
        <f t="shared" si="403"/>
        <v>62086</v>
      </c>
      <c r="AC508" s="134">
        <f t="shared" si="48"/>
        <v>0.25</v>
      </c>
      <c r="AD508" s="125">
        <v>44645</v>
      </c>
      <c r="AE508" s="135">
        <f t="shared" si="13"/>
        <v>1.0330000000000001E-3</v>
      </c>
      <c r="AF508" s="136">
        <f t="shared" si="14"/>
        <v>44645</v>
      </c>
      <c r="AG508" s="137" t="s">
        <v>416</v>
      </c>
      <c r="AH508" s="124"/>
    </row>
    <row r="509" spans="1:34" ht="12" customHeight="1">
      <c r="A509" s="155">
        <v>44644</v>
      </c>
      <c r="B509" s="112" t="s">
        <v>607</v>
      </c>
      <c r="C509" s="127" t="s">
        <v>485</v>
      </c>
      <c r="D509" s="112"/>
      <c r="E509" s="112" t="str">
        <f t="shared" si="0"/>
        <v>AUROPHARMA</v>
      </c>
      <c r="F509" s="112"/>
      <c r="G509" s="112"/>
      <c r="H509" s="112"/>
      <c r="I509" s="127" t="s">
        <v>461</v>
      </c>
      <c r="J509" s="126" t="s">
        <v>483</v>
      </c>
      <c r="K509" s="127"/>
      <c r="L509" s="127"/>
      <c r="M509" s="128">
        <v>20</v>
      </c>
      <c r="N509" s="129">
        <v>712</v>
      </c>
      <c r="O509" s="130">
        <f t="shared" si="39"/>
        <v>0</v>
      </c>
      <c r="P509" s="130">
        <f t="shared" si="457"/>
        <v>712</v>
      </c>
      <c r="Q509" s="130"/>
      <c r="R509" s="130">
        <f t="shared" si="3"/>
        <v>14240</v>
      </c>
      <c r="S509" s="131">
        <f t="shared" si="4"/>
        <v>0.73550000000000004</v>
      </c>
      <c r="T509" s="131">
        <f t="shared" si="75"/>
        <v>0</v>
      </c>
      <c r="U509" s="131">
        <f t="shared" si="36"/>
        <v>7.0000000000000007E-2</v>
      </c>
      <c r="V509" s="131">
        <f t="shared" si="455"/>
        <v>14.24</v>
      </c>
      <c r="W509" s="131">
        <v>0</v>
      </c>
      <c r="X509" s="131">
        <f t="shared" si="449"/>
        <v>0.39</v>
      </c>
      <c r="Y509" s="131">
        <f t="shared" si="218"/>
        <v>0.01</v>
      </c>
      <c r="Z509" s="131">
        <f t="shared" si="10"/>
        <v>14.71</v>
      </c>
      <c r="AA509" s="132">
        <f t="shared" si="458"/>
        <v>14225.29</v>
      </c>
      <c r="AB509" s="133">
        <f t="shared" si="403"/>
        <v>14225</v>
      </c>
      <c r="AC509" s="134">
        <f t="shared" si="48"/>
        <v>-0.29000000000087311</v>
      </c>
      <c r="AD509" s="125">
        <v>44648</v>
      </c>
      <c r="AE509" s="135">
        <f t="shared" si="13"/>
        <v>1.0330000000000001E-3</v>
      </c>
      <c r="AF509" s="136">
        <f t="shared" si="14"/>
        <v>44648</v>
      </c>
      <c r="AG509" s="137" t="s">
        <v>416</v>
      </c>
      <c r="AH509" s="124"/>
    </row>
    <row r="510" spans="1:34" ht="12" customHeight="1">
      <c r="A510" s="154">
        <v>44645</v>
      </c>
      <c r="B510" s="140" t="s">
        <v>495</v>
      </c>
      <c r="C510" s="141" t="s">
        <v>485</v>
      </c>
      <c r="D510" s="140"/>
      <c r="E510" s="140" t="str">
        <f t="shared" si="0"/>
        <v>SAIL</v>
      </c>
      <c r="F510" s="140"/>
      <c r="G510" s="140"/>
      <c r="H510" s="140"/>
      <c r="I510" s="141" t="s">
        <v>467</v>
      </c>
      <c r="J510" s="139" t="s">
        <v>483</v>
      </c>
      <c r="K510" s="141"/>
      <c r="L510" s="141"/>
      <c r="M510" s="142">
        <v>600</v>
      </c>
      <c r="N510" s="143">
        <v>103.4</v>
      </c>
      <c r="O510" s="144">
        <f t="shared" si="39"/>
        <v>0</v>
      </c>
      <c r="P510" s="144">
        <f t="shared" ref="P510:P511" si="459">N510+O510</f>
        <v>103.4</v>
      </c>
      <c r="Q510" s="144"/>
      <c r="R510" s="144">
        <f t="shared" si="3"/>
        <v>62040</v>
      </c>
      <c r="S510" s="145">
        <f t="shared" si="4"/>
        <v>0.12238333333333332</v>
      </c>
      <c r="T510" s="145">
        <f t="shared" si="75"/>
        <v>0</v>
      </c>
      <c r="U510" s="145">
        <f t="shared" si="36"/>
        <v>0.31</v>
      </c>
      <c r="V510" s="145">
        <f t="shared" si="455"/>
        <v>62.04</v>
      </c>
      <c r="W510" s="145">
        <f t="shared" ref="W510:W511" si="460">ROUND(R510*F$1823,2)</f>
        <v>9.31</v>
      </c>
      <c r="X510" s="145">
        <f t="shared" si="449"/>
        <v>1.71</v>
      </c>
      <c r="Y510" s="145">
        <f t="shared" si="218"/>
        <v>0.06</v>
      </c>
      <c r="Z510" s="146">
        <f t="shared" si="10"/>
        <v>73.429999999999993</v>
      </c>
      <c r="AA510" s="147">
        <f t="shared" ref="AA510:AA511" si="461">-ROUND(R510+SUM(T510:Y510),2)</f>
        <v>-62113.43</v>
      </c>
      <c r="AB510" s="148">
        <f t="shared" si="403"/>
        <v>-62113</v>
      </c>
      <c r="AC510" s="149">
        <f t="shared" si="48"/>
        <v>0.43000000000029104</v>
      </c>
      <c r="AD510" s="138"/>
      <c r="AE510" s="150">
        <f t="shared" si="13"/>
        <v>1.1839999999999999E-3</v>
      </c>
      <c r="AF510" s="151">
        <f t="shared" si="14"/>
        <v>0</v>
      </c>
      <c r="AG510" s="152" t="s">
        <v>416</v>
      </c>
      <c r="AH510" s="124"/>
    </row>
    <row r="511" spans="1:34" ht="12" customHeight="1">
      <c r="A511" s="154">
        <v>44648</v>
      </c>
      <c r="B511" s="140" t="s">
        <v>610</v>
      </c>
      <c r="C511" s="141" t="s">
        <v>485</v>
      </c>
      <c r="D511" s="140"/>
      <c r="E511" s="140" t="str">
        <f t="shared" si="0"/>
        <v>POLYPLEX</v>
      </c>
      <c r="F511" s="140"/>
      <c r="G511" s="140"/>
      <c r="H511" s="140"/>
      <c r="I511" s="141" t="s">
        <v>467</v>
      </c>
      <c r="J511" s="139" t="s">
        <v>483</v>
      </c>
      <c r="K511" s="141"/>
      <c r="L511" s="141"/>
      <c r="M511" s="142">
        <v>5</v>
      </c>
      <c r="N511" s="143">
        <v>2275</v>
      </c>
      <c r="O511" s="144">
        <f t="shared" si="39"/>
        <v>0</v>
      </c>
      <c r="P511" s="144">
        <f t="shared" si="459"/>
        <v>2275</v>
      </c>
      <c r="Q511" s="144"/>
      <c r="R511" s="144">
        <f t="shared" si="3"/>
        <v>11375</v>
      </c>
      <c r="S511" s="145">
        <f t="shared" si="4"/>
        <v>2.6940000000000004</v>
      </c>
      <c r="T511" s="145">
        <f t="shared" si="75"/>
        <v>0</v>
      </c>
      <c r="U511" s="145">
        <f t="shared" si="36"/>
        <v>0.06</v>
      </c>
      <c r="V511" s="145">
        <f t="shared" si="455"/>
        <v>11.38</v>
      </c>
      <c r="W511" s="145">
        <f t="shared" si="460"/>
        <v>1.71</v>
      </c>
      <c r="X511" s="145">
        <f t="shared" si="449"/>
        <v>0.31</v>
      </c>
      <c r="Y511" s="145">
        <f t="shared" si="218"/>
        <v>0.01</v>
      </c>
      <c r="Z511" s="146">
        <f t="shared" si="10"/>
        <v>13.470000000000002</v>
      </c>
      <c r="AA511" s="147">
        <f t="shared" si="461"/>
        <v>-11388.47</v>
      </c>
      <c r="AB511" s="148">
        <f t="shared" si="403"/>
        <v>-11388</v>
      </c>
      <c r="AC511" s="149">
        <f t="shared" si="48"/>
        <v>0.46999999999934516</v>
      </c>
      <c r="AD511" s="138"/>
      <c r="AE511" s="150">
        <f t="shared" si="13"/>
        <v>1.1839999999999999E-3</v>
      </c>
      <c r="AF511" s="151">
        <f t="shared" si="14"/>
        <v>0</v>
      </c>
      <c r="AG511" s="152" t="s">
        <v>416</v>
      </c>
      <c r="AH511" s="124"/>
    </row>
    <row r="512" spans="1:34" ht="12" customHeight="1">
      <c r="A512" s="155">
        <v>44649</v>
      </c>
      <c r="B512" s="112" t="s">
        <v>589</v>
      </c>
      <c r="C512" s="127" t="s">
        <v>460</v>
      </c>
      <c r="D512" s="112"/>
      <c r="E512" s="112" t="str">
        <f t="shared" si="0"/>
        <v>DCMSHRIRAM</v>
      </c>
      <c r="F512" s="112"/>
      <c r="G512" s="112"/>
      <c r="H512" s="112"/>
      <c r="I512" s="127" t="s">
        <v>461</v>
      </c>
      <c r="J512" s="126" t="s">
        <v>483</v>
      </c>
      <c r="K512" s="127"/>
      <c r="L512" s="127"/>
      <c r="M512" s="128">
        <v>40</v>
      </c>
      <c r="N512" s="129">
        <v>1099.25</v>
      </c>
      <c r="O512" s="130">
        <f t="shared" si="39"/>
        <v>0</v>
      </c>
      <c r="P512" s="130">
        <f>N512-O512</f>
        <v>1099.25</v>
      </c>
      <c r="Q512" s="130"/>
      <c r="R512" s="130">
        <f t="shared" si="3"/>
        <v>43970</v>
      </c>
      <c r="S512" s="131">
        <f t="shared" si="4"/>
        <v>1.1359999999999999</v>
      </c>
      <c r="T512" s="131">
        <f t="shared" si="75"/>
        <v>0</v>
      </c>
      <c r="U512" s="131">
        <f t="shared" si="36"/>
        <v>0.22</v>
      </c>
      <c r="V512" s="131">
        <f t="shared" si="455"/>
        <v>43.97</v>
      </c>
      <c r="W512" s="131">
        <v>0</v>
      </c>
      <c r="X512" s="131">
        <f t="shared" si="449"/>
        <v>1.21</v>
      </c>
      <c r="Y512" s="131">
        <f t="shared" si="218"/>
        <v>0.04</v>
      </c>
      <c r="Z512" s="131">
        <f t="shared" si="10"/>
        <v>45.44</v>
      </c>
      <c r="AA512" s="132">
        <f>ROUND(R512-SUM(T512:Y512),2)</f>
        <v>43924.56</v>
      </c>
      <c r="AB512" s="133">
        <f t="shared" si="403"/>
        <v>43925</v>
      </c>
      <c r="AC512" s="134">
        <f t="shared" si="48"/>
        <v>0.44000000000232831</v>
      </c>
      <c r="AD512" s="125"/>
      <c r="AE512" s="135">
        <f t="shared" si="13"/>
        <v>1.0330000000000001E-3</v>
      </c>
      <c r="AF512" s="136">
        <f t="shared" si="14"/>
        <v>0</v>
      </c>
      <c r="AG512" s="137" t="s">
        <v>416</v>
      </c>
      <c r="AH512" s="124"/>
    </row>
    <row r="513" spans="1:34" ht="12" customHeight="1">
      <c r="A513" s="154">
        <v>44649</v>
      </c>
      <c r="B513" s="140" t="s">
        <v>611</v>
      </c>
      <c r="C513" s="141" t="s">
        <v>485</v>
      </c>
      <c r="D513" s="140"/>
      <c r="E513" s="140" t="str">
        <f t="shared" si="0"/>
        <v>CANBK</v>
      </c>
      <c r="F513" s="140"/>
      <c r="G513" s="140"/>
      <c r="H513" s="140"/>
      <c r="I513" s="141" t="s">
        <v>467</v>
      </c>
      <c r="J513" s="139" t="s">
        <v>483</v>
      </c>
      <c r="K513" s="141"/>
      <c r="L513" s="141"/>
      <c r="M513" s="142">
        <v>50</v>
      </c>
      <c r="N513" s="143">
        <v>230</v>
      </c>
      <c r="O513" s="144">
        <f t="shared" si="39"/>
        <v>0</v>
      </c>
      <c r="P513" s="144">
        <f t="shared" ref="P513:P517" si="462">N513+O513</f>
        <v>230</v>
      </c>
      <c r="Q513" s="144"/>
      <c r="R513" s="144">
        <f t="shared" si="3"/>
        <v>11500</v>
      </c>
      <c r="S513" s="145">
        <f t="shared" si="4"/>
        <v>0.27240000000000003</v>
      </c>
      <c r="T513" s="145">
        <f t="shared" si="75"/>
        <v>0</v>
      </c>
      <c r="U513" s="145">
        <f t="shared" si="36"/>
        <v>0.06</v>
      </c>
      <c r="V513" s="145">
        <f t="shared" si="455"/>
        <v>11.5</v>
      </c>
      <c r="W513" s="145">
        <f t="shared" ref="W513:W517" si="463">ROUND(R513*F$1823,2)</f>
        <v>1.73</v>
      </c>
      <c r="X513" s="145">
        <f t="shared" si="449"/>
        <v>0.32</v>
      </c>
      <c r="Y513" s="145">
        <f t="shared" si="218"/>
        <v>0.01</v>
      </c>
      <c r="Z513" s="146">
        <f t="shared" si="10"/>
        <v>13.620000000000001</v>
      </c>
      <c r="AA513" s="147">
        <f t="shared" ref="AA513:AA517" si="464">-ROUND(R513+SUM(T513:Y513),2)</f>
        <v>-11513.62</v>
      </c>
      <c r="AB513" s="148">
        <f t="shared" si="403"/>
        <v>-11514</v>
      </c>
      <c r="AC513" s="149">
        <f t="shared" si="48"/>
        <v>-0.37999999999919964</v>
      </c>
      <c r="AD513" s="138"/>
      <c r="AE513" s="150">
        <f t="shared" si="13"/>
        <v>1.1839999999999999E-3</v>
      </c>
      <c r="AF513" s="151">
        <f t="shared" si="14"/>
        <v>0</v>
      </c>
      <c r="AG513" s="152" t="s">
        <v>416</v>
      </c>
      <c r="AH513" s="124"/>
    </row>
    <row r="514" spans="1:34" ht="12" customHeight="1">
      <c r="A514" s="154">
        <v>44649</v>
      </c>
      <c r="B514" s="140" t="s">
        <v>546</v>
      </c>
      <c r="C514" s="141" t="s">
        <v>485</v>
      </c>
      <c r="D514" s="140"/>
      <c r="E514" s="140" t="str">
        <f t="shared" si="0"/>
        <v>ADANIPORTS</v>
      </c>
      <c r="F514" s="140"/>
      <c r="G514" s="140"/>
      <c r="H514" s="140"/>
      <c r="I514" s="141" t="s">
        <v>467</v>
      </c>
      <c r="J514" s="139" t="s">
        <v>483</v>
      </c>
      <c r="K514" s="141"/>
      <c r="L514" s="141"/>
      <c r="M514" s="142">
        <v>10</v>
      </c>
      <c r="N514" s="143">
        <v>760</v>
      </c>
      <c r="O514" s="144">
        <f t="shared" si="39"/>
        <v>0</v>
      </c>
      <c r="P514" s="144">
        <f t="shared" si="462"/>
        <v>760</v>
      </c>
      <c r="Q514" s="144"/>
      <c r="R514" s="144">
        <f t="shared" si="3"/>
        <v>7600</v>
      </c>
      <c r="S514" s="145">
        <f t="shared" si="4"/>
        <v>0.9</v>
      </c>
      <c r="T514" s="145">
        <f t="shared" si="75"/>
        <v>0</v>
      </c>
      <c r="U514" s="145">
        <f t="shared" si="36"/>
        <v>0.04</v>
      </c>
      <c r="V514" s="145">
        <f t="shared" si="455"/>
        <v>7.6</v>
      </c>
      <c r="W514" s="145">
        <f t="shared" si="463"/>
        <v>1.1399999999999999</v>
      </c>
      <c r="X514" s="145">
        <f t="shared" si="449"/>
        <v>0.21</v>
      </c>
      <c r="Y514" s="145">
        <f t="shared" si="218"/>
        <v>0.01</v>
      </c>
      <c r="Z514" s="146">
        <f t="shared" si="10"/>
        <v>9</v>
      </c>
      <c r="AA514" s="147">
        <f t="shared" si="464"/>
        <v>-7609</v>
      </c>
      <c r="AB514" s="148">
        <f t="shared" si="403"/>
        <v>-7609</v>
      </c>
      <c r="AC514" s="149">
        <f t="shared" si="48"/>
        <v>0</v>
      </c>
      <c r="AD514" s="138"/>
      <c r="AE514" s="150">
        <f t="shared" si="13"/>
        <v>1.1839999999999999E-3</v>
      </c>
      <c r="AF514" s="151">
        <f t="shared" si="14"/>
        <v>0</v>
      </c>
      <c r="AG514" s="152" t="s">
        <v>416</v>
      </c>
      <c r="AH514" s="124"/>
    </row>
    <row r="515" spans="1:34" ht="12" customHeight="1">
      <c r="A515" s="154">
        <v>44650</v>
      </c>
      <c r="B515" s="140" t="s">
        <v>589</v>
      </c>
      <c r="C515" s="141" t="s">
        <v>460</v>
      </c>
      <c r="D515" s="140"/>
      <c r="E515" s="140" t="str">
        <f t="shared" si="0"/>
        <v>DCMSHRIRAM</v>
      </c>
      <c r="F515" s="140"/>
      <c r="G515" s="140"/>
      <c r="H515" s="140"/>
      <c r="I515" s="141" t="s">
        <v>467</v>
      </c>
      <c r="J515" s="139" t="s">
        <v>483</v>
      </c>
      <c r="K515" s="141"/>
      <c r="L515" s="141"/>
      <c r="M515" s="142">
        <v>50</v>
      </c>
      <c r="N515" s="143">
        <v>1096.4000000000001</v>
      </c>
      <c r="O515" s="144">
        <f t="shared" si="39"/>
        <v>0</v>
      </c>
      <c r="P515" s="144">
        <f t="shared" si="462"/>
        <v>1096.4000000000001</v>
      </c>
      <c r="Q515" s="144"/>
      <c r="R515" s="144">
        <f t="shared" si="3"/>
        <v>54820</v>
      </c>
      <c r="S515" s="145">
        <f t="shared" si="4"/>
        <v>1.2974000000000001</v>
      </c>
      <c r="T515" s="145">
        <f t="shared" si="75"/>
        <v>0</v>
      </c>
      <c r="U515" s="145">
        <f t="shared" si="36"/>
        <v>0.27</v>
      </c>
      <c r="V515" s="145">
        <f t="shared" si="455"/>
        <v>54.82</v>
      </c>
      <c r="W515" s="145">
        <f t="shared" si="463"/>
        <v>8.2200000000000006</v>
      </c>
      <c r="X515" s="145">
        <f t="shared" si="449"/>
        <v>1.51</v>
      </c>
      <c r="Y515" s="145">
        <f t="shared" si="218"/>
        <v>0.05</v>
      </c>
      <c r="Z515" s="146">
        <f t="shared" si="10"/>
        <v>64.87</v>
      </c>
      <c r="AA515" s="147">
        <f t="shared" si="464"/>
        <v>-54884.87</v>
      </c>
      <c r="AB515" s="148">
        <f t="shared" si="403"/>
        <v>-54885</v>
      </c>
      <c r="AC515" s="149">
        <f t="shared" si="48"/>
        <v>-0.12999999999738066</v>
      </c>
      <c r="AD515" s="138"/>
      <c r="AE515" s="150">
        <f t="shared" si="13"/>
        <v>1.183E-3</v>
      </c>
      <c r="AF515" s="151">
        <f t="shared" si="14"/>
        <v>0</v>
      </c>
      <c r="AG515" s="152" t="s">
        <v>416</v>
      </c>
      <c r="AH515" s="124"/>
    </row>
    <row r="516" spans="1:34" ht="12" customHeight="1">
      <c r="A516" s="154">
        <v>44650</v>
      </c>
      <c r="B516" s="140" t="s">
        <v>471</v>
      </c>
      <c r="C516" s="141" t="s">
        <v>485</v>
      </c>
      <c r="D516" s="140"/>
      <c r="E516" s="140" t="str">
        <f t="shared" si="0"/>
        <v>BHEL</v>
      </c>
      <c r="F516" s="140"/>
      <c r="G516" s="140"/>
      <c r="H516" s="140"/>
      <c r="I516" s="141" t="s">
        <v>467</v>
      </c>
      <c r="J516" s="139" t="s">
        <v>483</v>
      </c>
      <c r="K516" s="141"/>
      <c r="L516" s="141"/>
      <c r="M516" s="142">
        <v>100</v>
      </c>
      <c r="N516" s="143">
        <v>50</v>
      </c>
      <c r="O516" s="144">
        <f t="shared" si="39"/>
        <v>0</v>
      </c>
      <c r="P516" s="144">
        <f t="shared" si="462"/>
        <v>50</v>
      </c>
      <c r="Q516" s="144"/>
      <c r="R516" s="144">
        <f t="shared" si="3"/>
        <v>5000</v>
      </c>
      <c r="S516" s="145">
        <f t="shared" si="4"/>
        <v>5.9299999999999999E-2</v>
      </c>
      <c r="T516" s="145">
        <f t="shared" si="75"/>
        <v>0</v>
      </c>
      <c r="U516" s="145">
        <f t="shared" si="36"/>
        <v>0.03</v>
      </c>
      <c r="V516" s="145">
        <f t="shared" si="455"/>
        <v>5</v>
      </c>
      <c r="W516" s="145">
        <f t="shared" si="463"/>
        <v>0.75</v>
      </c>
      <c r="X516" s="145">
        <f t="shared" si="449"/>
        <v>0.14000000000000001</v>
      </c>
      <c r="Y516" s="145">
        <f t="shared" si="218"/>
        <v>0.01</v>
      </c>
      <c r="Z516" s="146">
        <f t="shared" si="10"/>
        <v>5.93</v>
      </c>
      <c r="AA516" s="147">
        <f t="shared" si="464"/>
        <v>-5005.93</v>
      </c>
      <c r="AB516" s="148">
        <f t="shared" si="403"/>
        <v>-5006</v>
      </c>
      <c r="AC516" s="149">
        <f t="shared" si="48"/>
        <v>-6.9999999999708962E-2</v>
      </c>
      <c r="AD516" s="138"/>
      <c r="AE516" s="150">
        <f t="shared" si="13"/>
        <v>1.186E-3</v>
      </c>
      <c r="AF516" s="151">
        <f t="shared" si="14"/>
        <v>0</v>
      </c>
      <c r="AG516" s="152" t="s">
        <v>416</v>
      </c>
      <c r="AH516" s="124"/>
    </row>
    <row r="517" spans="1:34" ht="12" customHeight="1">
      <c r="A517" s="154">
        <v>44650</v>
      </c>
      <c r="B517" s="140" t="s">
        <v>590</v>
      </c>
      <c r="C517" s="141" t="s">
        <v>485</v>
      </c>
      <c r="D517" s="140"/>
      <c r="E517" s="140" t="str">
        <f t="shared" si="0"/>
        <v>ITC</v>
      </c>
      <c r="F517" s="140"/>
      <c r="G517" s="140"/>
      <c r="H517" s="140"/>
      <c r="I517" s="141" t="s">
        <v>467</v>
      </c>
      <c r="J517" s="139" t="s">
        <v>483</v>
      </c>
      <c r="K517" s="141"/>
      <c r="L517" s="141"/>
      <c r="M517" s="142">
        <v>50</v>
      </c>
      <c r="N517" s="143">
        <v>251.5</v>
      </c>
      <c r="O517" s="144">
        <f t="shared" si="39"/>
        <v>0</v>
      </c>
      <c r="P517" s="144">
        <f t="shared" si="462"/>
        <v>251.5</v>
      </c>
      <c r="Q517" s="144"/>
      <c r="R517" s="144">
        <f t="shared" si="3"/>
        <v>12575</v>
      </c>
      <c r="S517" s="145">
        <f t="shared" si="4"/>
        <v>0.29780000000000001</v>
      </c>
      <c r="T517" s="145">
        <f t="shared" si="75"/>
        <v>0</v>
      </c>
      <c r="U517" s="145">
        <f t="shared" si="36"/>
        <v>0.06</v>
      </c>
      <c r="V517" s="145">
        <f t="shared" si="455"/>
        <v>12.58</v>
      </c>
      <c r="W517" s="145">
        <f t="shared" si="463"/>
        <v>1.89</v>
      </c>
      <c r="X517" s="145">
        <f t="shared" si="449"/>
        <v>0.35</v>
      </c>
      <c r="Y517" s="145">
        <f t="shared" si="218"/>
        <v>0.01</v>
      </c>
      <c r="Z517" s="146">
        <f t="shared" si="10"/>
        <v>14.89</v>
      </c>
      <c r="AA517" s="147">
        <f t="shared" si="464"/>
        <v>-12589.89</v>
      </c>
      <c r="AB517" s="148">
        <f t="shared" si="403"/>
        <v>-12590</v>
      </c>
      <c r="AC517" s="149">
        <f t="shared" si="48"/>
        <v>-0.11000000000058208</v>
      </c>
      <c r="AD517" s="138"/>
      <c r="AE517" s="150">
        <f t="shared" si="13"/>
        <v>1.1839999999999999E-3</v>
      </c>
      <c r="AF517" s="151">
        <f t="shared" si="14"/>
        <v>0</v>
      </c>
      <c r="AG517" s="152" t="s">
        <v>416</v>
      </c>
      <c r="AH517" s="124"/>
    </row>
    <row r="518" spans="1:34" ht="12" customHeight="1">
      <c r="A518" s="155">
        <v>44650</v>
      </c>
      <c r="B518" s="112" t="s">
        <v>610</v>
      </c>
      <c r="C518" s="127" t="s">
        <v>485</v>
      </c>
      <c r="D518" s="112"/>
      <c r="E518" s="112" t="str">
        <f t="shared" si="0"/>
        <v>POLYPLEX</v>
      </c>
      <c r="F518" s="112"/>
      <c r="G518" s="112"/>
      <c r="H518" s="112"/>
      <c r="I518" s="127" t="s">
        <v>461</v>
      </c>
      <c r="J518" s="126" t="s">
        <v>483</v>
      </c>
      <c r="K518" s="127"/>
      <c r="L518" s="127"/>
      <c r="M518" s="128">
        <v>5</v>
      </c>
      <c r="N518" s="129">
        <v>2385</v>
      </c>
      <c r="O518" s="130">
        <f t="shared" si="39"/>
        <v>0</v>
      </c>
      <c r="P518" s="130">
        <f t="shared" ref="P518:P523" si="465">N518-O518</f>
        <v>2385</v>
      </c>
      <c r="Q518" s="130"/>
      <c r="R518" s="130">
        <f t="shared" si="3"/>
        <v>11925</v>
      </c>
      <c r="S518" s="131">
        <f t="shared" si="4"/>
        <v>2.4660000000000002</v>
      </c>
      <c r="T518" s="131">
        <f t="shared" si="75"/>
        <v>0</v>
      </c>
      <c r="U518" s="131">
        <f t="shared" si="36"/>
        <v>0.06</v>
      </c>
      <c r="V518" s="131">
        <f t="shared" si="455"/>
        <v>11.93</v>
      </c>
      <c r="W518" s="131">
        <v>0</v>
      </c>
      <c r="X518" s="131">
        <f t="shared" si="449"/>
        <v>0.33</v>
      </c>
      <c r="Y518" s="131">
        <f t="shared" si="218"/>
        <v>0.01</v>
      </c>
      <c r="Z518" s="131">
        <f t="shared" si="10"/>
        <v>12.33</v>
      </c>
      <c r="AA518" s="132">
        <f t="shared" ref="AA518:AA523" si="466">ROUND(R518-SUM(T518:Y518),2)</f>
        <v>11912.67</v>
      </c>
      <c r="AB518" s="133">
        <f t="shared" si="403"/>
        <v>11913</v>
      </c>
      <c r="AC518" s="134">
        <f t="shared" si="48"/>
        <v>0.32999999999992724</v>
      </c>
      <c r="AD518" s="125"/>
      <c r="AE518" s="135">
        <f t="shared" si="13"/>
        <v>1.034E-3</v>
      </c>
      <c r="AF518" s="136">
        <f t="shared" si="14"/>
        <v>0</v>
      </c>
      <c r="AG518" s="137" t="s">
        <v>416</v>
      </c>
      <c r="AH518" s="124"/>
    </row>
    <row r="519" spans="1:34" ht="12" customHeight="1">
      <c r="A519" s="155">
        <v>44650</v>
      </c>
      <c r="B519" s="112" t="s">
        <v>474</v>
      </c>
      <c r="C519" s="127" t="s">
        <v>485</v>
      </c>
      <c r="D519" s="112"/>
      <c r="E519" s="112" t="str">
        <f t="shared" si="0"/>
        <v>RELIANCE</v>
      </c>
      <c r="F519" s="112"/>
      <c r="G519" s="112"/>
      <c r="H519" s="112"/>
      <c r="I519" s="127" t="s">
        <v>461</v>
      </c>
      <c r="J519" s="126" t="s">
        <v>483</v>
      </c>
      <c r="K519" s="127"/>
      <c r="L519" s="127"/>
      <c r="M519" s="128">
        <v>7</v>
      </c>
      <c r="N519" s="129">
        <v>2684</v>
      </c>
      <c r="O519" s="130">
        <f t="shared" si="39"/>
        <v>0</v>
      </c>
      <c r="P519" s="130">
        <f t="shared" si="465"/>
        <v>2684</v>
      </c>
      <c r="Q519" s="130"/>
      <c r="R519" s="130">
        <f t="shared" si="3"/>
        <v>18788</v>
      </c>
      <c r="S519" s="131">
        <f t="shared" si="4"/>
        <v>2.774285714285714</v>
      </c>
      <c r="T519" s="131">
        <f t="shared" si="75"/>
        <v>0</v>
      </c>
      <c r="U519" s="131">
        <f t="shared" si="36"/>
        <v>0.09</v>
      </c>
      <c r="V519" s="131">
        <f t="shared" si="455"/>
        <v>18.79</v>
      </c>
      <c r="W519" s="131">
        <v>0</v>
      </c>
      <c r="X519" s="131">
        <f t="shared" si="449"/>
        <v>0.52</v>
      </c>
      <c r="Y519" s="131">
        <f t="shared" si="218"/>
        <v>0.02</v>
      </c>
      <c r="Z519" s="131">
        <f t="shared" si="10"/>
        <v>19.419999999999998</v>
      </c>
      <c r="AA519" s="132">
        <f t="shared" si="466"/>
        <v>18768.580000000002</v>
      </c>
      <c r="AB519" s="133">
        <f t="shared" si="403"/>
        <v>18769</v>
      </c>
      <c r="AC519" s="134">
        <f t="shared" si="48"/>
        <v>0.41999999999825377</v>
      </c>
      <c r="AD519" s="125"/>
      <c r="AE519" s="135">
        <f t="shared" si="13"/>
        <v>1.034E-3</v>
      </c>
      <c r="AF519" s="136">
        <f t="shared" si="14"/>
        <v>0</v>
      </c>
      <c r="AG519" s="137" t="s">
        <v>416</v>
      </c>
      <c r="AH519" s="124"/>
    </row>
    <row r="520" spans="1:34" ht="12" customHeight="1">
      <c r="A520" s="155">
        <v>44650</v>
      </c>
      <c r="B520" s="112" t="s">
        <v>493</v>
      </c>
      <c r="C520" s="127" t="s">
        <v>485</v>
      </c>
      <c r="D520" s="112"/>
      <c r="E520" s="112" t="str">
        <f t="shared" si="0"/>
        <v>SBIN</v>
      </c>
      <c r="F520" s="112"/>
      <c r="G520" s="112"/>
      <c r="H520" s="112"/>
      <c r="I520" s="127" t="s">
        <v>461</v>
      </c>
      <c r="J520" s="126" t="s">
        <v>483</v>
      </c>
      <c r="K520" s="127"/>
      <c r="L520" s="127"/>
      <c r="M520" s="128">
        <v>50</v>
      </c>
      <c r="N520" s="129">
        <v>500</v>
      </c>
      <c r="O520" s="130">
        <f t="shared" si="39"/>
        <v>0</v>
      </c>
      <c r="P520" s="130">
        <f t="shared" si="465"/>
        <v>500</v>
      </c>
      <c r="Q520" s="130"/>
      <c r="R520" s="130">
        <f t="shared" si="3"/>
        <v>25000</v>
      </c>
      <c r="S520" s="131">
        <f t="shared" si="4"/>
        <v>0.51680000000000004</v>
      </c>
      <c r="T520" s="131">
        <f t="shared" si="75"/>
        <v>0</v>
      </c>
      <c r="U520" s="131">
        <f t="shared" si="36"/>
        <v>0.12</v>
      </c>
      <c r="V520" s="131">
        <f t="shared" si="455"/>
        <v>25</v>
      </c>
      <c r="W520" s="131">
        <v>0</v>
      </c>
      <c r="X520" s="131">
        <f t="shared" si="449"/>
        <v>0.69</v>
      </c>
      <c r="Y520" s="131">
        <f t="shared" si="218"/>
        <v>0.03</v>
      </c>
      <c r="Z520" s="131">
        <f t="shared" si="10"/>
        <v>25.840000000000003</v>
      </c>
      <c r="AA520" s="132">
        <f t="shared" si="466"/>
        <v>24974.16</v>
      </c>
      <c r="AB520" s="133">
        <f t="shared" si="403"/>
        <v>24974</v>
      </c>
      <c r="AC520" s="134">
        <f t="shared" si="48"/>
        <v>-0.15999999999985448</v>
      </c>
      <c r="AD520" s="125"/>
      <c r="AE520" s="135">
        <f t="shared" si="13"/>
        <v>1.034E-3</v>
      </c>
      <c r="AF520" s="136">
        <f t="shared" si="14"/>
        <v>0</v>
      </c>
      <c r="AG520" s="137" t="s">
        <v>416</v>
      </c>
      <c r="AH520" s="124"/>
    </row>
    <row r="521" spans="1:34" ht="12" customHeight="1">
      <c r="A521" s="155">
        <v>44651</v>
      </c>
      <c r="B521" s="112" t="s">
        <v>600</v>
      </c>
      <c r="C521" s="127" t="s">
        <v>485</v>
      </c>
      <c r="D521" s="112"/>
      <c r="E521" s="112" t="str">
        <f t="shared" si="0"/>
        <v>TOYAMIND</v>
      </c>
      <c r="F521" s="112"/>
      <c r="G521" s="112"/>
      <c r="H521" s="112"/>
      <c r="I521" s="127" t="s">
        <v>461</v>
      </c>
      <c r="J521" s="126" t="s">
        <v>483</v>
      </c>
      <c r="K521" s="127"/>
      <c r="L521" s="127"/>
      <c r="M521" s="128">
        <v>1500</v>
      </c>
      <c r="N521" s="129">
        <v>9.2200000000000006</v>
      </c>
      <c r="O521" s="130">
        <f t="shared" si="39"/>
        <v>0</v>
      </c>
      <c r="P521" s="130">
        <f t="shared" si="465"/>
        <v>9.2200000000000006</v>
      </c>
      <c r="Q521" s="130"/>
      <c r="R521" s="130">
        <f t="shared" si="3"/>
        <v>13830</v>
      </c>
      <c r="S521" s="131">
        <f t="shared" si="4"/>
        <v>2.0106666666666665E-2</v>
      </c>
      <c r="T521" s="131">
        <f t="shared" si="75"/>
        <v>0</v>
      </c>
      <c r="U521" s="131">
        <f t="shared" si="36"/>
        <v>2.4900000000000002</v>
      </c>
      <c r="V521" s="131">
        <f t="shared" si="455"/>
        <v>13.83</v>
      </c>
      <c r="W521" s="131">
        <v>0</v>
      </c>
      <c r="X521" s="131">
        <f>ROUND(R521*0.1%,2)</f>
        <v>13.83</v>
      </c>
      <c r="Y521" s="131">
        <f t="shared" si="218"/>
        <v>0.01</v>
      </c>
      <c r="Z521" s="131">
        <f t="shared" si="10"/>
        <v>30.16</v>
      </c>
      <c r="AA521" s="132">
        <f t="shared" si="466"/>
        <v>13799.84</v>
      </c>
      <c r="AB521" s="133">
        <f t="shared" si="403"/>
        <v>13800</v>
      </c>
      <c r="AC521" s="134">
        <f t="shared" si="48"/>
        <v>0.15999999999985448</v>
      </c>
      <c r="AD521" s="125"/>
      <c r="AE521" s="135">
        <f t="shared" si="13"/>
        <v>2.1810000000000002E-3</v>
      </c>
      <c r="AF521" s="136">
        <f t="shared" si="14"/>
        <v>0</v>
      </c>
      <c r="AG521" s="137" t="s">
        <v>416</v>
      </c>
      <c r="AH521" s="124"/>
    </row>
    <row r="522" spans="1:34" ht="12" customHeight="1">
      <c r="A522" s="155">
        <v>44651</v>
      </c>
      <c r="B522" s="112" t="s">
        <v>546</v>
      </c>
      <c r="C522" s="127" t="s">
        <v>485</v>
      </c>
      <c r="D522" s="112"/>
      <c r="E522" s="112" t="str">
        <f t="shared" si="0"/>
        <v>ADANIPORTS</v>
      </c>
      <c r="F522" s="112"/>
      <c r="G522" s="112"/>
      <c r="H522" s="112"/>
      <c r="I522" s="127" t="s">
        <v>461</v>
      </c>
      <c r="J522" s="126" t="s">
        <v>483</v>
      </c>
      <c r="K522" s="127"/>
      <c r="L522" s="127"/>
      <c r="M522" s="128">
        <v>10</v>
      </c>
      <c r="N522" s="129">
        <v>778</v>
      </c>
      <c r="O522" s="130">
        <f t="shared" si="39"/>
        <v>0</v>
      </c>
      <c r="P522" s="130">
        <f t="shared" si="465"/>
        <v>778</v>
      </c>
      <c r="Q522" s="130"/>
      <c r="R522" s="130">
        <f t="shared" si="3"/>
        <v>7780</v>
      </c>
      <c r="S522" s="131">
        <f t="shared" si="4"/>
        <v>0.80400000000000005</v>
      </c>
      <c r="T522" s="131">
        <f t="shared" si="75"/>
        <v>0</v>
      </c>
      <c r="U522" s="131">
        <f t="shared" si="36"/>
        <v>0.04</v>
      </c>
      <c r="V522" s="131">
        <f t="shared" si="455"/>
        <v>7.78</v>
      </c>
      <c r="W522" s="131">
        <v>0</v>
      </c>
      <c r="X522" s="131">
        <f t="shared" ref="X522:X523" si="467">ROUND(R522*G$1820,2)</f>
        <v>0.21</v>
      </c>
      <c r="Y522" s="131">
        <f t="shared" si="218"/>
        <v>0.01</v>
      </c>
      <c r="Z522" s="131">
        <f t="shared" si="10"/>
        <v>8.0400000000000009</v>
      </c>
      <c r="AA522" s="132">
        <f t="shared" si="466"/>
        <v>7771.96</v>
      </c>
      <c r="AB522" s="133">
        <f t="shared" si="403"/>
        <v>7772</v>
      </c>
      <c r="AC522" s="134">
        <f t="shared" si="48"/>
        <v>3.999999999996362E-2</v>
      </c>
      <c r="AD522" s="125"/>
      <c r="AE522" s="135">
        <f t="shared" si="13"/>
        <v>1.0330000000000001E-3</v>
      </c>
      <c r="AF522" s="136">
        <f t="shared" si="14"/>
        <v>0</v>
      </c>
      <c r="AG522" s="137" t="s">
        <v>416</v>
      </c>
      <c r="AH522" s="124"/>
    </row>
    <row r="523" spans="1:34" ht="12" customHeight="1">
      <c r="A523" s="155">
        <v>44651</v>
      </c>
      <c r="B523" s="112" t="s">
        <v>590</v>
      </c>
      <c r="C523" s="127" t="s">
        <v>485</v>
      </c>
      <c r="D523" s="112"/>
      <c r="E523" s="112" t="str">
        <f t="shared" si="0"/>
        <v>ITC</v>
      </c>
      <c r="F523" s="112"/>
      <c r="G523" s="112"/>
      <c r="H523" s="112"/>
      <c r="I523" s="127" t="s">
        <v>461</v>
      </c>
      <c r="J523" s="126" t="s">
        <v>483</v>
      </c>
      <c r="K523" s="127"/>
      <c r="L523" s="127"/>
      <c r="M523" s="128">
        <v>50</v>
      </c>
      <c r="N523" s="129">
        <v>252.5</v>
      </c>
      <c r="O523" s="130">
        <f t="shared" si="39"/>
        <v>0</v>
      </c>
      <c r="P523" s="130">
        <f t="shared" si="465"/>
        <v>252.5</v>
      </c>
      <c r="Q523" s="130"/>
      <c r="R523" s="130">
        <f t="shared" si="3"/>
        <v>12625</v>
      </c>
      <c r="S523" s="131">
        <f t="shared" si="4"/>
        <v>0.26100000000000001</v>
      </c>
      <c r="T523" s="131">
        <f t="shared" si="75"/>
        <v>0</v>
      </c>
      <c r="U523" s="131">
        <f t="shared" si="36"/>
        <v>0.06</v>
      </c>
      <c r="V523" s="131">
        <f t="shared" si="455"/>
        <v>12.63</v>
      </c>
      <c r="W523" s="131">
        <v>0</v>
      </c>
      <c r="X523" s="131">
        <f t="shared" si="467"/>
        <v>0.35</v>
      </c>
      <c r="Y523" s="131">
        <f t="shared" si="218"/>
        <v>0.01</v>
      </c>
      <c r="Z523" s="131">
        <f t="shared" si="10"/>
        <v>13.05</v>
      </c>
      <c r="AA523" s="132">
        <f t="shared" si="466"/>
        <v>12611.95</v>
      </c>
      <c r="AB523" s="133">
        <f t="shared" si="403"/>
        <v>12612</v>
      </c>
      <c r="AC523" s="134">
        <f t="shared" si="48"/>
        <v>4.9999999999272404E-2</v>
      </c>
      <c r="AD523" s="125"/>
      <c r="AE523" s="135">
        <f t="shared" si="13"/>
        <v>1.034E-3</v>
      </c>
      <c r="AF523" s="136">
        <f t="shared" si="14"/>
        <v>0</v>
      </c>
      <c r="AG523" s="137" t="s">
        <v>416</v>
      </c>
      <c r="AH523" s="124"/>
    </row>
    <row r="524" spans="1:34" ht="12" customHeight="1">
      <c r="A524" s="154">
        <v>44651</v>
      </c>
      <c r="B524" s="140" t="s">
        <v>612</v>
      </c>
      <c r="C524" s="141" t="s">
        <v>485</v>
      </c>
      <c r="D524" s="140"/>
      <c r="E524" s="140" t="str">
        <f t="shared" si="0"/>
        <v>GAIL</v>
      </c>
      <c r="F524" s="140"/>
      <c r="G524" s="140"/>
      <c r="H524" s="140"/>
      <c r="I524" s="141" t="s">
        <v>467</v>
      </c>
      <c r="J524" s="139" t="s">
        <v>483</v>
      </c>
      <c r="K524" s="141"/>
      <c r="L524" s="141"/>
      <c r="M524" s="142">
        <v>300</v>
      </c>
      <c r="N524" s="143">
        <v>155.58331999999999</v>
      </c>
      <c r="O524" s="144">
        <f t="shared" si="39"/>
        <v>0</v>
      </c>
      <c r="P524" s="144">
        <f t="shared" ref="P524:P525" si="468">N524+O524</f>
        <v>155.58331999999999</v>
      </c>
      <c r="Q524" s="144"/>
      <c r="R524" s="144">
        <f t="shared" si="3"/>
        <v>46675</v>
      </c>
      <c r="S524" s="145">
        <f t="shared" si="4"/>
        <v>0.18806666666666666</v>
      </c>
      <c r="T524" s="145">
        <f t="shared" si="75"/>
        <v>0</v>
      </c>
      <c r="U524" s="145">
        <f t="shared" si="36"/>
        <v>0.41</v>
      </c>
      <c r="V524" s="145">
        <f t="shared" si="455"/>
        <v>46.68</v>
      </c>
      <c r="W524" s="145">
        <f t="shared" ref="W524:W525" si="469">ROUND(R524*F$1823,2)</f>
        <v>7</v>
      </c>
      <c r="X524" s="145">
        <f>ROUND(R524*G$1820,2)+1</f>
        <v>2.2800000000000002</v>
      </c>
      <c r="Y524" s="145">
        <f t="shared" si="218"/>
        <v>0.05</v>
      </c>
      <c r="Z524" s="146">
        <f t="shared" si="10"/>
        <v>56.419999999999995</v>
      </c>
      <c r="AA524" s="147">
        <f t="shared" ref="AA524:AA525" si="470">-ROUND(R524+SUM(T524:Y524),2)</f>
        <v>-46731.42</v>
      </c>
      <c r="AB524" s="148">
        <f t="shared" si="403"/>
        <v>-46731</v>
      </c>
      <c r="AC524" s="149">
        <f t="shared" si="48"/>
        <v>0.41999999999825377</v>
      </c>
      <c r="AD524" s="138"/>
      <c r="AE524" s="150">
        <f t="shared" si="13"/>
        <v>1.209E-3</v>
      </c>
      <c r="AF524" s="151">
        <f t="shared" si="14"/>
        <v>0</v>
      </c>
      <c r="AG524" s="152" t="s">
        <v>416</v>
      </c>
      <c r="AH524" s="124"/>
    </row>
    <row r="525" spans="1:34" ht="12" customHeight="1">
      <c r="A525" s="154">
        <v>44651</v>
      </c>
      <c r="B525" s="140" t="s">
        <v>613</v>
      </c>
      <c r="C525" s="141" t="s">
        <v>485</v>
      </c>
      <c r="D525" s="140"/>
      <c r="E525" s="140" t="str">
        <f t="shared" si="0"/>
        <v>ROUTE</v>
      </c>
      <c r="F525" s="140"/>
      <c r="G525" s="140"/>
      <c r="H525" s="140"/>
      <c r="I525" s="141" t="s">
        <v>467</v>
      </c>
      <c r="J525" s="139" t="s">
        <v>483</v>
      </c>
      <c r="K525" s="141"/>
      <c r="L525" s="141"/>
      <c r="M525" s="142">
        <v>20</v>
      </c>
      <c r="N525" s="143">
        <v>1565</v>
      </c>
      <c r="O525" s="144">
        <f t="shared" si="39"/>
        <v>0</v>
      </c>
      <c r="P525" s="144">
        <f t="shared" si="468"/>
        <v>1565</v>
      </c>
      <c r="Q525" s="144"/>
      <c r="R525" s="144">
        <f t="shared" si="3"/>
        <v>31300</v>
      </c>
      <c r="S525" s="145">
        <f t="shared" si="4"/>
        <v>1.8519999999999999</v>
      </c>
      <c r="T525" s="145">
        <f t="shared" si="75"/>
        <v>0</v>
      </c>
      <c r="U525" s="145">
        <f t="shared" si="36"/>
        <v>0.15</v>
      </c>
      <c r="V525" s="145">
        <f t="shared" si="455"/>
        <v>31.3</v>
      </c>
      <c r="W525" s="145">
        <f t="shared" si="469"/>
        <v>4.7</v>
      </c>
      <c r="X525" s="145">
        <f t="shared" ref="X525:X533" si="471">ROUND(R525*G$1820,2)</f>
        <v>0.86</v>
      </c>
      <c r="Y525" s="145">
        <f t="shared" si="218"/>
        <v>0.03</v>
      </c>
      <c r="Z525" s="146">
        <f t="shared" si="10"/>
        <v>37.04</v>
      </c>
      <c r="AA525" s="147">
        <f t="shared" si="470"/>
        <v>-31337.040000000001</v>
      </c>
      <c r="AB525" s="148">
        <f t="shared" si="403"/>
        <v>-31337</v>
      </c>
      <c r="AC525" s="149">
        <f t="shared" si="48"/>
        <v>4.0000000000873115E-2</v>
      </c>
      <c r="AD525" s="138"/>
      <c r="AE525" s="150">
        <f t="shared" si="13"/>
        <v>1.183E-3</v>
      </c>
      <c r="AF525" s="151">
        <f t="shared" si="14"/>
        <v>0</v>
      </c>
      <c r="AG525" s="152" t="s">
        <v>416</v>
      </c>
      <c r="AH525" s="124"/>
    </row>
    <row r="526" spans="1:34" ht="12" customHeight="1">
      <c r="A526" s="155">
        <v>44652</v>
      </c>
      <c r="B526" s="112" t="s">
        <v>589</v>
      </c>
      <c r="C526" s="127" t="s">
        <v>460</v>
      </c>
      <c r="D526" s="112"/>
      <c r="E526" s="112" t="str">
        <f t="shared" si="0"/>
        <v>DCMSHRIRAM</v>
      </c>
      <c r="F526" s="112"/>
      <c r="G526" s="112"/>
      <c r="H526" s="112"/>
      <c r="I526" s="127" t="s">
        <v>461</v>
      </c>
      <c r="J526" s="126" t="s">
        <v>483</v>
      </c>
      <c r="K526" s="127"/>
      <c r="L526" s="127"/>
      <c r="M526" s="128">
        <v>298</v>
      </c>
      <c r="N526" s="129">
        <v>1162.22063</v>
      </c>
      <c r="O526" s="130">
        <f t="shared" si="39"/>
        <v>0</v>
      </c>
      <c r="P526" s="130">
        <f>N526-O526</f>
        <v>1162.22063</v>
      </c>
      <c r="Q526" s="130"/>
      <c r="R526" s="130">
        <f t="shared" si="3"/>
        <v>346341.75</v>
      </c>
      <c r="S526" s="131">
        <f t="shared" si="4"/>
        <v>1.2010738255033555</v>
      </c>
      <c r="T526" s="131">
        <f t="shared" si="75"/>
        <v>0</v>
      </c>
      <c r="U526" s="131">
        <f t="shared" si="36"/>
        <v>1.71</v>
      </c>
      <c r="V526" s="131">
        <f t="shared" si="455"/>
        <v>346.34</v>
      </c>
      <c r="W526" s="131">
        <v>0</v>
      </c>
      <c r="X526" s="131">
        <f t="shared" si="471"/>
        <v>9.52</v>
      </c>
      <c r="Y526" s="131">
        <f t="shared" si="218"/>
        <v>0.35</v>
      </c>
      <c r="Z526" s="131">
        <f t="shared" si="10"/>
        <v>357.91999999999996</v>
      </c>
      <c r="AA526" s="132">
        <f>ROUND(R526-SUM(T526:Y526),2)</f>
        <v>345983.83</v>
      </c>
      <c r="AB526" s="133">
        <f t="shared" si="403"/>
        <v>345984</v>
      </c>
      <c r="AC526" s="134">
        <f t="shared" si="48"/>
        <v>0.16999999998370185</v>
      </c>
      <c r="AD526" s="125"/>
      <c r="AE526" s="135">
        <f t="shared" si="13"/>
        <v>1.0330000000000001E-3</v>
      </c>
      <c r="AF526" s="136">
        <f t="shared" si="14"/>
        <v>0</v>
      </c>
      <c r="AG526" s="137" t="s">
        <v>416</v>
      </c>
      <c r="AH526" s="124"/>
    </row>
    <row r="527" spans="1:34" ht="12" customHeight="1">
      <c r="A527" s="154">
        <v>44652</v>
      </c>
      <c r="B527" s="140" t="s">
        <v>614</v>
      </c>
      <c r="C527" s="141" t="s">
        <v>485</v>
      </c>
      <c r="D527" s="140"/>
      <c r="E527" s="140" t="str">
        <f t="shared" si="0"/>
        <v>CARBORUNIN</v>
      </c>
      <c r="F527" s="140"/>
      <c r="G527" s="140"/>
      <c r="H527" s="140"/>
      <c r="I527" s="141" t="s">
        <v>467</v>
      </c>
      <c r="J527" s="139" t="s">
        <v>483</v>
      </c>
      <c r="K527" s="141"/>
      <c r="L527" s="141"/>
      <c r="M527" s="142">
        <v>25</v>
      </c>
      <c r="N527" s="143">
        <v>788</v>
      </c>
      <c r="O527" s="144">
        <f t="shared" si="39"/>
        <v>0</v>
      </c>
      <c r="P527" s="144">
        <f>N527+O527</f>
        <v>788</v>
      </c>
      <c r="Q527" s="144"/>
      <c r="R527" s="144">
        <f t="shared" si="3"/>
        <v>19700</v>
      </c>
      <c r="S527" s="145">
        <f t="shared" si="4"/>
        <v>0.93279999999999996</v>
      </c>
      <c r="T527" s="145">
        <f t="shared" si="75"/>
        <v>0</v>
      </c>
      <c r="U527" s="145">
        <f t="shared" si="36"/>
        <v>0.1</v>
      </c>
      <c r="V527" s="145">
        <f t="shared" si="455"/>
        <v>19.7</v>
      </c>
      <c r="W527" s="145">
        <f>ROUND(R527*F$1823,2)</f>
        <v>2.96</v>
      </c>
      <c r="X527" s="145">
        <f t="shared" si="471"/>
        <v>0.54</v>
      </c>
      <c r="Y527" s="145">
        <f t="shared" si="218"/>
        <v>0.02</v>
      </c>
      <c r="Z527" s="146">
        <f t="shared" si="10"/>
        <v>23.32</v>
      </c>
      <c r="AA527" s="147">
        <f>-ROUND(R527+SUM(T527:Y527),2)</f>
        <v>-19723.32</v>
      </c>
      <c r="AB527" s="148">
        <f t="shared" si="403"/>
        <v>-19723</v>
      </c>
      <c r="AC527" s="149">
        <f t="shared" si="48"/>
        <v>0.31999999999970896</v>
      </c>
      <c r="AD527" s="138"/>
      <c r="AE527" s="150">
        <f t="shared" si="13"/>
        <v>1.1839999999999999E-3</v>
      </c>
      <c r="AF527" s="151">
        <f t="shared" si="14"/>
        <v>0</v>
      </c>
      <c r="AG527" s="152" t="s">
        <v>416</v>
      </c>
      <c r="AH527" s="124"/>
    </row>
    <row r="528" spans="1:34" ht="12" customHeight="1">
      <c r="A528" s="155">
        <v>44652</v>
      </c>
      <c r="B528" s="112" t="s">
        <v>471</v>
      </c>
      <c r="C528" s="127" t="s">
        <v>485</v>
      </c>
      <c r="D528" s="112"/>
      <c r="E528" s="112" t="str">
        <f t="shared" si="0"/>
        <v>BHEL</v>
      </c>
      <c r="F528" s="112"/>
      <c r="G528" s="112"/>
      <c r="H528" s="112"/>
      <c r="I528" s="127" t="s">
        <v>461</v>
      </c>
      <c r="J528" s="126" t="s">
        <v>483</v>
      </c>
      <c r="K528" s="127"/>
      <c r="L528" s="127"/>
      <c r="M528" s="128">
        <v>100</v>
      </c>
      <c r="N528" s="129">
        <v>52.25</v>
      </c>
      <c r="O528" s="130">
        <f t="shared" si="39"/>
        <v>0</v>
      </c>
      <c r="P528" s="130">
        <f t="shared" ref="P528:P535" si="472">N528-O528</f>
        <v>52.25</v>
      </c>
      <c r="Q528" s="130"/>
      <c r="R528" s="130">
        <f t="shared" si="3"/>
        <v>5225</v>
      </c>
      <c r="S528" s="131">
        <f t="shared" si="4"/>
        <v>5.4100000000000002E-2</v>
      </c>
      <c r="T528" s="131">
        <f t="shared" si="75"/>
        <v>0</v>
      </c>
      <c r="U528" s="131">
        <f t="shared" si="36"/>
        <v>0.03</v>
      </c>
      <c r="V528" s="131">
        <f t="shared" si="455"/>
        <v>5.23</v>
      </c>
      <c r="W528" s="131">
        <v>0</v>
      </c>
      <c r="X528" s="131">
        <f t="shared" si="471"/>
        <v>0.14000000000000001</v>
      </c>
      <c r="Y528" s="131">
        <f t="shared" si="218"/>
        <v>0.01</v>
      </c>
      <c r="Z528" s="131">
        <f t="shared" si="10"/>
        <v>5.41</v>
      </c>
      <c r="AA528" s="132">
        <f t="shared" ref="AA528:AA535" si="473">ROUND(R528-SUM(T528:Y528),2)</f>
        <v>5219.59</v>
      </c>
      <c r="AB528" s="133">
        <f t="shared" si="403"/>
        <v>5220</v>
      </c>
      <c r="AC528" s="134">
        <f t="shared" si="48"/>
        <v>0.40999999999985448</v>
      </c>
      <c r="AD528" s="125"/>
      <c r="AE528" s="135">
        <f t="shared" si="13"/>
        <v>1.0349999999999999E-3</v>
      </c>
      <c r="AF528" s="136">
        <f t="shared" si="14"/>
        <v>0</v>
      </c>
      <c r="AG528" s="137" t="s">
        <v>416</v>
      </c>
      <c r="AH528" s="124"/>
    </row>
    <row r="529" spans="1:34" ht="12" customHeight="1">
      <c r="A529" s="155">
        <v>44652</v>
      </c>
      <c r="B529" s="112" t="s">
        <v>605</v>
      </c>
      <c r="C529" s="127" t="s">
        <v>485</v>
      </c>
      <c r="D529" s="112"/>
      <c r="E529" s="112" t="str">
        <f t="shared" si="0"/>
        <v>LICHSGFIN</v>
      </c>
      <c r="F529" s="112"/>
      <c r="G529" s="112"/>
      <c r="H529" s="112"/>
      <c r="I529" s="127" t="s">
        <v>461</v>
      </c>
      <c r="J529" s="126" t="s">
        <v>483</v>
      </c>
      <c r="K529" s="127"/>
      <c r="L529" s="127"/>
      <c r="M529" s="128">
        <v>50</v>
      </c>
      <c r="N529" s="129">
        <v>372</v>
      </c>
      <c r="O529" s="130">
        <f t="shared" si="39"/>
        <v>0</v>
      </c>
      <c r="P529" s="130">
        <f t="shared" si="472"/>
        <v>372</v>
      </c>
      <c r="Q529" s="130"/>
      <c r="R529" s="130">
        <f t="shared" si="3"/>
        <v>18600</v>
      </c>
      <c r="S529" s="131">
        <f t="shared" si="4"/>
        <v>0.38440000000000007</v>
      </c>
      <c r="T529" s="131">
        <f t="shared" si="75"/>
        <v>0</v>
      </c>
      <c r="U529" s="131">
        <f t="shared" si="36"/>
        <v>0.09</v>
      </c>
      <c r="V529" s="131">
        <f t="shared" si="455"/>
        <v>18.600000000000001</v>
      </c>
      <c r="W529" s="131">
        <v>0</v>
      </c>
      <c r="X529" s="131">
        <f t="shared" si="471"/>
        <v>0.51</v>
      </c>
      <c r="Y529" s="131">
        <f t="shared" si="218"/>
        <v>0.02</v>
      </c>
      <c r="Z529" s="131">
        <f t="shared" si="10"/>
        <v>19.220000000000002</v>
      </c>
      <c r="AA529" s="132">
        <f t="shared" si="473"/>
        <v>18580.78</v>
      </c>
      <c r="AB529" s="133">
        <f t="shared" si="403"/>
        <v>18581</v>
      </c>
      <c r="AC529" s="134">
        <f t="shared" si="48"/>
        <v>0.22000000000116415</v>
      </c>
      <c r="AD529" s="125"/>
      <c r="AE529" s="135">
        <f t="shared" si="13"/>
        <v>1.0330000000000001E-3</v>
      </c>
      <c r="AF529" s="136">
        <f t="shared" si="14"/>
        <v>0</v>
      </c>
      <c r="AG529" s="137" t="s">
        <v>416</v>
      </c>
      <c r="AH529" s="124"/>
    </row>
    <row r="530" spans="1:34" ht="12" customHeight="1">
      <c r="A530" s="155">
        <v>44652</v>
      </c>
      <c r="B530" s="112" t="s">
        <v>527</v>
      </c>
      <c r="C530" s="127" t="s">
        <v>485</v>
      </c>
      <c r="D530" s="112"/>
      <c r="E530" s="112" t="str">
        <f t="shared" si="0"/>
        <v>BPCL</v>
      </c>
      <c r="F530" s="112"/>
      <c r="G530" s="112"/>
      <c r="H530" s="112"/>
      <c r="I530" s="127" t="s">
        <v>461</v>
      </c>
      <c r="J530" s="126" t="s">
        <v>483</v>
      </c>
      <c r="K530" s="127"/>
      <c r="L530" s="127"/>
      <c r="M530" s="128">
        <v>80</v>
      </c>
      <c r="N530" s="129">
        <v>372</v>
      </c>
      <c r="O530" s="130">
        <f t="shared" si="39"/>
        <v>0</v>
      </c>
      <c r="P530" s="130">
        <f t="shared" si="472"/>
        <v>372</v>
      </c>
      <c r="Q530" s="130"/>
      <c r="R530" s="130">
        <f t="shared" si="3"/>
        <v>29760</v>
      </c>
      <c r="S530" s="131">
        <f t="shared" si="4"/>
        <v>0.38450000000000001</v>
      </c>
      <c r="T530" s="131">
        <f t="shared" si="75"/>
        <v>0</v>
      </c>
      <c r="U530" s="131">
        <f t="shared" si="36"/>
        <v>0.15</v>
      </c>
      <c r="V530" s="131">
        <f t="shared" si="455"/>
        <v>29.76</v>
      </c>
      <c r="W530" s="131">
        <v>0</v>
      </c>
      <c r="X530" s="131">
        <f t="shared" si="471"/>
        <v>0.82</v>
      </c>
      <c r="Y530" s="131">
        <f t="shared" si="218"/>
        <v>0.03</v>
      </c>
      <c r="Z530" s="131">
        <f t="shared" si="10"/>
        <v>30.76</v>
      </c>
      <c r="AA530" s="132">
        <f t="shared" si="473"/>
        <v>29729.24</v>
      </c>
      <c r="AB530" s="133">
        <f t="shared" si="403"/>
        <v>29729</v>
      </c>
      <c r="AC530" s="134">
        <f t="shared" si="48"/>
        <v>-0.24000000000160071</v>
      </c>
      <c r="AD530" s="125"/>
      <c r="AE530" s="135">
        <f t="shared" si="13"/>
        <v>1.034E-3</v>
      </c>
      <c r="AF530" s="136">
        <f t="shared" si="14"/>
        <v>0</v>
      </c>
      <c r="AG530" s="137" t="s">
        <v>416</v>
      </c>
      <c r="AH530" s="124"/>
    </row>
    <row r="531" spans="1:34" ht="12" customHeight="1">
      <c r="A531" s="155">
        <v>44652</v>
      </c>
      <c r="B531" s="112" t="s">
        <v>611</v>
      </c>
      <c r="C531" s="127" t="s">
        <v>485</v>
      </c>
      <c r="D531" s="112"/>
      <c r="E531" s="112" t="str">
        <f t="shared" si="0"/>
        <v>CANBK</v>
      </c>
      <c r="F531" s="112"/>
      <c r="G531" s="112"/>
      <c r="H531" s="112"/>
      <c r="I531" s="127" t="s">
        <v>461</v>
      </c>
      <c r="J531" s="126" t="s">
        <v>483</v>
      </c>
      <c r="K531" s="127"/>
      <c r="L531" s="127"/>
      <c r="M531" s="128">
        <v>50</v>
      </c>
      <c r="N531" s="129">
        <v>238.5</v>
      </c>
      <c r="O531" s="130">
        <f t="shared" si="39"/>
        <v>0</v>
      </c>
      <c r="P531" s="130">
        <f t="shared" si="472"/>
        <v>238.5</v>
      </c>
      <c r="Q531" s="130"/>
      <c r="R531" s="130">
        <f t="shared" si="3"/>
        <v>11925</v>
      </c>
      <c r="S531" s="131">
        <f t="shared" si="4"/>
        <v>0.24660000000000001</v>
      </c>
      <c r="T531" s="131">
        <f t="shared" si="75"/>
        <v>0</v>
      </c>
      <c r="U531" s="131">
        <f t="shared" si="36"/>
        <v>0.06</v>
      </c>
      <c r="V531" s="131">
        <f t="shared" si="455"/>
        <v>11.93</v>
      </c>
      <c r="W531" s="131">
        <v>0</v>
      </c>
      <c r="X531" s="131">
        <f t="shared" si="471"/>
        <v>0.33</v>
      </c>
      <c r="Y531" s="131">
        <f t="shared" si="218"/>
        <v>0.01</v>
      </c>
      <c r="Z531" s="131">
        <f t="shared" si="10"/>
        <v>12.33</v>
      </c>
      <c r="AA531" s="132">
        <f t="shared" si="473"/>
        <v>11912.67</v>
      </c>
      <c r="AB531" s="133">
        <f t="shared" si="403"/>
        <v>11913</v>
      </c>
      <c r="AC531" s="134">
        <f t="shared" si="48"/>
        <v>0.32999999999992724</v>
      </c>
      <c r="AD531" s="125"/>
      <c r="AE531" s="135">
        <f t="shared" si="13"/>
        <v>1.034E-3</v>
      </c>
      <c r="AF531" s="136">
        <f t="shared" si="14"/>
        <v>0</v>
      </c>
      <c r="AG531" s="137" t="s">
        <v>416</v>
      </c>
      <c r="AH531" s="124"/>
    </row>
    <row r="532" spans="1:34" ht="12" customHeight="1">
      <c r="A532" s="155">
        <v>44652</v>
      </c>
      <c r="B532" s="112" t="s">
        <v>495</v>
      </c>
      <c r="C532" s="127" t="s">
        <v>485</v>
      </c>
      <c r="D532" s="112"/>
      <c r="E532" s="112" t="str">
        <f t="shared" si="0"/>
        <v>SAIL</v>
      </c>
      <c r="F532" s="112"/>
      <c r="G532" s="112"/>
      <c r="H532" s="112"/>
      <c r="I532" s="127" t="s">
        <v>461</v>
      </c>
      <c r="J532" s="126" t="s">
        <v>483</v>
      </c>
      <c r="K532" s="127"/>
      <c r="L532" s="127"/>
      <c r="M532" s="128">
        <v>300</v>
      </c>
      <c r="N532" s="129">
        <v>101</v>
      </c>
      <c r="O532" s="130">
        <f t="shared" si="39"/>
        <v>0</v>
      </c>
      <c r="P532" s="130">
        <f t="shared" si="472"/>
        <v>101</v>
      </c>
      <c r="Q532" s="130"/>
      <c r="R532" s="130">
        <f t="shared" si="3"/>
        <v>30300</v>
      </c>
      <c r="S532" s="131">
        <f t="shared" si="4"/>
        <v>0.10436666666666666</v>
      </c>
      <c r="T532" s="131">
        <f t="shared" si="75"/>
        <v>0</v>
      </c>
      <c r="U532" s="131">
        <f t="shared" si="36"/>
        <v>0.15</v>
      </c>
      <c r="V532" s="131">
        <f t="shared" si="455"/>
        <v>30.3</v>
      </c>
      <c r="W532" s="131">
        <v>0</v>
      </c>
      <c r="X532" s="131">
        <f t="shared" si="471"/>
        <v>0.83</v>
      </c>
      <c r="Y532" s="131">
        <f t="shared" si="218"/>
        <v>0.03</v>
      </c>
      <c r="Z532" s="131">
        <f t="shared" si="10"/>
        <v>31.31</v>
      </c>
      <c r="AA532" s="132">
        <f t="shared" si="473"/>
        <v>30268.69</v>
      </c>
      <c r="AB532" s="133">
        <f t="shared" si="403"/>
        <v>30269</v>
      </c>
      <c r="AC532" s="134">
        <f t="shared" si="48"/>
        <v>0.31000000000130967</v>
      </c>
      <c r="AD532" s="125"/>
      <c r="AE532" s="135">
        <f t="shared" si="13"/>
        <v>1.0330000000000001E-3</v>
      </c>
      <c r="AF532" s="136">
        <f t="shared" si="14"/>
        <v>0</v>
      </c>
      <c r="AG532" s="137" t="s">
        <v>416</v>
      </c>
      <c r="AH532" s="124"/>
    </row>
    <row r="533" spans="1:34" ht="12" customHeight="1">
      <c r="A533" s="155">
        <v>44652</v>
      </c>
      <c r="B533" s="112" t="s">
        <v>493</v>
      </c>
      <c r="C533" s="127" t="s">
        <v>485</v>
      </c>
      <c r="D533" s="112"/>
      <c r="E533" s="112" t="str">
        <f t="shared" si="0"/>
        <v>SBIN</v>
      </c>
      <c r="F533" s="112"/>
      <c r="G533" s="112"/>
      <c r="H533" s="112"/>
      <c r="I533" s="127" t="s">
        <v>461</v>
      </c>
      <c r="J533" s="126" t="s">
        <v>483</v>
      </c>
      <c r="K533" s="127"/>
      <c r="L533" s="127"/>
      <c r="M533" s="128">
        <v>35</v>
      </c>
      <c r="N533" s="129">
        <v>500</v>
      </c>
      <c r="O533" s="130">
        <f t="shared" si="39"/>
        <v>0</v>
      </c>
      <c r="P533" s="130">
        <f t="shared" si="472"/>
        <v>500</v>
      </c>
      <c r="Q533" s="130"/>
      <c r="R533" s="130">
        <f t="shared" si="3"/>
        <v>17500</v>
      </c>
      <c r="S533" s="131">
        <f t="shared" si="4"/>
        <v>0.5168571428571429</v>
      </c>
      <c r="T533" s="131">
        <f t="shared" si="75"/>
        <v>0</v>
      </c>
      <c r="U533" s="131">
        <f t="shared" si="36"/>
        <v>0.09</v>
      </c>
      <c r="V533" s="131">
        <f t="shared" si="455"/>
        <v>17.5</v>
      </c>
      <c r="W533" s="131">
        <v>0</v>
      </c>
      <c r="X533" s="131">
        <f t="shared" si="471"/>
        <v>0.48</v>
      </c>
      <c r="Y533" s="131">
        <f t="shared" si="218"/>
        <v>0.02</v>
      </c>
      <c r="Z533" s="131">
        <f t="shared" si="10"/>
        <v>18.09</v>
      </c>
      <c r="AA533" s="132">
        <f t="shared" si="473"/>
        <v>17481.91</v>
      </c>
      <c r="AB533" s="133">
        <f t="shared" si="403"/>
        <v>17482</v>
      </c>
      <c r="AC533" s="134">
        <f t="shared" si="48"/>
        <v>9.0000000000145519E-2</v>
      </c>
      <c r="AD533" s="125"/>
      <c r="AE533" s="135">
        <f t="shared" si="13"/>
        <v>1.034E-3</v>
      </c>
      <c r="AF533" s="136">
        <f t="shared" si="14"/>
        <v>0</v>
      </c>
      <c r="AG533" s="137" t="s">
        <v>416</v>
      </c>
      <c r="AH533" s="124"/>
    </row>
    <row r="534" spans="1:34" ht="12" customHeight="1">
      <c r="A534" s="155">
        <v>44655</v>
      </c>
      <c r="B534" s="112" t="s">
        <v>600</v>
      </c>
      <c r="C534" s="127" t="s">
        <v>485</v>
      </c>
      <c r="D534" s="112"/>
      <c r="E534" s="112" t="str">
        <f t="shared" si="0"/>
        <v>TOYAMIND</v>
      </c>
      <c r="F534" s="112"/>
      <c r="G534" s="112"/>
      <c r="H534" s="112"/>
      <c r="I534" s="127" t="s">
        <v>461</v>
      </c>
      <c r="J534" s="126" t="s">
        <v>483</v>
      </c>
      <c r="K534" s="127"/>
      <c r="L534" s="127"/>
      <c r="M534" s="128">
        <v>300</v>
      </c>
      <c r="N534" s="129">
        <v>9.81</v>
      </c>
      <c r="O534" s="130">
        <f t="shared" si="39"/>
        <v>0</v>
      </c>
      <c r="P534" s="130">
        <f t="shared" si="472"/>
        <v>9.81</v>
      </c>
      <c r="Q534" s="130"/>
      <c r="R534" s="130">
        <f t="shared" si="3"/>
        <v>2943</v>
      </c>
      <c r="S534" s="131">
        <f t="shared" si="4"/>
        <v>2.1366666666666666E-2</v>
      </c>
      <c r="T534" s="131">
        <f t="shared" si="75"/>
        <v>0</v>
      </c>
      <c r="U534" s="131">
        <f t="shared" si="36"/>
        <v>0.53</v>
      </c>
      <c r="V534" s="131">
        <f t="shared" si="455"/>
        <v>2.94</v>
      </c>
      <c r="W534" s="131">
        <v>0</v>
      </c>
      <c r="X534" s="131">
        <f>ROUND(R534*0.1%,2)</f>
        <v>2.94</v>
      </c>
      <c r="Y534" s="131">
        <f t="shared" si="218"/>
        <v>0</v>
      </c>
      <c r="Z534" s="131">
        <f t="shared" si="10"/>
        <v>6.41</v>
      </c>
      <c r="AA534" s="132">
        <f t="shared" si="473"/>
        <v>2936.59</v>
      </c>
      <c r="AB534" s="133">
        <f t="shared" si="403"/>
        <v>2937</v>
      </c>
      <c r="AC534" s="134">
        <f t="shared" si="48"/>
        <v>0.40999999999985448</v>
      </c>
      <c r="AD534" s="125"/>
      <c r="AE534" s="135">
        <f t="shared" si="13"/>
        <v>2.1779999999999998E-3</v>
      </c>
      <c r="AF534" s="136">
        <f t="shared" si="14"/>
        <v>0</v>
      </c>
      <c r="AG534" s="137" t="s">
        <v>416</v>
      </c>
      <c r="AH534" s="124"/>
    </row>
    <row r="535" spans="1:34" ht="12" customHeight="1">
      <c r="A535" s="155">
        <v>44655</v>
      </c>
      <c r="B535" s="159" t="s">
        <v>297</v>
      </c>
      <c r="C535" s="127" t="s">
        <v>485</v>
      </c>
      <c r="D535" s="159"/>
      <c r="E535" s="112" t="str">
        <f t="shared" si="0"/>
        <v>ONGC</v>
      </c>
      <c r="F535" s="159"/>
      <c r="G535" s="159"/>
      <c r="H535" s="159"/>
      <c r="I535" s="127" t="s">
        <v>461</v>
      </c>
      <c r="J535" s="126" t="s">
        <v>483</v>
      </c>
      <c r="K535" s="127"/>
      <c r="L535" s="127"/>
      <c r="M535" s="128">
        <v>100</v>
      </c>
      <c r="N535" s="129">
        <v>167.5</v>
      </c>
      <c r="O535" s="130">
        <f t="shared" si="39"/>
        <v>0</v>
      </c>
      <c r="P535" s="130">
        <f t="shared" si="472"/>
        <v>167.5</v>
      </c>
      <c r="Q535" s="130"/>
      <c r="R535" s="130">
        <f t="shared" si="3"/>
        <v>16750</v>
      </c>
      <c r="S535" s="131">
        <f t="shared" si="4"/>
        <v>0.17309999999999998</v>
      </c>
      <c r="T535" s="131">
        <f t="shared" si="75"/>
        <v>0</v>
      </c>
      <c r="U535" s="131">
        <f t="shared" si="36"/>
        <v>0.08</v>
      </c>
      <c r="V535" s="131">
        <f t="shared" si="455"/>
        <v>16.75</v>
      </c>
      <c r="W535" s="131">
        <v>0</v>
      </c>
      <c r="X535" s="131">
        <f t="shared" ref="X535:X538" si="474">ROUND(R535*G$1820,2)</f>
        <v>0.46</v>
      </c>
      <c r="Y535" s="131">
        <f t="shared" si="218"/>
        <v>0.02</v>
      </c>
      <c r="Z535" s="131">
        <f t="shared" si="10"/>
        <v>17.309999999999999</v>
      </c>
      <c r="AA535" s="132">
        <f t="shared" si="473"/>
        <v>16732.689999999999</v>
      </c>
      <c r="AB535" s="133">
        <f t="shared" si="403"/>
        <v>16733</v>
      </c>
      <c r="AC535" s="134">
        <f t="shared" si="48"/>
        <v>0.31000000000130967</v>
      </c>
      <c r="AD535" s="125"/>
      <c r="AE535" s="135">
        <f t="shared" si="13"/>
        <v>1.0330000000000001E-3</v>
      </c>
      <c r="AF535" s="136">
        <f t="shared" si="14"/>
        <v>0</v>
      </c>
      <c r="AG535" s="137" t="s">
        <v>416</v>
      </c>
      <c r="AH535" s="124"/>
    </row>
    <row r="536" spans="1:34" ht="12" customHeight="1">
      <c r="A536" s="154">
        <v>44655</v>
      </c>
      <c r="B536" s="140" t="s">
        <v>589</v>
      </c>
      <c r="C536" s="141" t="s">
        <v>460</v>
      </c>
      <c r="D536" s="140"/>
      <c r="E536" s="140" t="str">
        <f t="shared" si="0"/>
        <v>DCMSHRIRAM</v>
      </c>
      <c r="F536" s="140"/>
      <c r="G536" s="140"/>
      <c r="H536" s="140"/>
      <c r="I536" s="141" t="s">
        <v>467</v>
      </c>
      <c r="J536" s="139" t="s">
        <v>483</v>
      </c>
      <c r="K536" s="141"/>
      <c r="L536" s="141"/>
      <c r="M536" s="142">
        <v>50</v>
      </c>
      <c r="N536" s="143">
        <v>1194.25</v>
      </c>
      <c r="O536" s="144">
        <f t="shared" si="39"/>
        <v>0</v>
      </c>
      <c r="P536" s="144">
        <f>N536+O536</f>
        <v>1194.25</v>
      </c>
      <c r="Q536" s="144"/>
      <c r="R536" s="144">
        <f t="shared" si="3"/>
        <v>59712.5</v>
      </c>
      <c r="S536" s="145">
        <f t="shared" si="4"/>
        <v>1.4134</v>
      </c>
      <c r="T536" s="145">
        <f t="shared" si="75"/>
        <v>0</v>
      </c>
      <c r="U536" s="145">
        <f t="shared" si="36"/>
        <v>0.3</v>
      </c>
      <c r="V536" s="145">
        <f t="shared" si="455"/>
        <v>59.71</v>
      </c>
      <c r="W536" s="145">
        <f>ROUND(R536*F$1823,2)</f>
        <v>8.9600000000000009</v>
      </c>
      <c r="X536" s="145">
        <f t="shared" si="474"/>
        <v>1.64</v>
      </c>
      <c r="Y536" s="145">
        <f t="shared" si="218"/>
        <v>0.06</v>
      </c>
      <c r="Z536" s="146">
        <f t="shared" si="10"/>
        <v>70.67</v>
      </c>
      <c r="AA536" s="147">
        <f>-ROUND(R536+SUM(T536:Y536),2)</f>
        <v>-59783.17</v>
      </c>
      <c r="AB536" s="148">
        <f t="shared" si="403"/>
        <v>-59783</v>
      </c>
      <c r="AC536" s="149">
        <f t="shared" si="48"/>
        <v>0.16999999999825377</v>
      </c>
      <c r="AD536" s="138"/>
      <c r="AE536" s="150">
        <f t="shared" si="13"/>
        <v>1.1839999999999999E-3</v>
      </c>
      <c r="AF536" s="151">
        <f t="shared" si="14"/>
        <v>0</v>
      </c>
      <c r="AG536" s="152" t="s">
        <v>416</v>
      </c>
      <c r="AH536" s="124"/>
    </row>
    <row r="537" spans="1:34" ht="12" customHeight="1">
      <c r="A537" s="155">
        <v>44656</v>
      </c>
      <c r="B537" s="112" t="s">
        <v>589</v>
      </c>
      <c r="C537" s="127" t="s">
        <v>460</v>
      </c>
      <c r="D537" s="112"/>
      <c r="E537" s="112" t="str">
        <f t="shared" si="0"/>
        <v>DCMSHRIRAM</v>
      </c>
      <c r="F537" s="112"/>
      <c r="G537" s="112"/>
      <c r="H537" s="112"/>
      <c r="I537" s="127" t="s">
        <v>461</v>
      </c>
      <c r="J537" s="126" t="s">
        <v>483</v>
      </c>
      <c r="K537" s="127"/>
      <c r="L537" s="127"/>
      <c r="M537" s="128">
        <v>50</v>
      </c>
      <c r="N537" s="129">
        <v>1203</v>
      </c>
      <c r="O537" s="130">
        <f t="shared" si="39"/>
        <v>0</v>
      </c>
      <c r="P537" s="130">
        <f>N537-O537</f>
        <v>1203</v>
      </c>
      <c r="Q537" s="130"/>
      <c r="R537" s="130">
        <f t="shared" si="3"/>
        <v>60150</v>
      </c>
      <c r="S537" s="131">
        <f t="shared" si="4"/>
        <v>1.2431999999999999</v>
      </c>
      <c r="T537" s="131">
        <f t="shared" si="75"/>
        <v>0</v>
      </c>
      <c r="U537" s="131">
        <f t="shared" si="36"/>
        <v>0.3</v>
      </c>
      <c r="V537" s="131">
        <f t="shared" si="455"/>
        <v>60.15</v>
      </c>
      <c r="W537" s="131">
        <v>0</v>
      </c>
      <c r="X537" s="131">
        <f t="shared" si="474"/>
        <v>1.65</v>
      </c>
      <c r="Y537" s="131">
        <f t="shared" si="218"/>
        <v>0.06</v>
      </c>
      <c r="Z537" s="131">
        <f t="shared" si="10"/>
        <v>62.16</v>
      </c>
      <c r="AA537" s="132">
        <f>ROUND(R537-SUM(T537:Y537),2)</f>
        <v>60087.839999999997</v>
      </c>
      <c r="AB537" s="133">
        <f t="shared" si="403"/>
        <v>60088</v>
      </c>
      <c r="AC537" s="134">
        <f t="shared" si="48"/>
        <v>0.16000000000349246</v>
      </c>
      <c r="AD537" s="125"/>
      <c r="AE537" s="135">
        <f t="shared" si="13"/>
        <v>1.0330000000000001E-3</v>
      </c>
      <c r="AF537" s="136">
        <f t="shared" si="14"/>
        <v>0</v>
      </c>
      <c r="AG537" s="137" t="s">
        <v>416</v>
      </c>
      <c r="AH537" s="124"/>
    </row>
    <row r="538" spans="1:34" ht="12" customHeight="1">
      <c r="A538" s="154">
        <v>44656</v>
      </c>
      <c r="B538" s="140" t="s">
        <v>601</v>
      </c>
      <c r="C538" s="141" t="s">
        <v>485</v>
      </c>
      <c r="D538" s="140"/>
      <c r="E538" s="140" t="str">
        <f t="shared" si="0"/>
        <v>FEDERALBNK</v>
      </c>
      <c r="F538" s="140"/>
      <c r="G538" s="140"/>
      <c r="H538" s="140"/>
      <c r="I538" s="141" t="s">
        <v>467</v>
      </c>
      <c r="J538" s="139" t="s">
        <v>483</v>
      </c>
      <c r="K538" s="141"/>
      <c r="L538" s="141"/>
      <c r="M538" s="142">
        <v>100</v>
      </c>
      <c r="N538" s="143">
        <v>99.5</v>
      </c>
      <c r="O538" s="144">
        <f t="shared" si="39"/>
        <v>0</v>
      </c>
      <c r="P538" s="144">
        <f>N538+O538</f>
        <v>99.5</v>
      </c>
      <c r="Q538" s="144"/>
      <c r="R538" s="144">
        <f t="shared" si="3"/>
        <v>9950</v>
      </c>
      <c r="S538" s="145">
        <f t="shared" si="4"/>
        <v>0.1177</v>
      </c>
      <c r="T538" s="145">
        <f t="shared" si="75"/>
        <v>0</v>
      </c>
      <c r="U538" s="145">
        <f t="shared" si="36"/>
        <v>0.05</v>
      </c>
      <c r="V538" s="145">
        <f t="shared" si="455"/>
        <v>9.9499999999999993</v>
      </c>
      <c r="W538" s="145">
        <f>ROUND(R538*F$1823,2)</f>
        <v>1.49</v>
      </c>
      <c r="X538" s="145">
        <f t="shared" si="474"/>
        <v>0.27</v>
      </c>
      <c r="Y538" s="145">
        <f t="shared" si="218"/>
        <v>0.01</v>
      </c>
      <c r="Z538" s="146">
        <f t="shared" si="10"/>
        <v>11.77</v>
      </c>
      <c r="AA538" s="147">
        <f>-ROUND(R538+SUM(T538:Y538),2)</f>
        <v>-9961.77</v>
      </c>
      <c r="AB538" s="148">
        <f t="shared" si="403"/>
        <v>-9962</v>
      </c>
      <c r="AC538" s="149">
        <f t="shared" si="48"/>
        <v>-0.22999999999956344</v>
      </c>
      <c r="AD538" s="138"/>
      <c r="AE538" s="150">
        <f t="shared" si="13"/>
        <v>1.183E-3</v>
      </c>
      <c r="AF538" s="151">
        <f t="shared" si="14"/>
        <v>0</v>
      </c>
      <c r="AG538" s="152" t="s">
        <v>416</v>
      </c>
      <c r="AH538" s="124"/>
    </row>
    <row r="539" spans="1:34" ht="12" customHeight="1">
      <c r="A539" s="155">
        <v>44656</v>
      </c>
      <c r="B539" s="112" t="s">
        <v>600</v>
      </c>
      <c r="C539" s="127" t="s">
        <v>485</v>
      </c>
      <c r="D539" s="112"/>
      <c r="E539" s="112" t="str">
        <f t="shared" si="0"/>
        <v>TOYAMIND</v>
      </c>
      <c r="F539" s="112"/>
      <c r="G539" s="112"/>
      <c r="H539" s="112"/>
      <c r="I539" s="127" t="s">
        <v>461</v>
      </c>
      <c r="J539" s="126" t="s">
        <v>483</v>
      </c>
      <c r="K539" s="127"/>
      <c r="L539" s="127"/>
      <c r="M539" s="128">
        <v>200</v>
      </c>
      <c r="N539" s="129">
        <v>10.3</v>
      </c>
      <c r="O539" s="130">
        <f t="shared" si="39"/>
        <v>0</v>
      </c>
      <c r="P539" s="130">
        <f>N539-O539</f>
        <v>10.3</v>
      </c>
      <c r="Q539" s="130"/>
      <c r="R539" s="130">
        <f t="shared" si="3"/>
        <v>2060</v>
      </c>
      <c r="S539" s="131">
        <f t="shared" si="4"/>
        <v>2.2450000000000001E-2</v>
      </c>
      <c r="T539" s="131">
        <f t="shared" si="75"/>
        <v>0</v>
      </c>
      <c r="U539" s="131">
        <f t="shared" si="36"/>
        <v>0.37</v>
      </c>
      <c r="V539" s="131">
        <f t="shared" si="455"/>
        <v>2.06</v>
      </c>
      <c r="W539" s="131">
        <v>0</v>
      </c>
      <c r="X539" s="131">
        <f>ROUND(R539*0.1%,2)</f>
        <v>2.06</v>
      </c>
      <c r="Y539" s="131">
        <f t="shared" si="218"/>
        <v>0</v>
      </c>
      <c r="Z539" s="131">
        <f t="shared" si="10"/>
        <v>4.49</v>
      </c>
      <c r="AA539" s="132">
        <f>ROUND(R539-SUM(T539:Y539),2)</f>
        <v>2055.5100000000002</v>
      </c>
      <c r="AB539" s="133">
        <f t="shared" si="403"/>
        <v>2056</v>
      </c>
      <c r="AC539" s="134">
        <f t="shared" si="48"/>
        <v>0.48999999999978172</v>
      </c>
      <c r="AD539" s="125"/>
      <c r="AE539" s="135">
        <f t="shared" si="13"/>
        <v>2.1800000000000001E-3</v>
      </c>
      <c r="AF539" s="136">
        <f t="shared" si="14"/>
        <v>0</v>
      </c>
      <c r="AG539" s="137" t="s">
        <v>416</v>
      </c>
      <c r="AH539" s="124"/>
    </row>
    <row r="540" spans="1:34" ht="12" customHeight="1">
      <c r="A540" s="154">
        <v>44657</v>
      </c>
      <c r="B540" s="140" t="s">
        <v>497</v>
      </c>
      <c r="C540" s="141" t="s">
        <v>485</v>
      </c>
      <c r="D540" s="140"/>
      <c r="E540" s="140" t="str">
        <f t="shared" si="0"/>
        <v>GHCL</v>
      </c>
      <c r="F540" s="140"/>
      <c r="G540" s="140"/>
      <c r="H540" s="140"/>
      <c r="I540" s="141" t="s">
        <v>467</v>
      </c>
      <c r="J540" s="139" t="s">
        <v>483</v>
      </c>
      <c r="K540" s="141"/>
      <c r="L540" s="141"/>
      <c r="M540" s="142">
        <v>20</v>
      </c>
      <c r="N540" s="143">
        <v>550.5</v>
      </c>
      <c r="O540" s="144">
        <f t="shared" si="39"/>
        <v>0</v>
      </c>
      <c r="P540" s="144">
        <f t="shared" ref="P540:P544" si="475">N540+O540</f>
        <v>550.5</v>
      </c>
      <c r="Q540" s="144"/>
      <c r="R540" s="144">
        <f t="shared" si="3"/>
        <v>11010</v>
      </c>
      <c r="S540" s="145">
        <f t="shared" si="4"/>
        <v>0.65100000000000002</v>
      </c>
      <c r="T540" s="145">
        <f t="shared" si="75"/>
        <v>0</v>
      </c>
      <c r="U540" s="145">
        <f t="shared" si="36"/>
        <v>0.05</v>
      </c>
      <c r="V540" s="145">
        <f t="shared" si="455"/>
        <v>11.01</v>
      </c>
      <c r="W540" s="145">
        <f t="shared" ref="W540:W544" si="476">ROUND(R540*F$1823,2)</f>
        <v>1.65</v>
      </c>
      <c r="X540" s="145">
        <f t="shared" ref="X540:X567" si="477">ROUND(R540*G$1820,2)</f>
        <v>0.3</v>
      </c>
      <c r="Y540" s="145">
        <f t="shared" si="218"/>
        <v>0.01</v>
      </c>
      <c r="Z540" s="146">
        <f t="shared" si="10"/>
        <v>13.020000000000001</v>
      </c>
      <c r="AA540" s="147">
        <f t="shared" ref="AA540:AA544" si="478">-ROUND(R540+SUM(T540:Y540),2)</f>
        <v>-11023.02</v>
      </c>
      <c r="AB540" s="148">
        <f t="shared" si="403"/>
        <v>-11023</v>
      </c>
      <c r="AC540" s="149">
        <f t="shared" si="48"/>
        <v>2.0000000000436557E-2</v>
      </c>
      <c r="AD540" s="138"/>
      <c r="AE540" s="150">
        <f t="shared" si="13"/>
        <v>1.183E-3</v>
      </c>
      <c r="AF540" s="151">
        <f t="shared" si="14"/>
        <v>0</v>
      </c>
      <c r="AG540" s="152" t="s">
        <v>416</v>
      </c>
      <c r="AH540" s="124"/>
    </row>
    <row r="541" spans="1:34" ht="12" customHeight="1">
      <c r="A541" s="154">
        <v>44657</v>
      </c>
      <c r="B541" s="140" t="s">
        <v>472</v>
      </c>
      <c r="C541" s="141" t="s">
        <v>485</v>
      </c>
      <c r="D541" s="140"/>
      <c r="E541" s="140" t="str">
        <f t="shared" si="0"/>
        <v>INFY</v>
      </c>
      <c r="F541" s="140"/>
      <c r="G541" s="140"/>
      <c r="H541" s="140"/>
      <c r="I541" s="141" t="s">
        <v>467</v>
      </c>
      <c r="J541" s="139" t="s">
        <v>483</v>
      </c>
      <c r="K541" s="141"/>
      <c r="L541" s="141"/>
      <c r="M541" s="142">
        <v>10</v>
      </c>
      <c r="N541" s="143">
        <v>1830</v>
      </c>
      <c r="O541" s="144">
        <f t="shared" si="39"/>
        <v>0</v>
      </c>
      <c r="P541" s="144">
        <f t="shared" si="475"/>
        <v>1830</v>
      </c>
      <c r="Q541" s="144"/>
      <c r="R541" s="144">
        <f t="shared" si="3"/>
        <v>18300</v>
      </c>
      <c r="S541" s="145">
        <f t="shared" si="4"/>
        <v>2.1659999999999999</v>
      </c>
      <c r="T541" s="145">
        <f t="shared" si="75"/>
        <v>0</v>
      </c>
      <c r="U541" s="145">
        <f t="shared" si="36"/>
        <v>0.09</v>
      </c>
      <c r="V541" s="145">
        <f t="shared" si="455"/>
        <v>18.3</v>
      </c>
      <c r="W541" s="145">
        <f t="shared" si="476"/>
        <v>2.75</v>
      </c>
      <c r="X541" s="145">
        <f t="shared" si="477"/>
        <v>0.5</v>
      </c>
      <c r="Y541" s="145">
        <f t="shared" si="218"/>
        <v>0.02</v>
      </c>
      <c r="Z541" s="146">
        <f t="shared" si="10"/>
        <v>21.66</v>
      </c>
      <c r="AA541" s="147">
        <f t="shared" si="478"/>
        <v>-18321.66</v>
      </c>
      <c r="AB541" s="148">
        <f t="shared" si="403"/>
        <v>-18322</v>
      </c>
      <c r="AC541" s="149">
        <f t="shared" si="48"/>
        <v>-0.34000000000014552</v>
      </c>
      <c r="AD541" s="138"/>
      <c r="AE541" s="150">
        <f t="shared" si="13"/>
        <v>1.1839999999999999E-3</v>
      </c>
      <c r="AF541" s="151">
        <f t="shared" si="14"/>
        <v>0</v>
      </c>
      <c r="AG541" s="152" t="s">
        <v>416</v>
      </c>
      <c r="AH541" s="124"/>
    </row>
    <row r="542" spans="1:34" ht="12" customHeight="1">
      <c r="A542" s="154">
        <v>44657</v>
      </c>
      <c r="B542" s="140" t="s">
        <v>518</v>
      </c>
      <c r="C542" s="141" t="s">
        <v>485</v>
      </c>
      <c r="D542" s="140"/>
      <c r="E542" s="140" t="str">
        <f t="shared" si="0"/>
        <v>TATAMOTORS</v>
      </c>
      <c r="F542" s="140"/>
      <c r="G542" s="140"/>
      <c r="H542" s="140"/>
      <c r="I542" s="141" t="s">
        <v>467</v>
      </c>
      <c r="J542" s="139" t="s">
        <v>483</v>
      </c>
      <c r="K542" s="141"/>
      <c r="L542" s="141"/>
      <c r="M542" s="142">
        <v>30</v>
      </c>
      <c r="N542" s="143">
        <v>459</v>
      </c>
      <c r="O542" s="144">
        <f t="shared" si="39"/>
        <v>0</v>
      </c>
      <c r="P542" s="144">
        <f t="shared" si="475"/>
        <v>459</v>
      </c>
      <c r="Q542" s="144"/>
      <c r="R542" s="144">
        <f t="shared" si="3"/>
        <v>13770</v>
      </c>
      <c r="S542" s="145">
        <f t="shared" si="4"/>
        <v>0.54333333333333333</v>
      </c>
      <c r="T542" s="145">
        <f t="shared" si="75"/>
        <v>0</v>
      </c>
      <c r="U542" s="145">
        <f t="shared" si="36"/>
        <v>7.0000000000000007E-2</v>
      </c>
      <c r="V542" s="145">
        <f t="shared" si="455"/>
        <v>13.77</v>
      </c>
      <c r="W542" s="145">
        <f t="shared" si="476"/>
        <v>2.0699999999999998</v>
      </c>
      <c r="X542" s="145">
        <f t="shared" si="477"/>
        <v>0.38</v>
      </c>
      <c r="Y542" s="145">
        <f t="shared" si="218"/>
        <v>0.01</v>
      </c>
      <c r="Z542" s="146">
        <f t="shared" si="10"/>
        <v>16.3</v>
      </c>
      <c r="AA542" s="147">
        <f t="shared" si="478"/>
        <v>-13786.3</v>
      </c>
      <c r="AB542" s="148">
        <f t="shared" si="403"/>
        <v>-13786</v>
      </c>
      <c r="AC542" s="149">
        <f t="shared" si="48"/>
        <v>0.2999999999992724</v>
      </c>
      <c r="AD542" s="138"/>
      <c r="AE542" s="150">
        <f t="shared" si="13"/>
        <v>1.1839999999999999E-3</v>
      </c>
      <c r="AF542" s="151">
        <f t="shared" si="14"/>
        <v>0</v>
      </c>
      <c r="AG542" s="152" t="s">
        <v>416</v>
      </c>
      <c r="AH542" s="124"/>
    </row>
    <row r="543" spans="1:34" ht="12" customHeight="1">
      <c r="A543" s="154">
        <v>44658</v>
      </c>
      <c r="B543" s="140" t="s">
        <v>589</v>
      </c>
      <c r="C543" s="141" t="s">
        <v>460</v>
      </c>
      <c r="D543" s="140"/>
      <c r="E543" s="140" t="str">
        <f t="shared" si="0"/>
        <v>DCMSHRIRAM</v>
      </c>
      <c r="F543" s="140"/>
      <c r="G543" s="140"/>
      <c r="H543" s="140"/>
      <c r="I543" s="141" t="s">
        <v>467</v>
      </c>
      <c r="J543" s="139" t="s">
        <v>483</v>
      </c>
      <c r="K543" s="141"/>
      <c r="L543" s="141"/>
      <c r="M543" s="142">
        <v>50</v>
      </c>
      <c r="N543" s="143">
        <v>1210</v>
      </c>
      <c r="O543" s="144">
        <f t="shared" si="39"/>
        <v>0</v>
      </c>
      <c r="P543" s="144">
        <f t="shared" si="475"/>
        <v>1210</v>
      </c>
      <c r="Q543" s="144"/>
      <c r="R543" s="144">
        <f t="shared" si="3"/>
        <v>60500</v>
      </c>
      <c r="S543" s="145">
        <f t="shared" si="4"/>
        <v>1.4319999999999999</v>
      </c>
      <c r="T543" s="145">
        <f t="shared" si="75"/>
        <v>0</v>
      </c>
      <c r="U543" s="145">
        <f t="shared" si="36"/>
        <v>0.3</v>
      </c>
      <c r="V543" s="145">
        <f t="shared" si="455"/>
        <v>60.5</v>
      </c>
      <c r="W543" s="145">
        <f t="shared" si="476"/>
        <v>9.08</v>
      </c>
      <c r="X543" s="145">
        <f t="shared" si="477"/>
        <v>1.66</v>
      </c>
      <c r="Y543" s="145">
        <f t="shared" si="218"/>
        <v>0.06</v>
      </c>
      <c r="Z543" s="146">
        <f t="shared" si="10"/>
        <v>71.599999999999994</v>
      </c>
      <c r="AA543" s="147">
        <f t="shared" si="478"/>
        <v>-60571.6</v>
      </c>
      <c r="AB543" s="148">
        <f t="shared" si="403"/>
        <v>-60572</v>
      </c>
      <c r="AC543" s="149">
        <f t="shared" si="48"/>
        <v>-0.40000000000145519</v>
      </c>
      <c r="AD543" s="138"/>
      <c r="AE543" s="150">
        <f t="shared" si="13"/>
        <v>1.183E-3</v>
      </c>
      <c r="AF543" s="151">
        <f t="shared" si="14"/>
        <v>0</v>
      </c>
      <c r="AG543" s="152" t="s">
        <v>416</v>
      </c>
      <c r="AH543" s="124"/>
    </row>
    <row r="544" spans="1:34" ht="12" customHeight="1">
      <c r="A544" s="154">
        <v>44659</v>
      </c>
      <c r="B544" s="140" t="s">
        <v>589</v>
      </c>
      <c r="C544" s="141" t="s">
        <v>460</v>
      </c>
      <c r="D544" s="140"/>
      <c r="E544" s="140" t="str">
        <f t="shared" si="0"/>
        <v>DCMSHRIRAM</v>
      </c>
      <c r="F544" s="140"/>
      <c r="G544" s="140"/>
      <c r="H544" s="140"/>
      <c r="I544" s="141" t="s">
        <v>467</v>
      </c>
      <c r="J544" s="139" t="s">
        <v>483</v>
      </c>
      <c r="K544" s="141"/>
      <c r="L544" s="141"/>
      <c r="M544" s="142">
        <v>31</v>
      </c>
      <c r="N544" s="143">
        <v>1183</v>
      </c>
      <c r="O544" s="144">
        <f t="shared" si="39"/>
        <v>0</v>
      </c>
      <c r="P544" s="144">
        <f t="shared" si="475"/>
        <v>1183</v>
      </c>
      <c r="Q544" s="144"/>
      <c r="R544" s="144">
        <f t="shared" si="3"/>
        <v>36673</v>
      </c>
      <c r="S544" s="145">
        <f t="shared" si="4"/>
        <v>1.4</v>
      </c>
      <c r="T544" s="145">
        <f t="shared" si="75"/>
        <v>0</v>
      </c>
      <c r="U544" s="145">
        <f t="shared" si="36"/>
        <v>0.18</v>
      </c>
      <c r="V544" s="145">
        <f t="shared" si="455"/>
        <v>36.67</v>
      </c>
      <c r="W544" s="145">
        <f t="shared" si="476"/>
        <v>5.5</v>
      </c>
      <c r="X544" s="145">
        <f t="shared" si="477"/>
        <v>1.01</v>
      </c>
      <c r="Y544" s="145">
        <f t="shared" si="218"/>
        <v>0.04</v>
      </c>
      <c r="Z544" s="146">
        <f t="shared" si="10"/>
        <v>43.4</v>
      </c>
      <c r="AA544" s="147">
        <f t="shared" si="478"/>
        <v>-36716.400000000001</v>
      </c>
      <c r="AB544" s="148">
        <f t="shared" si="403"/>
        <v>-36716</v>
      </c>
      <c r="AC544" s="149">
        <f t="shared" si="48"/>
        <v>0.40000000000145519</v>
      </c>
      <c r="AD544" s="138"/>
      <c r="AE544" s="150">
        <f t="shared" si="13"/>
        <v>1.183E-3</v>
      </c>
      <c r="AF544" s="151">
        <f t="shared" si="14"/>
        <v>0</v>
      </c>
      <c r="AG544" s="152" t="s">
        <v>416</v>
      </c>
      <c r="AH544" s="124"/>
    </row>
    <row r="545" spans="1:34" ht="12" customHeight="1">
      <c r="A545" s="155">
        <v>44659</v>
      </c>
      <c r="B545" s="159" t="s">
        <v>615</v>
      </c>
      <c r="C545" s="127" t="s">
        <v>485</v>
      </c>
      <c r="D545" s="159"/>
      <c r="E545" s="112" t="str">
        <f t="shared" si="0"/>
        <v>RUCHI</v>
      </c>
      <c r="F545" s="159"/>
      <c r="G545" s="159"/>
      <c r="H545" s="159"/>
      <c r="I545" s="127" t="s">
        <v>461</v>
      </c>
      <c r="J545" s="126" t="s">
        <v>483</v>
      </c>
      <c r="K545" s="127"/>
      <c r="L545" s="127"/>
      <c r="M545" s="128">
        <v>42</v>
      </c>
      <c r="N545" s="129">
        <v>880</v>
      </c>
      <c r="O545" s="130">
        <f t="shared" si="39"/>
        <v>0</v>
      </c>
      <c r="P545" s="130">
        <f t="shared" ref="P545:P546" si="479">N545-O545</f>
        <v>880</v>
      </c>
      <c r="Q545" s="130"/>
      <c r="R545" s="130">
        <f t="shared" si="3"/>
        <v>36960</v>
      </c>
      <c r="S545" s="131">
        <f t="shared" si="4"/>
        <v>0.90952380952380962</v>
      </c>
      <c r="T545" s="131">
        <f t="shared" si="75"/>
        <v>0</v>
      </c>
      <c r="U545" s="131">
        <f t="shared" si="36"/>
        <v>0.18</v>
      </c>
      <c r="V545" s="131">
        <f t="shared" si="455"/>
        <v>36.96</v>
      </c>
      <c r="W545" s="131">
        <v>0</v>
      </c>
      <c r="X545" s="131">
        <f t="shared" si="477"/>
        <v>1.02</v>
      </c>
      <c r="Y545" s="131">
        <f t="shared" si="218"/>
        <v>0.04</v>
      </c>
      <c r="Z545" s="131">
        <f t="shared" si="10"/>
        <v>38.200000000000003</v>
      </c>
      <c r="AA545" s="132">
        <f t="shared" ref="AA545:AA546" si="480">ROUND(R545-SUM(T545:Y545),2)</f>
        <v>36921.800000000003</v>
      </c>
      <c r="AB545" s="133">
        <f t="shared" si="403"/>
        <v>36922</v>
      </c>
      <c r="AC545" s="134">
        <f t="shared" si="48"/>
        <v>0.19999999999708962</v>
      </c>
      <c r="AD545" s="125"/>
      <c r="AE545" s="135">
        <f t="shared" si="13"/>
        <v>1.034E-3</v>
      </c>
      <c r="AF545" s="136">
        <f t="shared" si="14"/>
        <v>0</v>
      </c>
      <c r="AG545" s="137" t="s">
        <v>416</v>
      </c>
      <c r="AH545" s="124"/>
    </row>
    <row r="546" spans="1:34" ht="12" customHeight="1">
      <c r="A546" s="155">
        <v>44662</v>
      </c>
      <c r="B546" s="112" t="s">
        <v>609</v>
      </c>
      <c r="C546" s="127" t="s">
        <v>460</v>
      </c>
      <c r="D546" s="112"/>
      <c r="E546" s="112" t="str">
        <f t="shared" si="0"/>
        <v>SETFGOLD</v>
      </c>
      <c r="F546" s="112"/>
      <c r="G546" s="112"/>
      <c r="H546" s="112"/>
      <c r="I546" s="127" t="s">
        <v>461</v>
      </c>
      <c r="J546" s="126" t="s">
        <v>483</v>
      </c>
      <c r="K546" s="127"/>
      <c r="L546" s="127"/>
      <c r="M546" s="128">
        <v>2501</v>
      </c>
      <c r="N546" s="129">
        <v>46.280799999999999</v>
      </c>
      <c r="O546" s="130">
        <f t="shared" si="39"/>
        <v>0</v>
      </c>
      <c r="P546" s="130">
        <f t="shared" si="479"/>
        <v>46.280799999999999</v>
      </c>
      <c r="Q546" s="130"/>
      <c r="R546" s="130">
        <f t="shared" si="3"/>
        <v>115748.28</v>
      </c>
      <c r="S546" s="131">
        <f t="shared" si="4"/>
        <v>1.5473810475809676E-3</v>
      </c>
      <c r="T546" s="131">
        <f t="shared" si="75"/>
        <v>0</v>
      </c>
      <c r="U546" s="131">
        <f t="shared" si="36"/>
        <v>0.56999999999999995</v>
      </c>
      <c r="V546" s="131">
        <f>ROUND(R546*F$1817,2)-115.75</f>
        <v>0</v>
      </c>
      <c r="W546" s="131">
        <v>0</v>
      </c>
      <c r="X546" s="131">
        <f t="shared" si="477"/>
        <v>3.18</v>
      </c>
      <c r="Y546" s="131">
        <f t="shared" si="218"/>
        <v>0.12</v>
      </c>
      <c r="Z546" s="131">
        <f t="shared" si="10"/>
        <v>3.87</v>
      </c>
      <c r="AA546" s="132">
        <f t="shared" si="480"/>
        <v>115744.41</v>
      </c>
      <c r="AB546" s="133">
        <f t="shared" si="403"/>
        <v>115744</v>
      </c>
      <c r="AC546" s="134">
        <f t="shared" si="48"/>
        <v>-0.41000000000349246</v>
      </c>
      <c r="AD546" s="125"/>
      <c r="AE546" s="135">
        <f t="shared" si="13"/>
        <v>3.3000000000000003E-5</v>
      </c>
      <c r="AF546" s="136">
        <f t="shared" si="14"/>
        <v>0</v>
      </c>
      <c r="AG546" s="137" t="s">
        <v>416</v>
      </c>
      <c r="AH546" s="124"/>
    </row>
    <row r="547" spans="1:34" ht="12" customHeight="1">
      <c r="A547" s="154">
        <v>44662</v>
      </c>
      <c r="B547" s="140" t="s">
        <v>615</v>
      </c>
      <c r="C547" s="141" t="s">
        <v>485</v>
      </c>
      <c r="D547" s="140"/>
      <c r="E547" s="140" t="str">
        <f t="shared" si="0"/>
        <v>RUCHI</v>
      </c>
      <c r="F547" s="140"/>
      <c r="G547" s="140"/>
      <c r="H547" s="140"/>
      <c r="I547" s="141" t="s">
        <v>467</v>
      </c>
      <c r="J547" s="139" t="s">
        <v>483</v>
      </c>
      <c r="K547" s="141"/>
      <c r="L547" s="141"/>
      <c r="M547" s="142">
        <v>25</v>
      </c>
      <c r="N547" s="143">
        <v>950</v>
      </c>
      <c r="O547" s="144">
        <f t="shared" si="39"/>
        <v>0</v>
      </c>
      <c r="P547" s="144">
        <f t="shared" ref="P547:P549" si="481">N547+O547</f>
        <v>950</v>
      </c>
      <c r="Q547" s="144"/>
      <c r="R547" s="144">
        <f t="shared" si="3"/>
        <v>23750</v>
      </c>
      <c r="S547" s="145">
        <f t="shared" si="4"/>
        <v>1.1239999999999999</v>
      </c>
      <c r="T547" s="145">
        <f t="shared" si="75"/>
        <v>0</v>
      </c>
      <c r="U547" s="145">
        <f t="shared" si="36"/>
        <v>0.12</v>
      </c>
      <c r="V547" s="145">
        <f t="shared" ref="V547:V556" si="482">ROUND(R547*F$1817,2)</f>
        <v>23.75</v>
      </c>
      <c r="W547" s="145">
        <f t="shared" ref="W547:W549" si="483">ROUND(R547*F$1823,2)</f>
        <v>3.56</v>
      </c>
      <c r="X547" s="145">
        <f t="shared" si="477"/>
        <v>0.65</v>
      </c>
      <c r="Y547" s="145">
        <f t="shared" si="218"/>
        <v>0.02</v>
      </c>
      <c r="Z547" s="146">
        <f t="shared" si="10"/>
        <v>28.099999999999998</v>
      </c>
      <c r="AA547" s="147">
        <f t="shared" ref="AA547:AA549" si="484">-ROUND(R547+SUM(T547:Y547),2)</f>
        <v>-23778.1</v>
      </c>
      <c r="AB547" s="148">
        <f t="shared" si="403"/>
        <v>-23778</v>
      </c>
      <c r="AC547" s="149">
        <f t="shared" si="48"/>
        <v>9.9999999998544808E-2</v>
      </c>
      <c r="AD547" s="138"/>
      <c r="AE547" s="150">
        <f t="shared" si="13"/>
        <v>1.183E-3</v>
      </c>
      <c r="AF547" s="151">
        <f t="shared" si="14"/>
        <v>0</v>
      </c>
      <c r="AG547" s="152" t="s">
        <v>416</v>
      </c>
      <c r="AH547" s="124"/>
    </row>
    <row r="548" spans="1:34" ht="12" customHeight="1">
      <c r="A548" s="154">
        <v>44663</v>
      </c>
      <c r="B548" s="140" t="s">
        <v>589</v>
      </c>
      <c r="C548" s="141" t="s">
        <v>460</v>
      </c>
      <c r="D548" s="140"/>
      <c r="E548" s="140" t="str">
        <f t="shared" si="0"/>
        <v>DCMSHRIRAM</v>
      </c>
      <c r="F548" s="140"/>
      <c r="G548" s="140"/>
      <c r="H548" s="140"/>
      <c r="I548" s="141" t="s">
        <v>467</v>
      </c>
      <c r="J548" s="139" t="s">
        <v>483</v>
      </c>
      <c r="K548" s="141"/>
      <c r="L548" s="141"/>
      <c r="M548" s="142">
        <v>124</v>
      </c>
      <c r="N548" s="143">
        <v>1125</v>
      </c>
      <c r="O548" s="144">
        <f t="shared" si="39"/>
        <v>0</v>
      </c>
      <c r="P548" s="144">
        <f t="shared" si="481"/>
        <v>1125</v>
      </c>
      <c r="Q548" s="144"/>
      <c r="R548" s="144">
        <f t="shared" si="3"/>
        <v>139500</v>
      </c>
      <c r="S548" s="145">
        <f t="shared" si="4"/>
        <v>1.3314516129032257</v>
      </c>
      <c r="T548" s="145">
        <f t="shared" si="75"/>
        <v>0</v>
      </c>
      <c r="U548" s="145">
        <f t="shared" si="36"/>
        <v>0.69</v>
      </c>
      <c r="V548" s="145">
        <f t="shared" si="482"/>
        <v>139.5</v>
      </c>
      <c r="W548" s="145">
        <f t="shared" si="483"/>
        <v>20.93</v>
      </c>
      <c r="X548" s="145">
        <f t="shared" si="477"/>
        <v>3.84</v>
      </c>
      <c r="Y548" s="145">
        <f t="shared" si="218"/>
        <v>0.14000000000000001</v>
      </c>
      <c r="Z548" s="146">
        <f t="shared" si="10"/>
        <v>165.1</v>
      </c>
      <c r="AA548" s="147">
        <f t="shared" si="484"/>
        <v>-139665.1</v>
      </c>
      <c r="AB548" s="148">
        <f t="shared" si="403"/>
        <v>-139665</v>
      </c>
      <c r="AC548" s="149">
        <f t="shared" si="48"/>
        <v>0.10000000000582077</v>
      </c>
      <c r="AD548" s="138"/>
      <c r="AE548" s="150">
        <f t="shared" si="13"/>
        <v>1.1839999999999999E-3</v>
      </c>
      <c r="AF548" s="151">
        <f t="shared" si="14"/>
        <v>0</v>
      </c>
      <c r="AG548" s="152" t="s">
        <v>416</v>
      </c>
      <c r="AH548" s="124"/>
    </row>
    <row r="549" spans="1:34" ht="12" customHeight="1">
      <c r="A549" s="154">
        <v>44663</v>
      </c>
      <c r="B549" s="140" t="s">
        <v>589</v>
      </c>
      <c r="C549" s="141" t="s">
        <v>460</v>
      </c>
      <c r="D549" s="140"/>
      <c r="E549" s="140" t="str">
        <f t="shared" si="0"/>
        <v>DCMSHRIRAM</v>
      </c>
      <c r="F549" s="140"/>
      <c r="G549" s="140"/>
      <c r="H549" s="140"/>
      <c r="I549" s="141" t="s">
        <v>467</v>
      </c>
      <c r="J549" s="139" t="s">
        <v>483</v>
      </c>
      <c r="K549" s="141"/>
      <c r="L549" s="141"/>
      <c r="M549" s="142">
        <v>100</v>
      </c>
      <c r="N549" s="143">
        <v>1118</v>
      </c>
      <c r="O549" s="144">
        <f t="shared" si="39"/>
        <v>0</v>
      </c>
      <c r="P549" s="144">
        <f t="shared" si="481"/>
        <v>1118</v>
      </c>
      <c r="Q549" s="144"/>
      <c r="R549" s="144">
        <f t="shared" si="3"/>
        <v>111800</v>
      </c>
      <c r="S549" s="145">
        <f t="shared" si="4"/>
        <v>1.3230000000000002</v>
      </c>
      <c r="T549" s="145">
        <f t="shared" si="75"/>
        <v>0</v>
      </c>
      <c r="U549" s="145">
        <f t="shared" si="36"/>
        <v>0.55000000000000004</v>
      </c>
      <c r="V549" s="145">
        <f t="shared" si="482"/>
        <v>111.8</v>
      </c>
      <c r="W549" s="145">
        <f t="shared" si="483"/>
        <v>16.77</v>
      </c>
      <c r="X549" s="145">
        <f t="shared" si="477"/>
        <v>3.07</v>
      </c>
      <c r="Y549" s="145">
        <f t="shared" si="218"/>
        <v>0.11</v>
      </c>
      <c r="Z549" s="146">
        <f t="shared" si="10"/>
        <v>132.30000000000001</v>
      </c>
      <c r="AA549" s="147">
        <f t="shared" si="484"/>
        <v>-111932.3</v>
      </c>
      <c r="AB549" s="148">
        <f t="shared" si="403"/>
        <v>-111932</v>
      </c>
      <c r="AC549" s="149">
        <f t="shared" si="48"/>
        <v>0.30000000000291038</v>
      </c>
      <c r="AD549" s="138"/>
      <c r="AE549" s="150">
        <f t="shared" si="13"/>
        <v>1.183E-3</v>
      </c>
      <c r="AF549" s="151">
        <f t="shared" si="14"/>
        <v>0</v>
      </c>
      <c r="AG549" s="152" t="s">
        <v>416</v>
      </c>
      <c r="AH549" s="124"/>
    </row>
    <row r="550" spans="1:34" ht="12" customHeight="1">
      <c r="A550" s="155">
        <v>44663</v>
      </c>
      <c r="B550" s="112" t="s">
        <v>608</v>
      </c>
      <c r="C550" s="127" t="s">
        <v>485</v>
      </c>
      <c r="D550" s="112"/>
      <c r="E550" s="112" t="str">
        <f t="shared" si="0"/>
        <v>AUBANK</v>
      </c>
      <c r="F550" s="112"/>
      <c r="G550" s="112"/>
      <c r="H550" s="112"/>
      <c r="I550" s="127" t="s">
        <v>461</v>
      </c>
      <c r="J550" s="126" t="s">
        <v>483</v>
      </c>
      <c r="K550" s="127"/>
      <c r="L550" s="127"/>
      <c r="M550" s="128">
        <v>2</v>
      </c>
      <c r="N550" s="129">
        <v>1402</v>
      </c>
      <c r="O550" s="130">
        <f t="shared" si="39"/>
        <v>0</v>
      </c>
      <c r="P550" s="130">
        <f>N550-O550</f>
        <v>1402</v>
      </c>
      <c r="Q550" s="130"/>
      <c r="R550" s="130">
        <f t="shared" si="3"/>
        <v>2804</v>
      </c>
      <c r="S550" s="131">
        <f t="shared" si="4"/>
        <v>1.4449999999999998</v>
      </c>
      <c r="T550" s="131">
        <f t="shared" si="75"/>
        <v>0</v>
      </c>
      <c r="U550" s="131">
        <f t="shared" si="36"/>
        <v>0.01</v>
      </c>
      <c r="V550" s="131">
        <f t="shared" si="482"/>
        <v>2.8</v>
      </c>
      <c r="W550" s="131">
        <v>0</v>
      </c>
      <c r="X550" s="131">
        <f t="shared" si="477"/>
        <v>0.08</v>
      </c>
      <c r="Y550" s="131">
        <f t="shared" si="218"/>
        <v>0</v>
      </c>
      <c r="Z550" s="131">
        <f t="shared" si="10"/>
        <v>2.8899999999999997</v>
      </c>
      <c r="AA550" s="132">
        <f>ROUND(R550-SUM(T550:Y550),2)</f>
        <v>2801.11</v>
      </c>
      <c r="AB550" s="133">
        <f t="shared" si="403"/>
        <v>2801</v>
      </c>
      <c r="AC550" s="134">
        <f t="shared" si="48"/>
        <v>-0.11000000000012733</v>
      </c>
      <c r="AD550" s="125"/>
      <c r="AE550" s="135">
        <f t="shared" si="13"/>
        <v>1.031E-3</v>
      </c>
      <c r="AF550" s="136">
        <f t="shared" si="14"/>
        <v>0</v>
      </c>
      <c r="AG550" s="137" t="s">
        <v>416</v>
      </c>
      <c r="AH550" s="124"/>
    </row>
    <row r="551" spans="1:34" ht="12" customHeight="1">
      <c r="A551" s="154">
        <v>44663</v>
      </c>
      <c r="B551" s="140" t="s">
        <v>610</v>
      </c>
      <c r="C551" s="141" t="s">
        <v>485</v>
      </c>
      <c r="D551" s="140"/>
      <c r="E551" s="140" t="str">
        <f t="shared" si="0"/>
        <v>POLYPLEX</v>
      </c>
      <c r="F551" s="140"/>
      <c r="G551" s="140"/>
      <c r="H551" s="140"/>
      <c r="I551" s="141" t="s">
        <v>467</v>
      </c>
      <c r="J551" s="139" t="s">
        <v>483</v>
      </c>
      <c r="K551" s="141"/>
      <c r="L551" s="141"/>
      <c r="M551" s="142">
        <v>10</v>
      </c>
      <c r="N551" s="143">
        <v>2730</v>
      </c>
      <c r="O551" s="144">
        <f t="shared" si="39"/>
        <v>0</v>
      </c>
      <c r="P551" s="144">
        <f t="shared" ref="P551:P554" si="485">N551+O551</f>
        <v>2730</v>
      </c>
      <c r="Q551" s="144"/>
      <c r="R551" s="144">
        <f t="shared" si="3"/>
        <v>27300</v>
      </c>
      <c r="S551" s="145">
        <f t="shared" si="4"/>
        <v>3.2320000000000002</v>
      </c>
      <c r="T551" s="145">
        <f t="shared" si="75"/>
        <v>0</v>
      </c>
      <c r="U551" s="145">
        <f t="shared" si="36"/>
        <v>0.14000000000000001</v>
      </c>
      <c r="V551" s="145">
        <f t="shared" si="482"/>
        <v>27.3</v>
      </c>
      <c r="W551" s="145">
        <f t="shared" ref="W551:W554" si="486">ROUND(R551*F$1823,2)</f>
        <v>4.0999999999999996</v>
      </c>
      <c r="X551" s="145">
        <f t="shared" si="477"/>
        <v>0.75</v>
      </c>
      <c r="Y551" s="145">
        <f t="shared" si="218"/>
        <v>0.03</v>
      </c>
      <c r="Z551" s="146">
        <f t="shared" si="10"/>
        <v>32.32</v>
      </c>
      <c r="AA551" s="147">
        <f t="shared" ref="AA551:AA554" si="487">-ROUND(R551+SUM(T551:Y551),2)</f>
        <v>-27332.32</v>
      </c>
      <c r="AB551" s="148">
        <f t="shared" si="403"/>
        <v>-27332</v>
      </c>
      <c r="AC551" s="149">
        <f t="shared" si="48"/>
        <v>0.31999999999970896</v>
      </c>
      <c r="AD551" s="138"/>
      <c r="AE551" s="150">
        <f t="shared" si="13"/>
        <v>1.1839999999999999E-3</v>
      </c>
      <c r="AF551" s="151">
        <f t="shared" si="14"/>
        <v>0</v>
      </c>
      <c r="AG551" s="152" t="s">
        <v>416</v>
      </c>
      <c r="AH551" s="124"/>
    </row>
    <row r="552" spans="1:34" ht="12" customHeight="1">
      <c r="A552" s="154">
        <v>44663</v>
      </c>
      <c r="B552" s="140" t="s">
        <v>616</v>
      </c>
      <c r="C552" s="141" t="s">
        <v>485</v>
      </c>
      <c r="D552" s="140"/>
      <c r="E552" s="140" t="str">
        <f t="shared" si="0"/>
        <v>RCF</v>
      </c>
      <c r="F552" s="140"/>
      <c r="G552" s="140"/>
      <c r="H552" s="140"/>
      <c r="I552" s="141" t="s">
        <v>467</v>
      </c>
      <c r="J552" s="139" t="s">
        <v>483</v>
      </c>
      <c r="K552" s="141"/>
      <c r="L552" s="141"/>
      <c r="M552" s="142">
        <v>100</v>
      </c>
      <c r="N552" s="143">
        <v>101</v>
      </c>
      <c r="O552" s="144">
        <f t="shared" si="39"/>
        <v>0</v>
      </c>
      <c r="P552" s="144">
        <f t="shared" si="485"/>
        <v>101</v>
      </c>
      <c r="Q552" s="144"/>
      <c r="R552" s="144">
        <f t="shared" si="3"/>
        <v>10100</v>
      </c>
      <c r="S552" s="145">
        <f t="shared" si="4"/>
        <v>0.11959999999999998</v>
      </c>
      <c r="T552" s="145">
        <f t="shared" si="75"/>
        <v>0</v>
      </c>
      <c r="U552" s="145">
        <f t="shared" si="36"/>
        <v>0.05</v>
      </c>
      <c r="V552" s="145">
        <f t="shared" si="482"/>
        <v>10.1</v>
      </c>
      <c r="W552" s="145">
        <f t="shared" si="486"/>
        <v>1.52</v>
      </c>
      <c r="X552" s="145">
        <f t="shared" si="477"/>
        <v>0.28000000000000003</v>
      </c>
      <c r="Y552" s="145">
        <f t="shared" si="218"/>
        <v>0.01</v>
      </c>
      <c r="Z552" s="146">
        <f t="shared" si="10"/>
        <v>11.959999999999999</v>
      </c>
      <c r="AA552" s="147">
        <f t="shared" si="487"/>
        <v>-10111.959999999999</v>
      </c>
      <c r="AB552" s="148">
        <f t="shared" si="403"/>
        <v>-10112</v>
      </c>
      <c r="AC552" s="149">
        <f t="shared" si="48"/>
        <v>-4.0000000000873115E-2</v>
      </c>
      <c r="AD552" s="138"/>
      <c r="AE552" s="150">
        <f t="shared" si="13"/>
        <v>1.1839999999999999E-3</v>
      </c>
      <c r="AF552" s="151">
        <f t="shared" si="14"/>
        <v>0</v>
      </c>
      <c r="AG552" s="152" t="s">
        <v>416</v>
      </c>
      <c r="AH552" s="124"/>
    </row>
    <row r="553" spans="1:34" ht="12" customHeight="1">
      <c r="A553" s="154">
        <v>44663</v>
      </c>
      <c r="B553" s="140" t="s">
        <v>615</v>
      </c>
      <c r="C553" s="141" t="s">
        <v>485</v>
      </c>
      <c r="D553" s="140"/>
      <c r="E553" s="140" t="str">
        <f t="shared" si="0"/>
        <v>RUCHI</v>
      </c>
      <c r="F553" s="140"/>
      <c r="G553" s="140"/>
      <c r="H553" s="140"/>
      <c r="I553" s="141" t="s">
        <v>467</v>
      </c>
      <c r="J553" s="139" t="s">
        <v>483</v>
      </c>
      <c r="K553" s="141"/>
      <c r="L553" s="141"/>
      <c r="M553" s="142">
        <v>30</v>
      </c>
      <c r="N553" s="143">
        <v>900</v>
      </c>
      <c r="O553" s="144">
        <f t="shared" si="39"/>
        <v>0</v>
      </c>
      <c r="P553" s="144">
        <f t="shared" si="485"/>
        <v>900</v>
      </c>
      <c r="Q553" s="144"/>
      <c r="R553" s="144">
        <f t="shared" si="3"/>
        <v>27000</v>
      </c>
      <c r="S553" s="145">
        <f t="shared" si="4"/>
        <v>1.0649999999999999</v>
      </c>
      <c r="T553" s="145">
        <f t="shared" si="75"/>
        <v>0</v>
      </c>
      <c r="U553" s="145">
        <f t="shared" si="36"/>
        <v>0.13</v>
      </c>
      <c r="V553" s="145">
        <f t="shared" si="482"/>
        <v>27</v>
      </c>
      <c r="W553" s="145">
        <f t="shared" si="486"/>
        <v>4.05</v>
      </c>
      <c r="X553" s="145">
        <f t="shared" si="477"/>
        <v>0.74</v>
      </c>
      <c r="Y553" s="145">
        <f t="shared" si="218"/>
        <v>0.03</v>
      </c>
      <c r="Z553" s="146">
        <f t="shared" si="10"/>
        <v>31.95</v>
      </c>
      <c r="AA553" s="147">
        <f t="shared" si="487"/>
        <v>-27031.95</v>
      </c>
      <c r="AB553" s="148">
        <f t="shared" si="403"/>
        <v>-27032</v>
      </c>
      <c r="AC553" s="149">
        <f t="shared" si="48"/>
        <v>-4.9999999999272404E-2</v>
      </c>
      <c r="AD553" s="138"/>
      <c r="AE553" s="150">
        <f t="shared" si="13"/>
        <v>1.183E-3</v>
      </c>
      <c r="AF553" s="151">
        <f t="shared" si="14"/>
        <v>0</v>
      </c>
      <c r="AG553" s="152" t="s">
        <v>416</v>
      </c>
      <c r="AH553" s="124"/>
    </row>
    <row r="554" spans="1:34" ht="12" customHeight="1">
      <c r="A554" s="154">
        <v>44663</v>
      </c>
      <c r="B554" s="140" t="s">
        <v>588</v>
      </c>
      <c r="C554" s="141" t="s">
        <v>485</v>
      </c>
      <c r="D554" s="140"/>
      <c r="E554" s="140" t="str">
        <f t="shared" si="0"/>
        <v>TCS</v>
      </c>
      <c r="F554" s="140"/>
      <c r="G554" s="140"/>
      <c r="H554" s="140"/>
      <c r="I554" s="141" t="s">
        <v>467</v>
      </c>
      <c r="J554" s="139" t="s">
        <v>483</v>
      </c>
      <c r="K554" s="141"/>
      <c r="L554" s="141"/>
      <c r="M554" s="142">
        <v>10</v>
      </c>
      <c r="N554" s="143">
        <v>3700</v>
      </c>
      <c r="O554" s="144">
        <f t="shared" si="39"/>
        <v>0</v>
      </c>
      <c r="P554" s="144">
        <f t="shared" si="485"/>
        <v>3700</v>
      </c>
      <c r="Q554" s="144"/>
      <c r="R554" s="144">
        <f t="shared" si="3"/>
        <v>37000</v>
      </c>
      <c r="S554" s="145">
        <f t="shared" si="4"/>
        <v>4.3789999999999996</v>
      </c>
      <c r="T554" s="145">
        <f t="shared" si="75"/>
        <v>0</v>
      </c>
      <c r="U554" s="145">
        <f t="shared" si="36"/>
        <v>0.18</v>
      </c>
      <c r="V554" s="145">
        <f t="shared" si="482"/>
        <v>37</v>
      </c>
      <c r="W554" s="145">
        <f t="shared" si="486"/>
        <v>5.55</v>
      </c>
      <c r="X554" s="145">
        <f t="shared" si="477"/>
        <v>1.02</v>
      </c>
      <c r="Y554" s="145">
        <f t="shared" si="218"/>
        <v>0.04</v>
      </c>
      <c r="Z554" s="146">
        <f t="shared" si="10"/>
        <v>43.79</v>
      </c>
      <c r="AA554" s="147">
        <f t="shared" si="487"/>
        <v>-37043.79</v>
      </c>
      <c r="AB554" s="148">
        <f t="shared" si="403"/>
        <v>-37044</v>
      </c>
      <c r="AC554" s="149">
        <f t="shared" si="48"/>
        <v>-0.20999999999912689</v>
      </c>
      <c r="AD554" s="138"/>
      <c r="AE554" s="150">
        <f t="shared" si="13"/>
        <v>1.1839999999999999E-3</v>
      </c>
      <c r="AF554" s="151">
        <f t="shared" si="14"/>
        <v>0</v>
      </c>
      <c r="AG554" s="152" t="s">
        <v>416</v>
      </c>
      <c r="AH554" s="124"/>
    </row>
    <row r="555" spans="1:34" ht="12" customHeight="1">
      <c r="A555" s="155">
        <v>44664</v>
      </c>
      <c r="B555" s="112" t="s">
        <v>598</v>
      </c>
      <c r="C555" s="127" t="s">
        <v>485</v>
      </c>
      <c r="D555" s="112"/>
      <c r="E555" s="112" t="str">
        <f t="shared" si="0"/>
        <v>A2ZINFRA</v>
      </c>
      <c r="F555" s="112"/>
      <c r="G555" s="112"/>
      <c r="H555" s="112"/>
      <c r="I555" s="127" t="s">
        <v>461</v>
      </c>
      <c r="J555" s="126" t="s">
        <v>483</v>
      </c>
      <c r="K555" s="127"/>
      <c r="L555" s="127"/>
      <c r="M555" s="128">
        <v>100</v>
      </c>
      <c r="N555" s="129">
        <v>12.14</v>
      </c>
      <c r="O555" s="130">
        <f t="shared" si="39"/>
        <v>0</v>
      </c>
      <c r="P555" s="130">
        <f t="shared" ref="P555:P556" si="488">N555-O555</f>
        <v>12.14</v>
      </c>
      <c r="Q555" s="130"/>
      <c r="R555" s="130">
        <f t="shared" si="3"/>
        <v>1214</v>
      </c>
      <c r="S555" s="131">
        <f t="shared" si="4"/>
        <v>1.2500000000000001E-2</v>
      </c>
      <c r="T555" s="131">
        <f t="shared" si="75"/>
        <v>0</v>
      </c>
      <c r="U555" s="131">
        <f t="shared" si="36"/>
        <v>0.01</v>
      </c>
      <c r="V555" s="131">
        <f t="shared" si="482"/>
        <v>1.21</v>
      </c>
      <c r="W555" s="131">
        <v>0</v>
      </c>
      <c r="X555" s="131">
        <f t="shared" si="477"/>
        <v>0.03</v>
      </c>
      <c r="Y555" s="131">
        <f t="shared" si="218"/>
        <v>0</v>
      </c>
      <c r="Z555" s="131">
        <f t="shared" si="10"/>
        <v>1.25</v>
      </c>
      <c r="AA555" s="132">
        <f t="shared" ref="AA555:AA556" si="489">ROUND(R555-SUM(T555:Y555),2)</f>
        <v>1212.75</v>
      </c>
      <c r="AB555" s="133">
        <f t="shared" si="403"/>
        <v>1213</v>
      </c>
      <c r="AC555" s="134">
        <f t="shared" si="48"/>
        <v>0.25</v>
      </c>
      <c r="AD555" s="125"/>
      <c r="AE555" s="135">
        <f t="shared" si="13"/>
        <v>1.0300000000000001E-3</v>
      </c>
      <c r="AF555" s="136">
        <f t="shared" si="14"/>
        <v>0</v>
      </c>
      <c r="AG555" s="137" t="s">
        <v>416</v>
      </c>
      <c r="AH555" s="124"/>
    </row>
    <row r="556" spans="1:34" ht="12" customHeight="1">
      <c r="A556" s="155">
        <v>44669</v>
      </c>
      <c r="B556" s="112" t="s">
        <v>589</v>
      </c>
      <c r="C556" s="127" t="s">
        <v>460</v>
      </c>
      <c r="D556" s="112"/>
      <c r="E556" s="112" t="str">
        <f t="shared" si="0"/>
        <v>DCMSHRIRAM</v>
      </c>
      <c r="F556" s="112"/>
      <c r="G556" s="112"/>
      <c r="H556" s="112"/>
      <c r="I556" s="127" t="s">
        <v>461</v>
      </c>
      <c r="J556" s="126" t="s">
        <v>483</v>
      </c>
      <c r="K556" s="127"/>
      <c r="L556" s="127"/>
      <c r="M556" s="128">
        <v>200</v>
      </c>
      <c r="N556" s="129">
        <v>1134.5</v>
      </c>
      <c r="O556" s="130">
        <f t="shared" si="39"/>
        <v>0</v>
      </c>
      <c r="P556" s="130">
        <f t="shared" si="488"/>
        <v>1134.5</v>
      </c>
      <c r="Q556" s="130"/>
      <c r="R556" s="130">
        <f t="shared" si="3"/>
        <v>226900</v>
      </c>
      <c r="S556" s="131">
        <f t="shared" si="4"/>
        <v>1.17245</v>
      </c>
      <c r="T556" s="131">
        <f t="shared" si="75"/>
        <v>0</v>
      </c>
      <c r="U556" s="131">
        <f t="shared" si="36"/>
        <v>1.1200000000000001</v>
      </c>
      <c r="V556" s="131">
        <f t="shared" si="482"/>
        <v>226.9</v>
      </c>
      <c r="W556" s="131">
        <v>0</v>
      </c>
      <c r="X556" s="131">
        <f t="shared" si="477"/>
        <v>6.24</v>
      </c>
      <c r="Y556" s="131">
        <f t="shared" si="218"/>
        <v>0.23</v>
      </c>
      <c r="Z556" s="131">
        <f t="shared" si="10"/>
        <v>234.49</v>
      </c>
      <c r="AA556" s="132">
        <f t="shared" si="489"/>
        <v>226665.51</v>
      </c>
      <c r="AB556" s="133">
        <f t="shared" si="403"/>
        <v>226666</v>
      </c>
      <c r="AC556" s="134">
        <f t="shared" si="48"/>
        <v>0.48999999999068677</v>
      </c>
      <c r="AD556" s="125"/>
      <c r="AE556" s="135">
        <f t="shared" si="13"/>
        <v>1.0330000000000001E-3</v>
      </c>
      <c r="AF556" s="136">
        <f t="shared" si="14"/>
        <v>0</v>
      </c>
      <c r="AG556" s="137" t="s">
        <v>416</v>
      </c>
      <c r="AH556" s="124"/>
    </row>
    <row r="557" spans="1:34" ht="12" customHeight="1">
      <c r="A557" s="154">
        <v>44670</v>
      </c>
      <c r="B557" s="140" t="s">
        <v>589</v>
      </c>
      <c r="C557" s="141" t="s">
        <v>460</v>
      </c>
      <c r="D557" s="140"/>
      <c r="E557" s="140" t="str">
        <f t="shared" si="0"/>
        <v>DCMSHRIRAM</v>
      </c>
      <c r="F557" s="140"/>
      <c r="G557" s="140"/>
      <c r="H557" s="140"/>
      <c r="I557" s="141" t="s">
        <v>467</v>
      </c>
      <c r="J557" s="139" t="s">
        <v>483</v>
      </c>
      <c r="K557" s="141"/>
      <c r="L557" s="141"/>
      <c r="M557" s="142">
        <v>130</v>
      </c>
      <c r="N557" s="143">
        <v>1124.15381</v>
      </c>
      <c r="O557" s="144">
        <f t="shared" si="39"/>
        <v>0</v>
      </c>
      <c r="P557" s="144">
        <f t="shared" ref="P557:P559" si="490">N557+O557</f>
        <v>1124.15381</v>
      </c>
      <c r="Q557" s="144"/>
      <c r="R557" s="144">
        <f t="shared" si="3"/>
        <v>146140</v>
      </c>
      <c r="S557" s="145">
        <f t="shared" si="4"/>
        <v>1.3457692307692306</v>
      </c>
      <c r="T557" s="145">
        <f t="shared" si="75"/>
        <v>0</v>
      </c>
      <c r="U557" s="145">
        <f t="shared" si="36"/>
        <v>0.72</v>
      </c>
      <c r="V557" s="145">
        <f>ROUND(R557*F$1817,2)+2</f>
        <v>148.13999999999999</v>
      </c>
      <c r="W557" s="145">
        <f t="shared" ref="W557:W559" si="491">ROUND(R557*F$1823,2)</f>
        <v>21.92</v>
      </c>
      <c r="X557" s="145">
        <f t="shared" si="477"/>
        <v>4.0199999999999996</v>
      </c>
      <c r="Y557" s="145">
        <f t="shared" si="218"/>
        <v>0.15</v>
      </c>
      <c r="Z557" s="146">
        <f t="shared" si="10"/>
        <v>174.95</v>
      </c>
      <c r="AA557" s="147">
        <f t="shared" ref="AA557:AA559" si="492">-ROUND(R557+SUM(T557:Y557),2)</f>
        <v>-146314.95000000001</v>
      </c>
      <c r="AB557" s="148">
        <f t="shared" si="403"/>
        <v>-146315</v>
      </c>
      <c r="AC557" s="149">
        <f t="shared" si="48"/>
        <v>-4.9999999988358468E-2</v>
      </c>
      <c r="AD557" s="138"/>
      <c r="AE557" s="150">
        <f t="shared" si="13"/>
        <v>1.1969999999999999E-3</v>
      </c>
      <c r="AF557" s="151">
        <f t="shared" si="14"/>
        <v>0</v>
      </c>
      <c r="AG557" s="152" t="s">
        <v>416</v>
      </c>
      <c r="AH557" s="124"/>
    </row>
    <row r="558" spans="1:34" ht="12" customHeight="1">
      <c r="A558" s="154">
        <v>44670</v>
      </c>
      <c r="B558" s="140" t="s">
        <v>472</v>
      </c>
      <c r="C558" s="141" t="s">
        <v>485</v>
      </c>
      <c r="D558" s="140"/>
      <c r="E558" s="140" t="str">
        <f t="shared" si="0"/>
        <v>INFY</v>
      </c>
      <c r="F558" s="140"/>
      <c r="G558" s="140"/>
      <c r="H558" s="140"/>
      <c r="I558" s="141" t="s">
        <v>467</v>
      </c>
      <c r="J558" s="139" t="s">
        <v>483</v>
      </c>
      <c r="K558" s="141"/>
      <c r="L558" s="141"/>
      <c r="M558" s="142">
        <v>10</v>
      </c>
      <c r="N558" s="143">
        <v>3500</v>
      </c>
      <c r="O558" s="144">
        <f t="shared" si="39"/>
        <v>0</v>
      </c>
      <c r="P558" s="144">
        <f t="shared" si="490"/>
        <v>3500</v>
      </c>
      <c r="Q558" s="144"/>
      <c r="R558" s="144">
        <f t="shared" si="3"/>
        <v>35000</v>
      </c>
      <c r="S558" s="145">
        <f t="shared" si="4"/>
        <v>4.1420000000000003</v>
      </c>
      <c r="T558" s="145">
        <f t="shared" si="75"/>
        <v>0</v>
      </c>
      <c r="U558" s="145">
        <f t="shared" si="36"/>
        <v>0.17</v>
      </c>
      <c r="V558" s="145">
        <f t="shared" ref="V558:V589" si="493">ROUND(R558*F$1817,2)</f>
        <v>35</v>
      </c>
      <c r="W558" s="145">
        <f t="shared" si="491"/>
        <v>5.25</v>
      </c>
      <c r="X558" s="145">
        <f t="shared" si="477"/>
        <v>0.96</v>
      </c>
      <c r="Y558" s="145">
        <f t="shared" si="218"/>
        <v>0.04</v>
      </c>
      <c r="Z558" s="146">
        <f t="shared" si="10"/>
        <v>41.42</v>
      </c>
      <c r="AA558" s="147">
        <f t="shared" si="492"/>
        <v>-35041.42</v>
      </c>
      <c r="AB558" s="148">
        <f t="shared" si="403"/>
        <v>-35041</v>
      </c>
      <c r="AC558" s="149">
        <f t="shared" si="48"/>
        <v>0.41999999999825377</v>
      </c>
      <c r="AD558" s="138"/>
      <c r="AE558" s="150">
        <f t="shared" si="13"/>
        <v>1.183E-3</v>
      </c>
      <c r="AF558" s="151">
        <f t="shared" si="14"/>
        <v>0</v>
      </c>
      <c r="AG558" s="152" t="s">
        <v>416</v>
      </c>
      <c r="AH558" s="124"/>
    </row>
    <row r="559" spans="1:34" ht="12" customHeight="1">
      <c r="A559" s="154">
        <v>44670</v>
      </c>
      <c r="B559" s="140" t="s">
        <v>588</v>
      </c>
      <c r="C559" s="141" t="s">
        <v>485</v>
      </c>
      <c r="D559" s="140"/>
      <c r="E559" s="140" t="str">
        <f t="shared" si="0"/>
        <v>TCS</v>
      </c>
      <c r="F559" s="140"/>
      <c r="G559" s="140"/>
      <c r="H559" s="140"/>
      <c r="I559" s="141" t="s">
        <v>467</v>
      </c>
      <c r="J559" s="139" t="s">
        <v>483</v>
      </c>
      <c r="K559" s="141"/>
      <c r="L559" s="141"/>
      <c r="M559" s="142">
        <v>10</v>
      </c>
      <c r="N559" s="143">
        <v>1599.3</v>
      </c>
      <c r="O559" s="144">
        <f t="shared" si="39"/>
        <v>0</v>
      </c>
      <c r="P559" s="144">
        <f t="shared" si="490"/>
        <v>1599.3</v>
      </c>
      <c r="Q559" s="144"/>
      <c r="R559" s="144">
        <f t="shared" si="3"/>
        <v>15993</v>
      </c>
      <c r="S559" s="145">
        <f t="shared" si="4"/>
        <v>1.893</v>
      </c>
      <c r="T559" s="145">
        <f t="shared" si="75"/>
        <v>0</v>
      </c>
      <c r="U559" s="145">
        <f t="shared" si="36"/>
        <v>0.08</v>
      </c>
      <c r="V559" s="145">
        <f t="shared" si="493"/>
        <v>15.99</v>
      </c>
      <c r="W559" s="145">
        <f t="shared" si="491"/>
        <v>2.4</v>
      </c>
      <c r="X559" s="145">
        <f t="shared" si="477"/>
        <v>0.44</v>
      </c>
      <c r="Y559" s="145">
        <f t="shared" si="218"/>
        <v>0.02</v>
      </c>
      <c r="Z559" s="146">
        <f t="shared" si="10"/>
        <v>18.93</v>
      </c>
      <c r="AA559" s="147">
        <f t="shared" si="492"/>
        <v>-16011.93</v>
      </c>
      <c r="AB559" s="148">
        <f t="shared" si="403"/>
        <v>-16012</v>
      </c>
      <c r="AC559" s="149">
        <f t="shared" si="48"/>
        <v>-6.9999999999708962E-2</v>
      </c>
      <c r="AD559" s="138"/>
      <c r="AE559" s="150">
        <f t="shared" si="13"/>
        <v>1.1839999999999999E-3</v>
      </c>
      <c r="AF559" s="151">
        <f t="shared" si="14"/>
        <v>0</v>
      </c>
      <c r="AG559" s="152" t="s">
        <v>416</v>
      </c>
      <c r="AH559" s="124"/>
    </row>
    <row r="560" spans="1:34" ht="12" customHeight="1">
      <c r="A560" s="155">
        <v>44671</v>
      </c>
      <c r="B560" s="112" t="s">
        <v>589</v>
      </c>
      <c r="C560" s="127" t="s">
        <v>460</v>
      </c>
      <c r="D560" s="112"/>
      <c r="E560" s="112" t="str">
        <f t="shared" si="0"/>
        <v>DCMSHRIRAM</v>
      </c>
      <c r="F560" s="112"/>
      <c r="G560" s="112"/>
      <c r="H560" s="112"/>
      <c r="I560" s="127" t="s">
        <v>461</v>
      </c>
      <c r="J560" s="126" t="s">
        <v>483</v>
      </c>
      <c r="K560" s="127"/>
      <c r="L560" s="127"/>
      <c r="M560" s="128">
        <v>90</v>
      </c>
      <c r="N560" s="129">
        <v>1158.3055999999999</v>
      </c>
      <c r="O560" s="130">
        <f t="shared" si="39"/>
        <v>0</v>
      </c>
      <c r="P560" s="130">
        <f>N560-O560</f>
        <v>1158.3055999999999</v>
      </c>
      <c r="Q560" s="130"/>
      <c r="R560" s="130">
        <f t="shared" si="3"/>
        <v>104247.5</v>
      </c>
      <c r="S560" s="131">
        <f t="shared" si="4"/>
        <v>1.197111111111111</v>
      </c>
      <c r="T560" s="131">
        <f t="shared" si="75"/>
        <v>0</v>
      </c>
      <c r="U560" s="131">
        <f t="shared" si="36"/>
        <v>0.52</v>
      </c>
      <c r="V560" s="131">
        <f t="shared" si="493"/>
        <v>104.25</v>
      </c>
      <c r="W560" s="131">
        <v>0</v>
      </c>
      <c r="X560" s="131">
        <f t="shared" si="477"/>
        <v>2.87</v>
      </c>
      <c r="Y560" s="131">
        <f t="shared" si="218"/>
        <v>0.1</v>
      </c>
      <c r="Z560" s="131">
        <f t="shared" si="10"/>
        <v>107.74</v>
      </c>
      <c r="AA560" s="132">
        <f>ROUND(R560-SUM(T560:Y560),2)</f>
        <v>104139.76</v>
      </c>
      <c r="AB560" s="133">
        <f t="shared" si="403"/>
        <v>104140</v>
      </c>
      <c r="AC560" s="134">
        <f t="shared" si="48"/>
        <v>0.24000000000523869</v>
      </c>
      <c r="AD560" s="125"/>
      <c r="AE560" s="135">
        <f t="shared" si="13"/>
        <v>1.034E-3</v>
      </c>
      <c r="AF560" s="136">
        <f t="shared" si="14"/>
        <v>0</v>
      </c>
      <c r="AG560" s="137" t="s">
        <v>416</v>
      </c>
      <c r="AH560" s="124"/>
    </row>
    <row r="561" spans="1:34" ht="12" customHeight="1">
      <c r="A561" s="154">
        <v>44671</v>
      </c>
      <c r="B561" s="140" t="s">
        <v>498</v>
      </c>
      <c r="C561" s="141" t="s">
        <v>485</v>
      </c>
      <c r="D561" s="140"/>
      <c r="E561" s="140" t="str">
        <f t="shared" si="0"/>
        <v>BAJFINANCE</v>
      </c>
      <c r="F561" s="140"/>
      <c r="G561" s="140"/>
      <c r="H561" s="140"/>
      <c r="I561" s="141" t="s">
        <v>467</v>
      </c>
      <c r="J561" s="139" t="s">
        <v>483</v>
      </c>
      <c r="K561" s="141"/>
      <c r="L561" s="141"/>
      <c r="M561" s="142">
        <v>2</v>
      </c>
      <c r="N561" s="143">
        <v>7080</v>
      </c>
      <c r="O561" s="144">
        <f t="shared" si="39"/>
        <v>0</v>
      </c>
      <c r="P561" s="144">
        <f t="shared" ref="P561:P563" si="494">N561+O561</f>
        <v>7080</v>
      </c>
      <c r="Q561" s="144"/>
      <c r="R561" s="144">
        <f t="shared" si="3"/>
        <v>14160</v>
      </c>
      <c r="S561" s="145">
        <f t="shared" si="4"/>
        <v>8.3750000000000018</v>
      </c>
      <c r="T561" s="145">
        <f t="shared" si="75"/>
        <v>0</v>
      </c>
      <c r="U561" s="145">
        <f t="shared" si="36"/>
        <v>7.0000000000000007E-2</v>
      </c>
      <c r="V561" s="145">
        <f t="shared" si="493"/>
        <v>14.16</v>
      </c>
      <c r="W561" s="145">
        <f t="shared" ref="W561:W563" si="495">ROUND(R561*F$1823,2)</f>
        <v>2.12</v>
      </c>
      <c r="X561" s="145">
        <f t="shared" si="477"/>
        <v>0.39</v>
      </c>
      <c r="Y561" s="145">
        <f t="shared" si="218"/>
        <v>0.01</v>
      </c>
      <c r="Z561" s="146">
        <f t="shared" si="10"/>
        <v>16.750000000000004</v>
      </c>
      <c r="AA561" s="147">
        <f t="shared" ref="AA561:AA563" si="496">-ROUND(R561+SUM(T561:Y561),2)</f>
        <v>-14176.75</v>
      </c>
      <c r="AB561" s="148">
        <f t="shared" si="403"/>
        <v>-14177</v>
      </c>
      <c r="AC561" s="149">
        <f t="shared" si="48"/>
        <v>-0.25</v>
      </c>
      <c r="AD561" s="138"/>
      <c r="AE561" s="150">
        <f t="shared" si="13"/>
        <v>1.183E-3</v>
      </c>
      <c r="AF561" s="151">
        <f t="shared" si="14"/>
        <v>0</v>
      </c>
      <c r="AG561" s="152" t="s">
        <v>416</v>
      </c>
      <c r="AH561" s="124"/>
    </row>
    <row r="562" spans="1:34" ht="12" customHeight="1">
      <c r="A562" s="154">
        <v>44672</v>
      </c>
      <c r="B562" s="140" t="s">
        <v>617</v>
      </c>
      <c r="C562" s="141" t="s">
        <v>485</v>
      </c>
      <c r="D562" s="140"/>
      <c r="E562" s="140" t="str">
        <f t="shared" si="0"/>
        <v>PARACABLES</v>
      </c>
      <c r="F562" s="140"/>
      <c r="G562" s="140"/>
      <c r="H562" s="140"/>
      <c r="I562" s="141" t="s">
        <v>467</v>
      </c>
      <c r="J562" s="139" t="s">
        <v>483</v>
      </c>
      <c r="K562" s="141"/>
      <c r="L562" s="141"/>
      <c r="M562" s="142">
        <v>1000</v>
      </c>
      <c r="N562" s="143">
        <v>13.15</v>
      </c>
      <c r="O562" s="144">
        <f t="shared" si="39"/>
        <v>0</v>
      </c>
      <c r="P562" s="144">
        <f t="shared" si="494"/>
        <v>13.15</v>
      </c>
      <c r="Q562" s="144"/>
      <c r="R562" s="144">
        <f t="shared" si="3"/>
        <v>13150</v>
      </c>
      <c r="S562" s="145">
        <f t="shared" si="4"/>
        <v>1.5550000000000001E-2</v>
      </c>
      <c r="T562" s="145">
        <f t="shared" si="75"/>
        <v>0</v>
      </c>
      <c r="U562" s="145">
        <f t="shared" si="36"/>
        <v>0.06</v>
      </c>
      <c r="V562" s="145">
        <f t="shared" si="493"/>
        <v>13.15</v>
      </c>
      <c r="W562" s="145">
        <f t="shared" si="495"/>
        <v>1.97</v>
      </c>
      <c r="X562" s="145">
        <f t="shared" si="477"/>
        <v>0.36</v>
      </c>
      <c r="Y562" s="145">
        <f t="shared" si="218"/>
        <v>0.01</v>
      </c>
      <c r="Z562" s="146">
        <f t="shared" si="10"/>
        <v>15.55</v>
      </c>
      <c r="AA562" s="147">
        <f t="shared" si="496"/>
        <v>-13165.55</v>
      </c>
      <c r="AB562" s="148">
        <f t="shared" si="403"/>
        <v>-13166</v>
      </c>
      <c r="AC562" s="149">
        <f t="shared" si="48"/>
        <v>-0.4500000000007276</v>
      </c>
      <c r="AD562" s="138"/>
      <c r="AE562" s="150">
        <f t="shared" si="13"/>
        <v>1.183E-3</v>
      </c>
      <c r="AF562" s="151">
        <f t="shared" si="14"/>
        <v>0</v>
      </c>
      <c r="AG562" s="152" t="s">
        <v>416</v>
      </c>
      <c r="AH562" s="124"/>
    </row>
    <row r="563" spans="1:34" ht="12" customHeight="1">
      <c r="A563" s="154">
        <v>44672</v>
      </c>
      <c r="B563" s="140" t="s">
        <v>618</v>
      </c>
      <c r="C563" s="141" t="s">
        <v>485</v>
      </c>
      <c r="D563" s="140"/>
      <c r="E563" s="140" t="str">
        <f t="shared" si="0"/>
        <v>TNPETRO</v>
      </c>
      <c r="F563" s="140"/>
      <c r="G563" s="140"/>
      <c r="H563" s="140"/>
      <c r="I563" s="141" t="s">
        <v>467</v>
      </c>
      <c r="J563" s="139" t="s">
        <v>483</v>
      </c>
      <c r="K563" s="141"/>
      <c r="L563" s="141"/>
      <c r="M563" s="142">
        <v>200</v>
      </c>
      <c r="N563" s="143">
        <v>131.5</v>
      </c>
      <c r="O563" s="144">
        <f t="shared" si="39"/>
        <v>0</v>
      </c>
      <c r="P563" s="144">
        <f t="shared" si="494"/>
        <v>131.5</v>
      </c>
      <c r="Q563" s="144"/>
      <c r="R563" s="144">
        <f t="shared" si="3"/>
        <v>26300</v>
      </c>
      <c r="S563" s="145">
        <f t="shared" si="4"/>
        <v>0.15564999999999998</v>
      </c>
      <c r="T563" s="145">
        <f t="shared" si="75"/>
        <v>0</v>
      </c>
      <c r="U563" s="145">
        <f t="shared" si="36"/>
        <v>0.13</v>
      </c>
      <c r="V563" s="145">
        <f t="shared" si="493"/>
        <v>26.3</v>
      </c>
      <c r="W563" s="145">
        <f t="shared" si="495"/>
        <v>3.95</v>
      </c>
      <c r="X563" s="145">
        <f t="shared" si="477"/>
        <v>0.72</v>
      </c>
      <c r="Y563" s="145">
        <f t="shared" si="218"/>
        <v>0.03</v>
      </c>
      <c r="Z563" s="146">
        <f t="shared" si="10"/>
        <v>31.13</v>
      </c>
      <c r="AA563" s="147">
        <f t="shared" si="496"/>
        <v>-26331.13</v>
      </c>
      <c r="AB563" s="148">
        <f t="shared" si="403"/>
        <v>-26331</v>
      </c>
      <c r="AC563" s="149">
        <f t="shared" si="48"/>
        <v>0.13000000000101863</v>
      </c>
      <c r="AD563" s="138"/>
      <c r="AE563" s="150">
        <f t="shared" si="13"/>
        <v>1.1839999999999999E-3</v>
      </c>
      <c r="AF563" s="151">
        <f t="shared" si="14"/>
        <v>0</v>
      </c>
      <c r="AG563" s="152" t="s">
        <v>416</v>
      </c>
      <c r="AH563" s="124"/>
    </row>
    <row r="564" spans="1:34" ht="12" customHeight="1">
      <c r="A564" s="155">
        <v>44672</v>
      </c>
      <c r="B564" s="112" t="s">
        <v>589</v>
      </c>
      <c r="C564" s="127" t="s">
        <v>460</v>
      </c>
      <c r="D564" s="112"/>
      <c r="E564" s="112" t="str">
        <f t="shared" si="0"/>
        <v>DCMSHRIRAM</v>
      </c>
      <c r="F564" s="112"/>
      <c r="G564" s="112"/>
      <c r="H564" s="112"/>
      <c r="I564" s="127" t="s">
        <v>461</v>
      </c>
      <c r="J564" s="126" t="s">
        <v>483</v>
      </c>
      <c r="K564" s="127"/>
      <c r="L564" s="127"/>
      <c r="M564" s="128">
        <v>31</v>
      </c>
      <c r="N564" s="129">
        <v>1196</v>
      </c>
      <c r="O564" s="130">
        <f t="shared" si="39"/>
        <v>0</v>
      </c>
      <c r="P564" s="130">
        <f>N564-O564</f>
        <v>1196</v>
      </c>
      <c r="Q564" s="130"/>
      <c r="R564" s="130">
        <f t="shared" si="3"/>
        <v>37076</v>
      </c>
      <c r="S564" s="131">
        <f t="shared" si="4"/>
        <v>1.2361290322580645</v>
      </c>
      <c r="T564" s="131">
        <f t="shared" si="75"/>
        <v>0</v>
      </c>
      <c r="U564" s="131">
        <f t="shared" si="36"/>
        <v>0.18</v>
      </c>
      <c r="V564" s="131">
        <f t="shared" si="493"/>
        <v>37.08</v>
      </c>
      <c r="W564" s="131">
        <v>0</v>
      </c>
      <c r="X564" s="131">
        <f t="shared" si="477"/>
        <v>1.02</v>
      </c>
      <c r="Y564" s="131">
        <f t="shared" si="218"/>
        <v>0.04</v>
      </c>
      <c r="Z564" s="131">
        <f t="shared" si="10"/>
        <v>38.32</v>
      </c>
      <c r="AA564" s="132">
        <f>ROUND(R564-SUM(T564:Y564),2)</f>
        <v>37037.68</v>
      </c>
      <c r="AB564" s="133">
        <f t="shared" si="403"/>
        <v>37038</v>
      </c>
      <c r="AC564" s="134">
        <f t="shared" si="48"/>
        <v>0.31999999999970896</v>
      </c>
      <c r="AD564" s="125"/>
      <c r="AE564" s="135">
        <f t="shared" si="13"/>
        <v>1.034E-3</v>
      </c>
      <c r="AF564" s="136">
        <f t="shared" si="14"/>
        <v>0</v>
      </c>
      <c r="AG564" s="137" t="s">
        <v>416</v>
      </c>
      <c r="AH564" s="124"/>
    </row>
    <row r="565" spans="1:34" ht="12" customHeight="1">
      <c r="A565" s="154">
        <v>44673</v>
      </c>
      <c r="B565" s="140" t="s">
        <v>589</v>
      </c>
      <c r="C565" s="141" t="s">
        <v>460</v>
      </c>
      <c r="D565" s="140"/>
      <c r="E565" s="140" t="str">
        <f t="shared" si="0"/>
        <v>DCMSHRIRAM</v>
      </c>
      <c r="F565" s="140"/>
      <c r="G565" s="140"/>
      <c r="H565" s="140"/>
      <c r="I565" s="141" t="s">
        <v>467</v>
      </c>
      <c r="J565" s="139" t="s">
        <v>483</v>
      </c>
      <c r="K565" s="141"/>
      <c r="L565" s="141"/>
      <c r="M565" s="142">
        <v>60</v>
      </c>
      <c r="N565" s="143">
        <v>1135</v>
      </c>
      <c r="O565" s="144">
        <f t="shared" si="39"/>
        <v>0</v>
      </c>
      <c r="P565" s="144">
        <f t="shared" ref="P565:P570" si="497">N565+O565</f>
        <v>1135</v>
      </c>
      <c r="Q565" s="144"/>
      <c r="R565" s="144">
        <f t="shared" si="3"/>
        <v>68100</v>
      </c>
      <c r="S565" s="145">
        <f t="shared" si="4"/>
        <v>1.3433333333333333</v>
      </c>
      <c r="T565" s="145">
        <f t="shared" si="75"/>
        <v>0</v>
      </c>
      <c r="U565" s="145">
        <f t="shared" si="36"/>
        <v>0.34</v>
      </c>
      <c r="V565" s="145">
        <f t="shared" si="493"/>
        <v>68.099999999999994</v>
      </c>
      <c r="W565" s="145">
        <f t="shared" ref="W565:W570" si="498">ROUND(R565*F$1823,2)</f>
        <v>10.220000000000001</v>
      </c>
      <c r="X565" s="145">
        <f t="shared" si="477"/>
        <v>1.87</v>
      </c>
      <c r="Y565" s="145">
        <f t="shared" si="218"/>
        <v>7.0000000000000007E-2</v>
      </c>
      <c r="Z565" s="146">
        <f t="shared" si="10"/>
        <v>80.599999999999994</v>
      </c>
      <c r="AA565" s="147">
        <f t="shared" ref="AA565:AA570" si="499">-ROUND(R565+SUM(T565:Y565),2)</f>
        <v>-68180.600000000006</v>
      </c>
      <c r="AB565" s="148">
        <f t="shared" si="403"/>
        <v>-68181</v>
      </c>
      <c r="AC565" s="149">
        <f t="shared" si="48"/>
        <v>-0.39999999999417923</v>
      </c>
      <c r="AD565" s="138"/>
      <c r="AE565" s="150">
        <f t="shared" si="13"/>
        <v>1.1839999999999999E-3</v>
      </c>
      <c r="AF565" s="151">
        <f t="shared" si="14"/>
        <v>0</v>
      </c>
      <c r="AG565" s="152" t="s">
        <v>416</v>
      </c>
      <c r="AH565" s="124"/>
    </row>
    <row r="566" spans="1:34" ht="12" customHeight="1">
      <c r="A566" s="154">
        <v>44673</v>
      </c>
      <c r="B566" s="140" t="s">
        <v>493</v>
      </c>
      <c r="C566" s="141" t="s">
        <v>485</v>
      </c>
      <c r="D566" s="140"/>
      <c r="E566" s="140" t="str">
        <f t="shared" si="0"/>
        <v>SBIN</v>
      </c>
      <c r="F566" s="140"/>
      <c r="G566" s="140"/>
      <c r="H566" s="140"/>
      <c r="I566" s="141" t="s">
        <v>467</v>
      </c>
      <c r="J566" s="139" t="s">
        <v>483</v>
      </c>
      <c r="K566" s="141"/>
      <c r="L566" s="141"/>
      <c r="M566" s="142">
        <v>50</v>
      </c>
      <c r="N566" s="143">
        <v>504</v>
      </c>
      <c r="O566" s="144">
        <f t="shared" si="39"/>
        <v>0</v>
      </c>
      <c r="P566" s="144">
        <f t="shared" si="497"/>
        <v>504</v>
      </c>
      <c r="Q566" s="144"/>
      <c r="R566" s="144">
        <f t="shared" si="3"/>
        <v>25200</v>
      </c>
      <c r="S566" s="145">
        <f t="shared" si="4"/>
        <v>0.59640000000000004</v>
      </c>
      <c r="T566" s="145">
        <f t="shared" si="75"/>
        <v>0</v>
      </c>
      <c r="U566" s="145">
        <f t="shared" si="36"/>
        <v>0.12</v>
      </c>
      <c r="V566" s="145">
        <f t="shared" si="493"/>
        <v>25.2</v>
      </c>
      <c r="W566" s="145">
        <f t="shared" si="498"/>
        <v>3.78</v>
      </c>
      <c r="X566" s="145">
        <f t="shared" si="477"/>
        <v>0.69</v>
      </c>
      <c r="Y566" s="145">
        <f t="shared" si="218"/>
        <v>0.03</v>
      </c>
      <c r="Z566" s="146">
        <f t="shared" si="10"/>
        <v>29.820000000000004</v>
      </c>
      <c r="AA566" s="147">
        <f t="shared" si="499"/>
        <v>-25229.82</v>
      </c>
      <c r="AB566" s="148">
        <f t="shared" si="403"/>
        <v>-25230</v>
      </c>
      <c r="AC566" s="149">
        <f t="shared" si="48"/>
        <v>-0.18000000000029104</v>
      </c>
      <c r="AD566" s="138"/>
      <c r="AE566" s="150">
        <f t="shared" si="13"/>
        <v>1.183E-3</v>
      </c>
      <c r="AF566" s="151">
        <f t="shared" si="14"/>
        <v>0</v>
      </c>
      <c r="AG566" s="152" t="s">
        <v>416</v>
      </c>
      <c r="AH566" s="124"/>
    </row>
    <row r="567" spans="1:34" ht="12" customHeight="1">
      <c r="A567" s="154">
        <v>44676</v>
      </c>
      <c r="B567" s="140" t="s">
        <v>589</v>
      </c>
      <c r="C567" s="141" t="s">
        <v>460</v>
      </c>
      <c r="D567" s="140"/>
      <c r="E567" s="140" t="str">
        <f t="shared" si="0"/>
        <v>DCMSHRIRAM</v>
      </c>
      <c r="F567" s="140"/>
      <c r="G567" s="140"/>
      <c r="H567" s="140"/>
      <c r="I567" s="141" t="s">
        <v>467</v>
      </c>
      <c r="J567" s="139" t="s">
        <v>483</v>
      </c>
      <c r="K567" s="141"/>
      <c r="L567" s="141"/>
      <c r="M567" s="142">
        <v>50</v>
      </c>
      <c r="N567" s="143">
        <v>1135</v>
      </c>
      <c r="O567" s="144">
        <f t="shared" si="39"/>
        <v>0</v>
      </c>
      <c r="P567" s="144">
        <f t="shared" si="497"/>
        <v>1135</v>
      </c>
      <c r="Q567" s="144"/>
      <c r="R567" s="144">
        <f t="shared" si="3"/>
        <v>56750</v>
      </c>
      <c r="S567" s="145">
        <f t="shared" si="4"/>
        <v>1.3432000000000002</v>
      </c>
      <c r="T567" s="145">
        <f t="shared" si="75"/>
        <v>0</v>
      </c>
      <c r="U567" s="145">
        <f t="shared" si="36"/>
        <v>0.28000000000000003</v>
      </c>
      <c r="V567" s="145">
        <f t="shared" si="493"/>
        <v>56.75</v>
      </c>
      <c r="W567" s="145">
        <f t="shared" si="498"/>
        <v>8.51</v>
      </c>
      <c r="X567" s="145">
        <f t="shared" si="477"/>
        <v>1.56</v>
      </c>
      <c r="Y567" s="145">
        <f t="shared" si="218"/>
        <v>0.06</v>
      </c>
      <c r="Z567" s="146">
        <f t="shared" si="10"/>
        <v>67.160000000000011</v>
      </c>
      <c r="AA567" s="147">
        <f t="shared" si="499"/>
        <v>-56817.16</v>
      </c>
      <c r="AB567" s="148">
        <f t="shared" si="403"/>
        <v>-56817</v>
      </c>
      <c r="AC567" s="149">
        <f t="shared" si="48"/>
        <v>0.16000000000349246</v>
      </c>
      <c r="AD567" s="138"/>
      <c r="AE567" s="150">
        <f t="shared" si="13"/>
        <v>1.183E-3</v>
      </c>
      <c r="AF567" s="151">
        <f t="shared" si="14"/>
        <v>0</v>
      </c>
      <c r="AG567" s="152" t="s">
        <v>416</v>
      </c>
      <c r="AH567" s="124"/>
    </row>
    <row r="568" spans="1:34" ht="12" customHeight="1">
      <c r="A568" s="154">
        <v>44676</v>
      </c>
      <c r="B568" s="140" t="s">
        <v>619</v>
      </c>
      <c r="C568" s="141" t="s">
        <v>485</v>
      </c>
      <c r="D568" s="140"/>
      <c r="E568" s="140" t="str">
        <f t="shared" si="0"/>
        <v>NGIND</v>
      </c>
      <c r="F568" s="140"/>
      <c r="G568" s="140"/>
      <c r="H568" s="140"/>
      <c r="I568" s="141" t="s">
        <v>467</v>
      </c>
      <c r="J568" s="139" t="s">
        <v>483</v>
      </c>
      <c r="K568" s="141"/>
      <c r="L568" s="141"/>
      <c r="M568" s="142">
        <v>100</v>
      </c>
      <c r="N568" s="143">
        <v>80</v>
      </c>
      <c r="O568" s="144">
        <f t="shared" si="39"/>
        <v>0</v>
      </c>
      <c r="P568" s="144">
        <f t="shared" si="497"/>
        <v>80</v>
      </c>
      <c r="Q568" s="144"/>
      <c r="R568" s="144">
        <f t="shared" si="3"/>
        <v>8000</v>
      </c>
      <c r="S568" s="145">
        <f t="shared" si="4"/>
        <v>0.18650000000000003</v>
      </c>
      <c r="T568" s="145">
        <f t="shared" si="75"/>
        <v>0</v>
      </c>
      <c r="U568" s="145">
        <f t="shared" si="36"/>
        <v>1.44</v>
      </c>
      <c r="V568" s="145">
        <f t="shared" si="493"/>
        <v>8</v>
      </c>
      <c r="W568" s="145">
        <f t="shared" si="498"/>
        <v>1.2</v>
      </c>
      <c r="X568" s="145">
        <f>ROUND(R568*0.1%,2)</f>
        <v>8</v>
      </c>
      <c r="Y568" s="145">
        <f t="shared" si="218"/>
        <v>0.01</v>
      </c>
      <c r="Z568" s="146">
        <f t="shared" si="10"/>
        <v>18.650000000000002</v>
      </c>
      <c r="AA568" s="147">
        <f t="shared" si="499"/>
        <v>-8018.65</v>
      </c>
      <c r="AB568" s="148">
        <f t="shared" si="403"/>
        <v>-8019</v>
      </c>
      <c r="AC568" s="149">
        <f t="shared" si="48"/>
        <v>-0.3500000000003638</v>
      </c>
      <c r="AD568" s="138"/>
      <c r="AE568" s="150">
        <f t="shared" si="13"/>
        <v>2.3310000000000002E-3</v>
      </c>
      <c r="AF568" s="151">
        <f t="shared" si="14"/>
        <v>0</v>
      </c>
      <c r="AG568" s="152" t="s">
        <v>416</v>
      </c>
      <c r="AH568" s="124"/>
    </row>
    <row r="569" spans="1:34" ht="12" customHeight="1">
      <c r="A569" s="154">
        <v>44676</v>
      </c>
      <c r="B569" s="140" t="s">
        <v>620</v>
      </c>
      <c r="C569" s="141" t="s">
        <v>485</v>
      </c>
      <c r="D569" s="140"/>
      <c r="E569" s="140" t="str">
        <f t="shared" si="0"/>
        <v>SARDAEN</v>
      </c>
      <c r="F569" s="140"/>
      <c r="G569" s="140"/>
      <c r="H569" s="140"/>
      <c r="I569" s="141" t="s">
        <v>467</v>
      </c>
      <c r="J569" s="139" t="s">
        <v>483</v>
      </c>
      <c r="K569" s="141"/>
      <c r="L569" s="141"/>
      <c r="M569" s="142">
        <v>10</v>
      </c>
      <c r="N569" s="143">
        <v>1272.5</v>
      </c>
      <c r="O569" s="144">
        <f t="shared" si="39"/>
        <v>0</v>
      </c>
      <c r="P569" s="144">
        <f t="shared" si="497"/>
        <v>1272.5</v>
      </c>
      <c r="Q569" s="144"/>
      <c r="R569" s="144">
        <f t="shared" si="3"/>
        <v>12725</v>
      </c>
      <c r="S569" s="145">
        <f t="shared" si="4"/>
        <v>1.506</v>
      </c>
      <c r="T569" s="145">
        <f t="shared" si="75"/>
        <v>0</v>
      </c>
      <c r="U569" s="145">
        <f t="shared" si="36"/>
        <v>0.06</v>
      </c>
      <c r="V569" s="145">
        <f t="shared" si="493"/>
        <v>12.73</v>
      </c>
      <c r="W569" s="145">
        <f t="shared" si="498"/>
        <v>1.91</v>
      </c>
      <c r="X569" s="145">
        <f t="shared" ref="X569:X573" si="500">ROUND(R569*G$1820,2)</f>
        <v>0.35</v>
      </c>
      <c r="Y569" s="145">
        <f t="shared" si="218"/>
        <v>0.01</v>
      </c>
      <c r="Z569" s="146">
        <f t="shared" si="10"/>
        <v>15.06</v>
      </c>
      <c r="AA569" s="147">
        <f t="shared" si="499"/>
        <v>-12740.06</v>
      </c>
      <c r="AB569" s="148">
        <f t="shared" si="403"/>
        <v>-12740</v>
      </c>
      <c r="AC569" s="149">
        <f t="shared" si="48"/>
        <v>5.9999999999490683E-2</v>
      </c>
      <c r="AD569" s="138"/>
      <c r="AE569" s="150">
        <f t="shared" si="13"/>
        <v>1.183E-3</v>
      </c>
      <c r="AF569" s="151">
        <f t="shared" si="14"/>
        <v>0</v>
      </c>
      <c r="AG569" s="152" t="s">
        <v>416</v>
      </c>
      <c r="AH569" s="124"/>
    </row>
    <row r="570" spans="1:34" ht="12" customHeight="1">
      <c r="A570" s="154">
        <v>44676</v>
      </c>
      <c r="B570" s="140" t="s">
        <v>618</v>
      </c>
      <c r="C570" s="141" t="s">
        <v>485</v>
      </c>
      <c r="D570" s="140"/>
      <c r="E570" s="140" t="str">
        <f t="shared" si="0"/>
        <v>TNPETRO</v>
      </c>
      <c r="F570" s="140"/>
      <c r="G570" s="140"/>
      <c r="H570" s="140"/>
      <c r="I570" s="141" t="s">
        <v>467</v>
      </c>
      <c r="J570" s="139" t="s">
        <v>483</v>
      </c>
      <c r="K570" s="141"/>
      <c r="L570" s="141"/>
      <c r="M570" s="142">
        <v>50</v>
      </c>
      <c r="N570" s="143">
        <v>120.75</v>
      </c>
      <c r="O570" s="144">
        <f t="shared" si="39"/>
        <v>0</v>
      </c>
      <c r="P570" s="144">
        <f t="shared" si="497"/>
        <v>120.75</v>
      </c>
      <c r="Q570" s="144"/>
      <c r="R570" s="144">
        <f t="shared" si="3"/>
        <v>6037.5</v>
      </c>
      <c r="S570" s="145">
        <f t="shared" si="4"/>
        <v>0.14319999999999999</v>
      </c>
      <c r="T570" s="145">
        <f t="shared" si="75"/>
        <v>0</v>
      </c>
      <c r="U570" s="145">
        <f t="shared" si="36"/>
        <v>0.03</v>
      </c>
      <c r="V570" s="145">
        <f t="shared" si="493"/>
        <v>6.04</v>
      </c>
      <c r="W570" s="145">
        <f t="shared" si="498"/>
        <v>0.91</v>
      </c>
      <c r="X570" s="145">
        <f t="shared" si="500"/>
        <v>0.17</v>
      </c>
      <c r="Y570" s="145">
        <f t="shared" si="218"/>
        <v>0.01</v>
      </c>
      <c r="Z570" s="146">
        <f t="shared" si="10"/>
        <v>7.16</v>
      </c>
      <c r="AA570" s="147">
        <f t="shared" si="499"/>
        <v>-6044.66</v>
      </c>
      <c r="AB570" s="148">
        <f t="shared" si="403"/>
        <v>-6045</v>
      </c>
      <c r="AC570" s="149">
        <f t="shared" si="48"/>
        <v>-0.34000000000014552</v>
      </c>
      <c r="AD570" s="138"/>
      <c r="AE570" s="150">
        <f t="shared" si="13"/>
        <v>1.186E-3</v>
      </c>
      <c r="AF570" s="151">
        <f t="shared" si="14"/>
        <v>0</v>
      </c>
      <c r="AG570" s="152" t="s">
        <v>416</v>
      </c>
      <c r="AH570" s="124"/>
    </row>
    <row r="571" spans="1:34" ht="12" customHeight="1">
      <c r="A571" s="155">
        <v>44677</v>
      </c>
      <c r="B571" s="112" t="s">
        <v>615</v>
      </c>
      <c r="C571" s="127" t="s">
        <v>485</v>
      </c>
      <c r="D571" s="112"/>
      <c r="E571" s="112" t="str">
        <f t="shared" si="0"/>
        <v>RUCHI</v>
      </c>
      <c r="F571" s="112"/>
      <c r="G571" s="112"/>
      <c r="H571" s="112"/>
      <c r="I571" s="127" t="s">
        <v>461</v>
      </c>
      <c r="J571" s="126" t="s">
        <v>483</v>
      </c>
      <c r="K571" s="127"/>
      <c r="L571" s="127"/>
      <c r="M571" s="128">
        <v>55</v>
      </c>
      <c r="N571" s="129">
        <v>989.63639999999998</v>
      </c>
      <c r="O571" s="130">
        <f t="shared" si="39"/>
        <v>0</v>
      </c>
      <c r="P571" s="130">
        <f t="shared" ref="P571:P573" si="501">N571-O571</f>
        <v>989.63639999999998</v>
      </c>
      <c r="Q571" s="130"/>
      <c r="R571" s="130">
        <f t="shared" si="3"/>
        <v>54430</v>
      </c>
      <c r="S571" s="131">
        <f t="shared" si="4"/>
        <v>1.0227272727272727</v>
      </c>
      <c r="T571" s="131">
        <f t="shared" si="75"/>
        <v>0</v>
      </c>
      <c r="U571" s="131">
        <f t="shared" si="36"/>
        <v>0.27</v>
      </c>
      <c r="V571" s="131">
        <f t="shared" si="493"/>
        <v>54.43</v>
      </c>
      <c r="W571" s="131">
        <v>0</v>
      </c>
      <c r="X571" s="131">
        <f t="shared" si="500"/>
        <v>1.5</v>
      </c>
      <c r="Y571" s="131">
        <f t="shared" si="218"/>
        <v>0.05</v>
      </c>
      <c r="Z571" s="131">
        <f t="shared" si="10"/>
        <v>56.25</v>
      </c>
      <c r="AA571" s="132">
        <f t="shared" ref="AA571:AA573" si="502">ROUND(R571-SUM(T571:Y571),2)</f>
        <v>54373.75</v>
      </c>
      <c r="AB571" s="133">
        <f t="shared" si="403"/>
        <v>54374</v>
      </c>
      <c r="AC571" s="134">
        <f t="shared" si="48"/>
        <v>0.25</v>
      </c>
      <c r="AD571" s="125"/>
      <c r="AE571" s="135">
        <f t="shared" si="13"/>
        <v>1.0330000000000001E-3</v>
      </c>
      <c r="AF571" s="136">
        <f t="shared" si="14"/>
        <v>0</v>
      </c>
      <c r="AG571" s="137" t="s">
        <v>416</v>
      </c>
      <c r="AH571" s="124"/>
    </row>
    <row r="572" spans="1:34" ht="12" customHeight="1">
      <c r="A572" s="155">
        <v>44677</v>
      </c>
      <c r="B572" s="112" t="s">
        <v>589</v>
      </c>
      <c r="C572" s="127" t="s">
        <v>460</v>
      </c>
      <c r="D572" s="112"/>
      <c r="E572" s="112" t="str">
        <f t="shared" si="0"/>
        <v>DCMSHRIRAM</v>
      </c>
      <c r="F572" s="112"/>
      <c r="G572" s="112"/>
      <c r="H572" s="112"/>
      <c r="I572" s="127" t="s">
        <v>461</v>
      </c>
      <c r="J572" s="126" t="s">
        <v>483</v>
      </c>
      <c r="K572" s="127"/>
      <c r="L572" s="127"/>
      <c r="M572" s="128">
        <v>50</v>
      </c>
      <c r="N572" s="129">
        <v>1155</v>
      </c>
      <c r="O572" s="130">
        <f t="shared" si="39"/>
        <v>0</v>
      </c>
      <c r="P572" s="130">
        <f t="shared" si="501"/>
        <v>1155</v>
      </c>
      <c r="Q572" s="130"/>
      <c r="R572" s="130">
        <f t="shared" si="3"/>
        <v>57750</v>
      </c>
      <c r="S572" s="131">
        <f t="shared" si="4"/>
        <v>1.1938000000000002</v>
      </c>
      <c r="T572" s="131">
        <f t="shared" si="75"/>
        <v>0</v>
      </c>
      <c r="U572" s="131">
        <f t="shared" si="36"/>
        <v>0.28999999999999998</v>
      </c>
      <c r="V572" s="131">
        <f t="shared" si="493"/>
        <v>57.75</v>
      </c>
      <c r="W572" s="131">
        <v>0</v>
      </c>
      <c r="X572" s="131">
        <f t="shared" si="500"/>
        <v>1.59</v>
      </c>
      <c r="Y572" s="131">
        <f t="shared" si="218"/>
        <v>0.06</v>
      </c>
      <c r="Z572" s="131">
        <f t="shared" si="10"/>
        <v>59.690000000000005</v>
      </c>
      <c r="AA572" s="132">
        <f t="shared" si="502"/>
        <v>57690.31</v>
      </c>
      <c r="AB572" s="133">
        <f t="shared" si="403"/>
        <v>57690</v>
      </c>
      <c r="AC572" s="134">
        <f t="shared" si="48"/>
        <v>-0.30999999999767169</v>
      </c>
      <c r="AD572" s="125"/>
      <c r="AE572" s="135">
        <f t="shared" si="13"/>
        <v>1.034E-3</v>
      </c>
      <c r="AF572" s="136">
        <f t="shared" si="14"/>
        <v>0</v>
      </c>
      <c r="AG572" s="137" t="s">
        <v>416</v>
      </c>
      <c r="AH572" s="124"/>
    </row>
    <row r="573" spans="1:34" ht="12" customHeight="1">
      <c r="A573" s="155">
        <v>44678</v>
      </c>
      <c r="B573" s="112" t="s">
        <v>308</v>
      </c>
      <c r="C573" s="127" t="s">
        <v>485</v>
      </c>
      <c r="D573" s="112"/>
      <c r="E573" s="112" t="str">
        <f t="shared" si="0"/>
        <v>INEOSSTYRO</v>
      </c>
      <c r="F573" s="112"/>
      <c r="G573" s="112"/>
      <c r="H573" s="112"/>
      <c r="I573" s="127" t="s">
        <v>461</v>
      </c>
      <c r="J573" s="126" t="s">
        <v>483</v>
      </c>
      <c r="K573" s="127"/>
      <c r="L573" s="127"/>
      <c r="M573" s="128">
        <v>30</v>
      </c>
      <c r="N573" s="129">
        <v>870</v>
      </c>
      <c r="O573" s="130">
        <f t="shared" si="39"/>
        <v>0</v>
      </c>
      <c r="P573" s="130">
        <f t="shared" si="501"/>
        <v>870</v>
      </c>
      <c r="Q573" s="130"/>
      <c r="R573" s="130">
        <f t="shared" si="3"/>
        <v>26100</v>
      </c>
      <c r="S573" s="131">
        <f t="shared" si="4"/>
        <v>0.89933333333333332</v>
      </c>
      <c r="T573" s="131">
        <f t="shared" si="75"/>
        <v>0</v>
      </c>
      <c r="U573" s="131">
        <f t="shared" si="36"/>
        <v>0.13</v>
      </c>
      <c r="V573" s="131">
        <f t="shared" si="493"/>
        <v>26.1</v>
      </c>
      <c r="W573" s="131">
        <v>0</v>
      </c>
      <c r="X573" s="131">
        <f t="shared" si="500"/>
        <v>0.72</v>
      </c>
      <c r="Y573" s="131">
        <f t="shared" si="218"/>
        <v>0.03</v>
      </c>
      <c r="Z573" s="131">
        <f t="shared" si="10"/>
        <v>26.98</v>
      </c>
      <c r="AA573" s="132">
        <f t="shared" si="502"/>
        <v>26073.02</v>
      </c>
      <c r="AB573" s="133">
        <f t="shared" si="403"/>
        <v>26073</v>
      </c>
      <c r="AC573" s="134">
        <f t="shared" si="48"/>
        <v>-2.0000000000436557E-2</v>
      </c>
      <c r="AD573" s="125"/>
      <c r="AE573" s="135">
        <f t="shared" si="13"/>
        <v>1.034E-3</v>
      </c>
      <c r="AF573" s="136">
        <f t="shared" si="14"/>
        <v>0</v>
      </c>
      <c r="AG573" s="137" t="s">
        <v>416</v>
      </c>
      <c r="AH573" s="124"/>
    </row>
    <row r="574" spans="1:34" ht="12" customHeight="1">
      <c r="A574" s="154">
        <v>44678</v>
      </c>
      <c r="B574" s="140" t="s">
        <v>619</v>
      </c>
      <c r="C574" s="141" t="s">
        <v>485</v>
      </c>
      <c r="D574" s="140"/>
      <c r="E574" s="140" t="str">
        <f t="shared" si="0"/>
        <v>NGIND</v>
      </c>
      <c r="F574" s="140"/>
      <c r="G574" s="140"/>
      <c r="H574" s="140"/>
      <c r="I574" s="141" t="s">
        <v>467</v>
      </c>
      <c r="J574" s="139" t="s">
        <v>483</v>
      </c>
      <c r="K574" s="141"/>
      <c r="L574" s="141"/>
      <c r="M574" s="142">
        <v>50</v>
      </c>
      <c r="N574" s="143">
        <v>70</v>
      </c>
      <c r="O574" s="144">
        <f t="shared" si="39"/>
        <v>0</v>
      </c>
      <c r="P574" s="144">
        <f t="shared" ref="P574:P576" si="503">N574+O574</f>
        <v>70</v>
      </c>
      <c r="Q574" s="144"/>
      <c r="R574" s="144">
        <f t="shared" si="3"/>
        <v>3500</v>
      </c>
      <c r="S574" s="145">
        <f t="shared" si="4"/>
        <v>0.18679999999999999</v>
      </c>
      <c r="T574" s="145">
        <f t="shared" si="75"/>
        <v>0</v>
      </c>
      <c r="U574" s="145">
        <f t="shared" si="36"/>
        <v>0.81</v>
      </c>
      <c r="V574" s="145">
        <f t="shared" si="493"/>
        <v>3.5</v>
      </c>
      <c r="W574" s="145">
        <f t="shared" ref="W574:W576" si="504">ROUND(R574*F$1823,2)</f>
        <v>0.53</v>
      </c>
      <c r="X574" s="145">
        <f>ROUND(R574*0.1%,2)+1</f>
        <v>4.5</v>
      </c>
      <c r="Y574" s="145">
        <f t="shared" si="218"/>
        <v>0</v>
      </c>
      <c r="Z574" s="146">
        <f t="shared" si="10"/>
        <v>9.34</v>
      </c>
      <c r="AA574" s="147">
        <f t="shared" ref="AA574:AA576" si="505">-ROUND(R574+SUM(T574:Y574),2)</f>
        <v>-3509.34</v>
      </c>
      <c r="AB574" s="148">
        <f t="shared" si="403"/>
        <v>-3509</v>
      </c>
      <c r="AC574" s="149">
        <f t="shared" si="48"/>
        <v>0.34000000000014552</v>
      </c>
      <c r="AD574" s="138"/>
      <c r="AE574" s="150">
        <f t="shared" si="13"/>
        <v>2.6689999999999999E-3</v>
      </c>
      <c r="AF574" s="151">
        <f t="shared" si="14"/>
        <v>0</v>
      </c>
      <c r="AG574" s="152" t="s">
        <v>416</v>
      </c>
      <c r="AH574" s="124"/>
    </row>
    <row r="575" spans="1:34" ht="12" customHeight="1">
      <c r="A575" s="154">
        <v>44678</v>
      </c>
      <c r="B575" s="140" t="s">
        <v>620</v>
      </c>
      <c r="C575" s="141" t="s">
        <v>485</v>
      </c>
      <c r="D575" s="140"/>
      <c r="E575" s="140" t="str">
        <f t="shared" si="0"/>
        <v>SARDAEN</v>
      </c>
      <c r="F575" s="140"/>
      <c r="G575" s="140"/>
      <c r="H575" s="140"/>
      <c r="I575" s="141" t="s">
        <v>467</v>
      </c>
      <c r="J575" s="139" t="s">
        <v>483</v>
      </c>
      <c r="K575" s="141"/>
      <c r="L575" s="141"/>
      <c r="M575" s="142">
        <v>5</v>
      </c>
      <c r="N575" s="143">
        <v>1195</v>
      </c>
      <c r="O575" s="144">
        <f t="shared" si="39"/>
        <v>0</v>
      </c>
      <c r="P575" s="144">
        <f t="shared" si="503"/>
        <v>1195</v>
      </c>
      <c r="Q575" s="144"/>
      <c r="R575" s="144">
        <f t="shared" si="3"/>
        <v>5975</v>
      </c>
      <c r="S575" s="145">
        <f t="shared" si="4"/>
        <v>1.4160000000000001</v>
      </c>
      <c r="T575" s="145">
        <f t="shared" si="75"/>
        <v>0</v>
      </c>
      <c r="U575" s="145">
        <f t="shared" si="36"/>
        <v>0.03</v>
      </c>
      <c r="V575" s="145">
        <f t="shared" si="493"/>
        <v>5.98</v>
      </c>
      <c r="W575" s="145">
        <f t="shared" si="504"/>
        <v>0.9</v>
      </c>
      <c r="X575" s="145">
        <f t="shared" ref="X575:X693" si="506">ROUND(R575*G$1820,2)</f>
        <v>0.16</v>
      </c>
      <c r="Y575" s="145">
        <f t="shared" si="218"/>
        <v>0.01</v>
      </c>
      <c r="Z575" s="146">
        <f t="shared" si="10"/>
        <v>7.080000000000001</v>
      </c>
      <c r="AA575" s="147">
        <f t="shared" si="505"/>
        <v>-5982.08</v>
      </c>
      <c r="AB575" s="148">
        <f t="shared" si="403"/>
        <v>-5982</v>
      </c>
      <c r="AC575" s="149">
        <f t="shared" si="48"/>
        <v>7.999999999992724E-2</v>
      </c>
      <c r="AD575" s="138"/>
      <c r="AE575" s="150">
        <f t="shared" si="13"/>
        <v>1.1850000000000001E-3</v>
      </c>
      <c r="AF575" s="151">
        <f t="shared" si="14"/>
        <v>0</v>
      </c>
      <c r="AG575" s="152" t="s">
        <v>416</v>
      </c>
      <c r="AH575" s="124"/>
    </row>
    <row r="576" spans="1:34" ht="12" customHeight="1">
      <c r="A576" s="154">
        <v>44679</v>
      </c>
      <c r="B576" s="140" t="s">
        <v>589</v>
      </c>
      <c r="C576" s="141" t="s">
        <v>460</v>
      </c>
      <c r="D576" s="140"/>
      <c r="E576" s="140" t="str">
        <f t="shared" si="0"/>
        <v>DCMSHRIRAM</v>
      </c>
      <c r="F576" s="140"/>
      <c r="G576" s="140"/>
      <c r="H576" s="140"/>
      <c r="I576" s="141" t="s">
        <v>467</v>
      </c>
      <c r="J576" s="139" t="s">
        <v>483</v>
      </c>
      <c r="K576" s="141"/>
      <c r="L576" s="141"/>
      <c r="M576" s="142">
        <v>100</v>
      </c>
      <c r="N576" s="143">
        <v>1198.3685</v>
      </c>
      <c r="O576" s="144">
        <f t="shared" si="39"/>
        <v>0</v>
      </c>
      <c r="P576" s="144">
        <f t="shared" si="503"/>
        <v>1198.3685</v>
      </c>
      <c r="Q576" s="144"/>
      <c r="R576" s="144">
        <f t="shared" si="3"/>
        <v>119836.85</v>
      </c>
      <c r="S576" s="145">
        <f t="shared" si="4"/>
        <v>1.4183000000000001</v>
      </c>
      <c r="T576" s="145">
        <f t="shared" si="75"/>
        <v>0</v>
      </c>
      <c r="U576" s="145">
        <f t="shared" si="36"/>
        <v>0.59</v>
      </c>
      <c r="V576" s="145">
        <f t="shared" si="493"/>
        <v>119.84</v>
      </c>
      <c r="W576" s="145">
        <f t="shared" si="504"/>
        <v>17.98</v>
      </c>
      <c r="X576" s="145">
        <f t="shared" si="506"/>
        <v>3.3</v>
      </c>
      <c r="Y576" s="145">
        <f t="shared" si="218"/>
        <v>0.12</v>
      </c>
      <c r="Z576" s="146">
        <f t="shared" si="10"/>
        <v>141.83000000000001</v>
      </c>
      <c r="AA576" s="147">
        <f t="shared" si="505"/>
        <v>-119978.68</v>
      </c>
      <c r="AB576" s="148">
        <f t="shared" si="403"/>
        <v>-119979</v>
      </c>
      <c r="AC576" s="149">
        <f t="shared" si="48"/>
        <v>-0.32000000000698492</v>
      </c>
      <c r="AD576" s="138"/>
      <c r="AE576" s="150">
        <f t="shared" si="13"/>
        <v>1.1839999999999999E-3</v>
      </c>
      <c r="AF576" s="151">
        <f t="shared" si="14"/>
        <v>0</v>
      </c>
      <c r="AG576" s="152" t="s">
        <v>416</v>
      </c>
      <c r="AH576" s="124"/>
    </row>
    <row r="577" spans="1:34" ht="12" customHeight="1">
      <c r="A577" s="155">
        <v>44679</v>
      </c>
      <c r="B577" s="112" t="s">
        <v>589</v>
      </c>
      <c r="C577" s="127" t="s">
        <v>460</v>
      </c>
      <c r="D577" s="112"/>
      <c r="E577" s="112" t="str">
        <f t="shared" si="0"/>
        <v>DCMSHRIRAM</v>
      </c>
      <c r="F577" s="112"/>
      <c r="G577" s="112"/>
      <c r="H577" s="112"/>
      <c r="I577" s="127" t="s">
        <v>461</v>
      </c>
      <c r="J577" s="126" t="s">
        <v>483</v>
      </c>
      <c r="K577" s="127"/>
      <c r="L577" s="127"/>
      <c r="M577" s="128">
        <v>100</v>
      </c>
      <c r="N577" s="129">
        <v>1177.5</v>
      </c>
      <c r="O577" s="130">
        <f t="shared" si="39"/>
        <v>0</v>
      </c>
      <c r="P577" s="130">
        <f>N577-O577</f>
        <v>1177.5</v>
      </c>
      <c r="Q577" s="130"/>
      <c r="R577" s="130">
        <f t="shared" si="3"/>
        <v>117750</v>
      </c>
      <c r="S577" s="131">
        <f t="shared" si="4"/>
        <v>1.2168999999999999</v>
      </c>
      <c r="T577" s="131">
        <f t="shared" si="75"/>
        <v>0</v>
      </c>
      <c r="U577" s="131">
        <f t="shared" si="36"/>
        <v>0.57999999999999996</v>
      </c>
      <c r="V577" s="131">
        <f t="shared" si="493"/>
        <v>117.75</v>
      </c>
      <c r="W577" s="131">
        <v>0</v>
      </c>
      <c r="X577" s="131">
        <f t="shared" si="506"/>
        <v>3.24</v>
      </c>
      <c r="Y577" s="131">
        <f t="shared" si="218"/>
        <v>0.12</v>
      </c>
      <c r="Z577" s="131">
        <f t="shared" si="10"/>
        <v>121.69</v>
      </c>
      <c r="AA577" s="132">
        <f>ROUND(R577-SUM(T577:Y577),2)</f>
        <v>117628.31</v>
      </c>
      <c r="AB577" s="133">
        <f t="shared" si="403"/>
        <v>117628</v>
      </c>
      <c r="AC577" s="134">
        <f t="shared" si="48"/>
        <v>-0.30999999999767169</v>
      </c>
      <c r="AD577" s="125"/>
      <c r="AE577" s="135">
        <f t="shared" si="13"/>
        <v>1.0330000000000001E-3</v>
      </c>
      <c r="AF577" s="136">
        <f t="shared" si="14"/>
        <v>0</v>
      </c>
      <c r="AG577" s="137" t="s">
        <v>416</v>
      </c>
      <c r="AH577" s="124"/>
    </row>
    <row r="578" spans="1:34" ht="12" customHeight="1">
      <c r="A578" s="154">
        <v>44679</v>
      </c>
      <c r="B578" s="140" t="s">
        <v>615</v>
      </c>
      <c r="C578" s="141" t="s">
        <v>485</v>
      </c>
      <c r="D578" s="140"/>
      <c r="E578" s="140" t="str">
        <f t="shared" si="0"/>
        <v>RUCHI</v>
      </c>
      <c r="F578" s="140"/>
      <c r="G578" s="140"/>
      <c r="H578" s="140"/>
      <c r="I578" s="141" t="s">
        <v>467</v>
      </c>
      <c r="J578" s="139" t="s">
        <v>483</v>
      </c>
      <c r="K578" s="141"/>
      <c r="L578" s="141"/>
      <c r="M578" s="142">
        <v>20</v>
      </c>
      <c r="N578" s="143">
        <v>1110</v>
      </c>
      <c r="O578" s="144">
        <f t="shared" si="39"/>
        <v>0</v>
      </c>
      <c r="P578" s="144">
        <f t="shared" ref="P578:P582" si="507">N578+O578</f>
        <v>1110</v>
      </c>
      <c r="Q578" s="144"/>
      <c r="R578" s="144">
        <f t="shared" si="3"/>
        <v>22200</v>
      </c>
      <c r="S578" s="145">
        <f t="shared" si="4"/>
        <v>1.3134999999999999</v>
      </c>
      <c r="T578" s="145">
        <f t="shared" si="75"/>
        <v>0</v>
      </c>
      <c r="U578" s="145">
        <f t="shared" si="36"/>
        <v>0.11</v>
      </c>
      <c r="V578" s="145">
        <f t="shared" si="493"/>
        <v>22.2</v>
      </c>
      <c r="W578" s="145">
        <f t="shared" ref="W578:W582" si="508">ROUND(R578*F$1823,2)</f>
        <v>3.33</v>
      </c>
      <c r="X578" s="145">
        <f t="shared" si="506"/>
        <v>0.61</v>
      </c>
      <c r="Y578" s="145">
        <f t="shared" si="218"/>
        <v>0.02</v>
      </c>
      <c r="Z578" s="146">
        <f t="shared" si="10"/>
        <v>26.27</v>
      </c>
      <c r="AA578" s="147">
        <f t="shared" ref="AA578:AA582" si="509">-ROUND(R578+SUM(T578:Y578),2)</f>
        <v>-22226.27</v>
      </c>
      <c r="AB578" s="148">
        <f t="shared" si="403"/>
        <v>-22226</v>
      </c>
      <c r="AC578" s="149">
        <f t="shared" si="48"/>
        <v>0.27000000000043656</v>
      </c>
      <c r="AD578" s="138"/>
      <c r="AE578" s="150">
        <f t="shared" si="13"/>
        <v>1.183E-3</v>
      </c>
      <c r="AF578" s="151">
        <f t="shared" si="14"/>
        <v>0</v>
      </c>
      <c r="AG578" s="152" t="s">
        <v>416</v>
      </c>
      <c r="AH578" s="124"/>
    </row>
    <row r="579" spans="1:34" ht="12" customHeight="1">
      <c r="A579" s="154">
        <v>44679</v>
      </c>
      <c r="B579" s="140" t="s">
        <v>621</v>
      </c>
      <c r="C579" s="141" t="s">
        <v>485</v>
      </c>
      <c r="D579" s="140"/>
      <c r="E579" s="140" t="str">
        <f t="shared" si="0"/>
        <v>VASWANI</v>
      </c>
      <c r="F579" s="140"/>
      <c r="G579" s="140"/>
      <c r="H579" s="140"/>
      <c r="I579" s="141" t="s">
        <v>467</v>
      </c>
      <c r="J579" s="139" t="s">
        <v>483</v>
      </c>
      <c r="K579" s="141"/>
      <c r="L579" s="141"/>
      <c r="M579" s="142">
        <v>200</v>
      </c>
      <c r="N579" s="143">
        <v>21</v>
      </c>
      <c r="O579" s="144">
        <f t="shared" si="39"/>
        <v>0</v>
      </c>
      <c r="P579" s="144">
        <f t="shared" si="507"/>
        <v>21</v>
      </c>
      <c r="Q579" s="144"/>
      <c r="R579" s="144">
        <f t="shared" si="3"/>
        <v>4200</v>
      </c>
      <c r="S579" s="145">
        <f t="shared" si="4"/>
        <v>2.4849999999999997E-2</v>
      </c>
      <c r="T579" s="145">
        <f t="shared" si="75"/>
        <v>0</v>
      </c>
      <c r="U579" s="145">
        <f t="shared" si="36"/>
        <v>0.02</v>
      </c>
      <c r="V579" s="145">
        <f t="shared" si="493"/>
        <v>4.2</v>
      </c>
      <c r="W579" s="145">
        <f t="shared" si="508"/>
        <v>0.63</v>
      </c>
      <c r="X579" s="145">
        <f t="shared" si="506"/>
        <v>0.12</v>
      </c>
      <c r="Y579" s="145">
        <f t="shared" si="218"/>
        <v>0</v>
      </c>
      <c r="Z579" s="146">
        <f t="shared" si="10"/>
        <v>4.97</v>
      </c>
      <c r="AA579" s="147">
        <f t="shared" si="509"/>
        <v>-4204.97</v>
      </c>
      <c r="AB579" s="148">
        <f t="shared" si="403"/>
        <v>-4205</v>
      </c>
      <c r="AC579" s="149">
        <f t="shared" si="48"/>
        <v>-2.9999999999745341E-2</v>
      </c>
      <c r="AD579" s="138"/>
      <c r="AE579" s="150">
        <f t="shared" si="13"/>
        <v>1.183E-3</v>
      </c>
      <c r="AF579" s="151">
        <f t="shared" si="14"/>
        <v>0</v>
      </c>
      <c r="AG579" s="152" t="s">
        <v>416</v>
      </c>
      <c r="AH579" s="124"/>
    </row>
    <row r="580" spans="1:34" ht="12" customHeight="1">
      <c r="A580" s="154">
        <v>44680</v>
      </c>
      <c r="B580" s="140" t="s">
        <v>622</v>
      </c>
      <c r="C580" s="141" t="s">
        <v>485</v>
      </c>
      <c r="D580" s="140"/>
      <c r="E580" s="140" t="str">
        <f t="shared" si="0"/>
        <v>GODREJAGRO</v>
      </c>
      <c r="F580" s="140"/>
      <c r="G580" s="140"/>
      <c r="H580" s="140"/>
      <c r="I580" s="141" t="s">
        <v>467</v>
      </c>
      <c r="J580" s="139" t="s">
        <v>483</v>
      </c>
      <c r="K580" s="141"/>
      <c r="L580" s="141"/>
      <c r="M580" s="142">
        <v>10</v>
      </c>
      <c r="N580" s="143">
        <v>565</v>
      </c>
      <c r="O580" s="144">
        <f t="shared" si="39"/>
        <v>0</v>
      </c>
      <c r="P580" s="144">
        <f t="shared" si="507"/>
        <v>565</v>
      </c>
      <c r="Q580" s="144"/>
      <c r="R580" s="144">
        <f t="shared" si="3"/>
        <v>5650</v>
      </c>
      <c r="S580" s="145">
        <f t="shared" si="4"/>
        <v>0.67</v>
      </c>
      <c r="T580" s="145">
        <f t="shared" si="75"/>
        <v>0</v>
      </c>
      <c r="U580" s="145">
        <f t="shared" si="36"/>
        <v>0.03</v>
      </c>
      <c r="V580" s="145">
        <f t="shared" si="493"/>
        <v>5.65</v>
      </c>
      <c r="W580" s="145">
        <f t="shared" si="508"/>
        <v>0.85</v>
      </c>
      <c r="X580" s="145">
        <f t="shared" si="506"/>
        <v>0.16</v>
      </c>
      <c r="Y580" s="145">
        <f t="shared" si="218"/>
        <v>0.01</v>
      </c>
      <c r="Z580" s="146">
        <f t="shared" si="10"/>
        <v>6.7</v>
      </c>
      <c r="AA580" s="147">
        <f t="shared" si="509"/>
        <v>-5656.7</v>
      </c>
      <c r="AB580" s="148">
        <f t="shared" si="403"/>
        <v>-5657</v>
      </c>
      <c r="AC580" s="149">
        <f t="shared" si="48"/>
        <v>-0.3000000000001819</v>
      </c>
      <c r="AD580" s="138"/>
      <c r="AE580" s="150">
        <f t="shared" si="13"/>
        <v>1.186E-3</v>
      </c>
      <c r="AF580" s="151">
        <f t="shared" si="14"/>
        <v>0</v>
      </c>
      <c r="AG580" s="152" t="s">
        <v>416</v>
      </c>
      <c r="AH580" s="124"/>
    </row>
    <row r="581" spans="1:34" ht="12" customHeight="1">
      <c r="A581" s="154">
        <v>44680</v>
      </c>
      <c r="B581" s="140" t="s">
        <v>589</v>
      </c>
      <c r="C581" s="141" t="s">
        <v>460</v>
      </c>
      <c r="D581" s="140"/>
      <c r="E581" s="140" t="str">
        <f t="shared" si="0"/>
        <v>DCMSHRIRAM</v>
      </c>
      <c r="F581" s="140"/>
      <c r="G581" s="140"/>
      <c r="H581" s="140"/>
      <c r="I581" s="141" t="s">
        <v>467</v>
      </c>
      <c r="J581" s="139" t="s">
        <v>483</v>
      </c>
      <c r="K581" s="141"/>
      <c r="L581" s="141"/>
      <c r="M581" s="142">
        <v>100</v>
      </c>
      <c r="N581" s="143">
        <v>1202.0995</v>
      </c>
      <c r="O581" s="144">
        <f t="shared" si="39"/>
        <v>0</v>
      </c>
      <c r="P581" s="144">
        <f t="shared" si="507"/>
        <v>1202.0995</v>
      </c>
      <c r="Q581" s="144"/>
      <c r="R581" s="144">
        <f t="shared" si="3"/>
        <v>120209.95</v>
      </c>
      <c r="S581" s="145">
        <f t="shared" si="4"/>
        <v>1.4226999999999999</v>
      </c>
      <c r="T581" s="145">
        <f t="shared" si="75"/>
        <v>0</v>
      </c>
      <c r="U581" s="145">
        <f t="shared" si="36"/>
        <v>0.6</v>
      </c>
      <c r="V581" s="145">
        <f t="shared" si="493"/>
        <v>120.21</v>
      </c>
      <c r="W581" s="145">
        <f t="shared" si="508"/>
        <v>18.03</v>
      </c>
      <c r="X581" s="145">
        <f t="shared" si="506"/>
        <v>3.31</v>
      </c>
      <c r="Y581" s="145">
        <f t="shared" si="218"/>
        <v>0.12</v>
      </c>
      <c r="Z581" s="146">
        <f t="shared" si="10"/>
        <v>142.26999999999998</v>
      </c>
      <c r="AA581" s="147">
        <f t="shared" si="509"/>
        <v>-120352.22</v>
      </c>
      <c r="AB581" s="148">
        <f t="shared" si="403"/>
        <v>-120352</v>
      </c>
      <c r="AC581" s="149">
        <f t="shared" si="48"/>
        <v>0.22000000000116415</v>
      </c>
      <c r="AD581" s="138"/>
      <c r="AE581" s="150">
        <f t="shared" si="13"/>
        <v>1.1839999999999999E-3</v>
      </c>
      <c r="AF581" s="151">
        <f t="shared" si="14"/>
        <v>0</v>
      </c>
      <c r="AG581" s="152" t="s">
        <v>416</v>
      </c>
      <c r="AH581" s="124"/>
    </row>
    <row r="582" spans="1:34" ht="12" customHeight="1">
      <c r="A582" s="154">
        <v>44683</v>
      </c>
      <c r="B582" s="140" t="s">
        <v>589</v>
      </c>
      <c r="C582" s="141" t="s">
        <v>460</v>
      </c>
      <c r="D582" s="140"/>
      <c r="E582" s="140" t="str">
        <f t="shared" si="0"/>
        <v>DCMSHRIRAM</v>
      </c>
      <c r="F582" s="140"/>
      <c r="G582" s="140"/>
      <c r="H582" s="140"/>
      <c r="I582" s="141" t="s">
        <v>467</v>
      </c>
      <c r="J582" s="139" t="s">
        <v>483</v>
      </c>
      <c r="K582" s="141"/>
      <c r="L582" s="141"/>
      <c r="M582" s="142">
        <v>150</v>
      </c>
      <c r="N582" s="143">
        <v>1159.2666999999999</v>
      </c>
      <c r="O582" s="144">
        <f t="shared" si="39"/>
        <v>0</v>
      </c>
      <c r="P582" s="144">
        <f t="shared" si="507"/>
        <v>1159.2666999999999</v>
      </c>
      <c r="Q582" s="144"/>
      <c r="R582" s="144">
        <f t="shared" si="3"/>
        <v>173890.01</v>
      </c>
      <c r="S582" s="145">
        <f t="shared" si="4"/>
        <v>1.3718666666666666</v>
      </c>
      <c r="T582" s="145">
        <f t="shared" si="75"/>
        <v>0</v>
      </c>
      <c r="U582" s="145">
        <f t="shared" si="36"/>
        <v>0.86</v>
      </c>
      <c r="V582" s="145">
        <f t="shared" si="493"/>
        <v>173.89</v>
      </c>
      <c r="W582" s="145">
        <f t="shared" si="508"/>
        <v>26.08</v>
      </c>
      <c r="X582" s="145">
        <f t="shared" si="506"/>
        <v>4.78</v>
      </c>
      <c r="Y582" s="145">
        <f t="shared" si="218"/>
        <v>0.17</v>
      </c>
      <c r="Z582" s="146">
        <f t="shared" si="10"/>
        <v>205.77999999999997</v>
      </c>
      <c r="AA582" s="147">
        <f t="shared" si="509"/>
        <v>-174095.79</v>
      </c>
      <c r="AB582" s="148">
        <f t="shared" si="403"/>
        <v>-174096</v>
      </c>
      <c r="AC582" s="149">
        <f t="shared" si="48"/>
        <v>-0.20999999999185093</v>
      </c>
      <c r="AD582" s="138"/>
      <c r="AE582" s="150">
        <f t="shared" si="13"/>
        <v>1.183E-3</v>
      </c>
      <c r="AF582" s="151">
        <f t="shared" si="14"/>
        <v>0</v>
      </c>
      <c r="AG582" s="152" t="s">
        <v>416</v>
      </c>
      <c r="AH582" s="124"/>
    </row>
    <row r="583" spans="1:34" ht="12" customHeight="1">
      <c r="A583" s="155">
        <v>44683</v>
      </c>
      <c r="B583" s="112" t="s">
        <v>308</v>
      </c>
      <c r="C583" s="127" t="s">
        <v>485</v>
      </c>
      <c r="D583" s="112"/>
      <c r="E583" s="112" t="str">
        <f t="shared" si="0"/>
        <v>INEOSSTYRO</v>
      </c>
      <c r="F583" s="112"/>
      <c r="G583" s="112"/>
      <c r="H583" s="112"/>
      <c r="I583" s="127" t="s">
        <v>461</v>
      </c>
      <c r="J583" s="126" t="s">
        <v>483</v>
      </c>
      <c r="K583" s="127"/>
      <c r="L583" s="127"/>
      <c r="M583" s="128">
        <v>50</v>
      </c>
      <c r="N583" s="129">
        <v>844</v>
      </c>
      <c r="O583" s="130">
        <f t="shared" si="39"/>
        <v>0</v>
      </c>
      <c r="P583" s="130">
        <f t="shared" ref="P583:P586" si="510">N583-O583</f>
        <v>844</v>
      </c>
      <c r="Q583" s="130"/>
      <c r="R583" s="130">
        <f t="shared" si="3"/>
        <v>42200</v>
      </c>
      <c r="S583" s="131">
        <f t="shared" si="4"/>
        <v>0.87219999999999998</v>
      </c>
      <c r="T583" s="131">
        <f t="shared" si="75"/>
        <v>0</v>
      </c>
      <c r="U583" s="131">
        <f t="shared" si="36"/>
        <v>0.21</v>
      </c>
      <c r="V583" s="131">
        <f t="shared" si="493"/>
        <v>42.2</v>
      </c>
      <c r="W583" s="131">
        <v>0</v>
      </c>
      <c r="X583" s="131">
        <f t="shared" si="506"/>
        <v>1.1599999999999999</v>
      </c>
      <c r="Y583" s="131">
        <f t="shared" si="218"/>
        <v>0.04</v>
      </c>
      <c r="Z583" s="131">
        <f t="shared" si="10"/>
        <v>43.61</v>
      </c>
      <c r="AA583" s="132">
        <f t="shared" ref="AA583:AA586" si="511">ROUND(R583-SUM(T583:Y583),2)</f>
        <v>42156.39</v>
      </c>
      <c r="AB583" s="133">
        <f t="shared" si="403"/>
        <v>42156</v>
      </c>
      <c r="AC583" s="134">
        <f t="shared" si="48"/>
        <v>-0.38999999999941792</v>
      </c>
      <c r="AD583" s="125"/>
      <c r="AE583" s="135">
        <f t="shared" si="13"/>
        <v>1.0330000000000001E-3</v>
      </c>
      <c r="AF583" s="136">
        <f t="shared" si="14"/>
        <v>0</v>
      </c>
      <c r="AG583" s="137" t="s">
        <v>416</v>
      </c>
      <c r="AH583" s="124"/>
    </row>
    <row r="584" spans="1:34" ht="12" customHeight="1">
      <c r="A584" s="155">
        <v>44685</v>
      </c>
      <c r="B584" s="112" t="s">
        <v>589</v>
      </c>
      <c r="C584" s="127" t="s">
        <v>460</v>
      </c>
      <c r="D584" s="112"/>
      <c r="E584" s="112" t="str">
        <f t="shared" si="0"/>
        <v>DCMSHRIRAM</v>
      </c>
      <c r="F584" s="112"/>
      <c r="G584" s="112"/>
      <c r="H584" s="112"/>
      <c r="I584" s="127" t="s">
        <v>461</v>
      </c>
      <c r="J584" s="126" t="s">
        <v>483</v>
      </c>
      <c r="K584" s="127"/>
      <c r="L584" s="127"/>
      <c r="M584" s="128">
        <v>150</v>
      </c>
      <c r="N584" s="129">
        <v>1194.6667</v>
      </c>
      <c r="O584" s="130">
        <f t="shared" si="39"/>
        <v>0</v>
      </c>
      <c r="P584" s="130">
        <f t="shared" si="510"/>
        <v>1194.6667</v>
      </c>
      <c r="Q584" s="130"/>
      <c r="R584" s="130">
        <f t="shared" si="3"/>
        <v>179200.01</v>
      </c>
      <c r="S584" s="131">
        <f t="shared" si="4"/>
        <v>1.2346666666666666</v>
      </c>
      <c r="T584" s="131">
        <f t="shared" si="75"/>
        <v>0</v>
      </c>
      <c r="U584" s="131">
        <f t="shared" si="36"/>
        <v>0.89</v>
      </c>
      <c r="V584" s="131">
        <f t="shared" si="493"/>
        <v>179.2</v>
      </c>
      <c r="W584" s="131">
        <v>0</v>
      </c>
      <c r="X584" s="131">
        <f t="shared" si="506"/>
        <v>4.93</v>
      </c>
      <c r="Y584" s="131">
        <f t="shared" si="218"/>
        <v>0.18</v>
      </c>
      <c r="Z584" s="131">
        <f t="shared" si="10"/>
        <v>185.2</v>
      </c>
      <c r="AA584" s="132">
        <f t="shared" si="511"/>
        <v>179014.81</v>
      </c>
      <c r="AB584" s="133">
        <f t="shared" si="403"/>
        <v>179015</v>
      </c>
      <c r="AC584" s="134">
        <f t="shared" si="48"/>
        <v>0.19000000000232831</v>
      </c>
      <c r="AD584" s="125"/>
      <c r="AE584" s="135">
        <f t="shared" si="13"/>
        <v>1.0330000000000001E-3</v>
      </c>
      <c r="AF584" s="136">
        <f t="shared" si="14"/>
        <v>0</v>
      </c>
      <c r="AG584" s="137" t="s">
        <v>416</v>
      </c>
      <c r="AH584" s="124"/>
    </row>
    <row r="585" spans="1:34" ht="12" customHeight="1">
      <c r="A585" s="155">
        <v>44686</v>
      </c>
      <c r="B585" s="112" t="s">
        <v>589</v>
      </c>
      <c r="C585" s="127" t="s">
        <v>460</v>
      </c>
      <c r="D585" s="112"/>
      <c r="E585" s="112" t="str">
        <f t="shared" si="0"/>
        <v>DCMSHRIRAM</v>
      </c>
      <c r="F585" s="112"/>
      <c r="G585" s="112"/>
      <c r="H585" s="112"/>
      <c r="I585" s="127" t="s">
        <v>461</v>
      </c>
      <c r="J585" s="126" t="s">
        <v>483</v>
      </c>
      <c r="K585" s="127"/>
      <c r="L585" s="127"/>
      <c r="M585" s="128">
        <v>250</v>
      </c>
      <c r="N585" s="129">
        <v>1220</v>
      </c>
      <c r="O585" s="130">
        <f t="shared" si="39"/>
        <v>0</v>
      </c>
      <c r="P585" s="130">
        <f t="shared" si="510"/>
        <v>1220</v>
      </c>
      <c r="Q585" s="130"/>
      <c r="R585" s="130">
        <f t="shared" si="3"/>
        <v>305000</v>
      </c>
      <c r="S585" s="131">
        <f t="shared" si="4"/>
        <v>1.26084</v>
      </c>
      <c r="T585" s="131">
        <f t="shared" si="75"/>
        <v>0</v>
      </c>
      <c r="U585" s="131">
        <f t="shared" si="36"/>
        <v>1.51</v>
      </c>
      <c r="V585" s="131">
        <f t="shared" si="493"/>
        <v>305</v>
      </c>
      <c r="W585" s="131">
        <v>0</v>
      </c>
      <c r="X585" s="131">
        <f t="shared" si="506"/>
        <v>8.39</v>
      </c>
      <c r="Y585" s="131">
        <f t="shared" si="218"/>
        <v>0.31</v>
      </c>
      <c r="Z585" s="131">
        <f t="shared" si="10"/>
        <v>315.20999999999998</v>
      </c>
      <c r="AA585" s="132">
        <f t="shared" si="511"/>
        <v>304684.78999999998</v>
      </c>
      <c r="AB585" s="133">
        <f t="shared" si="403"/>
        <v>304685</v>
      </c>
      <c r="AC585" s="134">
        <f t="shared" si="48"/>
        <v>0.21000000002095476</v>
      </c>
      <c r="AD585" s="125"/>
      <c r="AE585" s="135">
        <f t="shared" si="13"/>
        <v>1.0330000000000001E-3</v>
      </c>
      <c r="AF585" s="136">
        <f t="shared" si="14"/>
        <v>0</v>
      </c>
      <c r="AG585" s="137" t="s">
        <v>416</v>
      </c>
      <c r="AH585" s="124"/>
    </row>
    <row r="586" spans="1:34" ht="12" customHeight="1">
      <c r="A586" s="155">
        <v>44686</v>
      </c>
      <c r="B586" s="112" t="s">
        <v>612</v>
      </c>
      <c r="C586" s="127" t="s">
        <v>485</v>
      </c>
      <c r="D586" s="112"/>
      <c r="E586" s="112" t="str">
        <f t="shared" si="0"/>
        <v>GAIL</v>
      </c>
      <c r="F586" s="112"/>
      <c r="G586" s="112"/>
      <c r="H586" s="112"/>
      <c r="I586" s="127" t="s">
        <v>461</v>
      </c>
      <c r="J586" s="126" t="s">
        <v>483</v>
      </c>
      <c r="K586" s="127"/>
      <c r="L586" s="127"/>
      <c r="M586" s="128">
        <v>300</v>
      </c>
      <c r="N586" s="129">
        <v>160.78</v>
      </c>
      <c r="O586" s="130">
        <f t="shared" si="39"/>
        <v>0</v>
      </c>
      <c r="P586" s="130">
        <f t="shared" si="510"/>
        <v>160.78</v>
      </c>
      <c r="Q586" s="130"/>
      <c r="R586" s="130">
        <f t="shared" si="3"/>
        <v>48234</v>
      </c>
      <c r="S586" s="131">
        <f t="shared" si="4"/>
        <v>0.16616666666666666</v>
      </c>
      <c r="T586" s="131">
        <f t="shared" si="75"/>
        <v>0</v>
      </c>
      <c r="U586" s="131">
        <f t="shared" si="36"/>
        <v>0.24</v>
      </c>
      <c r="V586" s="131">
        <f t="shared" si="493"/>
        <v>48.23</v>
      </c>
      <c r="W586" s="131">
        <v>0</v>
      </c>
      <c r="X586" s="131">
        <f t="shared" si="506"/>
        <v>1.33</v>
      </c>
      <c r="Y586" s="131">
        <f t="shared" si="218"/>
        <v>0.05</v>
      </c>
      <c r="Z586" s="131">
        <f t="shared" si="10"/>
        <v>49.849999999999994</v>
      </c>
      <c r="AA586" s="132">
        <f t="shared" si="511"/>
        <v>48184.15</v>
      </c>
      <c r="AB586" s="133">
        <f t="shared" si="403"/>
        <v>48184</v>
      </c>
      <c r="AC586" s="134">
        <f t="shared" si="48"/>
        <v>-0.15000000000145519</v>
      </c>
      <c r="AD586" s="125"/>
      <c r="AE586" s="135">
        <f t="shared" si="13"/>
        <v>1.034E-3</v>
      </c>
      <c r="AF586" s="136">
        <f t="shared" si="14"/>
        <v>0</v>
      </c>
      <c r="AG586" s="137" t="s">
        <v>416</v>
      </c>
      <c r="AH586" s="124"/>
    </row>
    <row r="587" spans="1:34" ht="12" customHeight="1">
      <c r="A587" s="154">
        <v>44687</v>
      </c>
      <c r="B587" s="140" t="s">
        <v>589</v>
      </c>
      <c r="C587" s="141" t="s">
        <v>460</v>
      </c>
      <c r="D587" s="140"/>
      <c r="E587" s="140" t="str">
        <f t="shared" si="0"/>
        <v>DCMSHRIRAM</v>
      </c>
      <c r="F587" s="140"/>
      <c r="G587" s="140"/>
      <c r="H587" s="140"/>
      <c r="I587" s="141" t="s">
        <v>467</v>
      </c>
      <c r="J587" s="139" t="s">
        <v>483</v>
      </c>
      <c r="K587" s="141"/>
      <c r="L587" s="141"/>
      <c r="M587" s="142">
        <v>460</v>
      </c>
      <c r="N587" s="143">
        <v>1131.7935</v>
      </c>
      <c r="O587" s="144">
        <f t="shared" si="39"/>
        <v>0</v>
      </c>
      <c r="P587" s="144">
        <f t="shared" ref="P587:P589" si="512">N587+O587</f>
        <v>1131.7935</v>
      </c>
      <c r="Q587" s="144"/>
      <c r="R587" s="144">
        <f t="shared" si="3"/>
        <v>520625.01</v>
      </c>
      <c r="S587" s="145">
        <f t="shared" si="4"/>
        <v>1.3394347826086959</v>
      </c>
      <c r="T587" s="145">
        <f t="shared" si="75"/>
        <v>0</v>
      </c>
      <c r="U587" s="145">
        <f t="shared" si="36"/>
        <v>2.58</v>
      </c>
      <c r="V587" s="145">
        <f t="shared" si="493"/>
        <v>520.63</v>
      </c>
      <c r="W587" s="145">
        <f t="shared" ref="W587:W589" si="513">ROUND(R587*F$1823,2)</f>
        <v>78.09</v>
      </c>
      <c r="X587" s="145">
        <f t="shared" si="506"/>
        <v>14.32</v>
      </c>
      <c r="Y587" s="145">
        <f t="shared" si="218"/>
        <v>0.52</v>
      </c>
      <c r="Z587" s="146">
        <f t="shared" si="10"/>
        <v>616.1400000000001</v>
      </c>
      <c r="AA587" s="147">
        <f t="shared" ref="AA587:AA589" si="514">-ROUND(R587+SUM(T587:Y587),2)</f>
        <v>-521241.15</v>
      </c>
      <c r="AB587" s="148">
        <f t="shared" si="403"/>
        <v>-521241</v>
      </c>
      <c r="AC587" s="149">
        <f t="shared" si="48"/>
        <v>0.15000000002328306</v>
      </c>
      <c r="AD587" s="138"/>
      <c r="AE587" s="150">
        <f t="shared" si="13"/>
        <v>1.183E-3</v>
      </c>
      <c r="AF587" s="151">
        <f t="shared" si="14"/>
        <v>0</v>
      </c>
      <c r="AG587" s="152" t="s">
        <v>416</v>
      </c>
      <c r="AH587" s="124"/>
    </row>
    <row r="588" spans="1:34" ht="12" customHeight="1">
      <c r="A588" s="154">
        <v>44687</v>
      </c>
      <c r="B588" s="140" t="s">
        <v>623</v>
      </c>
      <c r="C588" s="141" t="s">
        <v>485</v>
      </c>
      <c r="D588" s="140"/>
      <c r="E588" s="140" t="str">
        <f t="shared" si="0"/>
        <v>ENDURANCE</v>
      </c>
      <c r="F588" s="140"/>
      <c r="G588" s="140"/>
      <c r="H588" s="140"/>
      <c r="I588" s="141" t="s">
        <v>467</v>
      </c>
      <c r="J588" s="139" t="s">
        <v>483</v>
      </c>
      <c r="K588" s="141"/>
      <c r="L588" s="141"/>
      <c r="M588" s="142">
        <v>5</v>
      </c>
      <c r="N588" s="143">
        <v>1215</v>
      </c>
      <c r="O588" s="144">
        <f t="shared" si="39"/>
        <v>0</v>
      </c>
      <c r="P588" s="144">
        <f t="shared" si="512"/>
        <v>1215</v>
      </c>
      <c r="Q588" s="144"/>
      <c r="R588" s="144">
        <f t="shared" si="3"/>
        <v>6075</v>
      </c>
      <c r="S588" s="145">
        <f t="shared" si="4"/>
        <v>1.44</v>
      </c>
      <c r="T588" s="145">
        <f t="shared" si="75"/>
        <v>0</v>
      </c>
      <c r="U588" s="145">
        <f t="shared" si="36"/>
        <v>0.03</v>
      </c>
      <c r="V588" s="145">
        <f t="shared" si="493"/>
        <v>6.08</v>
      </c>
      <c r="W588" s="145">
        <f t="shared" si="513"/>
        <v>0.91</v>
      </c>
      <c r="X588" s="145">
        <f t="shared" si="506"/>
        <v>0.17</v>
      </c>
      <c r="Y588" s="145">
        <f t="shared" si="218"/>
        <v>0.01</v>
      </c>
      <c r="Z588" s="146">
        <f t="shared" si="10"/>
        <v>7.2</v>
      </c>
      <c r="AA588" s="147">
        <f t="shared" si="514"/>
        <v>-6082.2</v>
      </c>
      <c r="AB588" s="148">
        <f t="shared" si="403"/>
        <v>-6082</v>
      </c>
      <c r="AC588" s="149">
        <f t="shared" si="48"/>
        <v>0.1999999999998181</v>
      </c>
      <c r="AD588" s="138"/>
      <c r="AE588" s="150">
        <f t="shared" si="13"/>
        <v>1.1850000000000001E-3</v>
      </c>
      <c r="AF588" s="151">
        <f t="shared" si="14"/>
        <v>0</v>
      </c>
      <c r="AG588" s="152" t="s">
        <v>416</v>
      </c>
      <c r="AH588" s="124"/>
    </row>
    <row r="589" spans="1:34" ht="12" customHeight="1">
      <c r="A589" s="154">
        <v>44687</v>
      </c>
      <c r="B589" s="140" t="s">
        <v>612</v>
      </c>
      <c r="C589" s="141" t="s">
        <v>485</v>
      </c>
      <c r="D589" s="140"/>
      <c r="E589" s="140" t="str">
        <f t="shared" si="0"/>
        <v>GAIL</v>
      </c>
      <c r="F589" s="140"/>
      <c r="G589" s="140"/>
      <c r="H589" s="140"/>
      <c r="I589" s="141" t="s">
        <v>467</v>
      </c>
      <c r="J589" s="139" t="s">
        <v>483</v>
      </c>
      <c r="K589" s="141"/>
      <c r="L589" s="141"/>
      <c r="M589" s="142">
        <v>100</v>
      </c>
      <c r="N589" s="143">
        <v>159.25</v>
      </c>
      <c r="O589" s="144">
        <f t="shared" si="39"/>
        <v>0</v>
      </c>
      <c r="P589" s="144">
        <f t="shared" si="512"/>
        <v>159.25</v>
      </c>
      <c r="Q589" s="144"/>
      <c r="R589" s="144">
        <f t="shared" si="3"/>
        <v>15925</v>
      </c>
      <c r="S589" s="145">
        <f t="shared" si="4"/>
        <v>0.18859999999999999</v>
      </c>
      <c r="T589" s="145">
        <f t="shared" si="75"/>
        <v>0</v>
      </c>
      <c r="U589" s="145">
        <f t="shared" si="36"/>
        <v>0.08</v>
      </c>
      <c r="V589" s="145">
        <f t="shared" si="493"/>
        <v>15.93</v>
      </c>
      <c r="W589" s="145">
        <f t="shared" si="513"/>
        <v>2.39</v>
      </c>
      <c r="X589" s="145">
        <f t="shared" si="506"/>
        <v>0.44</v>
      </c>
      <c r="Y589" s="145">
        <f t="shared" si="218"/>
        <v>0.02</v>
      </c>
      <c r="Z589" s="146">
        <f t="shared" si="10"/>
        <v>18.86</v>
      </c>
      <c r="AA589" s="147">
        <f t="shared" si="514"/>
        <v>-15943.86</v>
      </c>
      <c r="AB589" s="148">
        <f t="shared" si="403"/>
        <v>-15944</v>
      </c>
      <c r="AC589" s="149">
        <f t="shared" si="48"/>
        <v>-0.13999999999941792</v>
      </c>
      <c r="AD589" s="138"/>
      <c r="AE589" s="150">
        <f t="shared" si="13"/>
        <v>1.1839999999999999E-3</v>
      </c>
      <c r="AF589" s="151">
        <f t="shared" si="14"/>
        <v>0</v>
      </c>
      <c r="AG589" s="152" t="s">
        <v>416</v>
      </c>
      <c r="AH589" s="124"/>
    </row>
    <row r="590" spans="1:34" ht="12" customHeight="1">
      <c r="A590" s="155">
        <v>44690</v>
      </c>
      <c r="B590" s="112" t="s">
        <v>609</v>
      </c>
      <c r="C590" s="127" t="s">
        <v>460</v>
      </c>
      <c r="D590" s="112"/>
      <c r="E590" s="112" t="str">
        <f t="shared" si="0"/>
        <v>SETFGOLD</v>
      </c>
      <c r="F590" s="112"/>
      <c r="G590" s="112"/>
      <c r="H590" s="112"/>
      <c r="I590" s="127" t="s">
        <v>461</v>
      </c>
      <c r="J590" s="126" t="s">
        <v>483</v>
      </c>
      <c r="K590" s="127"/>
      <c r="L590" s="127"/>
      <c r="M590" s="128">
        <v>400</v>
      </c>
      <c r="N590" s="129">
        <v>45.72</v>
      </c>
      <c r="O590" s="130">
        <f t="shared" si="39"/>
        <v>0</v>
      </c>
      <c r="P590" s="130">
        <f>N590-O590</f>
        <v>45.72</v>
      </c>
      <c r="Q590" s="130"/>
      <c r="R590" s="130">
        <f t="shared" si="3"/>
        <v>18288</v>
      </c>
      <c r="S590" s="131">
        <f t="shared" si="4"/>
        <v>1.5249999999999999E-3</v>
      </c>
      <c r="T590" s="131">
        <f t="shared" si="75"/>
        <v>0</v>
      </c>
      <c r="U590" s="131">
        <f t="shared" si="36"/>
        <v>0.09</v>
      </c>
      <c r="V590" s="131">
        <f>ROUND(R590*F$1817,2)-18.29</f>
        <v>0</v>
      </c>
      <c r="W590" s="131">
        <v>0</v>
      </c>
      <c r="X590" s="131">
        <f t="shared" si="506"/>
        <v>0.5</v>
      </c>
      <c r="Y590" s="131">
        <f t="shared" si="218"/>
        <v>0.02</v>
      </c>
      <c r="Z590" s="131">
        <f t="shared" si="10"/>
        <v>0.61</v>
      </c>
      <c r="AA590" s="132">
        <f>ROUND(R590-SUM(T590:Y590),2)</f>
        <v>18287.39</v>
      </c>
      <c r="AB590" s="133">
        <f t="shared" si="403"/>
        <v>18287</v>
      </c>
      <c r="AC590" s="134">
        <f t="shared" si="48"/>
        <v>-0.38999999999941792</v>
      </c>
      <c r="AD590" s="125"/>
      <c r="AE590" s="135">
        <f t="shared" si="13"/>
        <v>3.3000000000000003E-5</v>
      </c>
      <c r="AF590" s="136">
        <f t="shared" si="14"/>
        <v>0</v>
      </c>
      <c r="AG590" s="137" t="s">
        <v>416</v>
      </c>
      <c r="AH590" s="124"/>
    </row>
    <row r="591" spans="1:34" ht="12" customHeight="1">
      <c r="A591" s="154">
        <v>44690</v>
      </c>
      <c r="B591" s="140" t="s">
        <v>589</v>
      </c>
      <c r="C591" s="141" t="s">
        <v>460</v>
      </c>
      <c r="D591" s="140"/>
      <c r="E591" s="140" t="str">
        <f t="shared" si="0"/>
        <v>DCMSHRIRAM</v>
      </c>
      <c r="F591" s="140"/>
      <c r="G591" s="140"/>
      <c r="H591" s="140"/>
      <c r="I591" s="141" t="s">
        <v>467</v>
      </c>
      <c r="J591" s="139" t="s">
        <v>483</v>
      </c>
      <c r="K591" s="141"/>
      <c r="L591" s="141"/>
      <c r="M591" s="142">
        <v>30</v>
      </c>
      <c r="N591" s="143">
        <v>1022</v>
      </c>
      <c r="O591" s="144">
        <f t="shared" si="39"/>
        <v>0</v>
      </c>
      <c r="P591" s="144">
        <f>N591+O591</f>
        <v>1022</v>
      </c>
      <c r="Q591" s="144"/>
      <c r="R591" s="144">
        <f t="shared" si="3"/>
        <v>30660</v>
      </c>
      <c r="S591" s="145">
        <f t="shared" si="4"/>
        <v>1.2093333333333334</v>
      </c>
      <c r="T591" s="145">
        <f t="shared" si="75"/>
        <v>0</v>
      </c>
      <c r="U591" s="145">
        <f t="shared" si="36"/>
        <v>0.15</v>
      </c>
      <c r="V591" s="145">
        <f t="shared" ref="V591:V606" si="515">ROUND(R591*F$1817,2)</f>
        <v>30.66</v>
      </c>
      <c r="W591" s="145">
        <f>ROUND(R591*F$1823,2)</f>
        <v>4.5999999999999996</v>
      </c>
      <c r="X591" s="145">
        <f t="shared" si="506"/>
        <v>0.84</v>
      </c>
      <c r="Y591" s="145">
        <f t="shared" si="218"/>
        <v>0.03</v>
      </c>
      <c r="Z591" s="146">
        <f t="shared" si="10"/>
        <v>36.28</v>
      </c>
      <c r="AA591" s="147">
        <f>-ROUND(R591+SUM(T591:Y591),2)</f>
        <v>-30696.28</v>
      </c>
      <c r="AB591" s="148">
        <f t="shared" si="403"/>
        <v>-30696</v>
      </c>
      <c r="AC591" s="149">
        <f t="shared" si="48"/>
        <v>0.27999999999883585</v>
      </c>
      <c r="AD591" s="138"/>
      <c r="AE591" s="150">
        <f t="shared" si="13"/>
        <v>1.183E-3</v>
      </c>
      <c r="AF591" s="151">
        <f t="shared" si="14"/>
        <v>0</v>
      </c>
      <c r="AG591" s="152" t="s">
        <v>416</v>
      </c>
      <c r="AH591" s="124"/>
    </row>
    <row r="592" spans="1:34" ht="12" customHeight="1">
      <c r="A592" s="155">
        <v>44690</v>
      </c>
      <c r="B592" s="112" t="s">
        <v>624</v>
      </c>
      <c r="C592" s="127" t="s">
        <v>485</v>
      </c>
      <c r="D592" s="112"/>
      <c r="E592" s="112" t="str">
        <f t="shared" si="0"/>
        <v>CAMPUS ACTIV</v>
      </c>
      <c r="F592" s="112"/>
      <c r="G592" s="112"/>
      <c r="H592" s="112"/>
      <c r="I592" s="127" t="s">
        <v>461</v>
      </c>
      <c r="J592" s="126" t="s">
        <v>483</v>
      </c>
      <c r="K592" s="127"/>
      <c r="L592" s="127"/>
      <c r="M592" s="128">
        <v>51</v>
      </c>
      <c r="N592" s="129">
        <v>365</v>
      </c>
      <c r="O592" s="130">
        <f t="shared" si="39"/>
        <v>0</v>
      </c>
      <c r="P592" s="130">
        <f>N592-O592</f>
        <v>365</v>
      </c>
      <c r="Q592" s="130"/>
      <c r="R592" s="130">
        <f t="shared" si="3"/>
        <v>18615</v>
      </c>
      <c r="S592" s="131">
        <f t="shared" si="4"/>
        <v>0.37725490196078437</v>
      </c>
      <c r="T592" s="131">
        <f t="shared" si="75"/>
        <v>0</v>
      </c>
      <c r="U592" s="131">
        <f t="shared" si="36"/>
        <v>0.09</v>
      </c>
      <c r="V592" s="131">
        <f t="shared" si="515"/>
        <v>18.62</v>
      </c>
      <c r="W592" s="131">
        <v>0</v>
      </c>
      <c r="X592" s="131">
        <f t="shared" si="506"/>
        <v>0.51</v>
      </c>
      <c r="Y592" s="131">
        <f t="shared" si="218"/>
        <v>0.02</v>
      </c>
      <c r="Z592" s="131">
        <f t="shared" si="10"/>
        <v>19.240000000000002</v>
      </c>
      <c r="AA592" s="132">
        <f>ROUND(R592-SUM(T592:Y592),2)</f>
        <v>18595.759999999998</v>
      </c>
      <c r="AB592" s="133">
        <f t="shared" si="403"/>
        <v>18596</v>
      </c>
      <c r="AC592" s="134">
        <f t="shared" si="48"/>
        <v>0.24000000000160071</v>
      </c>
      <c r="AD592" s="125"/>
      <c r="AE592" s="135">
        <f t="shared" si="13"/>
        <v>1.034E-3</v>
      </c>
      <c r="AF592" s="136">
        <f t="shared" si="14"/>
        <v>0</v>
      </c>
      <c r="AG592" s="137" t="s">
        <v>416</v>
      </c>
      <c r="AH592" s="124"/>
    </row>
    <row r="593" spans="1:34" ht="12" customHeight="1">
      <c r="A593" s="154">
        <v>44691</v>
      </c>
      <c r="B593" s="140" t="s">
        <v>589</v>
      </c>
      <c r="C593" s="141" t="s">
        <v>460</v>
      </c>
      <c r="D593" s="140"/>
      <c r="E593" s="140" t="str">
        <f t="shared" si="0"/>
        <v>DCMSHRIRAM</v>
      </c>
      <c r="F593" s="140"/>
      <c r="G593" s="140"/>
      <c r="H593" s="140"/>
      <c r="I593" s="141" t="s">
        <v>467</v>
      </c>
      <c r="J593" s="139" t="s">
        <v>483</v>
      </c>
      <c r="K593" s="141"/>
      <c r="L593" s="141"/>
      <c r="M593" s="142">
        <v>10</v>
      </c>
      <c r="N593" s="143">
        <v>1010.4</v>
      </c>
      <c r="O593" s="144">
        <f t="shared" si="39"/>
        <v>0</v>
      </c>
      <c r="P593" s="144">
        <f>N593+O593</f>
        <v>1010.4</v>
      </c>
      <c r="Q593" s="144"/>
      <c r="R593" s="144">
        <f t="shared" si="3"/>
        <v>10104</v>
      </c>
      <c r="S593" s="145">
        <f t="shared" si="4"/>
        <v>1.196</v>
      </c>
      <c r="T593" s="145">
        <f t="shared" si="75"/>
        <v>0</v>
      </c>
      <c r="U593" s="145">
        <f t="shared" si="36"/>
        <v>0.05</v>
      </c>
      <c r="V593" s="145">
        <f t="shared" si="515"/>
        <v>10.1</v>
      </c>
      <c r="W593" s="145">
        <f>ROUND(R593*F$1823,2)</f>
        <v>1.52</v>
      </c>
      <c r="X593" s="145">
        <f t="shared" si="506"/>
        <v>0.28000000000000003</v>
      </c>
      <c r="Y593" s="145">
        <f t="shared" si="218"/>
        <v>0.01</v>
      </c>
      <c r="Z593" s="146">
        <f t="shared" si="10"/>
        <v>11.959999999999999</v>
      </c>
      <c r="AA593" s="147">
        <f>-ROUND(R593+SUM(T593:Y593),2)</f>
        <v>-10115.959999999999</v>
      </c>
      <c r="AB593" s="148">
        <f t="shared" si="403"/>
        <v>-10116</v>
      </c>
      <c r="AC593" s="149">
        <f t="shared" si="48"/>
        <v>-4.0000000000873115E-2</v>
      </c>
      <c r="AD593" s="138"/>
      <c r="AE593" s="150">
        <f t="shared" si="13"/>
        <v>1.1839999999999999E-3</v>
      </c>
      <c r="AF593" s="151">
        <f t="shared" si="14"/>
        <v>0</v>
      </c>
      <c r="AG593" s="152" t="s">
        <v>416</v>
      </c>
      <c r="AH593" s="124"/>
    </row>
    <row r="594" spans="1:34" ht="12" customHeight="1">
      <c r="A594" s="155">
        <v>44693</v>
      </c>
      <c r="B594" s="112" t="s">
        <v>589</v>
      </c>
      <c r="C594" s="127" t="s">
        <v>460</v>
      </c>
      <c r="D594" s="112"/>
      <c r="E594" s="112" t="str">
        <f t="shared" si="0"/>
        <v>DCMSHRIRAM</v>
      </c>
      <c r="F594" s="112"/>
      <c r="G594" s="112"/>
      <c r="H594" s="112"/>
      <c r="I594" s="127" t="s">
        <v>461</v>
      </c>
      <c r="J594" s="126" t="s">
        <v>483</v>
      </c>
      <c r="K594" s="127"/>
      <c r="L594" s="127"/>
      <c r="M594" s="128">
        <v>285</v>
      </c>
      <c r="N594" s="129">
        <v>1005.4526</v>
      </c>
      <c r="O594" s="130">
        <f t="shared" si="39"/>
        <v>0</v>
      </c>
      <c r="P594" s="130">
        <f>N594-O594</f>
        <v>1005.4526</v>
      </c>
      <c r="Q594" s="130"/>
      <c r="R594" s="130">
        <f t="shared" si="3"/>
        <v>286553.99</v>
      </c>
      <c r="S594" s="131">
        <f t="shared" si="4"/>
        <v>1.0390877192982457</v>
      </c>
      <c r="T594" s="131">
        <f t="shared" si="75"/>
        <v>0</v>
      </c>
      <c r="U594" s="131">
        <f t="shared" si="36"/>
        <v>1.42</v>
      </c>
      <c r="V594" s="131">
        <f t="shared" si="515"/>
        <v>286.55</v>
      </c>
      <c r="W594" s="131">
        <v>0</v>
      </c>
      <c r="X594" s="131">
        <f t="shared" si="506"/>
        <v>7.88</v>
      </c>
      <c r="Y594" s="131">
        <f t="shared" si="218"/>
        <v>0.28999999999999998</v>
      </c>
      <c r="Z594" s="131">
        <f t="shared" si="10"/>
        <v>296.14000000000004</v>
      </c>
      <c r="AA594" s="132">
        <f>ROUND(R594-SUM(T594:Y594),2)</f>
        <v>286257.84999999998</v>
      </c>
      <c r="AB594" s="133">
        <f t="shared" si="403"/>
        <v>286258</v>
      </c>
      <c r="AC594" s="134">
        <f t="shared" si="48"/>
        <v>0.15000000002328306</v>
      </c>
      <c r="AD594" s="125"/>
      <c r="AE594" s="135">
        <f t="shared" si="13"/>
        <v>1.0330000000000001E-3</v>
      </c>
      <c r="AF594" s="136">
        <f t="shared" si="14"/>
        <v>0</v>
      </c>
      <c r="AG594" s="137" t="s">
        <v>416</v>
      </c>
      <c r="AH594" s="124"/>
    </row>
    <row r="595" spans="1:34" ht="12" customHeight="1">
      <c r="A595" s="154">
        <v>44694</v>
      </c>
      <c r="B595" s="140" t="s">
        <v>589</v>
      </c>
      <c r="C595" s="141" t="s">
        <v>460</v>
      </c>
      <c r="D595" s="140"/>
      <c r="E595" s="140" t="str">
        <f t="shared" si="0"/>
        <v>DCMSHRIRAM</v>
      </c>
      <c r="F595" s="140"/>
      <c r="G595" s="140"/>
      <c r="H595" s="140"/>
      <c r="I595" s="141" t="s">
        <v>467</v>
      </c>
      <c r="J595" s="139" t="s">
        <v>483</v>
      </c>
      <c r="K595" s="141"/>
      <c r="L595" s="141"/>
      <c r="M595" s="142">
        <v>195</v>
      </c>
      <c r="N595" s="143">
        <v>1013.3187</v>
      </c>
      <c r="O595" s="144">
        <f t="shared" si="39"/>
        <v>0</v>
      </c>
      <c r="P595" s="144">
        <f t="shared" ref="P595:P596" si="516">N595+O595</f>
        <v>1013.3187</v>
      </c>
      <c r="Q595" s="144"/>
      <c r="R595" s="144">
        <f t="shared" si="3"/>
        <v>197597.15</v>
      </c>
      <c r="S595" s="145">
        <f t="shared" si="4"/>
        <v>1.1992307692307691</v>
      </c>
      <c r="T595" s="145">
        <f t="shared" si="75"/>
        <v>0</v>
      </c>
      <c r="U595" s="145">
        <f t="shared" si="36"/>
        <v>0.98</v>
      </c>
      <c r="V595" s="145">
        <f t="shared" si="515"/>
        <v>197.6</v>
      </c>
      <c r="W595" s="145">
        <f t="shared" ref="W595:W596" si="517">ROUND(R595*F$1823,2)</f>
        <v>29.64</v>
      </c>
      <c r="X595" s="145">
        <f t="shared" si="506"/>
        <v>5.43</v>
      </c>
      <c r="Y595" s="145">
        <f t="shared" si="218"/>
        <v>0.2</v>
      </c>
      <c r="Z595" s="146">
        <f t="shared" si="10"/>
        <v>233.84999999999997</v>
      </c>
      <c r="AA595" s="147">
        <f t="shared" ref="AA595:AA596" si="518">-ROUND(R595+SUM(T595:Y595),2)</f>
        <v>-197831</v>
      </c>
      <c r="AB595" s="148">
        <f t="shared" si="403"/>
        <v>-197831</v>
      </c>
      <c r="AC595" s="149">
        <f t="shared" si="48"/>
        <v>0</v>
      </c>
      <c r="AD595" s="138"/>
      <c r="AE595" s="150">
        <f t="shared" si="13"/>
        <v>1.183E-3</v>
      </c>
      <c r="AF595" s="151">
        <f t="shared" si="14"/>
        <v>0</v>
      </c>
      <c r="AG595" s="152" t="s">
        <v>416</v>
      </c>
      <c r="AH595" s="124"/>
    </row>
    <row r="596" spans="1:34" ht="12" customHeight="1">
      <c r="A596" s="154">
        <v>44697</v>
      </c>
      <c r="B596" s="140" t="s">
        <v>589</v>
      </c>
      <c r="C596" s="141" t="s">
        <v>460</v>
      </c>
      <c r="D596" s="140"/>
      <c r="E596" s="140" t="str">
        <f t="shared" si="0"/>
        <v>DCMSHRIRAM</v>
      </c>
      <c r="F596" s="140"/>
      <c r="G596" s="140"/>
      <c r="H596" s="140"/>
      <c r="I596" s="141" t="s">
        <v>467</v>
      </c>
      <c r="J596" s="139" t="s">
        <v>483</v>
      </c>
      <c r="K596" s="141"/>
      <c r="L596" s="141"/>
      <c r="M596" s="142">
        <v>155</v>
      </c>
      <c r="N596" s="143">
        <v>965.01610000000005</v>
      </c>
      <c r="O596" s="144">
        <f t="shared" si="39"/>
        <v>0</v>
      </c>
      <c r="P596" s="144">
        <f t="shared" si="516"/>
        <v>965.01610000000005</v>
      </c>
      <c r="Q596" s="144"/>
      <c r="R596" s="144">
        <f t="shared" si="3"/>
        <v>149577.5</v>
      </c>
      <c r="S596" s="145">
        <f t="shared" si="4"/>
        <v>1.1420645161290326</v>
      </c>
      <c r="T596" s="145">
        <f t="shared" si="75"/>
        <v>0</v>
      </c>
      <c r="U596" s="145">
        <f t="shared" si="36"/>
        <v>0.74</v>
      </c>
      <c r="V596" s="145">
        <f t="shared" si="515"/>
        <v>149.58000000000001</v>
      </c>
      <c r="W596" s="145">
        <f t="shared" si="517"/>
        <v>22.44</v>
      </c>
      <c r="X596" s="145">
        <f t="shared" si="506"/>
        <v>4.1100000000000003</v>
      </c>
      <c r="Y596" s="145">
        <f t="shared" si="218"/>
        <v>0.15</v>
      </c>
      <c r="Z596" s="146">
        <f t="shared" si="10"/>
        <v>177.02000000000004</v>
      </c>
      <c r="AA596" s="147">
        <f t="shared" si="518"/>
        <v>-149754.51999999999</v>
      </c>
      <c r="AB596" s="148">
        <f t="shared" si="403"/>
        <v>-149755</v>
      </c>
      <c r="AC596" s="149">
        <f t="shared" si="48"/>
        <v>-0.48000000001047738</v>
      </c>
      <c r="AD596" s="138"/>
      <c r="AE596" s="150">
        <f t="shared" si="13"/>
        <v>1.183E-3</v>
      </c>
      <c r="AF596" s="151">
        <f t="shared" si="14"/>
        <v>0</v>
      </c>
      <c r="AG596" s="152" t="s">
        <v>416</v>
      </c>
      <c r="AH596" s="124"/>
    </row>
    <row r="597" spans="1:34" ht="12" customHeight="1">
      <c r="A597" s="155">
        <v>44698</v>
      </c>
      <c r="B597" s="112" t="s">
        <v>589</v>
      </c>
      <c r="C597" s="127" t="s">
        <v>460</v>
      </c>
      <c r="D597" s="112"/>
      <c r="E597" s="112" t="str">
        <f t="shared" si="0"/>
        <v>DCMSHRIRAM</v>
      </c>
      <c r="F597" s="112"/>
      <c r="G597" s="112"/>
      <c r="H597" s="112"/>
      <c r="I597" s="127" t="s">
        <v>461</v>
      </c>
      <c r="J597" s="126" t="s">
        <v>483</v>
      </c>
      <c r="K597" s="127"/>
      <c r="L597" s="127"/>
      <c r="M597" s="128">
        <v>20</v>
      </c>
      <c r="N597" s="129">
        <v>918</v>
      </c>
      <c r="O597" s="130">
        <f t="shared" si="39"/>
        <v>0</v>
      </c>
      <c r="P597" s="130">
        <f t="shared" ref="P597:P602" si="519">N597-O597</f>
        <v>918</v>
      </c>
      <c r="Q597" s="130"/>
      <c r="R597" s="130">
        <f t="shared" si="3"/>
        <v>18360</v>
      </c>
      <c r="S597" s="131">
        <f t="shared" si="4"/>
        <v>0.9484999999999999</v>
      </c>
      <c r="T597" s="131">
        <f t="shared" si="75"/>
        <v>0</v>
      </c>
      <c r="U597" s="131">
        <f t="shared" si="36"/>
        <v>0.09</v>
      </c>
      <c r="V597" s="131">
        <f t="shared" si="515"/>
        <v>18.36</v>
      </c>
      <c r="W597" s="131">
        <v>0</v>
      </c>
      <c r="X597" s="131">
        <f t="shared" si="506"/>
        <v>0.5</v>
      </c>
      <c r="Y597" s="131">
        <f t="shared" si="218"/>
        <v>0.02</v>
      </c>
      <c r="Z597" s="131">
        <f t="shared" si="10"/>
        <v>18.97</v>
      </c>
      <c r="AA597" s="132">
        <f t="shared" ref="AA597:AA602" si="520">ROUND(R597-SUM(T597:Y597),2)</f>
        <v>18341.03</v>
      </c>
      <c r="AB597" s="133">
        <f t="shared" si="403"/>
        <v>18341</v>
      </c>
      <c r="AC597" s="134">
        <f t="shared" si="48"/>
        <v>-2.9999999998835847E-2</v>
      </c>
      <c r="AD597" s="125"/>
      <c r="AE597" s="135">
        <f t="shared" si="13"/>
        <v>1.0330000000000001E-3</v>
      </c>
      <c r="AF597" s="136">
        <f t="shared" si="14"/>
        <v>0</v>
      </c>
      <c r="AG597" s="137" t="s">
        <v>416</v>
      </c>
      <c r="AH597" s="124"/>
    </row>
    <row r="598" spans="1:34" ht="12" customHeight="1">
      <c r="A598" s="155">
        <v>44699</v>
      </c>
      <c r="B598" s="112" t="s">
        <v>623</v>
      </c>
      <c r="C598" s="127" t="s">
        <v>485</v>
      </c>
      <c r="D598" s="112"/>
      <c r="E598" s="112" t="str">
        <f t="shared" si="0"/>
        <v>ENDURANCE</v>
      </c>
      <c r="F598" s="112"/>
      <c r="G598" s="112"/>
      <c r="H598" s="112"/>
      <c r="I598" s="127" t="s">
        <v>461</v>
      </c>
      <c r="J598" s="126" t="s">
        <v>483</v>
      </c>
      <c r="K598" s="127"/>
      <c r="L598" s="127"/>
      <c r="M598" s="128">
        <v>5</v>
      </c>
      <c r="N598" s="129">
        <v>1245.05</v>
      </c>
      <c r="O598" s="130">
        <f t="shared" si="39"/>
        <v>0</v>
      </c>
      <c r="P598" s="130">
        <f t="shared" si="519"/>
        <v>1245.05</v>
      </c>
      <c r="Q598" s="130"/>
      <c r="R598" s="130">
        <f t="shared" si="3"/>
        <v>6225.25</v>
      </c>
      <c r="S598" s="131">
        <f t="shared" si="4"/>
        <v>1.288</v>
      </c>
      <c r="T598" s="131">
        <f t="shared" si="75"/>
        <v>0</v>
      </c>
      <c r="U598" s="131">
        <f t="shared" si="36"/>
        <v>0.03</v>
      </c>
      <c r="V598" s="131">
        <f t="shared" si="515"/>
        <v>6.23</v>
      </c>
      <c r="W598" s="131">
        <v>0</v>
      </c>
      <c r="X598" s="131">
        <f t="shared" si="506"/>
        <v>0.17</v>
      </c>
      <c r="Y598" s="131">
        <f t="shared" si="218"/>
        <v>0.01</v>
      </c>
      <c r="Z598" s="131">
        <f t="shared" si="10"/>
        <v>6.44</v>
      </c>
      <c r="AA598" s="132">
        <f t="shared" si="520"/>
        <v>6218.81</v>
      </c>
      <c r="AB598" s="133">
        <f t="shared" si="403"/>
        <v>6219</v>
      </c>
      <c r="AC598" s="134">
        <f t="shared" si="48"/>
        <v>0.18999999999959982</v>
      </c>
      <c r="AD598" s="125"/>
      <c r="AE598" s="135">
        <f t="shared" si="13"/>
        <v>1.034E-3</v>
      </c>
      <c r="AF598" s="136">
        <f t="shared" si="14"/>
        <v>0</v>
      </c>
      <c r="AG598" s="137" t="s">
        <v>416</v>
      </c>
      <c r="AH598" s="124"/>
    </row>
    <row r="599" spans="1:34" ht="12" customHeight="1">
      <c r="A599" s="155">
        <v>44699</v>
      </c>
      <c r="B599" s="112" t="s">
        <v>497</v>
      </c>
      <c r="C599" s="127" t="s">
        <v>485</v>
      </c>
      <c r="D599" s="112"/>
      <c r="E599" s="112" t="str">
        <f t="shared" si="0"/>
        <v>GHCL</v>
      </c>
      <c r="F599" s="112"/>
      <c r="G599" s="112"/>
      <c r="H599" s="112"/>
      <c r="I599" s="127" t="s">
        <v>461</v>
      </c>
      <c r="J599" s="126" t="s">
        <v>483</v>
      </c>
      <c r="K599" s="127"/>
      <c r="L599" s="127"/>
      <c r="M599" s="128">
        <v>20</v>
      </c>
      <c r="N599" s="129">
        <v>641</v>
      </c>
      <c r="O599" s="130">
        <f t="shared" si="39"/>
        <v>0</v>
      </c>
      <c r="P599" s="130">
        <f t="shared" si="519"/>
        <v>641</v>
      </c>
      <c r="Q599" s="130"/>
      <c r="R599" s="130">
        <f t="shared" si="3"/>
        <v>12820</v>
      </c>
      <c r="S599" s="131">
        <f t="shared" si="4"/>
        <v>0.66200000000000003</v>
      </c>
      <c r="T599" s="131">
        <f t="shared" si="75"/>
        <v>0</v>
      </c>
      <c r="U599" s="131">
        <f t="shared" si="36"/>
        <v>0.06</v>
      </c>
      <c r="V599" s="131">
        <f t="shared" si="515"/>
        <v>12.82</v>
      </c>
      <c r="W599" s="131">
        <v>0</v>
      </c>
      <c r="X599" s="131">
        <f t="shared" si="506"/>
        <v>0.35</v>
      </c>
      <c r="Y599" s="131">
        <f t="shared" si="218"/>
        <v>0.01</v>
      </c>
      <c r="Z599" s="131">
        <f t="shared" si="10"/>
        <v>13.24</v>
      </c>
      <c r="AA599" s="132">
        <f t="shared" si="520"/>
        <v>12806.76</v>
      </c>
      <c r="AB599" s="133">
        <f t="shared" si="403"/>
        <v>12807</v>
      </c>
      <c r="AC599" s="134">
        <f t="shared" si="48"/>
        <v>0.23999999999978172</v>
      </c>
      <c r="AD599" s="125"/>
      <c r="AE599" s="135">
        <f t="shared" si="13"/>
        <v>1.0330000000000001E-3</v>
      </c>
      <c r="AF599" s="136">
        <f t="shared" si="14"/>
        <v>0</v>
      </c>
      <c r="AG599" s="137" t="s">
        <v>416</v>
      </c>
      <c r="AH599" s="124"/>
    </row>
    <row r="600" spans="1:34" ht="12" customHeight="1">
      <c r="A600" s="155">
        <v>44699</v>
      </c>
      <c r="B600" s="112" t="s">
        <v>615</v>
      </c>
      <c r="C600" s="127" t="s">
        <v>485</v>
      </c>
      <c r="D600" s="112"/>
      <c r="E600" s="112" t="str">
        <f t="shared" si="0"/>
        <v>RUCHI</v>
      </c>
      <c r="F600" s="112"/>
      <c r="G600" s="112"/>
      <c r="H600" s="112"/>
      <c r="I600" s="127" t="s">
        <v>461</v>
      </c>
      <c r="J600" s="126" t="s">
        <v>483</v>
      </c>
      <c r="K600" s="127"/>
      <c r="L600" s="127"/>
      <c r="M600" s="128">
        <v>20</v>
      </c>
      <c r="N600" s="129">
        <v>1140</v>
      </c>
      <c r="O600" s="130">
        <f t="shared" si="39"/>
        <v>0</v>
      </c>
      <c r="P600" s="130">
        <f t="shared" si="519"/>
        <v>1140</v>
      </c>
      <c r="Q600" s="130"/>
      <c r="R600" s="130">
        <f t="shared" si="3"/>
        <v>22800</v>
      </c>
      <c r="S600" s="131">
        <f t="shared" si="4"/>
        <v>1.1779999999999999</v>
      </c>
      <c r="T600" s="131">
        <f t="shared" si="75"/>
        <v>0</v>
      </c>
      <c r="U600" s="131">
        <f t="shared" si="36"/>
        <v>0.11</v>
      </c>
      <c r="V600" s="131">
        <f t="shared" si="515"/>
        <v>22.8</v>
      </c>
      <c r="W600" s="131">
        <v>0</v>
      </c>
      <c r="X600" s="131">
        <f t="shared" si="506"/>
        <v>0.63</v>
      </c>
      <c r="Y600" s="131">
        <f t="shared" si="218"/>
        <v>0.02</v>
      </c>
      <c r="Z600" s="131">
        <f t="shared" si="10"/>
        <v>23.56</v>
      </c>
      <c r="AA600" s="132">
        <f t="shared" si="520"/>
        <v>22776.44</v>
      </c>
      <c r="AB600" s="133">
        <f t="shared" si="403"/>
        <v>22776</v>
      </c>
      <c r="AC600" s="134">
        <f t="shared" si="48"/>
        <v>-0.43999999999869033</v>
      </c>
      <c r="AD600" s="125"/>
      <c r="AE600" s="135">
        <f t="shared" si="13"/>
        <v>1.0330000000000001E-3</v>
      </c>
      <c r="AF600" s="136">
        <f t="shared" si="14"/>
        <v>0</v>
      </c>
      <c r="AG600" s="137" t="s">
        <v>416</v>
      </c>
      <c r="AH600" s="124"/>
    </row>
    <row r="601" spans="1:34" ht="12" customHeight="1">
      <c r="A601" s="155">
        <v>44700</v>
      </c>
      <c r="B601" s="112" t="s">
        <v>589</v>
      </c>
      <c r="C601" s="127" t="s">
        <v>460</v>
      </c>
      <c r="D601" s="112"/>
      <c r="E601" s="112" t="str">
        <f t="shared" si="0"/>
        <v>DCMSHRIRAM</v>
      </c>
      <c r="F601" s="112"/>
      <c r="G601" s="112"/>
      <c r="H601" s="112"/>
      <c r="I601" s="127" t="s">
        <v>461</v>
      </c>
      <c r="J601" s="126" t="s">
        <v>483</v>
      </c>
      <c r="K601" s="127"/>
      <c r="L601" s="127"/>
      <c r="M601" s="128">
        <v>40</v>
      </c>
      <c r="N601" s="129">
        <v>940</v>
      </c>
      <c r="O601" s="130">
        <f t="shared" si="39"/>
        <v>0</v>
      </c>
      <c r="P601" s="130">
        <f t="shared" si="519"/>
        <v>940</v>
      </c>
      <c r="Q601" s="130"/>
      <c r="R601" s="130">
        <f t="shared" si="3"/>
        <v>37600</v>
      </c>
      <c r="S601" s="131">
        <f t="shared" si="4"/>
        <v>0.97150000000000003</v>
      </c>
      <c r="T601" s="131">
        <f t="shared" si="75"/>
        <v>0</v>
      </c>
      <c r="U601" s="131">
        <f t="shared" si="36"/>
        <v>0.19</v>
      </c>
      <c r="V601" s="131">
        <f t="shared" si="515"/>
        <v>37.6</v>
      </c>
      <c r="W601" s="131">
        <v>0</v>
      </c>
      <c r="X601" s="131">
        <f t="shared" si="506"/>
        <v>1.03</v>
      </c>
      <c r="Y601" s="131">
        <f t="shared" si="218"/>
        <v>0.04</v>
      </c>
      <c r="Z601" s="131">
        <f t="shared" si="10"/>
        <v>38.86</v>
      </c>
      <c r="AA601" s="132">
        <f t="shared" si="520"/>
        <v>37561.14</v>
      </c>
      <c r="AB601" s="133">
        <f t="shared" si="403"/>
        <v>37561</v>
      </c>
      <c r="AC601" s="134">
        <f t="shared" si="48"/>
        <v>-0.13999999999941792</v>
      </c>
      <c r="AD601" s="125"/>
      <c r="AE601" s="135">
        <f t="shared" si="13"/>
        <v>1.034E-3</v>
      </c>
      <c r="AF601" s="136">
        <f t="shared" si="14"/>
        <v>0</v>
      </c>
      <c r="AG601" s="137" t="s">
        <v>416</v>
      </c>
      <c r="AH601" s="124"/>
    </row>
    <row r="602" spans="1:34" ht="12" customHeight="1">
      <c r="A602" s="155">
        <v>44701</v>
      </c>
      <c r="B602" s="112" t="s">
        <v>589</v>
      </c>
      <c r="C602" s="127" t="s">
        <v>460</v>
      </c>
      <c r="D602" s="112"/>
      <c r="E602" s="112" t="str">
        <f t="shared" si="0"/>
        <v>DCMSHRIRAM</v>
      </c>
      <c r="F602" s="112"/>
      <c r="G602" s="112"/>
      <c r="H602" s="112"/>
      <c r="I602" s="127" t="s">
        <v>461</v>
      </c>
      <c r="J602" s="126" t="s">
        <v>483</v>
      </c>
      <c r="K602" s="127"/>
      <c r="L602" s="127"/>
      <c r="M602" s="128">
        <v>355</v>
      </c>
      <c r="N602" s="129">
        <v>979.86181999999997</v>
      </c>
      <c r="O602" s="130">
        <f t="shared" si="39"/>
        <v>0</v>
      </c>
      <c r="P602" s="130">
        <f t="shared" si="519"/>
        <v>979.86181999999997</v>
      </c>
      <c r="Q602" s="130"/>
      <c r="R602" s="130">
        <f t="shared" si="3"/>
        <v>347850.95</v>
      </c>
      <c r="S602" s="131">
        <f t="shared" si="4"/>
        <v>1.012647887323944</v>
      </c>
      <c r="T602" s="131">
        <f t="shared" si="75"/>
        <v>0</v>
      </c>
      <c r="U602" s="131">
        <f t="shared" si="36"/>
        <v>1.72</v>
      </c>
      <c r="V602" s="131">
        <f t="shared" si="515"/>
        <v>347.85</v>
      </c>
      <c r="W602" s="131">
        <v>0</v>
      </c>
      <c r="X602" s="131">
        <f t="shared" si="506"/>
        <v>9.57</v>
      </c>
      <c r="Y602" s="131">
        <f t="shared" si="218"/>
        <v>0.35</v>
      </c>
      <c r="Z602" s="131">
        <f t="shared" si="10"/>
        <v>359.49000000000007</v>
      </c>
      <c r="AA602" s="132">
        <f t="shared" si="520"/>
        <v>347491.46</v>
      </c>
      <c r="AB602" s="133">
        <f t="shared" si="403"/>
        <v>347491</v>
      </c>
      <c r="AC602" s="134">
        <f t="shared" si="48"/>
        <v>-0.46000000002095476</v>
      </c>
      <c r="AD602" s="125"/>
      <c r="AE602" s="135">
        <f t="shared" si="13"/>
        <v>1.0330000000000001E-3</v>
      </c>
      <c r="AF602" s="136">
        <f t="shared" si="14"/>
        <v>0</v>
      </c>
      <c r="AG602" s="137" t="s">
        <v>416</v>
      </c>
      <c r="AH602" s="124"/>
    </row>
    <row r="603" spans="1:34" ht="12" customHeight="1">
      <c r="A603" s="154">
        <v>44704</v>
      </c>
      <c r="B603" s="140" t="s">
        <v>589</v>
      </c>
      <c r="C603" s="141" t="s">
        <v>460</v>
      </c>
      <c r="D603" s="140"/>
      <c r="E603" s="140" t="str">
        <f t="shared" si="0"/>
        <v>DCMSHRIRAM</v>
      </c>
      <c r="F603" s="140"/>
      <c r="G603" s="140"/>
      <c r="H603" s="140"/>
      <c r="I603" s="141" t="s">
        <v>467</v>
      </c>
      <c r="J603" s="139" t="s">
        <v>483</v>
      </c>
      <c r="K603" s="141"/>
      <c r="L603" s="141"/>
      <c r="M603" s="142">
        <v>200</v>
      </c>
      <c r="N603" s="143">
        <v>994.82500000000005</v>
      </c>
      <c r="O603" s="144">
        <f t="shared" si="39"/>
        <v>0</v>
      </c>
      <c r="P603" s="144">
        <f t="shared" ref="P603:P605" si="521">N603+O603</f>
        <v>994.82500000000005</v>
      </c>
      <c r="Q603" s="144"/>
      <c r="R603" s="144">
        <f t="shared" si="3"/>
        <v>198965</v>
      </c>
      <c r="S603" s="145">
        <f t="shared" si="4"/>
        <v>1.1772999999999998</v>
      </c>
      <c r="T603" s="145">
        <f t="shared" si="75"/>
        <v>0</v>
      </c>
      <c r="U603" s="145">
        <f t="shared" si="36"/>
        <v>0.98</v>
      </c>
      <c r="V603" s="145">
        <f t="shared" si="515"/>
        <v>198.97</v>
      </c>
      <c r="W603" s="145">
        <f t="shared" ref="W603:W605" si="522">ROUND(R603*F$1823,2)</f>
        <v>29.84</v>
      </c>
      <c r="X603" s="145">
        <f t="shared" si="506"/>
        <v>5.47</v>
      </c>
      <c r="Y603" s="145">
        <f t="shared" si="218"/>
        <v>0.2</v>
      </c>
      <c r="Z603" s="146">
        <f t="shared" si="10"/>
        <v>235.45999999999998</v>
      </c>
      <c r="AA603" s="147">
        <f t="shared" ref="AA603:AA605" si="523">-ROUND(R603+SUM(T603:Y603),2)</f>
        <v>-199200.46</v>
      </c>
      <c r="AB603" s="148">
        <f t="shared" si="403"/>
        <v>-199200</v>
      </c>
      <c r="AC603" s="149">
        <f t="shared" si="48"/>
        <v>0.45999999999185093</v>
      </c>
      <c r="AD603" s="138"/>
      <c r="AE603" s="150">
        <f t="shared" si="13"/>
        <v>1.183E-3</v>
      </c>
      <c r="AF603" s="151">
        <f t="shared" si="14"/>
        <v>0</v>
      </c>
      <c r="AG603" s="152" t="s">
        <v>416</v>
      </c>
      <c r="AH603" s="124"/>
    </row>
    <row r="604" spans="1:34" ht="12" customHeight="1">
      <c r="A604" s="154">
        <v>44705</v>
      </c>
      <c r="B604" s="140" t="s">
        <v>589</v>
      </c>
      <c r="C604" s="141" t="s">
        <v>460</v>
      </c>
      <c r="D604" s="140"/>
      <c r="E604" s="140" t="str">
        <f t="shared" si="0"/>
        <v>DCMSHRIRAM</v>
      </c>
      <c r="F604" s="140"/>
      <c r="G604" s="140"/>
      <c r="H604" s="140"/>
      <c r="I604" s="141" t="s">
        <v>467</v>
      </c>
      <c r="J604" s="139" t="s">
        <v>483</v>
      </c>
      <c r="K604" s="141"/>
      <c r="L604" s="141"/>
      <c r="M604" s="142">
        <v>50</v>
      </c>
      <c r="N604" s="143">
        <v>972.3</v>
      </c>
      <c r="O604" s="144">
        <f t="shared" si="39"/>
        <v>0</v>
      </c>
      <c r="P604" s="144">
        <f t="shared" si="521"/>
        <v>972.3</v>
      </c>
      <c r="Q604" s="144"/>
      <c r="R604" s="144">
        <f t="shared" si="3"/>
        <v>48615</v>
      </c>
      <c r="S604" s="145">
        <f t="shared" si="4"/>
        <v>1.1508</v>
      </c>
      <c r="T604" s="145">
        <f t="shared" si="75"/>
        <v>0</v>
      </c>
      <c r="U604" s="145">
        <f t="shared" si="36"/>
        <v>0.24</v>
      </c>
      <c r="V604" s="145">
        <f t="shared" si="515"/>
        <v>48.62</v>
      </c>
      <c r="W604" s="145">
        <f t="shared" si="522"/>
        <v>7.29</v>
      </c>
      <c r="X604" s="145">
        <f t="shared" si="506"/>
        <v>1.34</v>
      </c>
      <c r="Y604" s="145">
        <f t="shared" si="218"/>
        <v>0.05</v>
      </c>
      <c r="Z604" s="146">
        <f t="shared" si="10"/>
        <v>57.54</v>
      </c>
      <c r="AA604" s="147">
        <f t="shared" si="523"/>
        <v>-48672.54</v>
      </c>
      <c r="AB604" s="148">
        <f t="shared" si="403"/>
        <v>-48673</v>
      </c>
      <c r="AC604" s="149">
        <f t="shared" si="48"/>
        <v>-0.45999999999912689</v>
      </c>
      <c r="AD604" s="138"/>
      <c r="AE604" s="150">
        <f t="shared" si="13"/>
        <v>1.1839999999999999E-3</v>
      </c>
      <c r="AF604" s="151">
        <f t="shared" si="14"/>
        <v>0</v>
      </c>
      <c r="AG604" s="152" t="s">
        <v>416</v>
      </c>
      <c r="AH604" s="124"/>
    </row>
    <row r="605" spans="1:34" ht="12" customHeight="1">
      <c r="A605" s="154">
        <v>44706</v>
      </c>
      <c r="B605" s="140" t="s">
        <v>589</v>
      </c>
      <c r="C605" s="141" t="s">
        <v>460</v>
      </c>
      <c r="D605" s="140"/>
      <c r="E605" s="140" t="str">
        <f t="shared" si="0"/>
        <v>DCMSHRIRAM</v>
      </c>
      <c r="F605" s="140"/>
      <c r="G605" s="140"/>
      <c r="H605" s="140"/>
      <c r="I605" s="141" t="s">
        <v>467</v>
      </c>
      <c r="J605" s="139" t="s">
        <v>483</v>
      </c>
      <c r="K605" s="141"/>
      <c r="L605" s="141"/>
      <c r="M605" s="142">
        <v>180</v>
      </c>
      <c r="N605" s="143">
        <v>966.72220000000004</v>
      </c>
      <c r="O605" s="144">
        <f t="shared" si="39"/>
        <v>0</v>
      </c>
      <c r="P605" s="144">
        <f t="shared" si="521"/>
        <v>966.72220000000004</v>
      </c>
      <c r="Q605" s="144"/>
      <c r="R605" s="144">
        <f t="shared" si="3"/>
        <v>174010</v>
      </c>
      <c r="S605" s="145">
        <f t="shared" si="4"/>
        <v>1.1440555555555554</v>
      </c>
      <c r="T605" s="145">
        <f t="shared" si="75"/>
        <v>0</v>
      </c>
      <c r="U605" s="145">
        <f t="shared" si="36"/>
        <v>0.86</v>
      </c>
      <c r="V605" s="145">
        <f t="shared" si="515"/>
        <v>174.01</v>
      </c>
      <c r="W605" s="145">
        <f t="shared" si="522"/>
        <v>26.1</v>
      </c>
      <c r="X605" s="145">
        <f t="shared" si="506"/>
        <v>4.79</v>
      </c>
      <c r="Y605" s="145">
        <f t="shared" si="218"/>
        <v>0.17</v>
      </c>
      <c r="Z605" s="146">
        <f t="shared" si="10"/>
        <v>205.92999999999998</v>
      </c>
      <c r="AA605" s="147">
        <f t="shared" si="523"/>
        <v>-174215.93</v>
      </c>
      <c r="AB605" s="148">
        <f t="shared" si="403"/>
        <v>-174216</v>
      </c>
      <c r="AC605" s="149">
        <f t="shared" si="48"/>
        <v>-7.0000000006984919E-2</v>
      </c>
      <c r="AD605" s="138"/>
      <c r="AE605" s="150">
        <f t="shared" si="13"/>
        <v>1.183E-3</v>
      </c>
      <c r="AF605" s="151">
        <f t="shared" si="14"/>
        <v>0</v>
      </c>
      <c r="AG605" s="152" t="s">
        <v>416</v>
      </c>
      <c r="AH605" s="124"/>
    </row>
    <row r="606" spans="1:34" ht="12" customHeight="1">
      <c r="A606" s="155">
        <v>44707</v>
      </c>
      <c r="B606" s="112" t="s">
        <v>589</v>
      </c>
      <c r="C606" s="127" t="s">
        <v>460</v>
      </c>
      <c r="D606" s="112"/>
      <c r="E606" s="112" t="str">
        <f t="shared" si="0"/>
        <v>DCMSHRIRAM</v>
      </c>
      <c r="F606" s="112"/>
      <c r="G606" s="112"/>
      <c r="H606" s="112"/>
      <c r="I606" s="127" t="s">
        <v>461</v>
      </c>
      <c r="J606" s="126" t="s">
        <v>483</v>
      </c>
      <c r="K606" s="127"/>
      <c r="L606" s="127"/>
      <c r="M606" s="128">
        <v>125</v>
      </c>
      <c r="N606" s="129">
        <v>969.2</v>
      </c>
      <c r="O606" s="130">
        <f t="shared" si="39"/>
        <v>0</v>
      </c>
      <c r="P606" s="130">
        <f>N606-O606</f>
        <v>969.2</v>
      </c>
      <c r="Q606" s="130"/>
      <c r="R606" s="130">
        <f t="shared" si="3"/>
        <v>121150</v>
      </c>
      <c r="S606" s="131">
        <f t="shared" si="4"/>
        <v>1.0016</v>
      </c>
      <c r="T606" s="131">
        <f t="shared" si="75"/>
        <v>0</v>
      </c>
      <c r="U606" s="131">
        <f t="shared" si="36"/>
        <v>0.6</v>
      </c>
      <c r="V606" s="131">
        <f t="shared" si="515"/>
        <v>121.15</v>
      </c>
      <c r="W606" s="131">
        <v>0</v>
      </c>
      <c r="X606" s="131">
        <f t="shared" si="506"/>
        <v>3.33</v>
      </c>
      <c r="Y606" s="131">
        <f t="shared" si="218"/>
        <v>0.12</v>
      </c>
      <c r="Z606" s="131">
        <f t="shared" si="10"/>
        <v>125.2</v>
      </c>
      <c r="AA606" s="132">
        <f>ROUND(R606-SUM(T606:Y606),2)</f>
        <v>121024.8</v>
      </c>
      <c r="AB606" s="133">
        <f t="shared" si="403"/>
        <v>121025</v>
      </c>
      <c r="AC606" s="134">
        <f t="shared" si="48"/>
        <v>0.19999999999708962</v>
      </c>
      <c r="AD606" s="125"/>
      <c r="AE606" s="135">
        <f t="shared" si="13"/>
        <v>1.0330000000000001E-3</v>
      </c>
      <c r="AF606" s="136">
        <f t="shared" si="14"/>
        <v>0</v>
      </c>
      <c r="AG606" s="137" t="s">
        <v>416</v>
      </c>
      <c r="AH606" s="124"/>
    </row>
    <row r="607" spans="1:34" ht="12" customHeight="1">
      <c r="A607" s="154">
        <v>44708</v>
      </c>
      <c r="B607" s="140" t="s">
        <v>308</v>
      </c>
      <c r="C607" s="141" t="s">
        <v>485</v>
      </c>
      <c r="D607" s="140"/>
      <c r="E607" s="140" t="str">
        <f t="shared" si="0"/>
        <v>INEOSSTYRO</v>
      </c>
      <c r="F607" s="140"/>
      <c r="G607" s="140"/>
      <c r="H607" s="140"/>
      <c r="I607" s="141" t="s">
        <v>467</v>
      </c>
      <c r="J607" s="139" t="s">
        <v>483</v>
      </c>
      <c r="K607" s="141"/>
      <c r="L607" s="141"/>
      <c r="M607" s="142">
        <v>25</v>
      </c>
      <c r="N607" s="143">
        <v>903</v>
      </c>
      <c r="O607" s="144">
        <f t="shared" si="39"/>
        <v>0</v>
      </c>
      <c r="P607" s="144">
        <f>N607+O607</f>
        <v>903</v>
      </c>
      <c r="Q607" s="144"/>
      <c r="R607" s="144">
        <f t="shared" si="3"/>
        <v>22575</v>
      </c>
      <c r="S607" s="145">
        <f t="shared" si="4"/>
        <v>0.61719999999999997</v>
      </c>
      <c r="T607" s="145">
        <f t="shared" si="75"/>
        <v>0</v>
      </c>
      <c r="U607" s="145">
        <f t="shared" si="36"/>
        <v>0.11</v>
      </c>
      <c r="V607" s="145">
        <f>ROUND(R607*F$1817,2)/2</f>
        <v>11.29</v>
      </c>
      <c r="W607" s="145">
        <f>ROUND(R607*F$1823,2)</f>
        <v>3.39</v>
      </c>
      <c r="X607" s="145">
        <f t="shared" si="506"/>
        <v>0.62</v>
      </c>
      <c r="Y607" s="145">
        <f t="shared" si="218"/>
        <v>0.02</v>
      </c>
      <c r="Z607" s="146">
        <f t="shared" si="10"/>
        <v>15.429999999999998</v>
      </c>
      <c r="AA607" s="147">
        <f>-ROUND(R607+SUM(T607:Y607),2)</f>
        <v>-22590.43</v>
      </c>
      <c r="AB607" s="148">
        <f t="shared" si="403"/>
        <v>-22590</v>
      </c>
      <c r="AC607" s="149">
        <f t="shared" si="48"/>
        <v>0.43000000000029104</v>
      </c>
      <c r="AD607" s="138"/>
      <c r="AE607" s="150">
        <f t="shared" si="13"/>
        <v>6.8300000000000001E-4</v>
      </c>
      <c r="AF607" s="151">
        <f t="shared" si="14"/>
        <v>0</v>
      </c>
      <c r="AG607" s="152" t="s">
        <v>416</v>
      </c>
      <c r="AH607" s="124"/>
    </row>
    <row r="608" spans="1:34" ht="12" customHeight="1">
      <c r="A608" s="155">
        <v>44708</v>
      </c>
      <c r="B608" s="112" t="s">
        <v>308</v>
      </c>
      <c r="C608" s="127" t="s">
        <v>485</v>
      </c>
      <c r="D608" s="112"/>
      <c r="E608" s="112" t="str">
        <f t="shared" si="0"/>
        <v>INEOSSTYRO</v>
      </c>
      <c r="F608" s="112"/>
      <c r="G608" s="112"/>
      <c r="H608" s="112"/>
      <c r="I608" s="127" t="s">
        <v>461</v>
      </c>
      <c r="J608" s="126" t="s">
        <v>483</v>
      </c>
      <c r="K608" s="127"/>
      <c r="L608" s="127"/>
      <c r="M608" s="128">
        <v>50</v>
      </c>
      <c r="N608" s="129">
        <v>872.5</v>
      </c>
      <c r="O608" s="130">
        <f t="shared" si="39"/>
        <v>0</v>
      </c>
      <c r="P608" s="130">
        <f>N608-O608</f>
        <v>872.5</v>
      </c>
      <c r="Q608" s="130"/>
      <c r="R608" s="130">
        <f t="shared" si="3"/>
        <v>43625</v>
      </c>
      <c r="S608" s="131">
        <f t="shared" si="4"/>
        <v>0.36549999999999999</v>
      </c>
      <c r="T608" s="131">
        <f t="shared" si="75"/>
        <v>0</v>
      </c>
      <c r="U608" s="131">
        <f t="shared" si="36"/>
        <v>0.22</v>
      </c>
      <c r="V608" s="131">
        <f>ROUND(R608*F$1817,2)/2-5</f>
        <v>16.815000000000001</v>
      </c>
      <c r="W608" s="131">
        <v>0</v>
      </c>
      <c r="X608" s="131">
        <f t="shared" si="506"/>
        <v>1.2</v>
      </c>
      <c r="Y608" s="131">
        <f t="shared" si="218"/>
        <v>0.04</v>
      </c>
      <c r="Z608" s="131">
        <f t="shared" si="10"/>
        <v>18.274999999999999</v>
      </c>
      <c r="AA608" s="132">
        <f>ROUND(R608-SUM(T608:Y608),2)</f>
        <v>43606.73</v>
      </c>
      <c r="AB608" s="133">
        <f t="shared" si="403"/>
        <v>43607</v>
      </c>
      <c r="AC608" s="134">
        <f t="shared" si="48"/>
        <v>0.26999999999679858</v>
      </c>
      <c r="AD608" s="125"/>
      <c r="AE608" s="135">
        <f t="shared" si="13"/>
        <v>4.1899999999999999E-4</v>
      </c>
      <c r="AF608" s="136">
        <f t="shared" si="14"/>
        <v>0</v>
      </c>
      <c r="AG608" s="137" t="s">
        <v>416</v>
      </c>
      <c r="AH608" s="124"/>
    </row>
    <row r="609" spans="1:34" ht="12" customHeight="1">
      <c r="A609" s="154">
        <v>44708</v>
      </c>
      <c r="B609" s="140" t="s">
        <v>589</v>
      </c>
      <c r="C609" s="141" t="s">
        <v>460</v>
      </c>
      <c r="D609" s="140"/>
      <c r="E609" s="140" t="str">
        <f t="shared" si="0"/>
        <v>DCMSHRIRAM</v>
      </c>
      <c r="F609" s="140"/>
      <c r="G609" s="140"/>
      <c r="H609" s="140"/>
      <c r="I609" s="141" t="s">
        <v>467</v>
      </c>
      <c r="J609" s="139" t="s">
        <v>483</v>
      </c>
      <c r="K609" s="141"/>
      <c r="L609" s="141"/>
      <c r="M609" s="142">
        <v>125</v>
      </c>
      <c r="N609" s="143">
        <v>967.2</v>
      </c>
      <c r="O609" s="144">
        <f t="shared" si="39"/>
        <v>0</v>
      </c>
      <c r="P609" s="144">
        <f>N609+O609</f>
        <v>967.2</v>
      </c>
      <c r="Q609" s="144"/>
      <c r="R609" s="144">
        <f t="shared" si="3"/>
        <v>120900</v>
      </c>
      <c r="S609" s="145">
        <f t="shared" si="4"/>
        <v>1.1446399999999999</v>
      </c>
      <c r="T609" s="145">
        <f t="shared" si="75"/>
        <v>0</v>
      </c>
      <c r="U609" s="145">
        <f t="shared" si="36"/>
        <v>0.6</v>
      </c>
      <c r="V609" s="145">
        <f t="shared" ref="V609:V637" si="524">ROUND(R609*F$1817,2)</f>
        <v>120.9</v>
      </c>
      <c r="W609" s="145">
        <f>ROUND(R609*F$1823,2)</f>
        <v>18.14</v>
      </c>
      <c r="X609" s="145">
        <f t="shared" si="506"/>
        <v>3.32</v>
      </c>
      <c r="Y609" s="145">
        <f t="shared" si="218"/>
        <v>0.12</v>
      </c>
      <c r="Z609" s="146">
        <f t="shared" si="10"/>
        <v>143.07999999999998</v>
      </c>
      <c r="AA609" s="147">
        <f>-ROUND(R609+SUM(T609:Y609),2)</f>
        <v>-121043.08</v>
      </c>
      <c r="AB609" s="148">
        <f t="shared" si="403"/>
        <v>-121043</v>
      </c>
      <c r="AC609" s="149">
        <f t="shared" si="48"/>
        <v>8.000000000174623E-2</v>
      </c>
      <c r="AD609" s="138"/>
      <c r="AE609" s="150">
        <f t="shared" si="13"/>
        <v>1.183E-3</v>
      </c>
      <c r="AF609" s="151">
        <f t="shared" si="14"/>
        <v>0</v>
      </c>
      <c r="AG609" s="152" t="s">
        <v>416</v>
      </c>
      <c r="AH609" s="124"/>
    </row>
    <row r="610" spans="1:34" ht="12" customHeight="1">
      <c r="A610" s="155">
        <v>44711</v>
      </c>
      <c r="B610" s="112" t="s">
        <v>308</v>
      </c>
      <c r="C610" s="127" t="s">
        <v>485</v>
      </c>
      <c r="D610" s="112"/>
      <c r="E610" s="112" t="str">
        <f t="shared" si="0"/>
        <v>INEOSSTYRO</v>
      </c>
      <c r="F610" s="112"/>
      <c r="G610" s="112"/>
      <c r="H610" s="112"/>
      <c r="I610" s="127" t="s">
        <v>461</v>
      </c>
      <c r="J610" s="126" t="s">
        <v>483</v>
      </c>
      <c r="K610" s="127"/>
      <c r="L610" s="127"/>
      <c r="M610" s="128">
        <v>25</v>
      </c>
      <c r="N610" s="129">
        <v>922</v>
      </c>
      <c r="O610" s="130">
        <f t="shared" si="39"/>
        <v>0</v>
      </c>
      <c r="P610" s="130">
        <f t="shared" ref="P610:P613" si="525">N610-O610</f>
        <v>922</v>
      </c>
      <c r="Q610" s="130"/>
      <c r="R610" s="130">
        <f t="shared" si="3"/>
        <v>23050</v>
      </c>
      <c r="S610" s="131">
        <f t="shared" si="4"/>
        <v>0.95239999999999991</v>
      </c>
      <c r="T610" s="131">
        <f t="shared" si="75"/>
        <v>0</v>
      </c>
      <c r="U610" s="131">
        <f t="shared" si="36"/>
        <v>0.11</v>
      </c>
      <c r="V610" s="131">
        <f t="shared" si="524"/>
        <v>23.05</v>
      </c>
      <c r="W610" s="131">
        <v>0</v>
      </c>
      <c r="X610" s="131">
        <f t="shared" si="506"/>
        <v>0.63</v>
      </c>
      <c r="Y610" s="131">
        <f t="shared" si="218"/>
        <v>0.02</v>
      </c>
      <c r="Z610" s="131">
        <f t="shared" si="10"/>
        <v>23.81</v>
      </c>
      <c r="AA610" s="132">
        <f t="shared" ref="AA610:AA613" si="526">ROUND(R610-SUM(T610:Y610),2)</f>
        <v>23026.19</v>
      </c>
      <c r="AB610" s="133">
        <f t="shared" si="403"/>
        <v>23026</v>
      </c>
      <c r="AC610" s="134">
        <f t="shared" si="48"/>
        <v>-0.18999999999869033</v>
      </c>
      <c r="AD610" s="125"/>
      <c r="AE610" s="135">
        <f t="shared" si="13"/>
        <v>1.0330000000000001E-3</v>
      </c>
      <c r="AF610" s="136">
        <f t="shared" si="14"/>
        <v>0</v>
      </c>
      <c r="AG610" s="137" t="s">
        <v>416</v>
      </c>
      <c r="AH610" s="124"/>
    </row>
    <row r="611" spans="1:34" ht="12" customHeight="1">
      <c r="A611" s="155">
        <v>44711</v>
      </c>
      <c r="B611" s="112" t="s">
        <v>589</v>
      </c>
      <c r="C611" s="127" t="s">
        <v>460</v>
      </c>
      <c r="D611" s="112"/>
      <c r="E611" s="112" t="str">
        <f t="shared" si="0"/>
        <v>DCMSHRIRAM</v>
      </c>
      <c r="F611" s="112"/>
      <c r="G611" s="112"/>
      <c r="H611" s="112"/>
      <c r="I611" s="127" t="s">
        <v>461</v>
      </c>
      <c r="J611" s="126" t="s">
        <v>483</v>
      </c>
      <c r="K611" s="127"/>
      <c r="L611" s="127"/>
      <c r="M611" s="128">
        <v>150</v>
      </c>
      <c r="N611" s="129">
        <v>1001.6667</v>
      </c>
      <c r="O611" s="130">
        <f t="shared" si="39"/>
        <v>0</v>
      </c>
      <c r="P611" s="130">
        <f t="shared" si="525"/>
        <v>1001.6667</v>
      </c>
      <c r="Q611" s="130"/>
      <c r="R611" s="130">
        <f t="shared" si="3"/>
        <v>150250.01</v>
      </c>
      <c r="S611" s="131">
        <f t="shared" si="4"/>
        <v>1.0351333333333335</v>
      </c>
      <c r="T611" s="131">
        <f t="shared" si="75"/>
        <v>0</v>
      </c>
      <c r="U611" s="131">
        <f t="shared" si="36"/>
        <v>0.74</v>
      </c>
      <c r="V611" s="131">
        <f t="shared" si="524"/>
        <v>150.25</v>
      </c>
      <c r="W611" s="131">
        <v>0</v>
      </c>
      <c r="X611" s="131">
        <f t="shared" si="506"/>
        <v>4.13</v>
      </c>
      <c r="Y611" s="131">
        <f t="shared" si="218"/>
        <v>0.15</v>
      </c>
      <c r="Z611" s="131">
        <f t="shared" si="10"/>
        <v>155.27000000000001</v>
      </c>
      <c r="AA611" s="132">
        <f t="shared" si="526"/>
        <v>150094.74</v>
      </c>
      <c r="AB611" s="133">
        <f t="shared" si="403"/>
        <v>150095</v>
      </c>
      <c r="AC611" s="134">
        <f t="shared" si="48"/>
        <v>0.26000000000931323</v>
      </c>
      <c r="AD611" s="125"/>
      <c r="AE611" s="135">
        <f t="shared" si="13"/>
        <v>1.0330000000000001E-3</v>
      </c>
      <c r="AF611" s="136">
        <f t="shared" si="14"/>
        <v>0</v>
      </c>
      <c r="AG611" s="137" t="s">
        <v>416</v>
      </c>
      <c r="AH611" s="124"/>
    </row>
    <row r="612" spans="1:34" ht="12" customHeight="1">
      <c r="A612" s="155">
        <v>44712</v>
      </c>
      <c r="B612" s="112" t="s">
        <v>308</v>
      </c>
      <c r="C612" s="127" t="s">
        <v>485</v>
      </c>
      <c r="D612" s="112"/>
      <c r="E612" s="112" t="str">
        <f t="shared" si="0"/>
        <v>INEOSSTYRO</v>
      </c>
      <c r="F612" s="112"/>
      <c r="G612" s="112"/>
      <c r="H612" s="112"/>
      <c r="I612" s="127" t="s">
        <v>461</v>
      </c>
      <c r="J612" s="126" t="s">
        <v>483</v>
      </c>
      <c r="K612" s="127"/>
      <c r="L612" s="127"/>
      <c r="M612" s="128">
        <v>25</v>
      </c>
      <c r="N612" s="129">
        <v>908</v>
      </c>
      <c r="O612" s="130">
        <f t="shared" si="39"/>
        <v>0</v>
      </c>
      <c r="P612" s="130">
        <f t="shared" si="525"/>
        <v>908</v>
      </c>
      <c r="Q612" s="130"/>
      <c r="R612" s="130">
        <f t="shared" si="3"/>
        <v>22700</v>
      </c>
      <c r="S612" s="131">
        <f t="shared" si="4"/>
        <v>0.93799999999999994</v>
      </c>
      <c r="T612" s="131">
        <f t="shared" si="75"/>
        <v>0</v>
      </c>
      <c r="U612" s="131">
        <f t="shared" si="36"/>
        <v>0.11</v>
      </c>
      <c r="V612" s="131">
        <f t="shared" si="524"/>
        <v>22.7</v>
      </c>
      <c r="W612" s="131">
        <v>0</v>
      </c>
      <c r="X612" s="131">
        <f t="shared" si="506"/>
        <v>0.62</v>
      </c>
      <c r="Y612" s="131">
        <f t="shared" si="218"/>
        <v>0.02</v>
      </c>
      <c r="Z612" s="131">
        <f t="shared" si="10"/>
        <v>23.45</v>
      </c>
      <c r="AA612" s="132">
        <f t="shared" si="526"/>
        <v>22676.55</v>
      </c>
      <c r="AB612" s="133">
        <f t="shared" si="403"/>
        <v>22677</v>
      </c>
      <c r="AC612" s="134">
        <f t="shared" si="48"/>
        <v>0.4500000000007276</v>
      </c>
      <c r="AD612" s="125"/>
      <c r="AE612" s="135">
        <f t="shared" si="13"/>
        <v>1.0330000000000001E-3</v>
      </c>
      <c r="AF612" s="136">
        <f t="shared" si="14"/>
        <v>0</v>
      </c>
      <c r="AG612" s="137" t="s">
        <v>416</v>
      </c>
      <c r="AH612" s="124"/>
    </row>
    <row r="613" spans="1:34" ht="12" customHeight="1">
      <c r="A613" s="155">
        <v>44714</v>
      </c>
      <c r="B613" s="112" t="s">
        <v>308</v>
      </c>
      <c r="C613" s="127" t="s">
        <v>485</v>
      </c>
      <c r="D613" s="112"/>
      <c r="E613" s="112" t="str">
        <f t="shared" si="0"/>
        <v>INEOSSTYRO</v>
      </c>
      <c r="F613" s="112"/>
      <c r="G613" s="112"/>
      <c r="H613" s="112"/>
      <c r="I613" s="127" t="s">
        <v>461</v>
      </c>
      <c r="J613" s="126" t="s">
        <v>483</v>
      </c>
      <c r="K613" s="127"/>
      <c r="L613" s="127"/>
      <c r="M613" s="128">
        <v>25</v>
      </c>
      <c r="N613" s="129">
        <v>927</v>
      </c>
      <c r="O613" s="130">
        <f t="shared" si="39"/>
        <v>0</v>
      </c>
      <c r="P613" s="130">
        <f t="shared" si="525"/>
        <v>927</v>
      </c>
      <c r="Q613" s="130"/>
      <c r="R613" s="130">
        <f t="shared" si="3"/>
        <v>23175</v>
      </c>
      <c r="S613" s="131">
        <f t="shared" si="4"/>
        <v>0.95840000000000003</v>
      </c>
      <c r="T613" s="131">
        <f t="shared" si="75"/>
        <v>0</v>
      </c>
      <c r="U613" s="131">
        <f t="shared" si="36"/>
        <v>0.12</v>
      </c>
      <c r="V613" s="131">
        <f t="shared" si="524"/>
        <v>23.18</v>
      </c>
      <c r="W613" s="131">
        <v>0</v>
      </c>
      <c r="X613" s="131">
        <f t="shared" si="506"/>
        <v>0.64</v>
      </c>
      <c r="Y613" s="131">
        <f t="shared" si="218"/>
        <v>0.02</v>
      </c>
      <c r="Z613" s="131">
        <f t="shared" si="10"/>
        <v>23.96</v>
      </c>
      <c r="AA613" s="132">
        <f t="shared" si="526"/>
        <v>23151.040000000001</v>
      </c>
      <c r="AB613" s="133">
        <f t="shared" si="403"/>
        <v>23151</v>
      </c>
      <c r="AC613" s="134">
        <f t="shared" si="48"/>
        <v>-4.0000000000873115E-2</v>
      </c>
      <c r="AD613" s="125"/>
      <c r="AE613" s="135">
        <f t="shared" si="13"/>
        <v>1.034E-3</v>
      </c>
      <c r="AF613" s="136">
        <f t="shared" si="14"/>
        <v>0</v>
      </c>
      <c r="AG613" s="137" t="s">
        <v>416</v>
      </c>
      <c r="AH613" s="124"/>
    </row>
    <row r="614" spans="1:34" ht="12" customHeight="1">
      <c r="A614" s="154">
        <v>44715</v>
      </c>
      <c r="B614" s="140" t="s">
        <v>589</v>
      </c>
      <c r="C614" s="141" t="s">
        <v>460</v>
      </c>
      <c r="D614" s="140"/>
      <c r="E614" s="140" t="str">
        <f t="shared" si="0"/>
        <v>DCMSHRIRAM</v>
      </c>
      <c r="F614" s="140"/>
      <c r="G614" s="140"/>
      <c r="H614" s="140"/>
      <c r="I614" s="141" t="s">
        <v>467</v>
      </c>
      <c r="J614" s="139" t="s">
        <v>483</v>
      </c>
      <c r="K614" s="141"/>
      <c r="L614" s="141"/>
      <c r="M614" s="142">
        <v>100</v>
      </c>
      <c r="N614" s="143">
        <v>1010.7615</v>
      </c>
      <c r="O614" s="144">
        <f t="shared" si="39"/>
        <v>0</v>
      </c>
      <c r="P614" s="144">
        <f t="shared" ref="P614:P615" si="527">N614+O614</f>
        <v>1010.7615</v>
      </c>
      <c r="Q614" s="144"/>
      <c r="R614" s="144">
        <f t="shared" si="3"/>
        <v>101076.15</v>
      </c>
      <c r="S614" s="145">
        <f t="shared" si="4"/>
        <v>1.1961999999999999</v>
      </c>
      <c r="T614" s="145">
        <f t="shared" si="75"/>
        <v>0</v>
      </c>
      <c r="U614" s="145">
        <f t="shared" si="36"/>
        <v>0.5</v>
      </c>
      <c r="V614" s="145">
        <f t="shared" si="524"/>
        <v>101.08</v>
      </c>
      <c r="W614" s="145">
        <f t="shared" ref="W614:W615" si="528">ROUND(R614*F$1823,2)</f>
        <v>15.16</v>
      </c>
      <c r="X614" s="145">
        <f t="shared" si="506"/>
        <v>2.78</v>
      </c>
      <c r="Y614" s="145">
        <f t="shared" si="218"/>
        <v>0.1</v>
      </c>
      <c r="Z614" s="146">
        <f t="shared" si="10"/>
        <v>119.61999999999999</v>
      </c>
      <c r="AA614" s="147">
        <f t="shared" ref="AA614:AA615" si="529">-ROUND(R614+SUM(T614:Y614),2)</f>
        <v>-101195.77</v>
      </c>
      <c r="AB614" s="148">
        <f t="shared" si="403"/>
        <v>-101196</v>
      </c>
      <c r="AC614" s="149">
        <f t="shared" si="48"/>
        <v>-0.22999999999592546</v>
      </c>
      <c r="AD614" s="138"/>
      <c r="AE614" s="150">
        <f t="shared" si="13"/>
        <v>1.183E-3</v>
      </c>
      <c r="AF614" s="151">
        <f t="shared" si="14"/>
        <v>0</v>
      </c>
      <c r="AG614" s="152" t="s">
        <v>416</v>
      </c>
      <c r="AH614" s="124"/>
    </row>
    <row r="615" spans="1:34" ht="12" customHeight="1">
      <c r="A615" s="154">
        <v>44719</v>
      </c>
      <c r="B615" s="140" t="s">
        <v>589</v>
      </c>
      <c r="C615" s="141" t="s">
        <v>460</v>
      </c>
      <c r="D615" s="140"/>
      <c r="E615" s="140" t="str">
        <f t="shared" si="0"/>
        <v>DCMSHRIRAM</v>
      </c>
      <c r="F615" s="140"/>
      <c r="G615" s="140"/>
      <c r="H615" s="140"/>
      <c r="I615" s="141" t="s">
        <v>467</v>
      </c>
      <c r="J615" s="139" t="s">
        <v>483</v>
      </c>
      <c r="K615" s="141"/>
      <c r="L615" s="141"/>
      <c r="M615" s="142">
        <v>50</v>
      </c>
      <c r="N615" s="143">
        <v>982</v>
      </c>
      <c r="O615" s="144">
        <f t="shared" si="39"/>
        <v>0</v>
      </c>
      <c r="P615" s="144">
        <f t="shared" si="527"/>
        <v>982</v>
      </c>
      <c r="Q615" s="144"/>
      <c r="R615" s="144">
        <f t="shared" si="3"/>
        <v>49100</v>
      </c>
      <c r="S615" s="145">
        <f t="shared" si="4"/>
        <v>1.1621999999999999</v>
      </c>
      <c r="T615" s="145">
        <f t="shared" si="75"/>
        <v>0</v>
      </c>
      <c r="U615" s="145">
        <f t="shared" si="36"/>
        <v>0.24</v>
      </c>
      <c r="V615" s="145">
        <f t="shared" si="524"/>
        <v>49.1</v>
      </c>
      <c r="W615" s="145">
        <f t="shared" si="528"/>
        <v>7.37</v>
      </c>
      <c r="X615" s="145">
        <f t="shared" si="506"/>
        <v>1.35</v>
      </c>
      <c r="Y615" s="145">
        <f t="shared" si="218"/>
        <v>0.05</v>
      </c>
      <c r="Z615" s="146">
        <f t="shared" si="10"/>
        <v>58.11</v>
      </c>
      <c r="AA615" s="147">
        <f t="shared" si="529"/>
        <v>-49158.11</v>
      </c>
      <c r="AB615" s="148">
        <f t="shared" si="403"/>
        <v>-49158</v>
      </c>
      <c r="AC615" s="149">
        <f t="shared" si="48"/>
        <v>0.11000000000058208</v>
      </c>
      <c r="AD615" s="138"/>
      <c r="AE615" s="150">
        <f t="shared" si="13"/>
        <v>1.1839999999999999E-3</v>
      </c>
      <c r="AF615" s="151">
        <f t="shared" si="14"/>
        <v>0</v>
      </c>
      <c r="AG615" s="152" t="s">
        <v>416</v>
      </c>
      <c r="AH615" s="124"/>
    </row>
    <row r="616" spans="1:34" ht="12" customHeight="1">
      <c r="A616" s="155">
        <v>44720</v>
      </c>
      <c r="B616" s="112" t="s">
        <v>589</v>
      </c>
      <c r="C616" s="127" t="s">
        <v>460</v>
      </c>
      <c r="D616" s="112"/>
      <c r="E616" s="112" t="str">
        <f t="shared" si="0"/>
        <v>DCMSHRIRAM</v>
      </c>
      <c r="F616" s="112"/>
      <c r="G616" s="112"/>
      <c r="H616" s="112"/>
      <c r="I616" s="127" t="s">
        <v>461</v>
      </c>
      <c r="J616" s="126" t="s">
        <v>483</v>
      </c>
      <c r="K616" s="127"/>
      <c r="L616" s="127"/>
      <c r="M616" s="128">
        <v>50</v>
      </c>
      <c r="N616" s="129">
        <v>989</v>
      </c>
      <c r="O616" s="130">
        <f t="shared" si="39"/>
        <v>0</v>
      </c>
      <c r="P616" s="130">
        <f>N616-O616</f>
        <v>989</v>
      </c>
      <c r="Q616" s="130"/>
      <c r="R616" s="130">
        <f t="shared" si="3"/>
        <v>49450</v>
      </c>
      <c r="S616" s="131">
        <f t="shared" si="4"/>
        <v>1.022</v>
      </c>
      <c r="T616" s="131">
        <f t="shared" si="75"/>
        <v>0</v>
      </c>
      <c r="U616" s="131">
        <f t="shared" si="36"/>
        <v>0.24</v>
      </c>
      <c r="V616" s="131">
        <f t="shared" si="524"/>
        <v>49.45</v>
      </c>
      <c r="W616" s="131">
        <v>0</v>
      </c>
      <c r="X616" s="131">
        <f t="shared" si="506"/>
        <v>1.36</v>
      </c>
      <c r="Y616" s="131">
        <f t="shared" si="218"/>
        <v>0.05</v>
      </c>
      <c r="Z616" s="131">
        <f t="shared" si="10"/>
        <v>51.1</v>
      </c>
      <c r="AA616" s="132">
        <f>ROUND(R616-SUM(T616:Y616),2)</f>
        <v>49398.9</v>
      </c>
      <c r="AB616" s="133">
        <f t="shared" si="403"/>
        <v>49399</v>
      </c>
      <c r="AC616" s="134">
        <f t="shared" si="48"/>
        <v>9.9999999998544808E-2</v>
      </c>
      <c r="AD616" s="125"/>
      <c r="AE616" s="135">
        <f t="shared" si="13"/>
        <v>1.0330000000000001E-3</v>
      </c>
      <c r="AF616" s="136">
        <f t="shared" si="14"/>
        <v>0</v>
      </c>
      <c r="AG616" s="137" t="s">
        <v>416</v>
      </c>
      <c r="AH616" s="124"/>
    </row>
    <row r="617" spans="1:34" ht="12" customHeight="1">
      <c r="A617" s="154">
        <v>44721</v>
      </c>
      <c r="B617" s="140" t="s">
        <v>589</v>
      </c>
      <c r="C617" s="141" t="s">
        <v>460</v>
      </c>
      <c r="D617" s="140"/>
      <c r="E617" s="140" t="str">
        <f t="shared" si="0"/>
        <v>DCMSHRIRAM</v>
      </c>
      <c r="F617" s="140"/>
      <c r="G617" s="140"/>
      <c r="H617" s="140"/>
      <c r="I617" s="141" t="s">
        <v>467</v>
      </c>
      <c r="J617" s="139" t="s">
        <v>483</v>
      </c>
      <c r="K617" s="141"/>
      <c r="L617" s="141"/>
      <c r="M617" s="142">
        <v>50</v>
      </c>
      <c r="N617" s="143">
        <v>982.35</v>
      </c>
      <c r="O617" s="144">
        <f t="shared" si="39"/>
        <v>0</v>
      </c>
      <c r="P617" s="144">
        <f t="shared" ref="P617:P618" si="530">N617+O617</f>
        <v>982.35</v>
      </c>
      <c r="Q617" s="144"/>
      <c r="R617" s="144">
        <f t="shared" si="3"/>
        <v>49117.5</v>
      </c>
      <c r="S617" s="145">
        <f t="shared" si="4"/>
        <v>1.1625999999999999</v>
      </c>
      <c r="T617" s="145">
        <f t="shared" si="75"/>
        <v>0</v>
      </c>
      <c r="U617" s="145">
        <f t="shared" si="36"/>
        <v>0.24</v>
      </c>
      <c r="V617" s="145">
        <f t="shared" si="524"/>
        <v>49.12</v>
      </c>
      <c r="W617" s="145">
        <f t="shared" ref="W617:W618" si="531">ROUND(R617*F$1823,2)</f>
        <v>7.37</v>
      </c>
      <c r="X617" s="145">
        <f t="shared" si="506"/>
        <v>1.35</v>
      </c>
      <c r="Y617" s="145">
        <f t="shared" si="218"/>
        <v>0.05</v>
      </c>
      <c r="Z617" s="146">
        <f t="shared" si="10"/>
        <v>58.129999999999995</v>
      </c>
      <c r="AA617" s="147">
        <f t="shared" ref="AA617:AA618" si="532">-ROUND(R617+SUM(T617:Y617),2)</f>
        <v>-49175.63</v>
      </c>
      <c r="AB617" s="148">
        <f t="shared" si="403"/>
        <v>-49176</v>
      </c>
      <c r="AC617" s="149">
        <f t="shared" si="48"/>
        <v>-0.37000000000261934</v>
      </c>
      <c r="AD617" s="138"/>
      <c r="AE617" s="150">
        <f t="shared" si="13"/>
        <v>1.183E-3</v>
      </c>
      <c r="AF617" s="151">
        <f t="shared" si="14"/>
        <v>0</v>
      </c>
      <c r="AG617" s="152" t="s">
        <v>416</v>
      </c>
      <c r="AH617" s="124"/>
    </row>
    <row r="618" spans="1:34" ht="12" customHeight="1">
      <c r="A618" s="154">
        <v>44725</v>
      </c>
      <c r="B618" s="140" t="s">
        <v>589</v>
      </c>
      <c r="C618" s="141" t="s">
        <v>460</v>
      </c>
      <c r="D618" s="140"/>
      <c r="E618" s="140" t="str">
        <f t="shared" si="0"/>
        <v>DCMSHRIRAM</v>
      </c>
      <c r="F618" s="140"/>
      <c r="G618" s="140"/>
      <c r="H618" s="140"/>
      <c r="I618" s="141" t="s">
        <v>467</v>
      </c>
      <c r="J618" s="139" t="s">
        <v>483</v>
      </c>
      <c r="K618" s="141"/>
      <c r="L618" s="141"/>
      <c r="M618" s="142">
        <v>68</v>
      </c>
      <c r="N618" s="143">
        <v>937.5</v>
      </c>
      <c r="O618" s="144">
        <f t="shared" si="39"/>
        <v>0</v>
      </c>
      <c r="P618" s="144">
        <f t="shared" si="530"/>
        <v>937.5</v>
      </c>
      <c r="Q618" s="144"/>
      <c r="R618" s="144">
        <f t="shared" si="3"/>
        <v>63750</v>
      </c>
      <c r="S618" s="145">
        <f t="shared" si="4"/>
        <v>1.1094117647058823</v>
      </c>
      <c r="T618" s="145">
        <f t="shared" si="75"/>
        <v>0</v>
      </c>
      <c r="U618" s="145">
        <f t="shared" si="36"/>
        <v>0.32</v>
      </c>
      <c r="V618" s="145">
        <f t="shared" si="524"/>
        <v>63.75</v>
      </c>
      <c r="W618" s="145">
        <f t="shared" si="531"/>
        <v>9.56</v>
      </c>
      <c r="X618" s="145">
        <f t="shared" si="506"/>
        <v>1.75</v>
      </c>
      <c r="Y618" s="145">
        <f t="shared" si="218"/>
        <v>0.06</v>
      </c>
      <c r="Z618" s="146">
        <f t="shared" si="10"/>
        <v>75.44</v>
      </c>
      <c r="AA618" s="147">
        <f t="shared" si="532"/>
        <v>-63825.440000000002</v>
      </c>
      <c r="AB618" s="148">
        <f t="shared" si="403"/>
        <v>-63825</v>
      </c>
      <c r="AC618" s="149">
        <f t="shared" si="48"/>
        <v>0.44000000000232831</v>
      </c>
      <c r="AD618" s="138"/>
      <c r="AE618" s="150">
        <f t="shared" si="13"/>
        <v>1.183E-3</v>
      </c>
      <c r="AF618" s="151">
        <f t="shared" si="14"/>
        <v>0</v>
      </c>
      <c r="AG618" s="152" t="s">
        <v>416</v>
      </c>
      <c r="AH618" s="124"/>
    </row>
    <row r="619" spans="1:34" ht="12" customHeight="1">
      <c r="A619" s="155">
        <v>44726</v>
      </c>
      <c r="B619" s="112" t="s">
        <v>572</v>
      </c>
      <c r="C619" s="127" t="s">
        <v>485</v>
      </c>
      <c r="D619" s="112"/>
      <c r="E619" s="112" t="str">
        <f t="shared" si="0"/>
        <v>INSECTICID</v>
      </c>
      <c r="F619" s="112"/>
      <c r="G619" s="112"/>
      <c r="H619" s="112"/>
      <c r="I619" s="127" t="s">
        <v>461</v>
      </c>
      <c r="J619" s="126" t="s">
        <v>483</v>
      </c>
      <c r="K619" s="127"/>
      <c r="L619" s="127"/>
      <c r="M619" s="128">
        <v>4</v>
      </c>
      <c r="N619" s="129">
        <v>822</v>
      </c>
      <c r="O619" s="130">
        <f t="shared" si="39"/>
        <v>0</v>
      </c>
      <c r="P619" s="130">
        <f t="shared" ref="P619:P620" si="533">N619-O619</f>
        <v>822</v>
      </c>
      <c r="Q619" s="130"/>
      <c r="R619" s="130">
        <f t="shared" si="3"/>
        <v>3288</v>
      </c>
      <c r="S619" s="131">
        <f t="shared" si="4"/>
        <v>0.85</v>
      </c>
      <c r="T619" s="131">
        <f t="shared" si="75"/>
        <v>0</v>
      </c>
      <c r="U619" s="131">
        <f t="shared" si="36"/>
        <v>0.02</v>
      </c>
      <c r="V619" s="131">
        <f t="shared" si="524"/>
        <v>3.29</v>
      </c>
      <c r="W619" s="131">
        <v>0</v>
      </c>
      <c r="X619" s="131">
        <f t="shared" si="506"/>
        <v>0.09</v>
      </c>
      <c r="Y619" s="131">
        <f t="shared" si="218"/>
        <v>0</v>
      </c>
      <c r="Z619" s="131">
        <f t="shared" si="10"/>
        <v>3.4</v>
      </c>
      <c r="AA619" s="132">
        <f t="shared" ref="AA619:AA620" si="534">ROUND(R619-SUM(T619:Y619),2)</f>
        <v>3284.6</v>
      </c>
      <c r="AB619" s="133">
        <f t="shared" si="403"/>
        <v>3285</v>
      </c>
      <c r="AC619" s="134">
        <f t="shared" si="48"/>
        <v>0.40000000000009095</v>
      </c>
      <c r="AD619" s="125"/>
      <c r="AE619" s="135">
        <f t="shared" si="13"/>
        <v>1.034E-3</v>
      </c>
      <c r="AF619" s="136">
        <f t="shared" si="14"/>
        <v>0</v>
      </c>
      <c r="AG619" s="137" t="s">
        <v>416</v>
      </c>
      <c r="AH619" s="124"/>
    </row>
    <row r="620" spans="1:34" ht="12" customHeight="1">
      <c r="A620" s="155">
        <v>44727</v>
      </c>
      <c r="B620" s="112" t="s">
        <v>589</v>
      </c>
      <c r="C620" s="127" t="s">
        <v>460</v>
      </c>
      <c r="D620" s="112"/>
      <c r="E620" s="112" t="str">
        <f t="shared" si="0"/>
        <v>DCMSHRIRAM</v>
      </c>
      <c r="F620" s="112"/>
      <c r="G620" s="112"/>
      <c r="H620" s="112"/>
      <c r="I620" s="127" t="s">
        <v>461</v>
      </c>
      <c r="J620" s="126" t="s">
        <v>483</v>
      </c>
      <c r="K620" s="127"/>
      <c r="L620" s="127"/>
      <c r="M620" s="128">
        <v>200</v>
      </c>
      <c r="N620" s="129">
        <v>960.75</v>
      </c>
      <c r="O620" s="130">
        <f t="shared" si="39"/>
        <v>0</v>
      </c>
      <c r="P620" s="130">
        <f t="shared" si="533"/>
        <v>960.75</v>
      </c>
      <c r="Q620" s="130"/>
      <c r="R620" s="130">
        <f t="shared" si="3"/>
        <v>192150</v>
      </c>
      <c r="S620" s="131">
        <f t="shared" si="4"/>
        <v>0.99285000000000001</v>
      </c>
      <c r="T620" s="131">
        <f t="shared" si="75"/>
        <v>0</v>
      </c>
      <c r="U620" s="131">
        <f t="shared" si="36"/>
        <v>0.95</v>
      </c>
      <c r="V620" s="131">
        <f t="shared" si="524"/>
        <v>192.15</v>
      </c>
      <c r="W620" s="131">
        <v>0</v>
      </c>
      <c r="X620" s="131">
        <f t="shared" si="506"/>
        <v>5.28</v>
      </c>
      <c r="Y620" s="131">
        <f t="shared" si="218"/>
        <v>0.19</v>
      </c>
      <c r="Z620" s="131">
        <f t="shared" si="10"/>
        <v>198.57</v>
      </c>
      <c r="AA620" s="132">
        <f t="shared" si="534"/>
        <v>191951.43</v>
      </c>
      <c r="AB620" s="133">
        <f t="shared" si="403"/>
        <v>191951</v>
      </c>
      <c r="AC620" s="134">
        <f t="shared" si="48"/>
        <v>-0.42999999999301508</v>
      </c>
      <c r="AD620" s="125"/>
      <c r="AE620" s="135">
        <f t="shared" si="13"/>
        <v>1.0330000000000001E-3</v>
      </c>
      <c r="AF620" s="136">
        <f t="shared" si="14"/>
        <v>0</v>
      </c>
      <c r="AG620" s="137" t="s">
        <v>416</v>
      </c>
      <c r="AH620" s="124"/>
    </row>
    <row r="621" spans="1:34" ht="12" customHeight="1">
      <c r="A621" s="154">
        <v>44728</v>
      </c>
      <c r="B621" s="140" t="s">
        <v>589</v>
      </c>
      <c r="C621" s="141" t="s">
        <v>460</v>
      </c>
      <c r="D621" s="140"/>
      <c r="E621" s="140" t="str">
        <f t="shared" si="0"/>
        <v>DCMSHRIRAM</v>
      </c>
      <c r="F621" s="140"/>
      <c r="G621" s="140"/>
      <c r="H621" s="140"/>
      <c r="I621" s="141" t="s">
        <v>467</v>
      </c>
      <c r="J621" s="139" t="s">
        <v>483</v>
      </c>
      <c r="K621" s="141"/>
      <c r="L621" s="141"/>
      <c r="M621" s="142">
        <v>215</v>
      </c>
      <c r="N621" s="143">
        <v>961.06809999999996</v>
      </c>
      <c r="O621" s="144">
        <f t="shared" si="39"/>
        <v>0</v>
      </c>
      <c r="P621" s="144">
        <f>N621+O621</f>
        <v>961.06809999999996</v>
      </c>
      <c r="Q621" s="144"/>
      <c r="R621" s="144">
        <f t="shared" si="3"/>
        <v>206629.64</v>
      </c>
      <c r="S621" s="145">
        <f t="shared" si="4"/>
        <v>1.1373488372093024</v>
      </c>
      <c r="T621" s="145">
        <f t="shared" si="75"/>
        <v>0</v>
      </c>
      <c r="U621" s="145">
        <f t="shared" si="36"/>
        <v>1.02</v>
      </c>
      <c r="V621" s="145">
        <f t="shared" si="524"/>
        <v>206.63</v>
      </c>
      <c r="W621" s="145">
        <f>ROUND(R621*F$1823,2)</f>
        <v>30.99</v>
      </c>
      <c r="X621" s="145">
        <f t="shared" si="506"/>
        <v>5.68</v>
      </c>
      <c r="Y621" s="145">
        <f t="shared" si="218"/>
        <v>0.21</v>
      </c>
      <c r="Z621" s="146">
        <f t="shared" si="10"/>
        <v>244.53000000000003</v>
      </c>
      <c r="AA621" s="147">
        <f>-ROUND(R621+SUM(T621:Y621),2)</f>
        <v>-206874.17</v>
      </c>
      <c r="AB621" s="148">
        <f t="shared" si="403"/>
        <v>-206874</v>
      </c>
      <c r="AC621" s="149">
        <f t="shared" si="48"/>
        <v>0.17000000001280569</v>
      </c>
      <c r="AD621" s="138"/>
      <c r="AE621" s="150">
        <f t="shared" si="13"/>
        <v>1.183E-3</v>
      </c>
      <c r="AF621" s="151">
        <f t="shared" si="14"/>
        <v>0</v>
      </c>
      <c r="AG621" s="152" t="s">
        <v>416</v>
      </c>
      <c r="AH621" s="124"/>
    </row>
    <row r="622" spans="1:34" ht="12" customHeight="1">
      <c r="A622" s="155">
        <v>44739</v>
      </c>
      <c r="B622" s="112" t="s">
        <v>589</v>
      </c>
      <c r="C622" s="127" t="s">
        <v>460</v>
      </c>
      <c r="D622" s="112"/>
      <c r="E622" s="112" t="str">
        <f t="shared" si="0"/>
        <v>DCMSHRIRAM</v>
      </c>
      <c r="F622" s="112"/>
      <c r="G622" s="112"/>
      <c r="H622" s="112"/>
      <c r="I622" s="127" t="s">
        <v>461</v>
      </c>
      <c r="J622" s="126" t="s">
        <v>483</v>
      </c>
      <c r="K622" s="127"/>
      <c r="L622" s="127"/>
      <c r="M622" s="128">
        <v>50</v>
      </c>
      <c r="N622" s="129">
        <v>947</v>
      </c>
      <c r="O622" s="130">
        <f t="shared" si="39"/>
        <v>0</v>
      </c>
      <c r="P622" s="130">
        <f>N622-O622</f>
        <v>947</v>
      </c>
      <c r="Q622" s="130"/>
      <c r="R622" s="130">
        <f t="shared" si="3"/>
        <v>47350</v>
      </c>
      <c r="S622" s="131">
        <f t="shared" si="4"/>
        <v>0.9785999999999998</v>
      </c>
      <c r="T622" s="131">
        <f t="shared" si="75"/>
        <v>0</v>
      </c>
      <c r="U622" s="131">
        <f t="shared" si="36"/>
        <v>0.23</v>
      </c>
      <c r="V622" s="131">
        <f t="shared" si="524"/>
        <v>47.35</v>
      </c>
      <c r="W622" s="131">
        <v>0</v>
      </c>
      <c r="X622" s="131">
        <f t="shared" si="506"/>
        <v>1.3</v>
      </c>
      <c r="Y622" s="131">
        <f t="shared" si="218"/>
        <v>0.05</v>
      </c>
      <c r="Z622" s="131">
        <f t="shared" si="10"/>
        <v>48.929999999999993</v>
      </c>
      <c r="AA622" s="132">
        <f>ROUND(R622-SUM(T622:Y622),2)</f>
        <v>47301.07</v>
      </c>
      <c r="AB622" s="133">
        <f t="shared" si="403"/>
        <v>47301</v>
      </c>
      <c r="AC622" s="134">
        <f t="shared" si="48"/>
        <v>-6.9999999999708962E-2</v>
      </c>
      <c r="AD622" s="125"/>
      <c r="AE622" s="135">
        <f t="shared" si="13"/>
        <v>1.0330000000000001E-3</v>
      </c>
      <c r="AF622" s="136">
        <f t="shared" si="14"/>
        <v>0</v>
      </c>
      <c r="AG622" s="137" t="s">
        <v>416</v>
      </c>
      <c r="AH622" s="124"/>
    </row>
    <row r="623" spans="1:34" ht="12" customHeight="1">
      <c r="A623" s="160">
        <v>44740</v>
      </c>
      <c r="B623" s="140" t="s">
        <v>625</v>
      </c>
      <c r="C623" s="141" t="s">
        <v>485</v>
      </c>
      <c r="D623" s="140"/>
      <c r="E623" s="140" t="str">
        <f t="shared" si="0"/>
        <v>MATRIMONY</v>
      </c>
      <c r="F623" s="140"/>
      <c r="G623" s="140"/>
      <c r="H623" s="140"/>
      <c r="I623" s="141" t="s">
        <v>467</v>
      </c>
      <c r="J623" s="139" t="s">
        <v>483</v>
      </c>
      <c r="K623" s="141"/>
      <c r="L623" s="141"/>
      <c r="M623" s="142">
        <v>20</v>
      </c>
      <c r="N623" s="143">
        <v>820</v>
      </c>
      <c r="O623" s="144">
        <f t="shared" si="39"/>
        <v>0</v>
      </c>
      <c r="P623" s="144">
        <f t="shared" ref="P623:P624" si="535">N623+O623</f>
        <v>820</v>
      </c>
      <c r="Q623" s="144"/>
      <c r="R623" s="144">
        <f t="shared" si="3"/>
        <v>16400</v>
      </c>
      <c r="S623" s="145">
        <f t="shared" si="4"/>
        <v>0.97049999999999981</v>
      </c>
      <c r="T623" s="145">
        <f t="shared" si="75"/>
        <v>0</v>
      </c>
      <c r="U623" s="145">
        <f t="shared" si="36"/>
        <v>0.08</v>
      </c>
      <c r="V623" s="145">
        <f t="shared" si="524"/>
        <v>16.399999999999999</v>
      </c>
      <c r="W623" s="145">
        <f t="shared" ref="W623:W624" si="536">ROUND(R623*F$1823,2)</f>
        <v>2.46</v>
      </c>
      <c r="X623" s="145">
        <f t="shared" si="506"/>
        <v>0.45</v>
      </c>
      <c r="Y623" s="145">
        <f t="shared" si="218"/>
        <v>0.02</v>
      </c>
      <c r="Z623" s="146">
        <f t="shared" si="10"/>
        <v>19.409999999999997</v>
      </c>
      <c r="AA623" s="147">
        <f t="shared" ref="AA623:AA624" si="537">-ROUND(R623+SUM(T623:Y623),2)</f>
        <v>-16419.41</v>
      </c>
      <c r="AB623" s="148">
        <f t="shared" si="403"/>
        <v>-16419</v>
      </c>
      <c r="AC623" s="149">
        <f t="shared" si="48"/>
        <v>0.40999999999985448</v>
      </c>
      <c r="AD623" s="138"/>
      <c r="AE623" s="150">
        <f t="shared" si="13"/>
        <v>1.1839999999999999E-3</v>
      </c>
      <c r="AF623" s="151">
        <f t="shared" si="14"/>
        <v>0</v>
      </c>
      <c r="AG623" s="152" t="s">
        <v>416</v>
      </c>
      <c r="AH623" s="124"/>
    </row>
    <row r="624" spans="1:34" ht="12" customHeight="1">
      <c r="A624" s="160">
        <v>44741</v>
      </c>
      <c r="B624" s="140" t="s">
        <v>589</v>
      </c>
      <c r="C624" s="141" t="s">
        <v>460</v>
      </c>
      <c r="D624" s="140"/>
      <c r="E624" s="140" t="str">
        <f t="shared" si="0"/>
        <v>DCMSHRIRAM</v>
      </c>
      <c r="F624" s="140"/>
      <c r="G624" s="140"/>
      <c r="H624" s="140"/>
      <c r="I624" s="141" t="s">
        <v>467</v>
      </c>
      <c r="J624" s="139" t="s">
        <v>483</v>
      </c>
      <c r="K624" s="141"/>
      <c r="L624" s="141"/>
      <c r="M624" s="142">
        <v>35</v>
      </c>
      <c r="N624" s="143">
        <v>951</v>
      </c>
      <c r="O624" s="144">
        <f t="shared" si="39"/>
        <v>0</v>
      </c>
      <c r="P624" s="144">
        <f t="shared" si="535"/>
        <v>951</v>
      </c>
      <c r="Q624" s="144"/>
      <c r="R624" s="144">
        <f t="shared" si="3"/>
        <v>33285</v>
      </c>
      <c r="S624" s="145">
        <f t="shared" si="4"/>
        <v>1.1257142857142859</v>
      </c>
      <c r="T624" s="145">
        <f t="shared" si="75"/>
        <v>0</v>
      </c>
      <c r="U624" s="145">
        <f t="shared" si="36"/>
        <v>0.17</v>
      </c>
      <c r="V624" s="145">
        <f t="shared" si="524"/>
        <v>33.29</v>
      </c>
      <c r="W624" s="145">
        <f t="shared" si="536"/>
        <v>4.99</v>
      </c>
      <c r="X624" s="145">
        <f t="shared" si="506"/>
        <v>0.92</v>
      </c>
      <c r="Y624" s="145">
        <f t="shared" si="218"/>
        <v>0.03</v>
      </c>
      <c r="Z624" s="146">
        <f t="shared" si="10"/>
        <v>39.400000000000006</v>
      </c>
      <c r="AA624" s="147">
        <f t="shared" si="537"/>
        <v>-33324.400000000001</v>
      </c>
      <c r="AB624" s="148">
        <f t="shared" si="403"/>
        <v>-33324</v>
      </c>
      <c r="AC624" s="149">
        <f t="shared" si="48"/>
        <v>0.40000000000145519</v>
      </c>
      <c r="AD624" s="138"/>
      <c r="AE624" s="150">
        <f t="shared" si="13"/>
        <v>1.1839999999999999E-3</v>
      </c>
      <c r="AF624" s="151">
        <f t="shared" si="14"/>
        <v>0</v>
      </c>
      <c r="AG624" s="152" t="s">
        <v>416</v>
      </c>
      <c r="AH624" s="124"/>
    </row>
    <row r="625" spans="1:34" ht="12" customHeight="1">
      <c r="A625" s="155">
        <v>44743</v>
      </c>
      <c r="B625" s="112" t="s">
        <v>589</v>
      </c>
      <c r="C625" s="127" t="s">
        <v>460</v>
      </c>
      <c r="D625" s="112"/>
      <c r="E625" s="112" t="str">
        <f t="shared" si="0"/>
        <v>DCMSHRIRAM</v>
      </c>
      <c r="F625" s="112"/>
      <c r="G625" s="112"/>
      <c r="H625" s="112"/>
      <c r="I625" s="127" t="s">
        <v>461</v>
      </c>
      <c r="J625" s="126" t="s">
        <v>483</v>
      </c>
      <c r="K625" s="127"/>
      <c r="L625" s="127"/>
      <c r="M625" s="128">
        <v>38</v>
      </c>
      <c r="N625" s="129">
        <v>946.5</v>
      </c>
      <c r="O625" s="130">
        <f t="shared" si="39"/>
        <v>0</v>
      </c>
      <c r="P625" s="130">
        <f>N625-O625</f>
        <v>946.5</v>
      </c>
      <c r="Q625" s="130"/>
      <c r="R625" s="130">
        <f t="shared" si="3"/>
        <v>35967</v>
      </c>
      <c r="S625" s="131">
        <f t="shared" si="4"/>
        <v>0.97842105263157897</v>
      </c>
      <c r="T625" s="131">
        <f t="shared" si="75"/>
        <v>0</v>
      </c>
      <c r="U625" s="131">
        <f t="shared" si="36"/>
        <v>0.18</v>
      </c>
      <c r="V625" s="131">
        <f t="shared" si="524"/>
        <v>35.97</v>
      </c>
      <c r="W625" s="131">
        <v>0</v>
      </c>
      <c r="X625" s="131">
        <f t="shared" si="506"/>
        <v>0.99</v>
      </c>
      <c r="Y625" s="131">
        <f t="shared" si="218"/>
        <v>0.04</v>
      </c>
      <c r="Z625" s="131">
        <f t="shared" si="10"/>
        <v>37.18</v>
      </c>
      <c r="AA625" s="132">
        <f>ROUND(R625-SUM(T625:Y625),2)</f>
        <v>35929.82</v>
      </c>
      <c r="AB625" s="133">
        <f t="shared" si="403"/>
        <v>35930</v>
      </c>
      <c r="AC625" s="134">
        <f t="shared" si="48"/>
        <v>0.18000000000029104</v>
      </c>
      <c r="AD625" s="125"/>
      <c r="AE625" s="135">
        <f t="shared" si="13"/>
        <v>1.034E-3</v>
      </c>
      <c r="AF625" s="136">
        <f t="shared" si="14"/>
        <v>0</v>
      </c>
      <c r="AG625" s="137" t="s">
        <v>416</v>
      </c>
      <c r="AH625" s="124"/>
    </row>
    <row r="626" spans="1:34" ht="12" customHeight="1">
      <c r="A626" s="160">
        <v>44746</v>
      </c>
      <c r="B626" s="140" t="s">
        <v>589</v>
      </c>
      <c r="C626" s="141" t="s">
        <v>460</v>
      </c>
      <c r="D626" s="140"/>
      <c r="E626" s="140" t="str">
        <f t="shared" si="0"/>
        <v>DCMSHRIRAM</v>
      </c>
      <c r="F626" s="140"/>
      <c r="G626" s="140"/>
      <c r="H626" s="140"/>
      <c r="I626" s="141" t="s">
        <v>467</v>
      </c>
      <c r="J626" s="139" t="s">
        <v>483</v>
      </c>
      <c r="K626" s="141"/>
      <c r="L626" s="141"/>
      <c r="M626" s="142">
        <v>25</v>
      </c>
      <c r="N626" s="143">
        <v>951.25</v>
      </c>
      <c r="O626" s="144">
        <f t="shared" si="39"/>
        <v>0</v>
      </c>
      <c r="P626" s="144">
        <f>N626+O626</f>
        <v>951.25</v>
      </c>
      <c r="Q626" s="144"/>
      <c r="R626" s="144">
        <f t="shared" si="3"/>
        <v>23781.25</v>
      </c>
      <c r="S626" s="145">
        <f t="shared" si="4"/>
        <v>1.1255999999999999</v>
      </c>
      <c r="T626" s="145">
        <f t="shared" si="75"/>
        <v>0</v>
      </c>
      <c r="U626" s="145">
        <f t="shared" si="36"/>
        <v>0.12</v>
      </c>
      <c r="V626" s="145">
        <f t="shared" si="524"/>
        <v>23.78</v>
      </c>
      <c r="W626" s="145">
        <f>ROUND(R626*F$1823,2)</f>
        <v>3.57</v>
      </c>
      <c r="X626" s="145">
        <f t="shared" si="506"/>
        <v>0.65</v>
      </c>
      <c r="Y626" s="145">
        <f t="shared" si="218"/>
        <v>0.02</v>
      </c>
      <c r="Z626" s="146">
        <f t="shared" si="10"/>
        <v>28.14</v>
      </c>
      <c r="AA626" s="147">
        <f>-ROUND(R626+SUM(T626:Y626),2)</f>
        <v>-23809.39</v>
      </c>
      <c r="AB626" s="148">
        <f t="shared" si="403"/>
        <v>-23809</v>
      </c>
      <c r="AC626" s="149">
        <f t="shared" si="48"/>
        <v>0.38999999999941792</v>
      </c>
      <c r="AD626" s="138"/>
      <c r="AE626" s="150">
        <f t="shared" si="13"/>
        <v>1.183E-3</v>
      </c>
      <c r="AF626" s="151">
        <f t="shared" si="14"/>
        <v>0</v>
      </c>
      <c r="AG626" s="152" t="s">
        <v>416</v>
      </c>
      <c r="AH626" s="124"/>
    </row>
    <row r="627" spans="1:34" ht="12" customHeight="1">
      <c r="A627" s="155">
        <v>44747</v>
      </c>
      <c r="B627" s="112" t="s">
        <v>589</v>
      </c>
      <c r="C627" s="127" t="s">
        <v>460</v>
      </c>
      <c r="D627" s="112"/>
      <c r="E627" s="112" t="str">
        <f t="shared" si="0"/>
        <v>DCMSHRIRAM</v>
      </c>
      <c r="F627" s="112"/>
      <c r="G627" s="112"/>
      <c r="H627" s="112"/>
      <c r="I627" s="127" t="s">
        <v>461</v>
      </c>
      <c r="J627" s="126" t="s">
        <v>483</v>
      </c>
      <c r="K627" s="127"/>
      <c r="L627" s="127"/>
      <c r="M627" s="128">
        <v>25</v>
      </c>
      <c r="N627" s="129">
        <v>955</v>
      </c>
      <c r="O627" s="130">
        <f t="shared" si="39"/>
        <v>0</v>
      </c>
      <c r="P627" s="130">
        <f t="shared" ref="P627:P628" si="538">N627-O627</f>
        <v>955</v>
      </c>
      <c r="Q627" s="130"/>
      <c r="R627" s="130">
        <f t="shared" si="3"/>
        <v>23875</v>
      </c>
      <c r="S627" s="131">
        <f t="shared" si="4"/>
        <v>0.98719999999999997</v>
      </c>
      <c r="T627" s="131">
        <f t="shared" si="75"/>
        <v>0</v>
      </c>
      <c r="U627" s="131">
        <f t="shared" si="36"/>
        <v>0.12</v>
      </c>
      <c r="V627" s="131">
        <f t="shared" si="524"/>
        <v>23.88</v>
      </c>
      <c r="W627" s="131">
        <v>0</v>
      </c>
      <c r="X627" s="131">
        <f t="shared" si="506"/>
        <v>0.66</v>
      </c>
      <c r="Y627" s="131">
        <f t="shared" si="218"/>
        <v>0.02</v>
      </c>
      <c r="Z627" s="131">
        <f t="shared" si="10"/>
        <v>24.68</v>
      </c>
      <c r="AA627" s="132">
        <f t="shared" ref="AA627:AA628" si="539">ROUND(R627-SUM(T627:Y627),2)</f>
        <v>23850.32</v>
      </c>
      <c r="AB627" s="133">
        <f t="shared" si="403"/>
        <v>23850</v>
      </c>
      <c r="AC627" s="134">
        <f t="shared" si="48"/>
        <v>-0.31999999999970896</v>
      </c>
      <c r="AD627" s="125"/>
      <c r="AE627" s="135">
        <f t="shared" si="13"/>
        <v>1.034E-3</v>
      </c>
      <c r="AF627" s="136">
        <f t="shared" si="14"/>
        <v>0</v>
      </c>
      <c r="AG627" s="137" t="s">
        <v>416</v>
      </c>
      <c r="AH627" s="124"/>
    </row>
    <row r="628" spans="1:34" ht="12" customHeight="1">
      <c r="A628" s="155">
        <v>44748</v>
      </c>
      <c r="B628" s="112" t="s">
        <v>589</v>
      </c>
      <c r="C628" s="127" t="s">
        <v>460</v>
      </c>
      <c r="D628" s="112"/>
      <c r="E628" s="112" t="str">
        <f t="shared" si="0"/>
        <v>DCMSHRIRAM</v>
      </c>
      <c r="F628" s="112"/>
      <c r="G628" s="112"/>
      <c r="H628" s="112"/>
      <c r="I628" s="127" t="s">
        <v>461</v>
      </c>
      <c r="J628" s="126" t="s">
        <v>483</v>
      </c>
      <c r="K628" s="127"/>
      <c r="L628" s="127"/>
      <c r="M628" s="128">
        <v>100</v>
      </c>
      <c r="N628" s="129">
        <v>961.5</v>
      </c>
      <c r="O628" s="130">
        <f t="shared" si="39"/>
        <v>0</v>
      </c>
      <c r="P628" s="130">
        <f t="shared" si="538"/>
        <v>961.5</v>
      </c>
      <c r="Q628" s="130"/>
      <c r="R628" s="130">
        <f t="shared" si="3"/>
        <v>96150</v>
      </c>
      <c r="S628" s="131">
        <f t="shared" si="4"/>
        <v>0.99370000000000003</v>
      </c>
      <c r="T628" s="131">
        <f t="shared" si="75"/>
        <v>0</v>
      </c>
      <c r="U628" s="131">
        <f t="shared" si="36"/>
        <v>0.48</v>
      </c>
      <c r="V628" s="131">
        <f t="shared" si="524"/>
        <v>96.15</v>
      </c>
      <c r="W628" s="131">
        <v>0</v>
      </c>
      <c r="X628" s="131">
        <f t="shared" si="506"/>
        <v>2.64</v>
      </c>
      <c r="Y628" s="131">
        <f t="shared" si="218"/>
        <v>0.1</v>
      </c>
      <c r="Z628" s="131">
        <f t="shared" si="10"/>
        <v>99.37</v>
      </c>
      <c r="AA628" s="132">
        <f t="shared" si="539"/>
        <v>96050.63</v>
      </c>
      <c r="AB628" s="133">
        <f t="shared" si="403"/>
        <v>96051</v>
      </c>
      <c r="AC628" s="134">
        <f t="shared" si="48"/>
        <v>0.36999999999534339</v>
      </c>
      <c r="AD628" s="125"/>
      <c r="AE628" s="135">
        <f t="shared" si="13"/>
        <v>1.0330000000000001E-3</v>
      </c>
      <c r="AF628" s="136">
        <f t="shared" si="14"/>
        <v>0</v>
      </c>
      <c r="AG628" s="137" t="s">
        <v>416</v>
      </c>
      <c r="AH628" s="124"/>
    </row>
    <row r="629" spans="1:34" ht="12" customHeight="1">
      <c r="A629" s="160">
        <v>44749</v>
      </c>
      <c r="B629" s="140" t="s">
        <v>625</v>
      </c>
      <c r="C629" s="141" t="s">
        <v>485</v>
      </c>
      <c r="D629" s="140"/>
      <c r="E629" s="140" t="str">
        <f t="shared" si="0"/>
        <v>MATRIMONY</v>
      </c>
      <c r="F629" s="140"/>
      <c r="G629" s="140"/>
      <c r="H629" s="140"/>
      <c r="I629" s="141" t="s">
        <v>467</v>
      </c>
      <c r="J629" s="139" t="s">
        <v>483</v>
      </c>
      <c r="K629" s="141"/>
      <c r="L629" s="141"/>
      <c r="M629" s="142">
        <v>20</v>
      </c>
      <c r="N629" s="143">
        <v>768</v>
      </c>
      <c r="O629" s="144">
        <f t="shared" si="39"/>
        <v>0</v>
      </c>
      <c r="P629" s="144">
        <f>N629+O629</f>
        <v>768</v>
      </c>
      <c r="Q629" s="144"/>
      <c r="R629" s="144">
        <f t="shared" si="3"/>
        <v>15360</v>
      </c>
      <c r="S629" s="145">
        <f t="shared" si="4"/>
        <v>0.90900000000000003</v>
      </c>
      <c r="T629" s="145">
        <f t="shared" si="75"/>
        <v>0</v>
      </c>
      <c r="U629" s="145">
        <f t="shared" si="36"/>
        <v>0.08</v>
      </c>
      <c r="V629" s="145">
        <f t="shared" si="524"/>
        <v>15.36</v>
      </c>
      <c r="W629" s="145">
        <f>ROUND(R629*F$1823,2)</f>
        <v>2.2999999999999998</v>
      </c>
      <c r="X629" s="145">
        <f t="shared" si="506"/>
        <v>0.42</v>
      </c>
      <c r="Y629" s="145">
        <f t="shared" si="218"/>
        <v>0.02</v>
      </c>
      <c r="Z629" s="146">
        <f t="shared" si="10"/>
        <v>18.18</v>
      </c>
      <c r="AA629" s="147">
        <f>-ROUND(R629+SUM(T629:Y629),2)</f>
        <v>-15378.18</v>
      </c>
      <c r="AB629" s="148">
        <f t="shared" si="403"/>
        <v>-15378</v>
      </c>
      <c r="AC629" s="149">
        <f t="shared" si="48"/>
        <v>0.18000000000029104</v>
      </c>
      <c r="AD629" s="138"/>
      <c r="AE629" s="150">
        <f t="shared" si="13"/>
        <v>1.1839999999999999E-3</v>
      </c>
      <c r="AF629" s="151">
        <f t="shared" si="14"/>
        <v>0</v>
      </c>
      <c r="AG629" s="152" t="s">
        <v>416</v>
      </c>
      <c r="AH629" s="124"/>
    </row>
    <row r="630" spans="1:34" ht="12" customHeight="1">
      <c r="A630" s="155">
        <v>44749</v>
      </c>
      <c r="B630" s="112" t="s">
        <v>308</v>
      </c>
      <c r="C630" s="127" t="s">
        <v>485</v>
      </c>
      <c r="D630" s="112"/>
      <c r="E630" s="112" t="str">
        <f t="shared" si="0"/>
        <v>INEOSSTYRO</v>
      </c>
      <c r="F630" s="112"/>
      <c r="G630" s="112"/>
      <c r="H630" s="112"/>
      <c r="I630" s="127" t="s">
        <v>461</v>
      </c>
      <c r="J630" s="126" t="s">
        <v>483</v>
      </c>
      <c r="K630" s="127"/>
      <c r="L630" s="127"/>
      <c r="M630" s="128">
        <v>20</v>
      </c>
      <c r="N630" s="129">
        <v>809.04</v>
      </c>
      <c r="O630" s="130">
        <f t="shared" si="39"/>
        <v>0</v>
      </c>
      <c r="P630" s="130">
        <f>N630-O630</f>
        <v>809.04</v>
      </c>
      <c r="Q630" s="130"/>
      <c r="R630" s="130">
        <f t="shared" si="3"/>
        <v>16180.8</v>
      </c>
      <c r="S630" s="131">
        <f t="shared" si="4"/>
        <v>0.83599999999999997</v>
      </c>
      <c r="T630" s="131">
        <f t="shared" si="75"/>
        <v>0</v>
      </c>
      <c r="U630" s="131">
        <f t="shared" si="36"/>
        <v>0.08</v>
      </c>
      <c r="V630" s="131">
        <f t="shared" si="524"/>
        <v>16.18</v>
      </c>
      <c r="W630" s="131">
        <v>0</v>
      </c>
      <c r="X630" s="131">
        <f t="shared" si="506"/>
        <v>0.44</v>
      </c>
      <c r="Y630" s="131">
        <f t="shared" si="218"/>
        <v>0.02</v>
      </c>
      <c r="Z630" s="131">
        <f t="shared" si="10"/>
        <v>16.72</v>
      </c>
      <c r="AA630" s="132">
        <f>ROUND(R630-SUM(T630:Y630),2)</f>
        <v>16164.08</v>
      </c>
      <c r="AB630" s="133">
        <f t="shared" si="403"/>
        <v>16164</v>
      </c>
      <c r="AC630" s="134">
        <f t="shared" si="48"/>
        <v>-7.999999999992724E-2</v>
      </c>
      <c r="AD630" s="125"/>
      <c r="AE630" s="135">
        <f t="shared" si="13"/>
        <v>1.0330000000000001E-3</v>
      </c>
      <c r="AF630" s="136">
        <f t="shared" si="14"/>
        <v>0</v>
      </c>
      <c r="AG630" s="137" t="s">
        <v>416</v>
      </c>
      <c r="AH630" s="124"/>
    </row>
    <row r="631" spans="1:34" ht="12" customHeight="1">
      <c r="A631" s="160">
        <v>44749</v>
      </c>
      <c r="B631" s="140" t="s">
        <v>589</v>
      </c>
      <c r="C631" s="141" t="s">
        <v>460</v>
      </c>
      <c r="D631" s="140"/>
      <c r="E631" s="140" t="str">
        <f t="shared" si="0"/>
        <v>DCMSHRIRAM</v>
      </c>
      <c r="F631" s="140"/>
      <c r="G631" s="140"/>
      <c r="H631" s="140"/>
      <c r="I631" s="141" t="s">
        <v>467</v>
      </c>
      <c r="J631" s="139" t="s">
        <v>483</v>
      </c>
      <c r="K631" s="141"/>
      <c r="L631" s="141"/>
      <c r="M631" s="142">
        <v>50</v>
      </c>
      <c r="N631" s="143">
        <v>956.5</v>
      </c>
      <c r="O631" s="144">
        <f t="shared" si="39"/>
        <v>0</v>
      </c>
      <c r="P631" s="144">
        <f t="shared" ref="P631:P633" si="540">N631+O631</f>
        <v>956.5</v>
      </c>
      <c r="Q631" s="144"/>
      <c r="R631" s="144">
        <f t="shared" si="3"/>
        <v>47825</v>
      </c>
      <c r="S631" s="145">
        <f t="shared" si="4"/>
        <v>1.1322000000000001</v>
      </c>
      <c r="T631" s="145">
        <f t="shared" si="75"/>
        <v>0</v>
      </c>
      <c r="U631" s="145">
        <f t="shared" si="36"/>
        <v>0.24</v>
      </c>
      <c r="V631" s="145">
        <f t="shared" si="524"/>
        <v>47.83</v>
      </c>
      <c r="W631" s="145">
        <f t="shared" ref="W631:W633" si="541">ROUND(R631*F$1823,2)</f>
        <v>7.17</v>
      </c>
      <c r="X631" s="145">
        <f t="shared" si="506"/>
        <v>1.32</v>
      </c>
      <c r="Y631" s="145">
        <f t="shared" si="218"/>
        <v>0.05</v>
      </c>
      <c r="Z631" s="146">
        <f t="shared" si="10"/>
        <v>56.61</v>
      </c>
      <c r="AA631" s="147">
        <f t="shared" ref="AA631:AA633" si="542">-ROUND(R631+SUM(T631:Y631),2)</f>
        <v>-47881.61</v>
      </c>
      <c r="AB631" s="148">
        <f t="shared" si="403"/>
        <v>-47882</v>
      </c>
      <c r="AC631" s="149">
        <f t="shared" si="48"/>
        <v>-0.38999999999941792</v>
      </c>
      <c r="AD631" s="138"/>
      <c r="AE631" s="150">
        <f t="shared" si="13"/>
        <v>1.1839999999999999E-3</v>
      </c>
      <c r="AF631" s="151">
        <f t="shared" si="14"/>
        <v>0</v>
      </c>
      <c r="AG631" s="152" t="s">
        <v>416</v>
      </c>
      <c r="AH631" s="124"/>
    </row>
    <row r="632" spans="1:34" ht="12" customHeight="1">
      <c r="A632" s="160">
        <v>44750</v>
      </c>
      <c r="B632" s="140" t="s">
        <v>589</v>
      </c>
      <c r="C632" s="141" t="s">
        <v>460</v>
      </c>
      <c r="D632" s="140"/>
      <c r="E632" s="140" t="str">
        <f t="shared" si="0"/>
        <v>DCMSHRIRAM</v>
      </c>
      <c r="F632" s="140"/>
      <c r="G632" s="140"/>
      <c r="H632" s="140"/>
      <c r="I632" s="141" t="s">
        <v>467</v>
      </c>
      <c r="J632" s="139" t="s">
        <v>483</v>
      </c>
      <c r="K632" s="141"/>
      <c r="L632" s="141"/>
      <c r="M632" s="142">
        <v>50</v>
      </c>
      <c r="N632" s="143">
        <v>951.34</v>
      </c>
      <c r="O632" s="144">
        <f t="shared" si="39"/>
        <v>0</v>
      </c>
      <c r="P632" s="144">
        <f t="shared" si="540"/>
        <v>951.34</v>
      </c>
      <c r="Q632" s="144"/>
      <c r="R632" s="144">
        <f t="shared" si="3"/>
        <v>47567</v>
      </c>
      <c r="S632" s="145">
        <f t="shared" si="4"/>
        <v>1.1262000000000001</v>
      </c>
      <c r="T632" s="145">
        <f t="shared" si="75"/>
        <v>0</v>
      </c>
      <c r="U632" s="145">
        <f t="shared" si="36"/>
        <v>0.24</v>
      </c>
      <c r="V632" s="145">
        <f t="shared" si="524"/>
        <v>47.57</v>
      </c>
      <c r="W632" s="145">
        <f t="shared" si="541"/>
        <v>7.14</v>
      </c>
      <c r="X632" s="145">
        <f t="shared" si="506"/>
        <v>1.31</v>
      </c>
      <c r="Y632" s="145">
        <f t="shared" si="218"/>
        <v>0.05</v>
      </c>
      <c r="Z632" s="146">
        <f t="shared" si="10"/>
        <v>56.31</v>
      </c>
      <c r="AA632" s="147">
        <f t="shared" si="542"/>
        <v>-47623.31</v>
      </c>
      <c r="AB632" s="148">
        <f t="shared" si="403"/>
        <v>-47623</v>
      </c>
      <c r="AC632" s="149">
        <f t="shared" si="48"/>
        <v>0.30999999999767169</v>
      </c>
      <c r="AD632" s="138"/>
      <c r="AE632" s="150">
        <f t="shared" si="13"/>
        <v>1.1839999999999999E-3</v>
      </c>
      <c r="AF632" s="151">
        <f t="shared" si="14"/>
        <v>0</v>
      </c>
      <c r="AG632" s="152" t="s">
        <v>416</v>
      </c>
      <c r="AH632" s="124"/>
    </row>
    <row r="633" spans="1:34" ht="12" customHeight="1">
      <c r="A633" s="160">
        <v>44750</v>
      </c>
      <c r="B633" s="140" t="s">
        <v>625</v>
      </c>
      <c r="C633" s="141" t="s">
        <v>485</v>
      </c>
      <c r="D633" s="140"/>
      <c r="E633" s="140" t="str">
        <f t="shared" si="0"/>
        <v>MATRIMONY</v>
      </c>
      <c r="F633" s="140"/>
      <c r="G633" s="140"/>
      <c r="H633" s="140"/>
      <c r="I633" s="141" t="s">
        <v>467</v>
      </c>
      <c r="J633" s="139" t="s">
        <v>483</v>
      </c>
      <c r="K633" s="141"/>
      <c r="L633" s="141"/>
      <c r="M633" s="142">
        <v>20</v>
      </c>
      <c r="N633" s="143">
        <v>770</v>
      </c>
      <c r="O633" s="144">
        <f t="shared" si="39"/>
        <v>0</v>
      </c>
      <c r="P633" s="144">
        <f t="shared" si="540"/>
        <v>770</v>
      </c>
      <c r="Q633" s="144"/>
      <c r="R633" s="144">
        <f t="shared" si="3"/>
        <v>15400</v>
      </c>
      <c r="S633" s="145">
        <f t="shared" si="4"/>
        <v>0.91149999999999998</v>
      </c>
      <c r="T633" s="145">
        <f t="shared" si="75"/>
        <v>0</v>
      </c>
      <c r="U633" s="145">
        <f t="shared" si="36"/>
        <v>0.08</v>
      </c>
      <c r="V633" s="145">
        <f t="shared" si="524"/>
        <v>15.4</v>
      </c>
      <c r="W633" s="145">
        <f t="shared" si="541"/>
        <v>2.31</v>
      </c>
      <c r="X633" s="145">
        <f t="shared" si="506"/>
        <v>0.42</v>
      </c>
      <c r="Y633" s="145">
        <f t="shared" si="218"/>
        <v>0.02</v>
      </c>
      <c r="Z633" s="146">
        <f t="shared" si="10"/>
        <v>18.23</v>
      </c>
      <c r="AA633" s="147">
        <f t="shared" si="542"/>
        <v>-15418.23</v>
      </c>
      <c r="AB633" s="148">
        <f t="shared" si="403"/>
        <v>-15418</v>
      </c>
      <c r="AC633" s="149">
        <f t="shared" si="48"/>
        <v>0.22999999999956344</v>
      </c>
      <c r="AD633" s="138"/>
      <c r="AE633" s="150">
        <f t="shared" si="13"/>
        <v>1.1839999999999999E-3</v>
      </c>
      <c r="AF633" s="151">
        <f t="shared" si="14"/>
        <v>0</v>
      </c>
      <c r="AG633" s="152" t="s">
        <v>416</v>
      </c>
      <c r="AH633" s="124"/>
    </row>
    <row r="634" spans="1:34" ht="12" customHeight="1">
      <c r="A634" s="155">
        <v>44750</v>
      </c>
      <c r="B634" s="112" t="s">
        <v>308</v>
      </c>
      <c r="C634" s="127" t="s">
        <v>485</v>
      </c>
      <c r="D634" s="112"/>
      <c r="E634" s="112" t="str">
        <f t="shared" si="0"/>
        <v>INEOSSTYRO</v>
      </c>
      <c r="F634" s="112"/>
      <c r="G634" s="112"/>
      <c r="H634" s="112"/>
      <c r="I634" s="127" t="s">
        <v>461</v>
      </c>
      <c r="J634" s="126" t="s">
        <v>483</v>
      </c>
      <c r="K634" s="127"/>
      <c r="L634" s="127"/>
      <c r="M634" s="128">
        <v>20</v>
      </c>
      <c r="N634" s="129">
        <v>820</v>
      </c>
      <c r="O634" s="130">
        <f t="shared" si="39"/>
        <v>0</v>
      </c>
      <c r="P634" s="130">
        <f t="shared" ref="P634:P635" si="543">N634-O634</f>
        <v>820</v>
      </c>
      <c r="Q634" s="130"/>
      <c r="R634" s="130">
        <f t="shared" si="3"/>
        <v>16400</v>
      </c>
      <c r="S634" s="131">
        <f t="shared" si="4"/>
        <v>0.84749999999999981</v>
      </c>
      <c r="T634" s="131">
        <f t="shared" si="75"/>
        <v>0</v>
      </c>
      <c r="U634" s="131">
        <f t="shared" si="36"/>
        <v>0.08</v>
      </c>
      <c r="V634" s="131">
        <f t="shared" si="524"/>
        <v>16.399999999999999</v>
      </c>
      <c r="W634" s="131">
        <v>0</v>
      </c>
      <c r="X634" s="131">
        <f t="shared" si="506"/>
        <v>0.45</v>
      </c>
      <c r="Y634" s="131">
        <f t="shared" si="218"/>
        <v>0.02</v>
      </c>
      <c r="Z634" s="131">
        <f t="shared" si="10"/>
        <v>16.949999999999996</v>
      </c>
      <c r="AA634" s="132">
        <f t="shared" ref="AA634:AA635" si="544">ROUND(R634-SUM(T634:Y634),2)</f>
        <v>16383.05</v>
      </c>
      <c r="AB634" s="133">
        <f t="shared" si="403"/>
        <v>16383</v>
      </c>
      <c r="AC634" s="134">
        <f t="shared" si="48"/>
        <v>-4.9999999999272404E-2</v>
      </c>
      <c r="AD634" s="125"/>
      <c r="AE634" s="135">
        <f t="shared" si="13"/>
        <v>1.034E-3</v>
      </c>
      <c r="AF634" s="136">
        <f t="shared" si="14"/>
        <v>0</v>
      </c>
      <c r="AG634" s="137" t="s">
        <v>416</v>
      </c>
      <c r="AH634" s="124"/>
    </row>
    <row r="635" spans="1:34" ht="12" customHeight="1">
      <c r="A635" s="155">
        <v>44753</v>
      </c>
      <c r="B635" s="112" t="s">
        <v>308</v>
      </c>
      <c r="C635" s="127" t="s">
        <v>485</v>
      </c>
      <c r="D635" s="112"/>
      <c r="E635" s="112" t="str">
        <f t="shared" si="0"/>
        <v>INEOSSTYRO</v>
      </c>
      <c r="F635" s="112"/>
      <c r="G635" s="112"/>
      <c r="H635" s="112"/>
      <c r="I635" s="127" t="s">
        <v>461</v>
      </c>
      <c r="J635" s="126" t="s">
        <v>483</v>
      </c>
      <c r="K635" s="127"/>
      <c r="L635" s="127"/>
      <c r="M635" s="128">
        <v>41</v>
      </c>
      <c r="N635" s="129">
        <v>858.04880000000003</v>
      </c>
      <c r="O635" s="130">
        <f t="shared" si="39"/>
        <v>0</v>
      </c>
      <c r="P635" s="130">
        <f t="shared" si="543"/>
        <v>858.04880000000003</v>
      </c>
      <c r="Q635" s="130"/>
      <c r="R635" s="130">
        <f t="shared" si="3"/>
        <v>35180</v>
      </c>
      <c r="S635" s="131">
        <f t="shared" si="4"/>
        <v>0.88682926829268294</v>
      </c>
      <c r="T635" s="131">
        <f t="shared" si="75"/>
        <v>0</v>
      </c>
      <c r="U635" s="131">
        <f t="shared" si="36"/>
        <v>0.17</v>
      </c>
      <c r="V635" s="131">
        <f t="shared" si="524"/>
        <v>35.18</v>
      </c>
      <c r="W635" s="131">
        <v>0</v>
      </c>
      <c r="X635" s="131">
        <f t="shared" si="506"/>
        <v>0.97</v>
      </c>
      <c r="Y635" s="131">
        <f t="shared" si="218"/>
        <v>0.04</v>
      </c>
      <c r="Z635" s="131">
        <f t="shared" si="10"/>
        <v>36.36</v>
      </c>
      <c r="AA635" s="132">
        <f t="shared" si="544"/>
        <v>35143.64</v>
      </c>
      <c r="AB635" s="133">
        <f t="shared" si="403"/>
        <v>35144</v>
      </c>
      <c r="AC635" s="134">
        <f t="shared" si="48"/>
        <v>0.36000000000058208</v>
      </c>
      <c r="AD635" s="125"/>
      <c r="AE635" s="135">
        <f t="shared" si="13"/>
        <v>1.034E-3</v>
      </c>
      <c r="AF635" s="136">
        <f t="shared" si="14"/>
        <v>0</v>
      </c>
      <c r="AG635" s="137" t="s">
        <v>416</v>
      </c>
      <c r="AH635" s="124"/>
    </row>
    <row r="636" spans="1:34" ht="12" customHeight="1">
      <c r="A636" s="160">
        <v>44753</v>
      </c>
      <c r="B636" s="140" t="s">
        <v>625</v>
      </c>
      <c r="C636" s="141" t="s">
        <v>485</v>
      </c>
      <c r="D636" s="140"/>
      <c r="E636" s="140" t="str">
        <f t="shared" si="0"/>
        <v>MATRIMONY</v>
      </c>
      <c r="F636" s="140"/>
      <c r="G636" s="140"/>
      <c r="H636" s="140"/>
      <c r="I636" s="141" t="s">
        <v>467</v>
      </c>
      <c r="J636" s="139" t="s">
        <v>483</v>
      </c>
      <c r="K636" s="141"/>
      <c r="L636" s="141"/>
      <c r="M636" s="142">
        <v>10</v>
      </c>
      <c r="N636" s="143">
        <v>760</v>
      </c>
      <c r="O636" s="144">
        <f t="shared" si="39"/>
        <v>0</v>
      </c>
      <c r="P636" s="144">
        <f>N636+O636</f>
        <v>760</v>
      </c>
      <c r="Q636" s="144"/>
      <c r="R636" s="144">
        <f t="shared" si="3"/>
        <v>7600</v>
      </c>
      <c r="S636" s="145">
        <f t="shared" si="4"/>
        <v>0.9</v>
      </c>
      <c r="T636" s="145">
        <f t="shared" si="75"/>
        <v>0</v>
      </c>
      <c r="U636" s="145">
        <f t="shared" si="36"/>
        <v>0.04</v>
      </c>
      <c r="V636" s="145">
        <f t="shared" si="524"/>
        <v>7.6</v>
      </c>
      <c r="W636" s="145">
        <f>ROUND(R636*F$1823,2)</f>
        <v>1.1399999999999999</v>
      </c>
      <c r="X636" s="145">
        <f t="shared" si="506"/>
        <v>0.21</v>
      </c>
      <c r="Y636" s="145">
        <f t="shared" si="218"/>
        <v>0.01</v>
      </c>
      <c r="Z636" s="146">
        <f t="shared" si="10"/>
        <v>9</v>
      </c>
      <c r="AA636" s="147">
        <f>-ROUND(R636+SUM(T636:Y636),2)</f>
        <v>-7609</v>
      </c>
      <c r="AB636" s="148">
        <f t="shared" si="403"/>
        <v>-7609</v>
      </c>
      <c r="AC636" s="149">
        <f t="shared" si="48"/>
        <v>0</v>
      </c>
      <c r="AD636" s="138"/>
      <c r="AE636" s="150">
        <f t="shared" si="13"/>
        <v>1.1839999999999999E-3</v>
      </c>
      <c r="AF636" s="151">
        <f t="shared" si="14"/>
        <v>0</v>
      </c>
      <c r="AG636" s="152" t="s">
        <v>416</v>
      </c>
      <c r="AH636" s="124"/>
    </row>
    <row r="637" spans="1:34" ht="12" customHeight="1">
      <c r="A637" s="155">
        <v>44753</v>
      </c>
      <c r="B637" s="112" t="s">
        <v>589</v>
      </c>
      <c r="C637" s="127" t="s">
        <v>460</v>
      </c>
      <c r="D637" s="112"/>
      <c r="E637" s="112" t="str">
        <f t="shared" si="0"/>
        <v>DCMSHRIRAM</v>
      </c>
      <c r="F637" s="112"/>
      <c r="G637" s="112"/>
      <c r="H637" s="112"/>
      <c r="I637" s="127" t="s">
        <v>461</v>
      </c>
      <c r="J637" s="126" t="s">
        <v>483</v>
      </c>
      <c r="K637" s="127"/>
      <c r="L637" s="127"/>
      <c r="M637" s="128">
        <v>140</v>
      </c>
      <c r="N637" s="129">
        <v>966.17639999999994</v>
      </c>
      <c r="O637" s="130">
        <f t="shared" si="39"/>
        <v>0</v>
      </c>
      <c r="P637" s="130">
        <f>N637-O637</f>
        <v>966.17639999999994</v>
      </c>
      <c r="Q637" s="130"/>
      <c r="R637" s="130">
        <f t="shared" si="3"/>
        <v>135264.70000000001</v>
      </c>
      <c r="S637" s="131">
        <f t="shared" si="4"/>
        <v>0.99849999999999972</v>
      </c>
      <c r="T637" s="131">
        <f t="shared" si="75"/>
        <v>0</v>
      </c>
      <c r="U637" s="131">
        <f t="shared" si="36"/>
        <v>0.67</v>
      </c>
      <c r="V637" s="131">
        <f t="shared" si="524"/>
        <v>135.26</v>
      </c>
      <c r="W637" s="131">
        <v>0</v>
      </c>
      <c r="X637" s="131">
        <f t="shared" si="506"/>
        <v>3.72</v>
      </c>
      <c r="Y637" s="131">
        <f t="shared" si="218"/>
        <v>0.14000000000000001</v>
      </c>
      <c r="Z637" s="131">
        <f t="shared" si="10"/>
        <v>139.78999999999996</v>
      </c>
      <c r="AA637" s="132">
        <f>ROUND(R637-SUM(T637:Y637),2)</f>
        <v>135124.91</v>
      </c>
      <c r="AB637" s="133">
        <f t="shared" si="403"/>
        <v>135125</v>
      </c>
      <c r="AC637" s="134">
        <f t="shared" si="48"/>
        <v>8.999999999650754E-2</v>
      </c>
      <c r="AD637" s="125"/>
      <c r="AE637" s="135">
        <f t="shared" si="13"/>
        <v>1.0330000000000001E-3</v>
      </c>
      <c r="AF637" s="136">
        <f t="shared" si="14"/>
        <v>0</v>
      </c>
      <c r="AG637" s="137" t="s">
        <v>416</v>
      </c>
      <c r="AH637" s="124"/>
    </row>
    <row r="638" spans="1:34" ht="12" customHeight="1">
      <c r="A638" s="160">
        <v>44754</v>
      </c>
      <c r="B638" s="140" t="s">
        <v>589</v>
      </c>
      <c r="C638" s="141" t="s">
        <v>460</v>
      </c>
      <c r="D638" s="140"/>
      <c r="E638" s="140" t="str">
        <f t="shared" si="0"/>
        <v>DCMSHRIRAM</v>
      </c>
      <c r="F638" s="140"/>
      <c r="G638" s="140"/>
      <c r="H638" s="140"/>
      <c r="I638" s="141" t="s">
        <v>467</v>
      </c>
      <c r="J638" s="139" t="s">
        <v>483</v>
      </c>
      <c r="K638" s="141"/>
      <c r="L638" s="141"/>
      <c r="M638" s="142">
        <v>140</v>
      </c>
      <c r="N638" s="143">
        <v>969.92857142857144</v>
      </c>
      <c r="O638" s="144">
        <f t="shared" si="39"/>
        <v>0</v>
      </c>
      <c r="P638" s="144">
        <f>N638+O638</f>
        <v>969.92857142857144</v>
      </c>
      <c r="Q638" s="144"/>
      <c r="R638" s="144">
        <f t="shared" si="3"/>
        <v>135790</v>
      </c>
      <c r="S638" s="145">
        <f t="shared" si="4"/>
        <v>0.10499999999999995</v>
      </c>
      <c r="T638" s="145">
        <f t="shared" si="75"/>
        <v>0</v>
      </c>
      <c r="U638" s="145">
        <f t="shared" si="36"/>
        <v>0.67</v>
      </c>
      <c r="V638" s="145">
        <f>ROUND(R638*F$1817,2)-135</f>
        <v>0.78999999999999204</v>
      </c>
      <c r="W638" s="145">
        <f>ROUND(R638*F$1823,2)-11</f>
        <v>9.370000000000001</v>
      </c>
      <c r="X638" s="145">
        <f t="shared" si="506"/>
        <v>3.73</v>
      </c>
      <c r="Y638" s="145">
        <f t="shared" si="218"/>
        <v>0.14000000000000001</v>
      </c>
      <c r="Z638" s="146">
        <f t="shared" si="10"/>
        <v>14.699999999999994</v>
      </c>
      <c r="AA638" s="147">
        <f>-ROUND(R638+SUM(T638:Y638),2)</f>
        <v>-135804.70000000001</v>
      </c>
      <c r="AB638" s="148">
        <f t="shared" si="403"/>
        <v>-135805</v>
      </c>
      <c r="AC638" s="149">
        <f t="shared" si="48"/>
        <v>-0.29999999998835847</v>
      </c>
      <c r="AD638" s="138"/>
      <c r="AE638" s="150">
        <f t="shared" si="13"/>
        <v>1.08E-4</v>
      </c>
      <c r="AF638" s="151">
        <f t="shared" si="14"/>
        <v>0</v>
      </c>
      <c r="AG638" s="152" t="s">
        <v>416</v>
      </c>
      <c r="AH638" s="124"/>
    </row>
    <row r="639" spans="1:34" ht="12" customHeight="1">
      <c r="A639" s="155">
        <v>44754</v>
      </c>
      <c r="B639" s="112" t="s">
        <v>589</v>
      </c>
      <c r="C639" s="127" t="s">
        <v>460</v>
      </c>
      <c r="D639" s="112"/>
      <c r="E639" s="112" t="str">
        <f t="shared" si="0"/>
        <v>DCMSHRIRAM</v>
      </c>
      <c r="F639" s="112"/>
      <c r="G639" s="112"/>
      <c r="H639" s="112"/>
      <c r="I639" s="127" t="s">
        <v>461</v>
      </c>
      <c r="J639" s="126" t="s">
        <v>483</v>
      </c>
      <c r="K639" s="127"/>
      <c r="L639" s="127"/>
      <c r="M639" s="128">
        <v>100</v>
      </c>
      <c r="N639" s="129">
        <v>995</v>
      </c>
      <c r="O639" s="130">
        <f t="shared" si="39"/>
        <v>0</v>
      </c>
      <c r="P639" s="130">
        <f>N639-O639</f>
        <v>995</v>
      </c>
      <c r="Q639" s="130"/>
      <c r="R639" s="130">
        <f t="shared" si="3"/>
        <v>99500</v>
      </c>
      <c r="S639" s="131">
        <f t="shared" si="4"/>
        <v>0.66830000000000001</v>
      </c>
      <c r="T639" s="131">
        <f t="shared" si="75"/>
        <v>0</v>
      </c>
      <c r="U639" s="131">
        <f t="shared" si="36"/>
        <v>0.49</v>
      </c>
      <c r="V639" s="131">
        <f>ROUND(R639*F$1817,2)-36</f>
        <v>63.5</v>
      </c>
      <c r="W639" s="131">
        <v>0</v>
      </c>
      <c r="X639" s="131">
        <f t="shared" si="506"/>
        <v>2.74</v>
      </c>
      <c r="Y639" s="131">
        <f t="shared" si="218"/>
        <v>0.1</v>
      </c>
      <c r="Z639" s="131">
        <f t="shared" si="10"/>
        <v>66.83</v>
      </c>
      <c r="AA639" s="132">
        <f>ROUND(R639-SUM(T639:Y639),2)</f>
        <v>99433.17</v>
      </c>
      <c r="AB639" s="133">
        <f t="shared" si="403"/>
        <v>99433</v>
      </c>
      <c r="AC639" s="134">
        <f t="shared" si="48"/>
        <v>-0.16999999999825377</v>
      </c>
      <c r="AD639" s="125"/>
      <c r="AE639" s="135">
        <f t="shared" si="13"/>
        <v>6.7199999999999996E-4</v>
      </c>
      <c r="AF639" s="136">
        <f t="shared" si="14"/>
        <v>0</v>
      </c>
      <c r="AG639" s="137" t="s">
        <v>416</v>
      </c>
      <c r="AH639" s="124"/>
    </row>
    <row r="640" spans="1:34" ht="12" customHeight="1">
      <c r="A640" s="160">
        <v>44756</v>
      </c>
      <c r="B640" s="140" t="s">
        <v>626</v>
      </c>
      <c r="C640" s="141" t="s">
        <v>485</v>
      </c>
      <c r="D640" s="140"/>
      <c r="E640" s="140" t="str">
        <f t="shared" si="0"/>
        <v>ITI</v>
      </c>
      <c r="F640" s="140"/>
      <c r="G640" s="140"/>
      <c r="H640" s="140"/>
      <c r="I640" s="141" t="s">
        <v>467</v>
      </c>
      <c r="J640" s="139" t="s">
        <v>483</v>
      </c>
      <c r="K640" s="141"/>
      <c r="L640" s="141"/>
      <c r="M640" s="142">
        <v>50</v>
      </c>
      <c r="N640" s="143">
        <v>110</v>
      </c>
      <c r="O640" s="144">
        <f t="shared" si="39"/>
        <v>0</v>
      </c>
      <c r="P640" s="144">
        <f t="shared" ref="P640:P641" si="545">N640+O640</f>
        <v>110</v>
      </c>
      <c r="Q640" s="144"/>
      <c r="R640" s="144">
        <f t="shared" si="3"/>
        <v>5500</v>
      </c>
      <c r="S640" s="145">
        <f t="shared" si="4"/>
        <v>0.13040000000000002</v>
      </c>
      <c r="T640" s="145">
        <f t="shared" si="75"/>
        <v>0</v>
      </c>
      <c r="U640" s="145">
        <f t="shared" si="36"/>
        <v>0.03</v>
      </c>
      <c r="V640" s="145">
        <f t="shared" ref="V640:V838" si="546">ROUND(R640*F$1817,2)</f>
        <v>5.5</v>
      </c>
      <c r="W640" s="145">
        <f t="shared" ref="W640:W641" si="547">ROUND(R640*F$1823,2)</f>
        <v>0.83</v>
      </c>
      <c r="X640" s="145">
        <f t="shared" si="506"/>
        <v>0.15</v>
      </c>
      <c r="Y640" s="145">
        <f t="shared" si="218"/>
        <v>0.01</v>
      </c>
      <c r="Z640" s="146">
        <f t="shared" si="10"/>
        <v>6.5200000000000005</v>
      </c>
      <c r="AA640" s="147">
        <f t="shared" ref="AA640:AA641" si="548">-ROUND(R640+SUM(T640:Y640),2)</f>
        <v>-5506.52</v>
      </c>
      <c r="AB640" s="148">
        <f t="shared" si="403"/>
        <v>-5507</v>
      </c>
      <c r="AC640" s="149">
        <f t="shared" si="48"/>
        <v>-0.47999999999956344</v>
      </c>
      <c r="AD640" s="138"/>
      <c r="AE640" s="150">
        <f t="shared" si="13"/>
        <v>1.1850000000000001E-3</v>
      </c>
      <c r="AF640" s="151">
        <f t="shared" si="14"/>
        <v>0</v>
      </c>
      <c r="AG640" s="152" t="s">
        <v>416</v>
      </c>
      <c r="AH640" s="124"/>
    </row>
    <row r="641" spans="1:34" ht="12" customHeight="1">
      <c r="A641" s="160">
        <v>44756</v>
      </c>
      <c r="B641" s="140" t="s">
        <v>627</v>
      </c>
      <c r="C641" s="141" t="s">
        <v>485</v>
      </c>
      <c r="D641" s="140"/>
      <c r="E641" s="140" t="str">
        <f t="shared" si="0"/>
        <v>NHPC</v>
      </c>
      <c r="F641" s="140"/>
      <c r="G641" s="140"/>
      <c r="H641" s="140"/>
      <c r="I641" s="141" t="s">
        <v>467</v>
      </c>
      <c r="J641" s="139" t="s">
        <v>483</v>
      </c>
      <c r="K641" s="141"/>
      <c r="L641" s="141"/>
      <c r="M641" s="142">
        <v>100</v>
      </c>
      <c r="N641" s="143">
        <v>34</v>
      </c>
      <c r="O641" s="144">
        <f t="shared" si="39"/>
        <v>0</v>
      </c>
      <c r="P641" s="144">
        <f t="shared" si="545"/>
        <v>34</v>
      </c>
      <c r="Q641" s="144"/>
      <c r="R641" s="144">
        <f t="shared" si="3"/>
        <v>3400</v>
      </c>
      <c r="S641" s="145">
        <f t="shared" si="4"/>
        <v>4.0199999999999993E-2</v>
      </c>
      <c r="T641" s="145">
        <f t="shared" si="75"/>
        <v>0</v>
      </c>
      <c r="U641" s="145">
        <f t="shared" si="36"/>
        <v>0.02</v>
      </c>
      <c r="V641" s="145">
        <f t="shared" si="546"/>
        <v>3.4</v>
      </c>
      <c r="W641" s="145">
        <f t="shared" si="547"/>
        <v>0.51</v>
      </c>
      <c r="X641" s="145">
        <f t="shared" si="506"/>
        <v>0.09</v>
      </c>
      <c r="Y641" s="145">
        <f t="shared" si="218"/>
        <v>0</v>
      </c>
      <c r="Z641" s="146">
        <f t="shared" si="10"/>
        <v>4.0199999999999996</v>
      </c>
      <c r="AA641" s="147">
        <f t="shared" si="548"/>
        <v>-3404.02</v>
      </c>
      <c r="AB641" s="148">
        <f t="shared" si="403"/>
        <v>-3404</v>
      </c>
      <c r="AC641" s="149">
        <f t="shared" si="48"/>
        <v>1.999999999998181E-2</v>
      </c>
      <c r="AD641" s="138"/>
      <c r="AE641" s="150">
        <f t="shared" si="13"/>
        <v>1.1820000000000001E-3</v>
      </c>
      <c r="AF641" s="151">
        <f t="shared" si="14"/>
        <v>0</v>
      </c>
      <c r="AG641" s="152" t="s">
        <v>416</v>
      </c>
      <c r="AH641" s="124"/>
    </row>
    <row r="642" spans="1:34" ht="12" customHeight="1">
      <c r="A642" s="155">
        <v>44757</v>
      </c>
      <c r="B642" s="112" t="s">
        <v>589</v>
      </c>
      <c r="C642" s="127" t="s">
        <v>460</v>
      </c>
      <c r="D642" s="112"/>
      <c r="E642" s="112" t="str">
        <f t="shared" si="0"/>
        <v>DCMSHRIRAM</v>
      </c>
      <c r="F642" s="112"/>
      <c r="G642" s="112"/>
      <c r="H642" s="112"/>
      <c r="I642" s="127" t="s">
        <v>461</v>
      </c>
      <c r="J642" s="126" t="s">
        <v>483</v>
      </c>
      <c r="K642" s="127"/>
      <c r="L642" s="127"/>
      <c r="M642" s="128">
        <v>275</v>
      </c>
      <c r="N642" s="129">
        <v>993.31818181818187</v>
      </c>
      <c r="O642" s="130">
        <f t="shared" si="39"/>
        <v>0</v>
      </c>
      <c r="P642" s="130">
        <f>N642-O642</f>
        <v>993.31818181818187</v>
      </c>
      <c r="Q642" s="130"/>
      <c r="R642" s="130">
        <f t="shared" si="3"/>
        <v>273162.5</v>
      </c>
      <c r="S642" s="131">
        <f t="shared" si="4"/>
        <v>1.026509090909091</v>
      </c>
      <c r="T642" s="131">
        <f t="shared" si="75"/>
        <v>0</v>
      </c>
      <c r="U642" s="131">
        <f t="shared" si="36"/>
        <v>1.35</v>
      </c>
      <c r="V642" s="131">
        <f t="shared" si="546"/>
        <v>273.16000000000003</v>
      </c>
      <c r="W642" s="131">
        <v>0</v>
      </c>
      <c r="X642" s="131">
        <f t="shared" si="506"/>
        <v>7.51</v>
      </c>
      <c r="Y642" s="131">
        <f t="shared" si="218"/>
        <v>0.27</v>
      </c>
      <c r="Z642" s="131">
        <f t="shared" si="10"/>
        <v>282.29000000000002</v>
      </c>
      <c r="AA642" s="132">
        <f>ROUND(R642-SUM(T642:Y642),2)</f>
        <v>272880.21000000002</v>
      </c>
      <c r="AB642" s="133">
        <f t="shared" si="403"/>
        <v>272880</v>
      </c>
      <c r="AC642" s="134">
        <f t="shared" si="48"/>
        <v>-0.21000000002095476</v>
      </c>
      <c r="AD642" s="125"/>
      <c r="AE642" s="135">
        <f t="shared" si="13"/>
        <v>1.0330000000000001E-3</v>
      </c>
      <c r="AF642" s="136">
        <f t="shared" si="14"/>
        <v>0</v>
      </c>
      <c r="AG642" s="137" t="s">
        <v>416</v>
      </c>
      <c r="AH642" s="124"/>
    </row>
    <row r="643" spans="1:34" ht="12" customHeight="1">
      <c r="A643" s="160">
        <v>44760</v>
      </c>
      <c r="B643" s="140" t="s">
        <v>589</v>
      </c>
      <c r="C643" s="141" t="s">
        <v>460</v>
      </c>
      <c r="D643" s="140"/>
      <c r="E643" s="140" t="str">
        <f t="shared" si="0"/>
        <v>DCMSHRIRAM</v>
      </c>
      <c r="F643" s="140"/>
      <c r="G643" s="140"/>
      <c r="H643" s="140"/>
      <c r="I643" s="141" t="s">
        <v>467</v>
      </c>
      <c r="J643" s="139" t="s">
        <v>483</v>
      </c>
      <c r="K643" s="141"/>
      <c r="L643" s="141"/>
      <c r="M643" s="142">
        <v>30</v>
      </c>
      <c r="N643" s="143">
        <v>1018.1</v>
      </c>
      <c r="O643" s="144">
        <f t="shared" si="39"/>
        <v>0</v>
      </c>
      <c r="P643" s="144">
        <f>N643+O643</f>
        <v>1018.1</v>
      </c>
      <c r="Q643" s="144"/>
      <c r="R643" s="144">
        <f t="shared" si="3"/>
        <v>30543</v>
      </c>
      <c r="S643" s="145">
        <f t="shared" si="4"/>
        <v>1.2046666666666668</v>
      </c>
      <c r="T643" s="145">
        <f t="shared" si="75"/>
        <v>0</v>
      </c>
      <c r="U643" s="145">
        <f t="shared" si="36"/>
        <v>0.15</v>
      </c>
      <c r="V643" s="145">
        <f t="shared" si="546"/>
        <v>30.54</v>
      </c>
      <c r="W643" s="145">
        <f>ROUND(R643*F$1823,2)</f>
        <v>4.58</v>
      </c>
      <c r="X643" s="145">
        <f t="shared" si="506"/>
        <v>0.84</v>
      </c>
      <c r="Y643" s="145">
        <f t="shared" si="218"/>
        <v>0.03</v>
      </c>
      <c r="Z643" s="146">
        <f t="shared" si="10"/>
        <v>36.14</v>
      </c>
      <c r="AA643" s="147">
        <f>-ROUND(R643+SUM(T643:Y643),2)</f>
        <v>-30579.14</v>
      </c>
      <c r="AB643" s="148">
        <f t="shared" si="403"/>
        <v>-30579</v>
      </c>
      <c r="AC643" s="149">
        <f t="shared" si="48"/>
        <v>0.13999999999941792</v>
      </c>
      <c r="AD643" s="138"/>
      <c r="AE643" s="150">
        <f t="shared" si="13"/>
        <v>1.183E-3</v>
      </c>
      <c r="AF643" s="151">
        <f t="shared" si="14"/>
        <v>0</v>
      </c>
      <c r="AG643" s="152" t="s">
        <v>416</v>
      </c>
      <c r="AH643" s="124"/>
    </row>
    <row r="644" spans="1:34" ht="12" customHeight="1">
      <c r="A644" s="155">
        <v>44763</v>
      </c>
      <c r="B644" s="112" t="s">
        <v>308</v>
      </c>
      <c r="C644" s="127" t="s">
        <v>485</v>
      </c>
      <c r="D644" s="112"/>
      <c r="E644" s="112" t="str">
        <f t="shared" si="0"/>
        <v>INEOSSTYRO</v>
      </c>
      <c r="F644" s="112"/>
      <c r="G644" s="112"/>
      <c r="H644" s="112"/>
      <c r="I644" s="127" t="s">
        <v>461</v>
      </c>
      <c r="J644" s="126" t="s">
        <v>483</v>
      </c>
      <c r="K644" s="127"/>
      <c r="L644" s="127"/>
      <c r="M644" s="128">
        <v>10</v>
      </c>
      <c r="N644" s="129">
        <v>870</v>
      </c>
      <c r="O644" s="130">
        <f t="shared" si="39"/>
        <v>0</v>
      </c>
      <c r="P644" s="130">
        <f>N644-O644</f>
        <v>870</v>
      </c>
      <c r="Q644" s="130"/>
      <c r="R644" s="130">
        <f t="shared" si="3"/>
        <v>8700</v>
      </c>
      <c r="S644" s="131">
        <f t="shared" si="4"/>
        <v>0.8989999999999998</v>
      </c>
      <c r="T644" s="131">
        <f t="shared" si="75"/>
        <v>0</v>
      </c>
      <c r="U644" s="131">
        <f t="shared" si="36"/>
        <v>0.04</v>
      </c>
      <c r="V644" s="131">
        <f t="shared" si="546"/>
        <v>8.6999999999999993</v>
      </c>
      <c r="W644" s="131">
        <v>0</v>
      </c>
      <c r="X644" s="131">
        <f t="shared" si="506"/>
        <v>0.24</v>
      </c>
      <c r="Y644" s="131">
        <f t="shared" si="218"/>
        <v>0.01</v>
      </c>
      <c r="Z644" s="131">
        <f t="shared" si="10"/>
        <v>8.9899999999999984</v>
      </c>
      <c r="AA644" s="132">
        <f>ROUND(R644-SUM(T644:Y644),2)</f>
        <v>8691.01</v>
      </c>
      <c r="AB644" s="133">
        <f t="shared" si="403"/>
        <v>8691</v>
      </c>
      <c r="AC644" s="134">
        <f t="shared" si="48"/>
        <v>-1.0000000000218279E-2</v>
      </c>
      <c r="AD644" s="125"/>
      <c r="AE644" s="135">
        <f t="shared" si="13"/>
        <v>1.0330000000000001E-3</v>
      </c>
      <c r="AF644" s="136">
        <f t="shared" si="14"/>
        <v>0</v>
      </c>
      <c r="AG644" s="137" t="s">
        <v>416</v>
      </c>
      <c r="AH644" s="124"/>
    </row>
    <row r="645" spans="1:34" ht="12" customHeight="1">
      <c r="A645" s="160">
        <v>44763</v>
      </c>
      <c r="B645" s="140" t="s">
        <v>589</v>
      </c>
      <c r="C645" s="141" t="s">
        <v>460</v>
      </c>
      <c r="D645" s="140"/>
      <c r="E645" s="140" t="str">
        <f t="shared" si="0"/>
        <v>DCMSHRIRAM</v>
      </c>
      <c r="F645" s="140"/>
      <c r="G645" s="140"/>
      <c r="H645" s="140"/>
      <c r="I645" s="141" t="s">
        <v>467</v>
      </c>
      <c r="J645" s="139" t="s">
        <v>483</v>
      </c>
      <c r="K645" s="141"/>
      <c r="L645" s="141"/>
      <c r="M645" s="142">
        <v>408</v>
      </c>
      <c r="N645" s="143">
        <v>969.98869999999999</v>
      </c>
      <c r="O645" s="144">
        <f t="shared" si="39"/>
        <v>0</v>
      </c>
      <c r="P645" s="144">
        <f>N645+O645</f>
        <v>969.98869999999999</v>
      </c>
      <c r="Q645" s="144"/>
      <c r="R645" s="144">
        <f t="shared" si="3"/>
        <v>395755.39</v>
      </c>
      <c r="S645" s="145">
        <f t="shared" si="4"/>
        <v>1.147941176470588</v>
      </c>
      <c r="T645" s="145">
        <f t="shared" si="75"/>
        <v>0</v>
      </c>
      <c r="U645" s="145">
        <f t="shared" si="36"/>
        <v>1.96</v>
      </c>
      <c r="V645" s="145">
        <f t="shared" si="546"/>
        <v>395.76</v>
      </c>
      <c r="W645" s="145">
        <f>ROUND(R645*F$1823,2)</f>
        <v>59.36</v>
      </c>
      <c r="X645" s="145">
        <f t="shared" si="506"/>
        <v>10.88</v>
      </c>
      <c r="Y645" s="145">
        <f t="shared" si="218"/>
        <v>0.4</v>
      </c>
      <c r="Z645" s="146">
        <f t="shared" si="10"/>
        <v>468.35999999999996</v>
      </c>
      <c r="AA645" s="147">
        <f>-ROUND(R645+SUM(T645:Y645),2)</f>
        <v>-396223.75</v>
      </c>
      <c r="AB645" s="148">
        <f t="shared" si="403"/>
        <v>-396224</v>
      </c>
      <c r="AC645" s="149">
        <f t="shared" si="48"/>
        <v>-0.25</v>
      </c>
      <c r="AD645" s="138"/>
      <c r="AE645" s="150">
        <f t="shared" si="13"/>
        <v>1.183E-3</v>
      </c>
      <c r="AF645" s="151">
        <f t="shared" si="14"/>
        <v>0</v>
      </c>
      <c r="AG645" s="152" t="s">
        <v>416</v>
      </c>
      <c r="AH645" s="124"/>
    </row>
    <row r="646" spans="1:34" ht="12" customHeight="1">
      <c r="A646" s="155">
        <v>44764</v>
      </c>
      <c r="B646" s="112" t="s">
        <v>308</v>
      </c>
      <c r="C646" s="127" t="s">
        <v>485</v>
      </c>
      <c r="D646" s="112"/>
      <c r="E646" s="112" t="str">
        <f t="shared" si="0"/>
        <v>INEOSSTYRO</v>
      </c>
      <c r="F646" s="112"/>
      <c r="G646" s="112"/>
      <c r="H646" s="112"/>
      <c r="I646" s="127" t="s">
        <v>461</v>
      </c>
      <c r="J646" s="126" t="s">
        <v>483</v>
      </c>
      <c r="K646" s="127"/>
      <c r="L646" s="127"/>
      <c r="M646" s="128">
        <v>9</v>
      </c>
      <c r="N646" s="129">
        <v>880</v>
      </c>
      <c r="O646" s="130">
        <f t="shared" si="39"/>
        <v>0</v>
      </c>
      <c r="P646" s="130">
        <f t="shared" ref="P646:P647" si="549">N646-O646</f>
        <v>880</v>
      </c>
      <c r="Q646" s="130"/>
      <c r="R646" s="130">
        <f t="shared" si="3"/>
        <v>7920</v>
      </c>
      <c r="S646" s="131">
        <f t="shared" si="4"/>
        <v>0.90999999999999992</v>
      </c>
      <c r="T646" s="131">
        <f t="shared" si="75"/>
        <v>0</v>
      </c>
      <c r="U646" s="131">
        <f t="shared" si="36"/>
        <v>0.04</v>
      </c>
      <c r="V646" s="131">
        <f t="shared" si="546"/>
        <v>7.92</v>
      </c>
      <c r="W646" s="131">
        <v>0</v>
      </c>
      <c r="X646" s="131">
        <f t="shared" si="506"/>
        <v>0.22</v>
      </c>
      <c r="Y646" s="131">
        <f t="shared" si="218"/>
        <v>0.01</v>
      </c>
      <c r="Z646" s="131">
        <f t="shared" si="10"/>
        <v>8.19</v>
      </c>
      <c r="AA646" s="132">
        <f t="shared" ref="AA646:AA647" si="550">ROUND(R646-SUM(T646:Y646),2)</f>
        <v>7911.81</v>
      </c>
      <c r="AB646" s="133">
        <f t="shared" si="403"/>
        <v>7912</v>
      </c>
      <c r="AC646" s="134">
        <f t="shared" si="48"/>
        <v>0.18999999999959982</v>
      </c>
      <c r="AD646" s="125"/>
      <c r="AE646" s="135">
        <f t="shared" si="13"/>
        <v>1.034E-3</v>
      </c>
      <c r="AF646" s="136">
        <f t="shared" si="14"/>
        <v>0</v>
      </c>
      <c r="AG646" s="137" t="s">
        <v>416</v>
      </c>
      <c r="AH646" s="124"/>
    </row>
    <row r="647" spans="1:34" ht="12" customHeight="1">
      <c r="A647" s="155">
        <v>44764</v>
      </c>
      <c r="B647" s="112" t="s">
        <v>589</v>
      </c>
      <c r="C647" s="127" t="s">
        <v>460</v>
      </c>
      <c r="D647" s="112"/>
      <c r="E647" s="112" t="str">
        <f t="shared" si="0"/>
        <v>DCMSHRIRAM</v>
      </c>
      <c r="F647" s="112"/>
      <c r="G647" s="112"/>
      <c r="H647" s="112"/>
      <c r="I647" s="127" t="s">
        <v>461</v>
      </c>
      <c r="J647" s="126" t="s">
        <v>483</v>
      </c>
      <c r="K647" s="127"/>
      <c r="L647" s="127"/>
      <c r="M647" s="128">
        <v>58</v>
      </c>
      <c r="N647" s="129">
        <v>976.5</v>
      </c>
      <c r="O647" s="130">
        <f t="shared" si="39"/>
        <v>0</v>
      </c>
      <c r="P647" s="130">
        <f t="shared" si="549"/>
        <v>976.5</v>
      </c>
      <c r="Q647" s="130"/>
      <c r="R647" s="130">
        <f t="shared" si="3"/>
        <v>56637</v>
      </c>
      <c r="S647" s="131">
        <f t="shared" si="4"/>
        <v>1.0093103448275864</v>
      </c>
      <c r="T647" s="131">
        <f t="shared" si="75"/>
        <v>0</v>
      </c>
      <c r="U647" s="131">
        <f t="shared" si="36"/>
        <v>0.28000000000000003</v>
      </c>
      <c r="V647" s="131">
        <f t="shared" si="546"/>
        <v>56.64</v>
      </c>
      <c r="W647" s="131">
        <v>0</v>
      </c>
      <c r="X647" s="131">
        <f t="shared" si="506"/>
        <v>1.56</v>
      </c>
      <c r="Y647" s="131">
        <f t="shared" si="218"/>
        <v>0.06</v>
      </c>
      <c r="Z647" s="131">
        <f t="shared" si="10"/>
        <v>58.540000000000006</v>
      </c>
      <c r="AA647" s="132">
        <f t="shared" si="550"/>
        <v>56578.46</v>
      </c>
      <c r="AB647" s="133">
        <f t="shared" si="403"/>
        <v>56578</v>
      </c>
      <c r="AC647" s="134">
        <f t="shared" si="48"/>
        <v>-0.45999999999912689</v>
      </c>
      <c r="AD647" s="125"/>
      <c r="AE647" s="135">
        <f t="shared" si="13"/>
        <v>1.034E-3</v>
      </c>
      <c r="AF647" s="136">
        <f t="shared" si="14"/>
        <v>0</v>
      </c>
      <c r="AG647" s="137" t="s">
        <v>416</v>
      </c>
      <c r="AH647" s="124"/>
    </row>
    <row r="648" spans="1:34" ht="12" customHeight="1">
      <c r="A648" s="160">
        <v>44767</v>
      </c>
      <c r="B648" s="140" t="s">
        <v>628</v>
      </c>
      <c r="C648" s="141" t="s">
        <v>485</v>
      </c>
      <c r="D648" s="140"/>
      <c r="E648" s="140" t="str">
        <f t="shared" si="0"/>
        <v>EXCELINDUS</v>
      </c>
      <c r="F648" s="140"/>
      <c r="G648" s="140"/>
      <c r="H648" s="140"/>
      <c r="I648" s="141" t="s">
        <v>467</v>
      </c>
      <c r="J648" s="139" t="s">
        <v>483</v>
      </c>
      <c r="K648" s="141"/>
      <c r="L648" s="141"/>
      <c r="M648" s="142">
        <v>5</v>
      </c>
      <c r="N648" s="143">
        <v>1300</v>
      </c>
      <c r="O648" s="144">
        <f t="shared" si="39"/>
        <v>0</v>
      </c>
      <c r="P648" s="144">
        <f t="shared" ref="P648:P656" si="551">N648+O648</f>
        <v>1300</v>
      </c>
      <c r="Q648" s="144"/>
      <c r="R648" s="144">
        <f t="shared" si="3"/>
        <v>6500</v>
      </c>
      <c r="S648" s="145">
        <f t="shared" si="4"/>
        <v>1.5399999999999998</v>
      </c>
      <c r="T648" s="145">
        <f t="shared" si="75"/>
        <v>0</v>
      </c>
      <c r="U648" s="145">
        <f t="shared" si="36"/>
        <v>0.03</v>
      </c>
      <c r="V648" s="145">
        <f t="shared" si="546"/>
        <v>6.5</v>
      </c>
      <c r="W648" s="145">
        <f t="shared" ref="W648:W656" si="552">ROUND(R648*F$1823,2)</f>
        <v>0.98</v>
      </c>
      <c r="X648" s="145">
        <f t="shared" si="506"/>
        <v>0.18</v>
      </c>
      <c r="Y648" s="145">
        <f t="shared" si="218"/>
        <v>0.01</v>
      </c>
      <c r="Z648" s="146">
        <f t="shared" si="10"/>
        <v>7.6999999999999993</v>
      </c>
      <c r="AA648" s="147">
        <f t="shared" ref="AA648:AA656" si="553">-ROUND(R648+SUM(T648:Y648),2)</f>
        <v>-6507.7</v>
      </c>
      <c r="AB648" s="148">
        <f t="shared" si="403"/>
        <v>-6508</v>
      </c>
      <c r="AC648" s="149">
        <f t="shared" si="48"/>
        <v>-0.3000000000001819</v>
      </c>
      <c r="AD648" s="138"/>
      <c r="AE648" s="150">
        <f t="shared" si="13"/>
        <v>1.1850000000000001E-3</v>
      </c>
      <c r="AF648" s="151">
        <f t="shared" si="14"/>
        <v>0</v>
      </c>
      <c r="AG648" s="152" t="s">
        <v>416</v>
      </c>
      <c r="AH648" s="124"/>
    </row>
    <row r="649" spans="1:34" ht="12" customHeight="1">
      <c r="A649" s="160">
        <v>44768</v>
      </c>
      <c r="B649" s="140" t="s">
        <v>589</v>
      </c>
      <c r="C649" s="141" t="s">
        <v>460</v>
      </c>
      <c r="D649" s="140"/>
      <c r="E649" s="140" t="str">
        <f t="shared" si="0"/>
        <v>DCMSHRIRAM</v>
      </c>
      <c r="F649" s="140"/>
      <c r="G649" s="140"/>
      <c r="H649" s="140"/>
      <c r="I649" s="141" t="s">
        <v>467</v>
      </c>
      <c r="J649" s="139" t="s">
        <v>483</v>
      </c>
      <c r="K649" s="141"/>
      <c r="L649" s="141"/>
      <c r="M649" s="142">
        <v>40</v>
      </c>
      <c r="N649" s="143">
        <v>961.21879999999999</v>
      </c>
      <c r="O649" s="144">
        <f t="shared" si="39"/>
        <v>0</v>
      </c>
      <c r="P649" s="144">
        <f t="shared" si="551"/>
        <v>961.21879999999999</v>
      </c>
      <c r="Q649" s="144"/>
      <c r="R649" s="144">
        <f t="shared" si="3"/>
        <v>38448.75</v>
      </c>
      <c r="S649" s="145">
        <f t="shared" si="4"/>
        <v>1.13775</v>
      </c>
      <c r="T649" s="145">
        <f t="shared" si="75"/>
        <v>0</v>
      </c>
      <c r="U649" s="145">
        <f t="shared" si="36"/>
        <v>0.19</v>
      </c>
      <c r="V649" s="145">
        <f t="shared" si="546"/>
        <v>38.450000000000003</v>
      </c>
      <c r="W649" s="145">
        <f t="shared" si="552"/>
        <v>5.77</v>
      </c>
      <c r="X649" s="145">
        <f t="shared" si="506"/>
        <v>1.06</v>
      </c>
      <c r="Y649" s="145">
        <f t="shared" si="218"/>
        <v>0.04</v>
      </c>
      <c r="Z649" s="146">
        <f t="shared" si="10"/>
        <v>45.51</v>
      </c>
      <c r="AA649" s="147">
        <f t="shared" si="553"/>
        <v>-38494.26</v>
      </c>
      <c r="AB649" s="148">
        <f t="shared" si="403"/>
        <v>-38494</v>
      </c>
      <c r="AC649" s="149">
        <f t="shared" si="48"/>
        <v>0.26000000000203727</v>
      </c>
      <c r="AD649" s="138"/>
      <c r="AE649" s="150">
        <f t="shared" si="13"/>
        <v>1.1839999999999999E-3</v>
      </c>
      <c r="AF649" s="151">
        <f t="shared" si="14"/>
        <v>0</v>
      </c>
      <c r="AG649" s="152" t="s">
        <v>416</v>
      </c>
      <c r="AH649" s="124"/>
    </row>
    <row r="650" spans="1:34" ht="12" customHeight="1">
      <c r="A650" s="160">
        <v>44768</v>
      </c>
      <c r="B650" s="140" t="s">
        <v>606</v>
      </c>
      <c r="C650" s="141" t="s">
        <v>485</v>
      </c>
      <c r="D650" s="140"/>
      <c r="E650" s="140" t="str">
        <f t="shared" si="0"/>
        <v>MCLEODRUSS</v>
      </c>
      <c r="F650" s="140"/>
      <c r="G650" s="140"/>
      <c r="H650" s="140"/>
      <c r="I650" s="141" t="s">
        <v>467</v>
      </c>
      <c r="J650" s="139" t="s">
        <v>483</v>
      </c>
      <c r="K650" s="141"/>
      <c r="L650" s="141"/>
      <c r="M650" s="142">
        <v>50</v>
      </c>
      <c r="N650" s="143">
        <v>21</v>
      </c>
      <c r="O650" s="144">
        <f t="shared" si="39"/>
        <v>0</v>
      </c>
      <c r="P650" s="144">
        <f t="shared" si="551"/>
        <v>21</v>
      </c>
      <c r="Q650" s="144"/>
      <c r="R650" s="144">
        <f t="shared" si="3"/>
        <v>1050</v>
      </c>
      <c r="S650" s="145">
        <f t="shared" si="4"/>
        <v>2.5000000000000001E-2</v>
      </c>
      <c r="T650" s="145">
        <f t="shared" si="75"/>
        <v>0</v>
      </c>
      <c r="U650" s="145">
        <f t="shared" si="36"/>
        <v>0.01</v>
      </c>
      <c r="V650" s="145">
        <f t="shared" si="546"/>
        <v>1.05</v>
      </c>
      <c r="W650" s="145">
        <f t="shared" si="552"/>
        <v>0.16</v>
      </c>
      <c r="X650" s="145">
        <f t="shared" si="506"/>
        <v>0.03</v>
      </c>
      <c r="Y650" s="145">
        <f t="shared" si="218"/>
        <v>0</v>
      </c>
      <c r="Z650" s="146">
        <f t="shared" si="10"/>
        <v>1.25</v>
      </c>
      <c r="AA650" s="147">
        <f t="shared" si="553"/>
        <v>-1051.25</v>
      </c>
      <c r="AB650" s="148">
        <f t="shared" si="403"/>
        <v>-1051</v>
      </c>
      <c r="AC650" s="149">
        <f t="shared" si="48"/>
        <v>0.25</v>
      </c>
      <c r="AD650" s="138"/>
      <c r="AE650" s="150">
        <f t="shared" si="13"/>
        <v>1.1900000000000001E-3</v>
      </c>
      <c r="AF650" s="151">
        <f t="shared" si="14"/>
        <v>0</v>
      </c>
      <c r="AG650" s="152" t="s">
        <v>416</v>
      </c>
      <c r="AH650" s="124"/>
    </row>
    <row r="651" spans="1:34" ht="12" customHeight="1">
      <c r="A651" s="160">
        <v>44768</v>
      </c>
      <c r="B651" s="140" t="s">
        <v>612</v>
      </c>
      <c r="C651" s="141" t="s">
        <v>485</v>
      </c>
      <c r="D651" s="140"/>
      <c r="E651" s="140" t="str">
        <f t="shared" si="0"/>
        <v>GAIL</v>
      </c>
      <c r="F651" s="140"/>
      <c r="G651" s="140"/>
      <c r="H651" s="140"/>
      <c r="I651" s="141" t="s">
        <v>467</v>
      </c>
      <c r="J651" s="139" t="s">
        <v>483</v>
      </c>
      <c r="K651" s="141"/>
      <c r="L651" s="141"/>
      <c r="M651" s="142">
        <v>88</v>
      </c>
      <c r="N651" s="143">
        <v>144.75569999999999</v>
      </c>
      <c r="O651" s="144">
        <f t="shared" si="39"/>
        <v>0</v>
      </c>
      <c r="P651" s="144">
        <f t="shared" si="551"/>
        <v>144.75569999999999</v>
      </c>
      <c r="Q651" s="144"/>
      <c r="R651" s="144">
        <f t="shared" si="3"/>
        <v>12738.5</v>
      </c>
      <c r="S651" s="145">
        <f t="shared" si="4"/>
        <v>0.17125000000000001</v>
      </c>
      <c r="T651" s="145">
        <f t="shared" si="75"/>
        <v>0</v>
      </c>
      <c r="U651" s="145">
        <f t="shared" si="36"/>
        <v>0.06</v>
      </c>
      <c r="V651" s="145">
        <f t="shared" si="546"/>
        <v>12.74</v>
      </c>
      <c r="W651" s="145">
        <f t="shared" si="552"/>
        <v>1.91</v>
      </c>
      <c r="X651" s="145">
        <f t="shared" si="506"/>
        <v>0.35</v>
      </c>
      <c r="Y651" s="145">
        <f t="shared" si="218"/>
        <v>0.01</v>
      </c>
      <c r="Z651" s="146">
        <f t="shared" si="10"/>
        <v>15.07</v>
      </c>
      <c r="AA651" s="147">
        <f t="shared" si="553"/>
        <v>-12753.57</v>
      </c>
      <c r="AB651" s="148">
        <f t="shared" si="403"/>
        <v>-12754</v>
      </c>
      <c r="AC651" s="149">
        <f t="shared" si="48"/>
        <v>-0.43000000000029104</v>
      </c>
      <c r="AD651" s="138"/>
      <c r="AE651" s="150">
        <f t="shared" si="13"/>
        <v>1.183E-3</v>
      </c>
      <c r="AF651" s="151">
        <f t="shared" si="14"/>
        <v>0</v>
      </c>
      <c r="AG651" s="152" t="s">
        <v>416</v>
      </c>
      <c r="AH651" s="124"/>
    </row>
    <row r="652" spans="1:34" ht="12" customHeight="1">
      <c r="A652" s="160">
        <v>44768</v>
      </c>
      <c r="B652" s="140" t="s">
        <v>620</v>
      </c>
      <c r="C652" s="141" t="s">
        <v>485</v>
      </c>
      <c r="D652" s="140"/>
      <c r="E652" s="140" t="str">
        <f t="shared" si="0"/>
        <v>SARDAEN</v>
      </c>
      <c r="F652" s="140"/>
      <c r="G652" s="140"/>
      <c r="H652" s="140"/>
      <c r="I652" s="141" t="s">
        <v>467</v>
      </c>
      <c r="J652" s="139" t="s">
        <v>483</v>
      </c>
      <c r="K652" s="141"/>
      <c r="L652" s="141"/>
      <c r="M652" s="142">
        <v>1</v>
      </c>
      <c r="N652" s="143">
        <v>903</v>
      </c>
      <c r="O652" s="144">
        <f t="shared" si="39"/>
        <v>0</v>
      </c>
      <c r="P652" s="144">
        <f t="shared" si="551"/>
        <v>903</v>
      </c>
      <c r="Q652" s="144"/>
      <c r="R652" s="144">
        <f t="shared" si="3"/>
        <v>903</v>
      </c>
      <c r="S652" s="145">
        <f t="shared" si="4"/>
        <v>1.06</v>
      </c>
      <c r="T652" s="145">
        <f t="shared" si="75"/>
        <v>0</v>
      </c>
      <c r="U652" s="145">
        <f t="shared" si="36"/>
        <v>0</v>
      </c>
      <c r="V652" s="145">
        <f t="shared" si="546"/>
        <v>0.9</v>
      </c>
      <c r="W652" s="145">
        <f t="shared" si="552"/>
        <v>0.14000000000000001</v>
      </c>
      <c r="X652" s="145">
        <f t="shared" si="506"/>
        <v>0.02</v>
      </c>
      <c r="Y652" s="145">
        <f t="shared" si="218"/>
        <v>0</v>
      </c>
      <c r="Z652" s="146">
        <f t="shared" si="10"/>
        <v>1.06</v>
      </c>
      <c r="AA652" s="147">
        <f t="shared" si="553"/>
        <v>-904.06</v>
      </c>
      <c r="AB652" s="148">
        <f t="shared" si="403"/>
        <v>-904</v>
      </c>
      <c r="AC652" s="149">
        <f t="shared" si="48"/>
        <v>5.999999999994543E-2</v>
      </c>
      <c r="AD652" s="138"/>
      <c r="AE652" s="150">
        <f t="shared" si="13"/>
        <v>1.1739999999999999E-3</v>
      </c>
      <c r="AF652" s="151">
        <f t="shared" si="14"/>
        <v>0</v>
      </c>
      <c r="AG652" s="152" t="s">
        <v>416</v>
      </c>
      <c r="AH652" s="124"/>
    </row>
    <row r="653" spans="1:34" ht="12" customHeight="1">
      <c r="A653" s="160">
        <v>44769</v>
      </c>
      <c r="B653" s="140" t="s">
        <v>628</v>
      </c>
      <c r="C653" s="141" t="s">
        <v>485</v>
      </c>
      <c r="D653" s="140"/>
      <c r="E653" s="140" t="str">
        <f t="shared" si="0"/>
        <v>EXCELINDUS</v>
      </c>
      <c r="F653" s="140"/>
      <c r="G653" s="140"/>
      <c r="H653" s="140"/>
      <c r="I653" s="141" t="s">
        <v>467</v>
      </c>
      <c r="J653" s="139" t="s">
        <v>483</v>
      </c>
      <c r="K653" s="141"/>
      <c r="L653" s="141"/>
      <c r="M653" s="142">
        <v>5</v>
      </c>
      <c r="N653" s="143">
        <v>1250</v>
      </c>
      <c r="O653" s="144">
        <f t="shared" si="39"/>
        <v>0</v>
      </c>
      <c r="P653" s="144">
        <f t="shared" si="551"/>
        <v>1250</v>
      </c>
      <c r="Q653" s="144"/>
      <c r="R653" s="144">
        <f t="shared" si="3"/>
        <v>6250</v>
      </c>
      <c r="S653" s="145">
        <f t="shared" si="4"/>
        <v>1.48</v>
      </c>
      <c r="T653" s="145">
        <f t="shared" si="75"/>
        <v>0</v>
      </c>
      <c r="U653" s="145">
        <f t="shared" si="36"/>
        <v>0.03</v>
      </c>
      <c r="V653" s="145">
        <f t="shared" si="546"/>
        <v>6.25</v>
      </c>
      <c r="W653" s="145">
        <f t="shared" si="552"/>
        <v>0.94</v>
      </c>
      <c r="X653" s="145">
        <f t="shared" si="506"/>
        <v>0.17</v>
      </c>
      <c r="Y653" s="145">
        <f t="shared" si="218"/>
        <v>0.01</v>
      </c>
      <c r="Z653" s="146">
        <f t="shared" si="10"/>
        <v>7.4</v>
      </c>
      <c r="AA653" s="147">
        <f t="shared" si="553"/>
        <v>-6257.4</v>
      </c>
      <c r="AB653" s="148">
        <f t="shared" si="403"/>
        <v>-6257</v>
      </c>
      <c r="AC653" s="149">
        <f t="shared" si="48"/>
        <v>0.3999999999996362</v>
      </c>
      <c r="AD653" s="138"/>
      <c r="AE653" s="150">
        <f t="shared" si="13"/>
        <v>1.1839999999999999E-3</v>
      </c>
      <c r="AF653" s="151">
        <f t="shared" si="14"/>
        <v>0</v>
      </c>
      <c r="AG653" s="152" t="s">
        <v>416</v>
      </c>
      <c r="AH653" s="124"/>
    </row>
    <row r="654" spans="1:34" ht="12" customHeight="1">
      <c r="A654" s="160">
        <v>44769</v>
      </c>
      <c r="B654" s="140" t="s">
        <v>479</v>
      </c>
      <c r="C654" s="141" t="s">
        <v>485</v>
      </c>
      <c r="D654" s="140"/>
      <c r="E654" s="140" t="str">
        <f t="shared" si="0"/>
        <v>TATAPOWER</v>
      </c>
      <c r="F654" s="140"/>
      <c r="G654" s="140"/>
      <c r="H654" s="140"/>
      <c r="I654" s="141" t="s">
        <v>467</v>
      </c>
      <c r="J654" s="139" t="s">
        <v>483</v>
      </c>
      <c r="K654" s="141"/>
      <c r="L654" s="141"/>
      <c r="M654" s="142">
        <v>10</v>
      </c>
      <c r="N654" s="143">
        <v>216</v>
      </c>
      <c r="O654" s="144">
        <f t="shared" si="39"/>
        <v>0</v>
      </c>
      <c r="P654" s="144">
        <f t="shared" si="551"/>
        <v>216</v>
      </c>
      <c r="Q654" s="144"/>
      <c r="R654" s="144">
        <f t="shared" si="3"/>
        <v>2160</v>
      </c>
      <c r="S654" s="145">
        <f t="shared" si="4"/>
        <v>0.255</v>
      </c>
      <c r="T654" s="145">
        <f t="shared" si="75"/>
        <v>0</v>
      </c>
      <c r="U654" s="145">
        <f t="shared" si="36"/>
        <v>0.01</v>
      </c>
      <c r="V654" s="145">
        <f t="shared" si="546"/>
        <v>2.16</v>
      </c>
      <c r="W654" s="145">
        <f t="shared" si="552"/>
        <v>0.32</v>
      </c>
      <c r="X654" s="145">
        <f t="shared" si="506"/>
        <v>0.06</v>
      </c>
      <c r="Y654" s="145">
        <f t="shared" si="218"/>
        <v>0</v>
      </c>
      <c r="Z654" s="146">
        <f t="shared" si="10"/>
        <v>2.5499999999999998</v>
      </c>
      <c r="AA654" s="147">
        <f t="shared" si="553"/>
        <v>-2162.5500000000002</v>
      </c>
      <c r="AB654" s="148">
        <f t="shared" si="403"/>
        <v>-2163</v>
      </c>
      <c r="AC654" s="149">
        <f t="shared" si="48"/>
        <v>-0.4499999999998181</v>
      </c>
      <c r="AD654" s="138"/>
      <c r="AE654" s="150">
        <f t="shared" si="13"/>
        <v>1.181E-3</v>
      </c>
      <c r="AF654" s="151">
        <f t="shared" si="14"/>
        <v>0</v>
      </c>
      <c r="AG654" s="152" t="s">
        <v>416</v>
      </c>
      <c r="AH654" s="124"/>
    </row>
    <row r="655" spans="1:34" ht="12" customHeight="1">
      <c r="A655" s="160">
        <v>44769</v>
      </c>
      <c r="B655" s="140" t="s">
        <v>629</v>
      </c>
      <c r="C655" s="141" t="s">
        <v>485</v>
      </c>
      <c r="D655" s="140"/>
      <c r="E655" s="140" t="str">
        <f t="shared" si="0"/>
        <v>EIDPARRY</v>
      </c>
      <c r="F655" s="140"/>
      <c r="G655" s="140"/>
      <c r="H655" s="140"/>
      <c r="I655" s="141" t="s">
        <v>467</v>
      </c>
      <c r="J655" s="139" t="s">
        <v>483</v>
      </c>
      <c r="K655" s="141"/>
      <c r="L655" s="141"/>
      <c r="M655" s="142">
        <v>10</v>
      </c>
      <c r="N655" s="143">
        <v>560</v>
      </c>
      <c r="O655" s="144">
        <f t="shared" si="39"/>
        <v>0</v>
      </c>
      <c r="P655" s="144">
        <f t="shared" si="551"/>
        <v>560</v>
      </c>
      <c r="Q655" s="144"/>
      <c r="R655" s="144">
        <f t="shared" si="3"/>
        <v>5600</v>
      </c>
      <c r="S655" s="145">
        <f t="shared" si="4"/>
        <v>0.66300000000000003</v>
      </c>
      <c r="T655" s="145">
        <f t="shared" si="75"/>
        <v>0</v>
      </c>
      <c r="U655" s="145">
        <f t="shared" si="36"/>
        <v>0.03</v>
      </c>
      <c r="V655" s="145">
        <f t="shared" si="546"/>
        <v>5.6</v>
      </c>
      <c r="W655" s="145">
        <f t="shared" si="552"/>
        <v>0.84</v>
      </c>
      <c r="X655" s="145">
        <f t="shared" si="506"/>
        <v>0.15</v>
      </c>
      <c r="Y655" s="145">
        <f t="shared" si="218"/>
        <v>0.01</v>
      </c>
      <c r="Z655" s="146">
        <f t="shared" si="10"/>
        <v>6.63</v>
      </c>
      <c r="AA655" s="147">
        <f t="shared" si="553"/>
        <v>-5606.63</v>
      </c>
      <c r="AB655" s="148">
        <f t="shared" si="403"/>
        <v>-5607</v>
      </c>
      <c r="AC655" s="149">
        <f t="shared" si="48"/>
        <v>-0.36999999999989086</v>
      </c>
      <c r="AD655" s="138"/>
      <c r="AE655" s="150">
        <f t="shared" si="13"/>
        <v>1.1839999999999999E-3</v>
      </c>
      <c r="AF655" s="151">
        <f t="shared" si="14"/>
        <v>0</v>
      </c>
      <c r="AG655" s="152" t="s">
        <v>416</v>
      </c>
      <c r="AH655" s="124"/>
    </row>
    <row r="656" spans="1:34" ht="12" customHeight="1">
      <c r="A656" s="160">
        <v>44769</v>
      </c>
      <c r="B656" s="140" t="s">
        <v>630</v>
      </c>
      <c r="C656" s="141" t="s">
        <v>485</v>
      </c>
      <c r="D656" s="140"/>
      <c r="E656" s="140" t="str">
        <f t="shared" si="0"/>
        <v>GARFIBRES</v>
      </c>
      <c r="F656" s="140"/>
      <c r="G656" s="140"/>
      <c r="H656" s="140"/>
      <c r="I656" s="141" t="s">
        <v>467</v>
      </c>
      <c r="J656" s="139" t="s">
        <v>483</v>
      </c>
      <c r="K656" s="141"/>
      <c r="L656" s="141"/>
      <c r="M656" s="142">
        <v>2</v>
      </c>
      <c r="N656" s="143">
        <v>3245</v>
      </c>
      <c r="O656" s="144">
        <f t="shared" si="39"/>
        <v>0</v>
      </c>
      <c r="P656" s="144">
        <f t="shared" si="551"/>
        <v>3245</v>
      </c>
      <c r="Q656" s="144"/>
      <c r="R656" s="144">
        <f t="shared" si="3"/>
        <v>6490</v>
      </c>
      <c r="S656" s="145">
        <f t="shared" si="4"/>
        <v>3.84</v>
      </c>
      <c r="T656" s="145">
        <f t="shared" si="75"/>
        <v>0</v>
      </c>
      <c r="U656" s="145">
        <f t="shared" si="36"/>
        <v>0.03</v>
      </c>
      <c r="V656" s="145">
        <f t="shared" si="546"/>
        <v>6.49</v>
      </c>
      <c r="W656" s="145">
        <f t="shared" si="552"/>
        <v>0.97</v>
      </c>
      <c r="X656" s="145">
        <f t="shared" si="506"/>
        <v>0.18</v>
      </c>
      <c r="Y656" s="145">
        <f t="shared" si="218"/>
        <v>0.01</v>
      </c>
      <c r="Z656" s="146">
        <f t="shared" si="10"/>
        <v>7.68</v>
      </c>
      <c r="AA656" s="147">
        <f t="shared" si="553"/>
        <v>-6497.68</v>
      </c>
      <c r="AB656" s="148">
        <f t="shared" si="403"/>
        <v>-6498</v>
      </c>
      <c r="AC656" s="149">
        <f t="shared" si="48"/>
        <v>-0.31999999999970896</v>
      </c>
      <c r="AD656" s="138"/>
      <c r="AE656" s="150">
        <f t="shared" si="13"/>
        <v>1.183E-3</v>
      </c>
      <c r="AF656" s="151">
        <f t="shared" si="14"/>
        <v>0</v>
      </c>
      <c r="AG656" s="152" t="s">
        <v>416</v>
      </c>
      <c r="AH656" s="124"/>
    </row>
    <row r="657" spans="1:34" ht="12" customHeight="1">
      <c r="A657" s="155">
        <v>44769</v>
      </c>
      <c r="B657" s="112" t="s">
        <v>601</v>
      </c>
      <c r="C657" s="127" t="s">
        <v>485</v>
      </c>
      <c r="D657" s="112"/>
      <c r="E657" s="112" t="str">
        <f t="shared" si="0"/>
        <v>FEDERALBNK</v>
      </c>
      <c r="F657" s="112"/>
      <c r="G657" s="112"/>
      <c r="H657" s="112"/>
      <c r="I657" s="127" t="s">
        <v>461</v>
      </c>
      <c r="J657" s="126" t="s">
        <v>483</v>
      </c>
      <c r="K657" s="127"/>
      <c r="L657" s="127"/>
      <c r="M657" s="128">
        <v>50</v>
      </c>
      <c r="N657" s="129">
        <v>107.2</v>
      </c>
      <c r="O657" s="130">
        <f t="shared" si="39"/>
        <v>0</v>
      </c>
      <c r="P657" s="130">
        <f t="shared" ref="P657:P658" si="554">N657-O657</f>
        <v>107.2</v>
      </c>
      <c r="Q657" s="130"/>
      <c r="R657" s="130">
        <f t="shared" si="3"/>
        <v>5360</v>
      </c>
      <c r="S657" s="131">
        <f t="shared" si="4"/>
        <v>0.11100000000000002</v>
      </c>
      <c r="T657" s="131">
        <f t="shared" si="75"/>
        <v>0</v>
      </c>
      <c r="U657" s="131">
        <f t="shared" si="36"/>
        <v>0.03</v>
      </c>
      <c r="V657" s="131">
        <f t="shared" si="546"/>
        <v>5.36</v>
      </c>
      <c r="W657" s="131">
        <v>0</v>
      </c>
      <c r="X657" s="131">
        <f t="shared" si="506"/>
        <v>0.15</v>
      </c>
      <c r="Y657" s="131">
        <f t="shared" si="218"/>
        <v>0.01</v>
      </c>
      <c r="Z657" s="131">
        <f t="shared" si="10"/>
        <v>5.5500000000000007</v>
      </c>
      <c r="AA657" s="132">
        <f t="shared" ref="AA657:AA658" si="555">ROUND(R657-SUM(T657:Y657),2)</f>
        <v>5354.45</v>
      </c>
      <c r="AB657" s="133">
        <f t="shared" si="403"/>
        <v>5354</v>
      </c>
      <c r="AC657" s="134">
        <f t="shared" si="48"/>
        <v>-0.4499999999998181</v>
      </c>
      <c r="AD657" s="125"/>
      <c r="AE657" s="135">
        <f t="shared" si="13"/>
        <v>1.0349999999999999E-3</v>
      </c>
      <c r="AF657" s="136">
        <f t="shared" si="14"/>
        <v>0</v>
      </c>
      <c r="AG657" s="137" t="s">
        <v>416</v>
      </c>
      <c r="AH657" s="124"/>
    </row>
    <row r="658" spans="1:34" ht="12" customHeight="1">
      <c r="A658" s="155">
        <v>44769</v>
      </c>
      <c r="B658" s="112" t="s">
        <v>493</v>
      </c>
      <c r="C658" s="127" t="s">
        <v>485</v>
      </c>
      <c r="D658" s="112"/>
      <c r="E658" s="112" t="str">
        <f t="shared" si="0"/>
        <v>SBIN</v>
      </c>
      <c r="F658" s="112"/>
      <c r="G658" s="112"/>
      <c r="H658" s="112"/>
      <c r="I658" s="127" t="s">
        <v>461</v>
      </c>
      <c r="J658" s="126" t="s">
        <v>483</v>
      </c>
      <c r="K658" s="127"/>
      <c r="L658" s="127"/>
      <c r="M658" s="128">
        <v>25</v>
      </c>
      <c r="N658" s="129">
        <v>523</v>
      </c>
      <c r="O658" s="130">
        <f t="shared" si="39"/>
        <v>0</v>
      </c>
      <c r="P658" s="130">
        <f t="shared" si="554"/>
        <v>523</v>
      </c>
      <c r="Q658" s="130"/>
      <c r="R658" s="130">
        <f t="shared" si="3"/>
        <v>13075</v>
      </c>
      <c r="S658" s="131">
        <f t="shared" si="4"/>
        <v>0.54039999999999999</v>
      </c>
      <c r="T658" s="131">
        <f t="shared" si="75"/>
        <v>0</v>
      </c>
      <c r="U658" s="131">
        <f t="shared" si="36"/>
        <v>0.06</v>
      </c>
      <c r="V658" s="131">
        <f t="shared" si="546"/>
        <v>13.08</v>
      </c>
      <c r="W658" s="131">
        <v>0</v>
      </c>
      <c r="X658" s="131">
        <f t="shared" si="506"/>
        <v>0.36</v>
      </c>
      <c r="Y658" s="131">
        <f t="shared" si="218"/>
        <v>0.01</v>
      </c>
      <c r="Z658" s="131">
        <f t="shared" si="10"/>
        <v>13.51</v>
      </c>
      <c r="AA658" s="132">
        <f t="shared" si="555"/>
        <v>13061.49</v>
      </c>
      <c r="AB658" s="133">
        <f t="shared" si="403"/>
        <v>13061</v>
      </c>
      <c r="AC658" s="134">
        <f t="shared" si="48"/>
        <v>-0.48999999999978172</v>
      </c>
      <c r="AD658" s="125"/>
      <c r="AE658" s="135">
        <f t="shared" si="13"/>
        <v>1.0330000000000001E-3</v>
      </c>
      <c r="AF658" s="136">
        <f t="shared" si="14"/>
        <v>0</v>
      </c>
      <c r="AG658" s="137" t="s">
        <v>416</v>
      </c>
      <c r="AH658" s="124"/>
    </row>
    <row r="659" spans="1:34" ht="12" customHeight="1">
      <c r="A659" s="160">
        <v>44770</v>
      </c>
      <c r="B659" s="140" t="s">
        <v>308</v>
      </c>
      <c r="C659" s="141" t="s">
        <v>485</v>
      </c>
      <c r="D659" s="140"/>
      <c r="E659" s="140" t="str">
        <f t="shared" si="0"/>
        <v>INEOSSTYRO</v>
      </c>
      <c r="F659" s="140"/>
      <c r="G659" s="140"/>
      <c r="H659" s="140"/>
      <c r="I659" s="141" t="s">
        <v>467</v>
      </c>
      <c r="J659" s="139" t="s">
        <v>483</v>
      </c>
      <c r="K659" s="141"/>
      <c r="L659" s="141"/>
      <c r="M659" s="142">
        <v>5</v>
      </c>
      <c r="N659" s="143">
        <v>839.6</v>
      </c>
      <c r="O659" s="144">
        <f t="shared" si="39"/>
        <v>0</v>
      </c>
      <c r="P659" s="144">
        <f>N659+O659</f>
        <v>839.6</v>
      </c>
      <c r="Q659" s="144"/>
      <c r="R659" s="144">
        <f t="shared" si="3"/>
        <v>4198</v>
      </c>
      <c r="S659" s="145">
        <f t="shared" si="4"/>
        <v>0.99399999999999999</v>
      </c>
      <c r="T659" s="145">
        <f t="shared" si="75"/>
        <v>0</v>
      </c>
      <c r="U659" s="145">
        <f t="shared" si="36"/>
        <v>0.02</v>
      </c>
      <c r="V659" s="145">
        <f t="shared" si="546"/>
        <v>4.2</v>
      </c>
      <c r="W659" s="145">
        <f>ROUND(R659*F$1823,2)</f>
        <v>0.63</v>
      </c>
      <c r="X659" s="145">
        <f t="shared" si="506"/>
        <v>0.12</v>
      </c>
      <c r="Y659" s="145">
        <f t="shared" si="218"/>
        <v>0</v>
      </c>
      <c r="Z659" s="146">
        <f t="shared" si="10"/>
        <v>4.97</v>
      </c>
      <c r="AA659" s="147">
        <f>-ROUND(R659+SUM(T659:Y659),2)</f>
        <v>-4202.97</v>
      </c>
      <c r="AB659" s="148">
        <f t="shared" si="403"/>
        <v>-4203</v>
      </c>
      <c r="AC659" s="149">
        <f t="shared" si="48"/>
        <v>-2.9999999999745341E-2</v>
      </c>
      <c r="AD659" s="138"/>
      <c r="AE659" s="150">
        <f t="shared" si="13"/>
        <v>1.1839999999999999E-3</v>
      </c>
      <c r="AF659" s="151">
        <f t="shared" si="14"/>
        <v>0</v>
      </c>
      <c r="AG659" s="152" t="s">
        <v>416</v>
      </c>
      <c r="AH659" s="124"/>
    </row>
    <row r="660" spans="1:34" ht="12" customHeight="1">
      <c r="A660" s="155">
        <v>44771</v>
      </c>
      <c r="B660" s="112" t="s">
        <v>589</v>
      </c>
      <c r="C660" s="127" t="s">
        <v>460</v>
      </c>
      <c r="D660" s="112"/>
      <c r="E660" s="112" t="str">
        <f t="shared" si="0"/>
        <v>DCMSHRIRAM</v>
      </c>
      <c r="F660" s="112"/>
      <c r="G660" s="112"/>
      <c r="H660" s="112"/>
      <c r="I660" s="127" t="s">
        <v>461</v>
      </c>
      <c r="J660" s="126" t="s">
        <v>483</v>
      </c>
      <c r="K660" s="127"/>
      <c r="L660" s="127"/>
      <c r="M660" s="128">
        <v>240</v>
      </c>
      <c r="N660" s="129">
        <v>989.02269999999999</v>
      </c>
      <c r="O660" s="130">
        <f t="shared" si="39"/>
        <v>0</v>
      </c>
      <c r="P660" s="130">
        <f t="shared" ref="P660:P664" si="556">N660-O660</f>
        <v>989.02269999999999</v>
      </c>
      <c r="Q660" s="130"/>
      <c r="R660" s="130">
        <f t="shared" si="3"/>
        <v>237365.45</v>
      </c>
      <c r="S660" s="131">
        <f t="shared" si="4"/>
        <v>1.0221666666666667</v>
      </c>
      <c r="T660" s="131">
        <f t="shared" si="75"/>
        <v>0</v>
      </c>
      <c r="U660" s="131">
        <f t="shared" si="36"/>
        <v>1.18</v>
      </c>
      <c r="V660" s="131">
        <f t="shared" si="546"/>
        <v>237.37</v>
      </c>
      <c r="W660" s="131">
        <v>0</v>
      </c>
      <c r="X660" s="131">
        <f t="shared" si="506"/>
        <v>6.53</v>
      </c>
      <c r="Y660" s="131">
        <f t="shared" si="218"/>
        <v>0.24</v>
      </c>
      <c r="Z660" s="131">
        <f t="shared" si="10"/>
        <v>245.32000000000002</v>
      </c>
      <c r="AA660" s="132">
        <f t="shared" ref="AA660:AA664" si="557">ROUND(R660-SUM(T660:Y660),2)</f>
        <v>237120.13</v>
      </c>
      <c r="AB660" s="133">
        <f t="shared" si="403"/>
        <v>237120</v>
      </c>
      <c r="AC660" s="134">
        <f t="shared" si="48"/>
        <v>-0.13000000000465661</v>
      </c>
      <c r="AD660" s="125"/>
      <c r="AE660" s="135">
        <f t="shared" si="13"/>
        <v>1.034E-3</v>
      </c>
      <c r="AF660" s="136">
        <f t="shared" si="14"/>
        <v>0</v>
      </c>
      <c r="AG660" s="137" t="s">
        <v>416</v>
      </c>
      <c r="AH660" s="124"/>
    </row>
    <row r="661" spans="1:34" ht="12" customHeight="1">
      <c r="A661" s="155">
        <v>44775</v>
      </c>
      <c r="B661" s="112" t="s">
        <v>518</v>
      </c>
      <c r="C661" s="127" t="s">
        <v>485</v>
      </c>
      <c r="D661" s="112"/>
      <c r="E661" s="112" t="str">
        <f t="shared" si="0"/>
        <v>TATAMOTORS</v>
      </c>
      <c r="F661" s="112"/>
      <c r="G661" s="112"/>
      <c r="H661" s="112"/>
      <c r="I661" s="127" t="s">
        <v>461</v>
      </c>
      <c r="J661" s="126" t="s">
        <v>483</v>
      </c>
      <c r="K661" s="127"/>
      <c r="L661" s="127"/>
      <c r="M661" s="128">
        <v>30</v>
      </c>
      <c r="N661" s="129">
        <v>478</v>
      </c>
      <c r="O661" s="130">
        <f t="shared" si="39"/>
        <v>0</v>
      </c>
      <c r="P661" s="130">
        <f t="shared" si="556"/>
        <v>478</v>
      </c>
      <c r="Q661" s="130"/>
      <c r="R661" s="130">
        <f t="shared" si="3"/>
        <v>14340</v>
      </c>
      <c r="S661" s="131">
        <f t="shared" si="4"/>
        <v>0.4936666666666667</v>
      </c>
      <c r="T661" s="131">
        <f t="shared" si="75"/>
        <v>0</v>
      </c>
      <c r="U661" s="131">
        <f t="shared" si="36"/>
        <v>7.0000000000000007E-2</v>
      </c>
      <c r="V661" s="131">
        <f t="shared" si="546"/>
        <v>14.34</v>
      </c>
      <c r="W661" s="131">
        <v>0</v>
      </c>
      <c r="X661" s="131">
        <f t="shared" si="506"/>
        <v>0.39</v>
      </c>
      <c r="Y661" s="131">
        <f t="shared" si="218"/>
        <v>0.01</v>
      </c>
      <c r="Z661" s="131">
        <f t="shared" si="10"/>
        <v>14.81</v>
      </c>
      <c r="AA661" s="132">
        <f t="shared" si="557"/>
        <v>14325.19</v>
      </c>
      <c r="AB661" s="133">
        <f t="shared" si="403"/>
        <v>14325</v>
      </c>
      <c r="AC661" s="134">
        <f t="shared" si="48"/>
        <v>-0.19000000000050932</v>
      </c>
      <c r="AD661" s="125"/>
      <c r="AE661" s="135">
        <f t="shared" si="13"/>
        <v>1.0330000000000001E-3</v>
      </c>
      <c r="AF661" s="136">
        <f t="shared" si="14"/>
        <v>0</v>
      </c>
      <c r="AG661" s="137" t="s">
        <v>416</v>
      </c>
      <c r="AH661" s="124"/>
    </row>
    <row r="662" spans="1:34" ht="12" customHeight="1">
      <c r="A662" s="155">
        <v>44775</v>
      </c>
      <c r="B662" s="112" t="s">
        <v>598</v>
      </c>
      <c r="C662" s="127" t="s">
        <v>485</v>
      </c>
      <c r="D662" s="112"/>
      <c r="E662" s="112" t="str">
        <f t="shared" si="0"/>
        <v>A2ZINFRA</v>
      </c>
      <c r="F662" s="112"/>
      <c r="G662" s="112"/>
      <c r="H662" s="112"/>
      <c r="I662" s="127" t="s">
        <v>461</v>
      </c>
      <c r="J662" s="126" t="s">
        <v>483</v>
      </c>
      <c r="K662" s="127"/>
      <c r="L662" s="127"/>
      <c r="M662" s="128">
        <v>1250</v>
      </c>
      <c r="N662" s="129">
        <v>13.05</v>
      </c>
      <c r="O662" s="130">
        <f t="shared" si="39"/>
        <v>0</v>
      </c>
      <c r="P662" s="130">
        <f t="shared" si="556"/>
        <v>13.05</v>
      </c>
      <c r="Q662" s="130"/>
      <c r="R662" s="130">
        <f t="shared" si="3"/>
        <v>16312.5</v>
      </c>
      <c r="S662" s="131">
        <f t="shared" si="4"/>
        <v>1.3487999999999997E-2</v>
      </c>
      <c r="T662" s="131">
        <f t="shared" si="75"/>
        <v>0</v>
      </c>
      <c r="U662" s="131">
        <f t="shared" si="36"/>
        <v>0.08</v>
      </c>
      <c r="V662" s="131">
        <f t="shared" si="546"/>
        <v>16.309999999999999</v>
      </c>
      <c r="W662" s="131">
        <v>0</v>
      </c>
      <c r="X662" s="131">
        <f t="shared" si="506"/>
        <v>0.45</v>
      </c>
      <c r="Y662" s="131">
        <f t="shared" si="218"/>
        <v>0.02</v>
      </c>
      <c r="Z662" s="131">
        <f t="shared" si="10"/>
        <v>16.859999999999996</v>
      </c>
      <c r="AA662" s="132">
        <f t="shared" si="557"/>
        <v>16295.64</v>
      </c>
      <c r="AB662" s="133">
        <f t="shared" si="403"/>
        <v>16296</v>
      </c>
      <c r="AC662" s="134">
        <f t="shared" si="48"/>
        <v>0.36000000000058208</v>
      </c>
      <c r="AD662" s="125"/>
      <c r="AE662" s="135">
        <f t="shared" si="13"/>
        <v>1.034E-3</v>
      </c>
      <c r="AF662" s="136">
        <f t="shared" si="14"/>
        <v>0</v>
      </c>
      <c r="AG662" s="137" t="s">
        <v>416</v>
      </c>
      <c r="AH662" s="124"/>
    </row>
    <row r="663" spans="1:34" ht="12" customHeight="1">
      <c r="A663" s="155">
        <v>44775</v>
      </c>
      <c r="B663" s="112" t="s">
        <v>601</v>
      </c>
      <c r="C663" s="127" t="s">
        <v>485</v>
      </c>
      <c r="D663" s="112"/>
      <c r="E663" s="112" t="str">
        <f t="shared" si="0"/>
        <v>FEDERALBNK</v>
      </c>
      <c r="F663" s="112"/>
      <c r="G663" s="112"/>
      <c r="H663" s="112"/>
      <c r="I663" s="127" t="s">
        <v>461</v>
      </c>
      <c r="J663" s="126" t="s">
        <v>483</v>
      </c>
      <c r="K663" s="127"/>
      <c r="L663" s="127"/>
      <c r="M663" s="128">
        <v>50</v>
      </c>
      <c r="N663" s="129">
        <v>107.375</v>
      </c>
      <c r="O663" s="130">
        <f t="shared" si="39"/>
        <v>0</v>
      </c>
      <c r="P663" s="130">
        <f t="shared" si="556"/>
        <v>107.375</v>
      </c>
      <c r="Q663" s="130"/>
      <c r="R663" s="130">
        <f t="shared" si="3"/>
        <v>5368.75</v>
      </c>
      <c r="S663" s="131">
        <f t="shared" si="4"/>
        <v>0.11120000000000001</v>
      </c>
      <c r="T663" s="131">
        <f t="shared" si="75"/>
        <v>0</v>
      </c>
      <c r="U663" s="131">
        <f t="shared" si="36"/>
        <v>0.03</v>
      </c>
      <c r="V663" s="131">
        <f t="shared" si="546"/>
        <v>5.37</v>
      </c>
      <c r="W663" s="131">
        <v>0</v>
      </c>
      <c r="X663" s="131">
        <f t="shared" si="506"/>
        <v>0.15</v>
      </c>
      <c r="Y663" s="131">
        <f t="shared" si="218"/>
        <v>0.01</v>
      </c>
      <c r="Z663" s="131">
        <f t="shared" si="10"/>
        <v>5.5600000000000005</v>
      </c>
      <c r="AA663" s="132">
        <f t="shared" si="557"/>
        <v>5363.19</v>
      </c>
      <c r="AB663" s="133">
        <f t="shared" si="403"/>
        <v>5363</v>
      </c>
      <c r="AC663" s="134">
        <f t="shared" si="48"/>
        <v>-0.18999999999959982</v>
      </c>
      <c r="AD663" s="125"/>
      <c r="AE663" s="135">
        <f t="shared" si="13"/>
        <v>1.036E-3</v>
      </c>
      <c r="AF663" s="136">
        <f t="shared" si="14"/>
        <v>0</v>
      </c>
      <c r="AG663" s="137" t="s">
        <v>416</v>
      </c>
      <c r="AH663" s="124"/>
    </row>
    <row r="664" spans="1:34" ht="12" customHeight="1">
      <c r="A664" s="155">
        <v>44775</v>
      </c>
      <c r="B664" s="112" t="s">
        <v>493</v>
      </c>
      <c r="C664" s="127" t="s">
        <v>485</v>
      </c>
      <c r="D664" s="112"/>
      <c r="E664" s="112" t="str">
        <f t="shared" si="0"/>
        <v>SBIN</v>
      </c>
      <c r="F664" s="112"/>
      <c r="G664" s="112"/>
      <c r="H664" s="112"/>
      <c r="I664" s="127" t="s">
        <v>461</v>
      </c>
      <c r="J664" s="126" t="s">
        <v>483</v>
      </c>
      <c r="K664" s="127"/>
      <c r="L664" s="127"/>
      <c r="M664" s="128">
        <v>25</v>
      </c>
      <c r="N664" s="129">
        <v>542</v>
      </c>
      <c r="O664" s="130">
        <f t="shared" si="39"/>
        <v>0</v>
      </c>
      <c r="P664" s="130">
        <f t="shared" si="556"/>
        <v>542</v>
      </c>
      <c r="Q664" s="130"/>
      <c r="R664" s="130">
        <f t="shared" si="3"/>
        <v>13550</v>
      </c>
      <c r="S664" s="131">
        <f t="shared" si="4"/>
        <v>0.56000000000000005</v>
      </c>
      <c r="T664" s="131">
        <f t="shared" si="75"/>
        <v>0</v>
      </c>
      <c r="U664" s="131">
        <f t="shared" si="36"/>
        <v>7.0000000000000007E-2</v>
      </c>
      <c r="V664" s="131">
        <f t="shared" si="546"/>
        <v>13.55</v>
      </c>
      <c r="W664" s="131">
        <v>0</v>
      </c>
      <c r="X664" s="131">
        <f t="shared" si="506"/>
        <v>0.37</v>
      </c>
      <c r="Y664" s="131">
        <f t="shared" si="218"/>
        <v>0.01</v>
      </c>
      <c r="Z664" s="131">
        <f t="shared" si="10"/>
        <v>14</v>
      </c>
      <c r="AA664" s="132">
        <f t="shared" si="557"/>
        <v>13536</v>
      </c>
      <c r="AB664" s="133">
        <f t="shared" si="403"/>
        <v>13536</v>
      </c>
      <c r="AC664" s="134">
        <f t="shared" si="48"/>
        <v>0</v>
      </c>
      <c r="AD664" s="125"/>
      <c r="AE664" s="135">
        <f t="shared" si="13"/>
        <v>1.0330000000000001E-3</v>
      </c>
      <c r="AF664" s="136">
        <f t="shared" si="14"/>
        <v>0</v>
      </c>
      <c r="AG664" s="137" t="s">
        <v>416</v>
      </c>
      <c r="AH664" s="124"/>
    </row>
    <row r="665" spans="1:34" ht="12" customHeight="1">
      <c r="A665" s="160">
        <v>44775</v>
      </c>
      <c r="B665" s="140" t="s">
        <v>631</v>
      </c>
      <c r="C665" s="141" t="s">
        <v>485</v>
      </c>
      <c r="D665" s="140"/>
      <c r="E665" s="140" t="str">
        <f t="shared" si="0"/>
        <v>MOTHERSON</v>
      </c>
      <c r="F665" s="140"/>
      <c r="G665" s="140"/>
      <c r="H665" s="140"/>
      <c r="I665" s="141" t="s">
        <v>467</v>
      </c>
      <c r="J665" s="139" t="s">
        <v>483</v>
      </c>
      <c r="K665" s="141"/>
      <c r="L665" s="141"/>
      <c r="M665" s="142">
        <v>50</v>
      </c>
      <c r="N665" s="143">
        <v>133.19999999999999</v>
      </c>
      <c r="O665" s="144">
        <f t="shared" si="39"/>
        <v>0</v>
      </c>
      <c r="P665" s="144">
        <f t="shared" ref="P665:P666" si="558">N665+O665</f>
        <v>133.19999999999999</v>
      </c>
      <c r="Q665" s="144"/>
      <c r="R665" s="144">
        <f t="shared" si="3"/>
        <v>6660</v>
      </c>
      <c r="S665" s="145">
        <f t="shared" si="4"/>
        <v>0.15759999999999999</v>
      </c>
      <c r="T665" s="145">
        <f t="shared" si="75"/>
        <v>0</v>
      </c>
      <c r="U665" s="145">
        <f t="shared" si="36"/>
        <v>0.03</v>
      </c>
      <c r="V665" s="145">
        <f t="shared" si="546"/>
        <v>6.66</v>
      </c>
      <c r="W665" s="145">
        <f t="shared" ref="W665:W666" si="559">ROUND(R665*F$1823,2)</f>
        <v>1</v>
      </c>
      <c r="X665" s="145">
        <f t="shared" si="506"/>
        <v>0.18</v>
      </c>
      <c r="Y665" s="145">
        <f t="shared" si="218"/>
        <v>0.01</v>
      </c>
      <c r="Z665" s="146">
        <f t="shared" si="10"/>
        <v>7.88</v>
      </c>
      <c r="AA665" s="147">
        <f t="shared" ref="AA665:AA666" si="560">-ROUND(R665+SUM(T665:Y665),2)</f>
        <v>-6667.88</v>
      </c>
      <c r="AB665" s="148">
        <f t="shared" si="403"/>
        <v>-6668</v>
      </c>
      <c r="AC665" s="149">
        <f t="shared" si="48"/>
        <v>-0.11999999999989086</v>
      </c>
      <c r="AD665" s="138"/>
      <c r="AE665" s="150">
        <f t="shared" si="13"/>
        <v>1.183E-3</v>
      </c>
      <c r="AF665" s="151">
        <f t="shared" si="14"/>
        <v>0</v>
      </c>
      <c r="AG665" s="152" t="s">
        <v>416</v>
      </c>
      <c r="AH665" s="124"/>
    </row>
    <row r="666" spans="1:34" ht="12" customHeight="1">
      <c r="A666" s="160">
        <v>44775</v>
      </c>
      <c r="B666" s="140" t="s">
        <v>632</v>
      </c>
      <c r="C666" s="141" t="s">
        <v>485</v>
      </c>
      <c r="D666" s="140"/>
      <c r="E666" s="140" t="str">
        <f t="shared" si="0"/>
        <v>LT</v>
      </c>
      <c r="F666" s="140"/>
      <c r="G666" s="140"/>
      <c r="H666" s="140"/>
      <c r="I666" s="141" t="s">
        <v>467</v>
      </c>
      <c r="J666" s="139" t="s">
        <v>483</v>
      </c>
      <c r="K666" s="141"/>
      <c r="L666" s="141"/>
      <c r="M666" s="142">
        <v>10</v>
      </c>
      <c r="N666" s="143">
        <v>1790</v>
      </c>
      <c r="O666" s="144">
        <f t="shared" si="39"/>
        <v>0</v>
      </c>
      <c r="P666" s="144">
        <f t="shared" si="558"/>
        <v>1790</v>
      </c>
      <c r="Q666" s="144"/>
      <c r="R666" s="144">
        <f t="shared" si="3"/>
        <v>17900</v>
      </c>
      <c r="S666" s="145">
        <f t="shared" si="4"/>
        <v>2.1189999999999998</v>
      </c>
      <c r="T666" s="145">
        <f t="shared" si="75"/>
        <v>0</v>
      </c>
      <c r="U666" s="145">
        <f t="shared" si="36"/>
        <v>0.09</v>
      </c>
      <c r="V666" s="145">
        <f t="shared" si="546"/>
        <v>17.899999999999999</v>
      </c>
      <c r="W666" s="145">
        <f t="shared" si="559"/>
        <v>2.69</v>
      </c>
      <c r="X666" s="145">
        <f t="shared" si="506"/>
        <v>0.49</v>
      </c>
      <c r="Y666" s="145">
        <f t="shared" si="218"/>
        <v>0.02</v>
      </c>
      <c r="Z666" s="146">
        <f t="shared" si="10"/>
        <v>21.189999999999998</v>
      </c>
      <c r="AA666" s="147">
        <f t="shared" si="560"/>
        <v>-17921.189999999999</v>
      </c>
      <c r="AB666" s="148">
        <f t="shared" si="403"/>
        <v>-17921</v>
      </c>
      <c r="AC666" s="149">
        <f t="shared" si="48"/>
        <v>0.18999999999869033</v>
      </c>
      <c r="AD666" s="138"/>
      <c r="AE666" s="150">
        <f t="shared" si="13"/>
        <v>1.1839999999999999E-3</v>
      </c>
      <c r="AF666" s="151">
        <f t="shared" si="14"/>
        <v>0</v>
      </c>
      <c r="AG666" s="152" t="s">
        <v>416</v>
      </c>
      <c r="AH666" s="124"/>
    </row>
    <row r="667" spans="1:34" ht="12" customHeight="1">
      <c r="A667" s="155">
        <v>44776</v>
      </c>
      <c r="B667" s="112" t="s">
        <v>614</v>
      </c>
      <c r="C667" s="127" t="s">
        <v>485</v>
      </c>
      <c r="D667" s="112"/>
      <c r="E667" s="112" t="str">
        <f t="shared" si="0"/>
        <v>CARBORUNIN</v>
      </c>
      <c r="F667" s="112"/>
      <c r="G667" s="112"/>
      <c r="H667" s="112"/>
      <c r="I667" s="127" t="s">
        <v>461</v>
      </c>
      <c r="J667" s="126" t="s">
        <v>483</v>
      </c>
      <c r="K667" s="127"/>
      <c r="L667" s="127"/>
      <c r="M667" s="128">
        <v>5</v>
      </c>
      <c r="N667" s="129">
        <v>850</v>
      </c>
      <c r="O667" s="130">
        <f t="shared" si="39"/>
        <v>0</v>
      </c>
      <c r="P667" s="130">
        <f t="shared" ref="P667:P668" si="561">N667-O667</f>
        <v>850</v>
      </c>
      <c r="Q667" s="130"/>
      <c r="R667" s="130">
        <f t="shared" si="3"/>
        <v>4250</v>
      </c>
      <c r="S667" s="131">
        <f t="shared" si="4"/>
        <v>0.87799999999999989</v>
      </c>
      <c r="T667" s="131">
        <f t="shared" si="75"/>
        <v>0</v>
      </c>
      <c r="U667" s="131">
        <f t="shared" si="36"/>
        <v>0.02</v>
      </c>
      <c r="V667" s="131">
        <f t="shared" si="546"/>
        <v>4.25</v>
      </c>
      <c r="W667" s="131">
        <v>0</v>
      </c>
      <c r="X667" s="131">
        <f t="shared" si="506"/>
        <v>0.12</v>
      </c>
      <c r="Y667" s="131">
        <f t="shared" si="218"/>
        <v>0</v>
      </c>
      <c r="Z667" s="131">
        <f t="shared" si="10"/>
        <v>4.3899999999999997</v>
      </c>
      <c r="AA667" s="132">
        <f t="shared" ref="AA667:AA668" si="562">ROUND(R667-SUM(T667:Y667),2)</f>
        <v>4245.6099999999997</v>
      </c>
      <c r="AB667" s="133">
        <f t="shared" si="403"/>
        <v>4246</v>
      </c>
      <c r="AC667" s="134">
        <f t="shared" si="48"/>
        <v>0.39000000000032742</v>
      </c>
      <c r="AD667" s="125"/>
      <c r="AE667" s="135">
        <f t="shared" si="13"/>
        <v>1.0330000000000001E-3</v>
      </c>
      <c r="AF667" s="136">
        <f t="shared" si="14"/>
        <v>0</v>
      </c>
      <c r="AG667" s="137" t="s">
        <v>416</v>
      </c>
      <c r="AH667" s="124"/>
    </row>
    <row r="668" spans="1:34" ht="12" customHeight="1">
      <c r="A668" s="155">
        <v>44777</v>
      </c>
      <c r="B668" s="112" t="s">
        <v>589</v>
      </c>
      <c r="C668" s="127" t="s">
        <v>460</v>
      </c>
      <c r="D668" s="112"/>
      <c r="E668" s="112" t="str">
        <f t="shared" si="0"/>
        <v>DCMSHRIRAM</v>
      </c>
      <c r="F668" s="112"/>
      <c r="G668" s="112"/>
      <c r="H668" s="112"/>
      <c r="I668" s="127" t="s">
        <v>461</v>
      </c>
      <c r="J668" s="126" t="s">
        <v>483</v>
      </c>
      <c r="K668" s="127"/>
      <c r="L668" s="127"/>
      <c r="M668" s="128">
        <v>230</v>
      </c>
      <c r="N668" s="129">
        <v>1030.4346</v>
      </c>
      <c r="O668" s="130">
        <f t="shared" si="39"/>
        <v>0</v>
      </c>
      <c r="P668" s="130">
        <f t="shared" si="561"/>
        <v>1030.4346</v>
      </c>
      <c r="Q668" s="130"/>
      <c r="R668" s="130">
        <f t="shared" si="3"/>
        <v>236999.96</v>
      </c>
      <c r="S668" s="131">
        <f t="shared" si="4"/>
        <v>1.064913043478261</v>
      </c>
      <c r="T668" s="131">
        <f t="shared" si="75"/>
        <v>0</v>
      </c>
      <c r="U668" s="131">
        <f t="shared" si="36"/>
        <v>1.17</v>
      </c>
      <c r="V668" s="131">
        <f t="shared" si="546"/>
        <v>237</v>
      </c>
      <c r="W668" s="131">
        <v>0</v>
      </c>
      <c r="X668" s="131">
        <f t="shared" si="506"/>
        <v>6.52</v>
      </c>
      <c r="Y668" s="131">
        <f t="shared" si="218"/>
        <v>0.24</v>
      </c>
      <c r="Z668" s="131">
        <f t="shared" si="10"/>
        <v>244.93</v>
      </c>
      <c r="AA668" s="132">
        <f t="shared" si="562"/>
        <v>236755.03</v>
      </c>
      <c r="AB668" s="133">
        <f t="shared" si="403"/>
        <v>236755</v>
      </c>
      <c r="AC668" s="134">
        <f t="shared" si="48"/>
        <v>-2.9999999998835847E-2</v>
      </c>
      <c r="AD668" s="125"/>
      <c r="AE668" s="135">
        <f t="shared" si="13"/>
        <v>1.0330000000000001E-3</v>
      </c>
      <c r="AF668" s="136">
        <f t="shared" si="14"/>
        <v>0</v>
      </c>
      <c r="AG668" s="137" t="s">
        <v>416</v>
      </c>
      <c r="AH668" s="124"/>
    </row>
    <row r="669" spans="1:34" ht="12" customHeight="1">
      <c r="A669" s="160">
        <v>44778</v>
      </c>
      <c r="B669" s="140" t="s">
        <v>589</v>
      </c>
      <c r="C669" s="141" t="s">
        <v>460</v>
      </c>
      <c r="D669" s="140"/>
      <c r="E669" s="140" t="str">
        <f t="shared" si="0"/>
        <v>DCMSHRIRAM</v>
      </c>
      <c r="F669" s="140"/>
      <c r="G669" s="140"/>
      <c r="H669" s="140"/>
      <c r="I669" s="141" t="s">
        <v>467</v>
      </c>
      <c r="J669" s="139" t="s">
        <v>483</v>
      </c>
      <c r="K669" s="141"/>
      <c r="L669" s="141"/>
      <c r="M669" s="142">
        <v>25</v>
      </c>
      <c r="N669" s="143">
        <v>1053</v>
      </c>
      <c r="O669" s="144">
        <f t="shared" si="39"/>
        <v>0</v>
      </c>
      <c r="P669" s="144">
        <f t="shared" ref="P669:P671" si="563">N669+O669</f>
        <v>1053</v>
      </c>
      <c r="Q669" s="144"/>
      <c r="R669" s="144">
        <f t="shared" si="3"/>
        <v>26325</v>
      </c>
      <c r="S669" s="145">
        <f t="shared" si="4"/>
        <v>1.2464</v>
      </c>
      <c r="T669" s="145">
        <f t="shared" si="75"/>
        <v>0</v>
      </c>
      <c r="U669" s="145">
        <f t="shared" si="36"/>
        <v>0.13</v>
      </c>
      <c r="V669" s="145">
        <f t="shared" si="546"/>
        <v>26.33</v>
      </c>
      <c r="W669" s="145">
        <f t="shared" ref="W669:W671" si="564">ROUND(R669*F$1823,2)</f>
        <v>3.95</v>
      </c>
      <c r="X669" s="145">
        <f t="shared" si="506"/>
        <v>0.72</v>
      </c>
      <c r="Y669" s="145">
        <f t="shared" si="218"/>
        <v>0.03</v>
      </c>
      <c r="Z669" s="146">
        <f t="shared" si="10"/>
        <v>31.159999999999997</v>
      </c>
      <c r="AA669" s="147">
        <f t="shared" ref="AA669:AA671" si="565">-ROUND(R669+SUM(T669:Y669),2)</f>
        <v>-26356.16</v>
      </c>
      <c r="AB669" s="148">
        <f t="shared" si="403"/>
        <v>-26356</v>
      </c>
      <c r="AC669" s="149">
        <f t="shared" si="48"/>
        <v>0.15999999999985448</v>
      </c>
      <c r="AD669" s="138"/>
      <c r="AE669" s="150">
        <f t="shared" si="13"/>
        <v>1.1839999999999999E-3</v>
      </c>
      <c r="AF669" s="151">
        <f t="shared" si="14"/>
        <v>0</v>
      </c>
      <c r="AG669" s="152" t="s">
        <v>416</v>
      </c>
      <c r="AH669" s="124"/>
    </row>
    <row r="670" spans="1:34" ht="12" customHeight="1">
      <c r="A670" s="160">
        <v>44781</v>
      </c>
      <c r="B670" s="140" t="s">
        <v>589</v>
      </c>
      <c r="C670" s="141" t="s">
        <v>460</v>
      </c>
      <c r="D670" s="140"/>
      <c r="E670" s="140" t="str">
        <f t="shared" si="0"/>
        <v>DCMSHRIRAM</v>
      </c>
      <c r="F670" s="140"/>
      <c r="G670" s="140"/>
      <c r="H670" s="140"/>
      <c r="I670" s="141" t="s">
        <v>467</v>
      </c>
      <c r="J670" s="139" t="s">
        <v>483</v>
      </c>
      <c r="K670" s="141"/>
      <c r="L670" s="141"/>
      <c r="M670" s="142">
        <v>50</v>
      </c>
      <c r="N670" s="143">
        <v>1052.125</v>
      </c>
      <c r="O670" s="144">
        <f t="shared" si="39"/>
        <v>0</v>
      </c>
      <c r="P670" s="144">
        <f t="shared" si="563"/>
        <v>1052.125</v>
      </c>
      <c r="Q670" s="144"/>
      <c r="R670" s="144">
        <f t="shared" si="3"/>
        <v>52606.25</v>
      </c>
      <c r="S670" s="145">
        <f t="shared" si="4"/>
        <v>1.2451999999999999</v>
      </c>
      <c r="T670" s="145">
        <f t="shared" si="75"/>
        <v>0</v>
      </c>
      <c r="U670" s="145">
        <f t="shared" si="36"/>
        <v>0.26</v>
      </c>
      <c r="V670" s="145">
        <f t="shared" si="546"/>
        <v>52.61</v>
      </c>
      <c r="W670" s="145">
        <f t="shared" si="564"/>
        <v>7.89</v>
      </c>
      <c r="X670" s="145">
        <f t="shared" si="506"/>
        <v>1.45</v>
      </c>
      <c r="Y670" s="145">
        <f t="shared" si="218"/>
        <v>0.05</v>
      </c>
      <c r="Z670" s="146">
        <f t="shared" si="10"/>
        <v>62.26</v>
      </c>
      <c r="AA670" s="147">
        <f t="shared" si="565"/>
        <v>-52668.51</v>
      </c>
      <c r="AB670" s="148">
        <f t="shared" si="403"/>
        <v>-52669</v>
      </c>
      <c r="AC670" s="149">
        <f t="shared" si="48"/>
        <v>-0.48999999999796273</v>
      </c>
      <c r="AD670" s="138"/>
      <c r="AE670" s="150">
        <f t="shared" si="13"/>
        <v>1.1839999999999999E-3</v>
      </c>
      <c r="AF670" s="151">
        <f t="shared" si="14"/>
        <v>0</v>
      </c>
      <c r="AG670" s="152" t="s">
        <v>416</v>
      </c>
      <c r="AH670" s="124"/>
    </row>
    <row r="671" spans="1:34" ht="12" customHeight="1">
      <c r="A671" s="160">
        <v>44783</v>
      </c>
      <c r="B671" s="140" t="s">
        <v>589</v>
      </c>
      <c r="C671" s="141" t="s">
        <v>460</v>
      </c>
      <c r="D671" s="140"/>
      <c r="E671" s="140" t="str">
        <f t="shared" si="0"/>
        <v>DCMSHRIRAM</v>
      </c>
      <c r="F671" s="140"/>
      <c r="G671" s="140"/>
      <c r="H671" s="140"/>
      <c r="I671" s="141" t="s">
        <v>467</v>
      </c>
      <c r="J671" s="139" t="s">
        <v>483</v>
      </c>
      <c r="K671" s="141"/>
      <c r="L671" s="141"/>
      <c r="M671" s="142">
        <v>125</v>
      </c>
      <c r="N671" s="143">
        <v>1011</v>
      </c>
      <c r="O671" s="144">
        <f t="shared" si="39"/>
        <v>0</v>
      </c>
      <c r="P671" s="144">
        <f t="shared" si="563"/>
        <v>1011</v>
      </c>
      <c r="Q671" s="144"/>
      <c r="R671" s="144">
        <f t="shared" si="3"/>
        <v>126375</v>
      </c>
      <c r="S671" s="145">
        <f t="shared" si="4"/>
        <v>1.1966399999999999</v>
      </c>
      <c r="T671" s="145">
        <f t="shared" si="75"/>
        <v>0</v>
      </c>
      <c r="U671" s="145">
        <f t="shared" si="36"/>
        <v>0.63</v>
      </c>
      <c r="V671" s="145">
        <f t="shared" si="546"/>
        <v>126.38</v>
      </c>
      <c r="W671" s="145">
        <f t="shared" si="564"/>
        <v>18.96</v>
      </c>
      <c r="X671" s="145">
        <f t="shared" si="506"/>
        <v>3.48</v>
      </c>
      <c r="Y671" s="145">
        <f t="shared" si="218"/>
        <v>0.13</v>
      </c>
      <c r="Z671" s="146">
        <f t="shared" si="10"/>
        <v>149.57999999999998</v>
      </c>
      <c r="AA671" s="147">
        <f t="shared" si="565"/>
        <v>-126524.58</v>
      </c>
      <c r="AB671" s="148">
        <f t="shared" si="403"/>
        <v>-126525</v>
      </c>
      <c r="AC671" s="149">
        <f t="shared" si="48"/>
        <v>-0.41999999999825377</v>
      </c>
      <c r="AD671" s="138"/>
      <c r="AE671" s="150">
        <f t="shared" si="13"/>
        <v>1.1839999999999999E-3</v>
      </c>
      <c r="AF671" s="151">
        <f t="shared" si="14"/>
        <v>0</v>
      </c>
      <c r="AG671" s="152" t="s">
        <v>416</v>
      </c>
      <c r="AH671" s="124"/>
    </row>
    <row r="672" spans="1:34" ht="12" customHeight="1">
      <c r="A672" s="155">
        <v>44785</v>
      </c>
      <c r="B672" s="112" t="s">
        <v>308</v>
      </c>
      <c r="C672" s="127" t="s">
        <v>485</v>
      </c>
      <c r="D672" s="112"/>
      <c r="E672" s="112" t="str">
        <f t="shared" si="0"/>
        <v>INEOSSTYRO</v>
      </c>
      <c r="F672" s="112"/>
      <c r="G672" s="112"/>
      <c r="H672" s="112"/>
      <c r="I672" s="127" t="s">
        <v>461</v>
      </c>
      <c r="J672" s="126" t="s">
        <v>483</v>
      </c>
      <c r="K672" s="127"/>
      <c r="L672" s="127"/>
      <c r="M672" s="128">
        <v>5</v>
      </c>
      <c r="N672" s="129">
        <v>829</v>
      </c>
      <c r="O672" s="130">
        <f t="shared" si="39"/>
        <v>0</v>
      </c>
      <c r="P672" s="130">
        <f t="shared" ref="P672:P677" si="566">N672-O672</f>
        <v>829</v>
      </c>
      <c r="Q672" s="130"/>
      <c r="R672" s="130">
        <f t="shared" si="3"/>
        <v>4145</v>
      </c>
      <c r="S672" s="131">
        <f t="shared" si="4"/>
        <v>0.85600000000000009</v>
      </c>
      <c r="T672" s="131">
        <f t="shared" si="75"/>
        <v>0</v>
      </c>
      <c r="U672" s="131">
        <f t="shared" si="36"/>
        <v>0.02</v>
      </c>
      <c r="V672" s="131">
        <f t="shared" si="546"/>
        <v>4.1500000000000004</v>
      </c>
      <c r="W672" s="131">
        <v>0</v>
      </c>
      <c r="X672" s="131">
        <f t="shared" si="506"/>
        <v>0.11</v>
      </c>
      <c r="Y672" s="131">
        <f t="shared" si="218"/>
        <v>0</v>
      </c>
      <c r="Z672" s="131">
        <f t="shared" si="10"/>
        <v>4.28</v>
      </c>
      <c r="AA672" s="132">
        <f t="shared" ref="AA672:AA677" si="567">ROUND(R672-SUM(T672:Y672),2)</f>
        <v>4140.72</v>
      </c>
      <c r="AB672" s="133">
        <f t="shared" si="403"/>
        <v>4141</v>
      </c>
      <c r="AC672" s="134">
        <f t="shared" si="48"/>
        <v>0.27999999999974534</v>
      </c>
      <c r="AD672" s="125"/>
      <c r="AE672" s="135">
        <f t="shared" si="13"/>
        <v>1.0330000000000001E-3</v>
      </c>
      <c r="AF672" s="136">
        <f t="shared" si="14"/>
        <v>0</v>
      </c>
      <c r="AG672" s="137" t="s">
        <v>416</v>
      </c>
      <c r="AH672" s="124"/>
    </row>
    <row r="673" spans="1:34" ht="12" customHeight="1">
      <c r="A673" s="155">
        <v>44785</v>
      </c>
      <c r="B673" s="112" t="s">
        <v>617</v>
      </c>
      <c r="C673" s="127" t="s">
        <v>485</v>
      </c>
      <c r="D673" s="112"/>
      <c r="E673" s="112" t="str">
        <f t="shared" si="0"/>
        <v>PARACABLES</v>
      </c>
      <c r="F673" s="112"/>
      <c r="G673" s="112"/>
      <c r="H673" s="112"/>
      <c r="I673" s="127" t="s">
        <v>461</v>
      </c>
      <c r="J673" s="126" t="s">
        <v>483</v>
      </c>
      <c r="K673" s="127"/>
      <c r="L673" s="127"/>
      <c r="M673" s="128">
        <v>1000</v>
      </c>
      <c r="N673" s="129">
        <v>13.8</v>
      </c>
      <c r="O673" s="130">
        <f t="shared" si="39"/>
        <v>0</v>
      </c>
      <c r="P673" s="130">
        <f t="shared" si="566"/>
        <v>13.8</v>
      </c>
      <c r="Q673" s="130"/>
      <c r="R673" s="130">
        <f t="shared" si="3"/>
        <v>13800</v>
      </c>
      <c r="S673" s="131">
        <f t="shared" si="4"/>
        <v>1.4260000000000002E-2</v>
      </c>
      <c r="T673" s="131">
        <f t="shared" si="75"/>
        <v>0</v>
      </c>
      <c r="U673" s="131">
        <f t="shared" si="36"/>
        <v>7.0000000000000007E-2</v>
      </c>
      <c r="V673" s="131">
        <f t="shared" si="546"/>
        <v>13.8</v>
      </c>
      <c r="W673" s="131">
        <v>0</v>
      </c>
      <c r="X673" s="131">
        <f t="shared" si="506"/>
        <v>0.38</v>
      </c>
      <c r="Y673" s="131">
        <f t="shared" si="218"/>
        <v>0.01</v>
      </c>
      <c r="Z673" s="131">
        <f t="shared" si="10"/>
        <v>14.260000000000002</v>
      </c>
      <c r="AA673" s="132">
        <f t="shared" si="567"/>
        <v>13785.74</v>
      </c>
      <c r="AB673" s="133">
        <f t="shared" si="403"/>
        <v>13786</v>
      </c>
      <c r="AC673" s="134">
        <f t="shared" si="48"/>
        <v>0.26000000000021828</v>
      </c>
      <c r="AD673" s="125"/>
      <c r="AE673" s="135">
        <f t="shared" si="13"/>
        <v>1.0330000000000001E-3</v>
      </c>
      <c r="AF673" s="136">
        <f t="shared" si="14"/>
        <v>0</v>
      </c>
      <c r="AG673" s="137" t="s">
        <v>416</v>
      </c>
      <c r="AH673" s="124"/>
    </row>
    <row r="674" spans="1:34" ht="12" customHeight="1">
      <c r="A674" s="155">
        <v>44785</v>
      </c>
      <c r="B674" s="112" t="s">
        <v>479</v>
      </c>
      <c r="C674" s="127" t="s">
        <v>485</v>
      </c>
      <c r="D674" s="112"/>
      <c r="E674" s="112" t="str">
        <f t="shared" si="0"/>
        <v>TATAPOWER</v>
      </c>
      <c r="F674" s="112"/>
      <c r="G674" s="112"/>
      <c r="H674" s="112"/>
      <c r="I674" s="127" t="s">
        <v>461</v>
      </c>
      <c r="J674" s="126" t="s">
        <v>483</v>
      </c>
      <c r="K674" s="127"/>
      <c r="L674" s="127"/>
      <c r="M674" s="128">
        <v>10</v>
      </c>
      <c r="N674" s="129">
        <v>234.95</v>
      </c>
      <c r="O674" s="130">
        <f t="shared" si="39"/>
        <v>0</v>
      </c>
      <c r="P674" s="130">
        <f t="shared" si="566"/>
        <v>234.95</v>
      </c>
      <c r="Q674" s="130"/>
      <c r="R674" s="130">
        <f t="shared" si="3"/>
        <v>2349.5</v>
      </c>
      <c r="S674" s="131">
        <f t="shared" si="4"/>
        <v>0.24199999999999999</v>
      </c>
      <c r="T674" s="131">
        <f t="shared" si="75"/>
        <v>0</v>
      </c>
      <c r="U674" s="131">
        <f t="shared" si="36"/>
        <v>0.01</v>
      </c>
      <c r="V674" s="131">
        <f t="shared" si="546"/>
        <v>2.35</v>
      </c>
      <c r="W674" s="131">
        <v>0</v>
      </c>
      <c r="X674" s="131">
        <f t="shared" si="506"/>
        <v>0.06</v>
      </c>
      <c r="Y674" s="131">
        <f t="shared" si="218"/>
        <v>0</v>
      </c>
      <c r="Z674" s="131">
        <f t="shared" si="10"/>
        <v>2.42</v>
      </c>
      <c r="AA674" s="132">
        <f t="shared" si="567"/>
        <v>2347.08</v>
      </c>
      <c r="AB674" s="133">
        <f t="shared" si="403"/>
        <v>2347</v>
      </c>
      <c r="AC674" s="134">
        <f t="shared" si="48"/>
        <v>-7.999999999992724E-2</v>
      </c>
      <c r="AD674" s="125"/>
      <c r="AE674" s="135">
        <f t="shared" si="13"/>
        <v>1.0300000000000001E-3</v>
      </c>
      <c r="AF674" s="136">
        <f t="shared" si="14"/>
        <v>0</v>
      </c>
      <c r="AG674" s="137" t="s">
        <v>416</v>
      </c>
      <c r="AH674" s="124"/>
    </row>
    <row r="675" spans="1:34" ht="12" customHeight="1">
      <c r="A675" s="155">
        <v>44789</v>
      </c>
      <c r="B675" s="112" t="s">
        <v>589</v>
      </c>
      <c r="C675" s="127" t="s">
        <v>460</v>
      </c>
      <c r="D675" s="112"/>
      <c r="E675" s="112" t="str">
        <f t="shared" si="0"/>
        <v>DCMSHRIRAM</v>
      </c>
      <c r="F675" s="112"/>
      <c r="G675" s="112"/>
      <c r="H675" s="112"/>
      <c r="I675" s="127" t="s">
        <v>461</v>
      </c>
      <c r="J675" s="126" t="s">
        <v>483</v>
      </c>
      <c r="K675" s="127"/>
      <c r="L675" s="127"/>
      <c r="M675" s="128">
        <v>225</v>
      </c>
      <c r="N675" s="129">
        <v>1061.5333000000001</v>
      </c>
      <c r="O675" s="130">
        <f t="shared" si="39"/>
        <v>0</v>
      </c>
      <c r="P675" s="130">
        <f t="shared" si="566"/>
        <v>1061.5333000000001</v>
      </c>
      <c r="Q675" s="130"/>
      <c r="R675" s="130">
        <f t="shared" si="3"/>
        <v>238844.99</v>
      </c>
      <c r="S675" s="131">
        <f t="shared" si="4"/>
        <v>1.0970222222222223</v>
      </c>
      <c r="T675" s="131">
        <f t="shared" si="75"/>
        <v>0</v>
      </c>
      <c r="U675" s="131">
        <f t="shared" si="36"/>
        <v>1.18</v>
      </c>
      <c r="V675" s="131">
        <f t="shared" si="546"/>
        <v>238.84</v>
      </c>
      <c r="W675" s="131">
        <v>0</v>
      </c>
      <c r="X675" s="131">
        <f t="shared" si="506"/>
        <v>6.57</v>
      </c>
      <c r="Y675" s="131">
        <f t="shared" si="218"/>
        <v>0.24</v>
      </c>
      <c r="Z675" s="131">
        <f t="shared" si="10"/>
        <v>246.83</v>
      </c>
      <c r="AA675" s="132">
        <f t="shared" si="567"/>
        <v>238598.16</v>
      </c>
      <c r="AB675" s="133">
        <f t="shared" si="403"/>
        <v>238598</v>
      </c>
      <c r="AC675" s="134">
        <f t="shared" si="48"/>
        <v>-0.16000000000349246</v>
      </c>
      <c r="AD675" s="125"/>
      <c r="AE675" s="135">
        <f t="shared" si="13"/>
        <v>1.0330000000000001E-3</v>
      </c>
      <c r="AF675" s="136">
        <f t="shared" si="14"/>
        <v>0</v>
      </c>
      <c r="AG675" s="137" t="s">
        <v>416</v>
      </c>
      <c r="AH675" s="124"/>
    </row>
    <row r="676" spans="1:34" ht="12" customHeight="1">
      <c r="A676" s="155">
        <v>44790</v>
      </c>
      <c r="B676" s="112" t="s">
        <v>598</v>
      </c>
      <c r="C676" s="127" t="s">
        <v>485</v>
      </c>
      <c r="D676" s="112"/>
      <c r="E676" s="112" t="str">
        <f t="shared" si="0"/>
        <v>A2ZINFRA</v>
      </c>
      <c r="F676" s="112"/>
      <c r="G676" s="112"/>
      <c r="H676" s="112"/>
      <c r="I676" s="127" t="s">
        <v>461</v>
      </c>
      <c r="J676" s="126" t="s">
        <v>483</v>
      </c>
      <c r="K676" s="127"/>
      <c r="L676" s="127"/>
      <c r="M676" s="128">
        <v>1000</v>
      </c>
      <c r="N676" s="129">
        <v>13.49</v>
      </c>
      <c r="O676" s="130">
        <f t="shared" si="39"/>
        <v>0</v>
      </c>
      <c r="P676" s="130">
        <f t="shared" si="566"/>
        <v>13.49</v>
      </c>
      <c r="Q676" s="130"/>
      <c r="R676" s="130">
        <f t="shared" si="3"/>
        <v>13490</v>
      </c>
      <c r="S676" s="131">
        <f t="shared" si="4"/>
        <v>1.3939999999999999E-2</v>
      </c>
      <c r="T676" s="131">
        <f t="shared" si="75"/>
        <v>0</v>
      </c>
      <c r="U676" s="131">
        <f t="shared" si="36"/>
        <v>7.0000000000000007E-2</v>
      </c>
      <c r="V676" s="131">
        <f t="shared" si="546"/>
        <v>13.49</v>
      </c>
      <c r="W676" s="131">
        <v>0</v>
      </c>
      <c r="X676" s="131">
        <f t="shared" si="506"/>
        <v>0.37</v>
      </c>
      <c r="Y676" s="131">
        <f t="shared" si="218"/>
        <v>0.01</v>
      </c>
      <c r="Z676" s="131">
        <f t="shared" si="10"/>
        <v>13.94</v>
      </c>
      <c r="AA676" s="132">
        <f t="shared" si="567"/>
        <v>13476.06</v>
      </c>
      <c r="AB676" s="133">
        <f t="shared" si="403"/>
        <v>13476</v>
      </c>
      <c r="AC676" s="134">
        <f t="shared" si="48"/>
        <v>-5.9999999999490683E-2</v>
      </c>
      <c r="AD676" s="125"/>
      <c r="AE676" s="135">
        <f t="shared" si="13"/>
        <v>1.0330000000000001E-3</v>
      </c>
      <c r="AF676" s="136">
        <f t="shared" si="14"/>
        <v>0</v>
      </c>
      <c r="AG676" s="137" t="s">
        <v>416</v>
      </c>
      <c r="AH676" s="124"/>
    </row>
    <row r="677" spans="1:34" ht="12" customHeight="1">
      <c r="A677" s="155">
        <v>44792</v>
      </c>
      <c r="B677" s="112" t="s">
        <v>632</v>
      </c>
      <c r="C677" s="127" t="s">
        <v>485</v>
      </c>
      <c r="D677" s="112"/>
      <c r="E677" s="112" t="str">
        <f t="shared" si="0"/>
        <v>LT</v>
      </c>
      <c r="F677" s="112"/>
      <c r="G677" s="112"/>
      <c r="H677" s="112"/>
      <c r="I677" s="127" t="s">
        <v>461</v>
      </c>
      <c r="J677" s="126" t="s">
        <v>483</v>
      </c>
      <c r="K677" s="127"/>
      <c r="L677" s="127"/>
      <c r="M677" s="128">
        <v>10</v>
      </c>
      <c r="N677" s="129">
        <v>1910</v>
      </c>
      <c r="O677" s="130">
        <f t="shared" si="39"/>
        <v>0</v>
      </c>
      <c r="P677" s="130">
        <f t="shared" si="566"/>
        <v>1910</v>
      </c>
      <c r="Q677" s="130"/>
      <c r="R677" s="130">
        <f t="shared" si="3"/>
        <v>19100</v>
      </c>
      <c r="S677" s="131">
        <f t="shared" si="4"/>
        <v>1.9750000000000003</v>
      </c>
      <c r="T677" s="131">
        <f t="shared" si="75"/>
        <v>0</v>
      </c>
      <c r="U677" s="131">
        <f t="shared" si="36"/>
        <v>0.1</v>
      </c>
      <c r="V677" s="131">
        <f t="shared" si="546"/>
        <v>19.100000000000001</v>
      </c>
      <c r="W677" s="131">
        <v>0</v>
      </c>
      <c r="X677" s="131">
        <f t="shared" si="506"/>
        <v>0.53</v>
      </c>
      <c r="Y677" s="131">
        <f t="shared" si="218"/>
        <v>0.02</v>
      </c>
      <c r="Z677" s="131">
        <f t="shared" si="10"/>
        <v>19.750000000000004</v>
      </c>
      <c r="AA677" s="132">
        <f t="shared" si="567"/>
        <v>19080.25</v>
      </c>
      <c r="AB677" s="133">
        <f t="shared" si="403"/>
        <v>19080</v>
      </c>
      <c r="AC677" s="134">
        <f t="shared" si="48"/>
        <v>-0.25</v>
      </c>
      <c r="AD677" s="125"/>
      <c r="AE677" s="135">
        <f t="shared" si="13"/>
        <v>1.034E-3</v>
      </c>
      <c r="AF677" s="136">
        <f t="shared" si="14"/>
        <v>0</v>
      </c>
      <c r="AG677" s="137" t="s">
        <v>416</v>
      </c>
      <c r="AH677" s="124"/>
    </row>
    <row r="678" spans="1:34" ht="12" customHeight="1">
      <c r="A678" s="160">
        <v>44795</v>
      </c>
      <c r="B678" s="140" t="s">
        <v>632</v>
      </c>
      <c r="C678" s="141" t="s">
        <v>485</v>
      </c>
      <c r="D678" s="140"/>
      <c r="E678" s="140" t="str">
        <f t="shared" si="0"/>
        <v>LT</v>
      </c>
      <c r="F678" s="140"/>
      <c r="G678" s="140"/>
      <c r="H678" s="140"/>
      <c r="I678" s="141" t="s">
        <v>467</v>
      </c>
      <c r="J678" s="139" t="s">
        <v>483</v>
      </c>
      <c r="K678" s="141"/>
      <c r="L678" s="141"/>
      <c r="M678" s="142">
        <v>20</v>
      </c>
      <c r="N678" s="143">
        <v>1904.5</v>
      </c>
      <c r="O678" s="144">
        <f>ROUND(N678*N$1810,2)</f>
        <v>0</v>
      </c>
      <c r="P678" s="144">
        <f t="shared" ref="P678:P682" si="568">N678+O678</f>
        <v>1904.5</v>
      </c>
      <c r="Q678" s="144"/>
      <c r="R678" s="144">
        <f t="shared" si="3"/>
        <v>38090</v>
      </c>
      <c r="S678" s="145">
        <f t="shared" si="4"/>
        <v>2.2444999999999999</v>
      </c>
      <c r="T678" s="145">
        <f t="shared" si="75"/>
        <v>0</v>
      </c>
      <c r="U678" s="145">
        <f>ROUND((T678+X678)*H$1813,2)</f>
        <v>0</v>
      </c>
      <c r="V678" s="145">
        <f t="shared" si="546"/>
        <v>38.090000000000003</v>
      </c>
      <c r="W678" s="145">
        <f t="shared" ref="W678:W682" si="569">ROUND(R678*F$1823,2)</f>
        <v>5.71</v>
      </c>
      <c r="X678" s="145">
        <f t="shared" si="506"/>
        <v>1.05</v>
      </c>
      <c r="Y678" s="145">
        <f t="shared" si="218"/>
        <v>0.04</v>
      </c>
      <c r="Z678" s="146">
        <f t="shared" si="10"/>
        <v>44.89</v>
      </c>
      <c r="AA678" s="147">
        <f t="shared" ref="AA678:AA682" si="570">-ROUND(R678+SUM(T678:Y678),2)</f>
        <v>-38134.89</v>
      </c>
      <c r="AB678" s="148">
        <f t="shared" si="403"/>
        <v>-38135</v>
      </c>
      <c r="AC678" s="149">
        <f t="shared" si="48"/>
        <v>-0.11000000000058208</v>
      </c>
      <c r="AD678" s="138"/>
      <c r="AE678" s="150">
        <f t="shared" si="13"/>
        <v>1.1789999999999999E-3</v>
      </c>
      <c r="AF678" s="151">
        <f t="shared" si="14"/>
        <v>0</v>
      </c>
      <c r="AG678" s="152" t="s">
        <v>416</v>
      </c>
      <c r="AH678" s="124"/>
    </row>
    <row r="679" spans="1:34" ht="12" customHeight="1">
      <c r="A679" s="160">
        <v>44795</v>
      </c>
      <c r="B679" s="140" t="s">
        <v>633</v>
      </c>
      <c r="C679" s="141" t="s">
        <v>485</v>
      </c>
      <c r="D679" s="140"/>
      <c r="E679" s="140" t="str">
        <f t="shared" si="0"/>
        <v>SUZLON</v>
      </c>
      <c r="F679" s="140"/>
      <c r="G679" s="140"/>
      <c r="H679" s="140"/>
      <c r="I679" s="141" t="s">
        <v>467</v>
      </c>
      <c r="J679" s="139" t="s">
        <v>483</v>
      </c>
      <c r="K679" s="141"/>
      <c r="L679" s="141"/>
      <c r="M679" s="142">
        <v>100</v>
      </c>
      <c r="N679" s="143">
        <v>8.4</v>
      </c>
      <c r="O679" s="144">
        <f t="shared" ref="O679:O680" si="571">ROUND(N679*N$1811,2)</f>
        <v>0</v>
      </c>
      <c r="P679" s="144">
        <f t="shared" si="568"/>
        <v>8.4</v>
      </c>
      <c r="Q679" s="144"/>
      <c r="R679" s="144">
        <f t="shared" si="3"/>
        <v>840</v>
      </c>
      <c r="S679" s="145">
        <f t="shared" si="4"/>
        <v>9.8999999999999991E-3</v>
      </c>
      <c r="T679" s="145">
        <f t="shared" si="75"/>
        <v>0</v>
      </c>
      <c r="U679" s="145">
        <f t="shared" ref="U679:U680" si="572">ROUND((T679+X679)*H$1814,2)</f>
        <v>0</v>
      </c>
      <c r="V679" s="145">
        <f t="shared" si="546"/>
        <v>0.84</v>
      </c>
      <c r="W679" s="145">
        <f t="shared" si="569"/>
        <v>0.13</v>
      </c>
      <c r="X679" s="145">
        <f t="shared" si="506"/>
        <v>0.02</v>
      </c>
      <c r="Y679" s="145">
        <f t="shared" si="218"/>
        <v>0</v>
      </c>
      <c r="Z679" s="146">
        <f t="shared" si="10"/>
        <v>0.99</v>
      </c>
      <c r="AA679" s="147">
        <f t="shared" si="570"/>
        <v>-840.99</v>
      </c>
      <c r="AB679" s="148">
        <f t="shared" si="403"/>
        <v>-841</v>
      </c>
      <c r="AC679" s="149">
        <f t="shared" si="48"/>
        <v>-9.9999999999909051E-3</v>
      </c>
      <c r="AD679" s="138"/>
      <c r="AE679" s="150">
        <f t="shared" si="13"/>
        <v>1.1789999999999999E-3</v>
      </c>
      <c r="AF679" s="151">
        <f t="shared" si="14"/>
        <v>0</v>
      </c>
      <c r="AG679" s="152" t="s">
        <v>416</v>
      </c>
      <c r="AH679" s="124"/>
    </row>
    <row r="680" spans="1:34" ht="12" customHeight="1">
      <c r="A680" s="160">
        <v>44795</v>
      </c>
      <c r="B680" s="140" t="s">
        <v>634</v>
      </c>
      <c r="C680" s="141" t="s">
        <v>485</v>
      </c>
      <c r="D680" s="140"/>
      <c r="E680" s="140" t="str">
        <f t="shared" si="0"/>
        <v>TATAELXSI</v>
      </c>
      <c r="F680" s="140"/>
      <c r="G680" s="140"/>
      <c r="H680" s="140"/>
      <c r="I680" s="141" t="s">
        <v>467</v>
      </c>
      <c r="J680" s="139" t="s">
        <v>483</v>
      </c>
      <c r="K680" s="141"/>
      <c r="L680" s="141"/>
      <c r="M680" s="142">
        <v>1</v>
      </c>
      <c r="N680" s="143">
        <v>9800</v>
      </c>
      <c r="O680" s="144">
        <f t="shared" si="571"/>
        <v>0</v>
      </c>
      <c r="P680" s="144">
        <f t="shared" si="568"/>
        <v>9800</v>
      </c>
      <c r="Q680" s="144"/>
      <c r="R680" s="144">
        <f t="shared" si="3"/>
        <v>9800</v>
      </c>
      <c r="S680" s="145">
        <f t="shared" si="4"/>
        <v>11.55</v>
      </c>
      <c r="T680" s="145">
        <f t="shared" si="75"/>
        <v>0</v>
      </c>
      <c r="U680" s="145">
        <f t="shared" si="572"/>
        <v>0</v>
      </c>
      <c r="V680" s="145">
        <f t="shared" si="546"/>
        <v>9.8000000000000007</v>
      </c>
      <c r="W680" s="145">
        <f t="shared" si="569"/>
        <v>1.47</v>
      </c>
      <c r="X680" s="145">
        <f t="shared" si="506"/>
        <v>0.27</v>
      </c>
      <c r="Y680" s="145">
        <f t="shared" si="218"/>
        <v>0.01</v>
      </c>
      <c r="Z680" s="146">
        <f t="shared" si="10"/>
        <v>11.55</v>
      </c>
      <c r="AA680" s="147">
        <f t="shared" si="570"/>
        <v>-9811.5499999999993</v>
      </c>
      <c r="AB680" s="148">
        <f t="shared" si="403"/>
        <v>-9812</v>
      </c>
      <c r="AC680" s="149">
        <f t="shared" si="48"/>
        <v>-0.4500000000007276</v>
      </c>
      <c r="AD680" s="138"/>
      <c r="AE680" s="150">
        <f t="shared" si="13"/>
        <v>1.1789999999999999E-3</v>
      </c>
      <c r="AF680" s="151">
        <f t="shared" si="14"/>
        <v>0</v>
      </c>
      <c r="AG680" s="152" t="s">
        <v>416</v>
      </c>
      <c r="AH680" s="124"/>
    </row>
    <row r="681" spans="1:34" ht="12" customHeight="1">
      <c r="A681" s="160">
        <v>44795</v>
      </c>
      <c r="B681" s="140" t="s">
        <v>604</v>
      </c>
      <c r="C681" s="141" t="s">
        <v>485</v>
      </c>
      <c r="D681" s="140"/>
      <c r="E681" s="140" t="str">
        <f t="shared" si="0"/>
        <v>TATASTEEL</v>
      </c>
      <c r="F681" s="140"/>
      <c r="G681" s="140"/>
      <c r="H681" s="140"/>
      <c r="I681" s="141" t="s">
        <v>467</v>
      </c>
      <c r="J681" s="139" t="s">
        <v>483</v>
      </c>
      <c r="K681" s="141"/>
      <c r="L681" s="141"/>
      <c r="M681" s="142">
        <v>50</v>
      </c>
      <c r="N681" s="143">
        <v>107.5</v>
      </c>
      <c r="O681" s="144">
        <f>ROUND(N681*N$1812,2)</f>
        <v>0</v>
      </c>
      <c r="P681" s="144">
        <f t="shared" si="568"/>
        <v>107.5</v>
      </c>
      <c r="Q681" s="144"/>
      <c r="R681" s="144">
        <f t="shared" si="3"/>
        <v>5375</v>
      </c>
      <c r="S681" s="145">
        <f t="shared" si="4"/>
        <v>0.127</v>
      </c>
      <c r="T681" s="145">
        <f t="shared" si="75"/>
        <v>0</v>
      </c>
      <c r="U681" s="145">
        <f>ROUND((T681+X681)*H$1815,2)</f>
        <v>0</v>
      </c>
      <c r="V681" s="145">
        <f t="shared" si="546"/>
        <v>5.38</v>
      </c>
      <c r="W681" s="145">
        <f t="shared" si="569"/>
        <v>0.81</v>
      </c>
      <c r="X681" s="145">
        <f t="shared" si="506"/>
        <v>0.15</v>
      </c>
      <c r="Y681" s="145">
        <f t="shared" si="218"/>
        <v>0.01</v>
      </c>
      <c r="Z681" s="146">
        <f t="shared" si="10"/>
        <v>6.35</v>
      </c>
      <c r="AA681" s="147">
        <f t="shared" si="570"/>
        <v>-5381.35</v>
      </c>
      <c r="AB681" s="148">
        <f t="shared" si="403"/>
        <v>-5381</v>
      </c>
      <c r="AC681" s="149">
        <f t="shared" si="48"/>
        <v>0.3500000000003638</v>
      </c>
      <c r="AD681" s="138"/>
      <c r="AE681" s="150">
        <f t="shared" si="13"/>
        <v>1.181E-3</v>
      </c>
      <c r="AF681" s="151">
        <f t="shared" si="14"/>
        <v>0</v>
      </c>
      <c r="AG681" s="152" t="s">
        <v>416</v>
      </c>
      <c r="AH681" s="124"/>
    </row>
    <row r="682" spans="1:34" ht="12" customHeight="1">
      <c r="A682" s="160">
        <v>44795</v>
      </c>
      <c r="B682" s="140" t="s">
        <v>589</v>
      </c>
      <c r="C682" s="141" t="s">
        <v>460</v>
      </c>
      <c r="D682" s="140"/>
      <c r="E682" s="140" t="str">
        <f t="shared" si="0"/>
        <v>DCMSHRIRAM</v>
      </c>
      <c r="F682" s="140"/>
      <c r="G682" s="140"/>
      <c r="H682" s="140"/>
      <c r="I682" s="141" t="s">
        <v>467</v>
      </c>
      <c r="J682" s="139" t="s">
        <v>483</v>
      </c>
      <c r="K682" s="141"/>
      <c r="L682" s="141"/>
      <c r="M682" s="142">
        <v>430</v>
      </c>
      <c r="N682" s="143">
        <v>1020.7477</v>
      </c>
      <c r="O682" s="144">
        <f t="shared" ref="O682:O838" si="573">ROUND(N682*G$1813,2)</f>
        <v>0</v>
      </c>
      <c r="P682" s="144">
        <f t="shared" si="568"/>
        <v>1020.7477</v>
      </c>
      <c r="Q682" s="144"/>
      <c r="R682" s="144">
        <f t="shared" si="3"/>
        <v>438921.51</v>
      </c>
      <c r="S682" s="145">
        <f t="shared" si="4"/>
        <v>1.2080000000000004</v>
      </c>
      <c r="T682" s="145">
        <f t="shared" si="75"/>
        <v>0</v>
      </c>
      <c r="U682" s="145">
        <f t="shared" ref="U682:U838" si="574">ROUND((T682+X682)*H$1816,2)</f>
        <v>2.17</v>
      </c>
      <c r="V682" s="145">
        <f t="shared" si="546"/>
        <v>438.92</v>
      </c>
      <c r="W682" s="145">
        <f t="shared" si="569"/>
        <v>65.84</v>
      </c>
      <c r="X682" s="145">
        <f t="shared" si="506"/>
        <v>12.07</v>
      </c>
      <c r="Y682" s="145">
        <f t="shared" si="218"/>
        <v>0.44</v>
      </c>
      <c r="Z682" s="146">
        <f t="shared" si="10"/>
        <v>519.44000000000017</v>
      </c>
      <c r="AA682" s="147">
        <f t="shared" si="570"/>
        <v>-439440.95</v>
      </c>
      <c r="AB682" s="148">
        <f t="shared" si="403"/>
        <v>-439441</v>
      </c>
      <c r="AC682" s="149">
        <f t="shared" si="48"/>
        <v>-4.9999999988358468E-2</v>
      </c>
      <c r="AD682" s="138"/>
      <c r="AE682" s="150">
        <f t="shared" si="13"/>
        <v>1.183E-3</v>
      </c>
      <c r="AF682" s="151">
        <f t="shared" si="14"/>
        <v>0</v>
      </c>
      <c r="AG682" s="152" t="s">
        <v>416</v>
      </c>
      <c r="AH682" s="124"/>
    </row>
    <row r="683" spans="1:34" ht="12" customHeight="1">
      <c r="A683" s="155">
        <v>44796</v>
      </c>
      <c r="B683" s="112" t="s">
        <v>628</v>
      </c>
      <c r="C683" s="127" t="s">
        <v>485</v>
      </c>
      <c r="D683" s="112"/>
      <c r="E683" s="112" t="str">
        <f t="shared" si="0"/>
        <v>EXCELINDUS</v>
      </c>
      <c r="F683" s="112"/>
      <c r="G683" s="112"/>
      <c r="H683" s="112"/>
      <c r="I683" s="127" t="s">
        <v>461</v>
      </c>
      <c r="J683" s="126" t="s">
        <v>483</v>
      </c>
      <c r="K683" s="127"/>
      <c r="L683" s="127"/>
      <c r="M683" s="128">
        <v>5</v>
      </c>
      <c r="N683" s="129">
        <v>1339</v>
      </c>
      <c r="O683" s="130">
        <f t="shared" si="573"/>
        <v>0</v>
      </c>
      <c r="P683" s="130">
        <f t="shared" ref="P683:P685" si="575">N683-O683</f>
        <v>1339</v>
      </c>
      <c r="Q683" s="130"/>
      <c r="R683" s="130">
        <f t="shared" si="3"/>
        <v>6695</v>
      </c>
      <c r="S683" s="131">
        <f t="shared" si="4"/>
        <v>1.3839999999999999</v>
      </c>
      <c r="T683" s="131">
        <f t="shared" si="75"/>
        <v>0</v>
      </c>
      <c r="U683" s="131">
        <f t="shared" si="574"/>
        <v>0.03</v>
      </c>
      <c r="V683" s="131">
        <f t="shared" si="546"/>
        <v>6.7</v>
      </c>
      <c r="W683" s="131">
        <v>0</v>
      </c>
      <c r="X683" s="131">
        <f t="shared" si="506"/>
        <v>0.18</v>
      </c>
      <c r="Y683" s="131">
        <f t="shared" si="218"/>
        <v>0.01</v>
      </c>
      <c r="Z683" s="131">
        <f t="shared" si="10"/>
        <v>6.92</v>
      </c>
      <c r="AA683" s="132">
        <f t="shared" ref="AA683:AA685" si="576">ROUND(R683-SUM(T683:Y683),2)</f>
        <v>6688.08</v>
      </c>
      <c r="AB683" s="133">
        <f t="shared" si="403"/>
        <v>6688</v>
      </c>
      <c r="AC683" s="134">
        <f t="shared" si="48"/>
        <v>-7.999999999992724E-2</v>
      </c>
      <c r="AD683" s="125"/>
      <c r="AE683" s="135">
        <f t="shared" si="13"/>
        <v>1.034E-3</v>
      </c>
      <c r="AF683" s="136">
        <f t="shared" si="14"/>
        <v>0</v>
      </c>
      <c r="AG683" s="137" t="s">
        <v>416</v>
      </c>
      <c r="AH683" s="124"/>
    </row>
    <row r="684" spans="1:34" ht="12" customHeight="1">
      <c r="A684" s="155">
        <v>44796</v>
      </c>
      <c r="B684" s="112" t="s">
        <v>614</v>
      </c>
      <c r="C684" s="127" t="s">
        <v>485</v>
      </c>
      <c r="D684" s="112"/>
      <c r="E684" s="112" t="str">
        <f t="shared" si="0"/>
        <v>CARBORUNIN</v>
      </c>
      <c r="F684" s="112"/>
      <c r="G684" s="112"/>
      <c r="H684" s="112"/>
      <c r="I684" s="127" t="s">
        <v>461</v>
      </c>
      <c r="J684" s="126" t="s">
        <v>483</v>
      </c>
      <c r="K684" s="127"/>
      <c r="L684" s="127"/>
      <c r="M684" s="128">
        <v>10</v>
      </c>
      <c r="N684" s="129">
        <v>820</v>
      </c>
      <c r="O684" s="130">
        <f t="shared" si="573"/>
        <v>0</v>
      </c>
      <c r="P684" s="130">
        <f t="shared" si="575"/>
        <v>820</v>
      </c>
      <c r="Q684" s="130"/>
      <c r="R684" s="130">
        <f t="shared" si="3"/>
        <v>8200</v>
      </c>
      <c r="S684" s="131">
        <f t="shared" si="4"/>
        <v>0.84799999999999986</v>
      </c>
      <c r="T684" s="131">
        <f t="shared" si="75"/>
        <v>0</v>
      </c>
      <c r="U684" s="131">
        <f t="shared" si="574"/>
        <v>0.04</v>
      </c>
      <c r="V684" s="131">
        <f t="shared" si="546"/>
        <v>8.1999999999999993</v>
      </c>
      <c r="W684" s="131">
        <v>0</v>
      </c>
      <c r="X684" s="131">
        <f t="shared" si="506"/>
        <v>0.23</v>
      </c>
      <c r="Y684" s="131">
        <f t="shared" si="218"/>
        <v>0.01</v>
      </c>
      <c r="Z684" s="131">
        <f t="shared" si="10"/>
        <v>8.4799999999999986</v>
      </c>
      <c r="AA684" s="132">
        <f t="shared" si="576"/>
        <v>8191.52</v>
      </c>
      <c r="AB684" s="133">
        <f t="shared" si="403"/>
        <v>8192</v>
      </c>
      <c r="AC684" s="134">
        <f t="shared" si="48"/>
        <v>0.47999999999956344</v>
      </c>
      <c r="AD684" s="125"/>
      <c r="AE684" s="135">
        <f t="shared" si="13"/>
        <v>1.034E-3</v>
      </c>
      <c r="AF684" s="136">
        <f t="shared" si="14"/>
        <v>0</v>
      </c>
      <c r="AG684" s="137" t="s">
        <v>416</v>
      </c>
      <c r="AH684" s="124"/>
    </row>
    <row r="685" spans="1:34" ht="12" customHeight="1">
      <c r="A685" s="155">
        <v>44796</v>
      </c>
      <c r="B685" s="112" t="s">
        <v>626</v>
      </c>
      <c r="C685" s="127" t="s">
        <v>485</v>
      </c>
      <c r="D685" s="112"/>
      <c r="E685" s="112" t="str">
        <f t="shared" si="0"/>
        <v>ITI</v>
      </c>
      <c r="F685" s="112"/>
      <c r="G685" s="112"/>
      <c r="H685" s="112"/>
      <c r="I685" s="127" t="s">
        <v>461</v>
      </c>
      <c r="J685" s="126" t="s">
        <v>483</v>
      </c>
      <c r="K685" s="127"/>
      <c r="L685" s="127"/>
      <c r="M685" s="128">
        <v>50</v>
      </c>
      <c r="N685" s="129">
        <v>113.85</v>
      </c>
      <c r="O685" s="130">
        <f t="shared" si="573"/>
        <v>0</v>
      </c>
      <c r="P685" s="130">
        <f t="shared" si="575"/>
        <v>113.85</v>
      </c>
      <c r="Q685" s="130"/>
      <c r="R685" s="130">
        <f t="shared" si="3"/>
        <v>5692.5</v>
      </c>
      <c r="S685" s="131">
        <f t="shared" si="4"/>
        <v>0.11780000000000002</v>
      </c>
      <c r="T685" s="131">
        <f t="shared" si="75"/>
        <v>0</v>
      </c>
      <c r="U685" s="131">
        <f t="shared" si="574"/>
        <v>0.03</v>
      </c>
      <c r="V685" s="131">
        <f t="shared" si="546"/>
        <v>5.69</v>
      </c>
      <c r="W685" s="131">
        <v>0</v>
      </c>
      <c r="X685" s="131">
        <f t="shared" si="506"/>
        <v>0.16</v>
      </c>
      <c r="Y685" s="131">
        <f t="shared" si="218"/>
        <v>0.01</v>
      </c>
      <c r="Z685" s="131">
        <f t="shared" si="10"/>
        <v>5.8900000000000006</v>
      </c>
      <c r="AA685" s="132">
        <f t="shared" si="576"/>
        <v>5686.61</v>
      </c>
      <c r="AB685" s="133">
        <f t="shared" si="403"/>
        <v>5687</v>
      </c>
      <c r="AC685" s="134">
        <f t="shared" si="48"/>
        <v>0.39000000000032742</v>
      </c>
      <c r="AD685" s="125"/>
      <c r="AE685" s="135">
        <f t="shared" si="13"/>
        <v>1.0349999999999999E-3</v>
      </c>
      <c r="AF685" s="136">
        <f t="shared" si="14"/>
        <v>0</v>
      </c>
      <c r="AG685" s="137" t="s">
        <v>416</v>
      </c>
      <c r="AH685" s="124"/>
    </row>
    <row r="686" spans="1:34" ht="12" customHeight="1">
      <c r="A686" s="160">
        <v>44796</v>
      </c>
      <c r="B686" s="140" t="s">
        <v>480</v>
      </c>
      <c r="C686" s="141" t="s">
        <v>485</v>
      </c>
      <c r="D686" s="140"/>
      <c r="E686" s="140" t="str">
        <f t="shared" si="0"/>
        <v>ADANIENT</v>
      </c>
      <c r="F686" s="140"/>
      <c r="G686" s="140"/>
      <c r="H686" s="140"/>
      <c r="I686" s="141" t="s">
        <v>467</v>
      </c>
      <c r="J686" s="139" t="s">
        <v>483</v>
      </c>
      <c r="K686" s="141"/>
      <c r="L686" s="141"/>
      <c r="M686" s="142">
        <v>1</v>
      </c>
      <c r="N686" s="143">
        <v>3050</v>
      </c>
      <c r="O686" s="144">
        <f t="shared" si="573"/>
        <v>0</v>
      </c>
      <c r="P686" s="144">
        <f t="shared" ref="P686:P692" si="577">N686+O686</f>
        <v>3050</v>
      </c>
      <c r="Q686" s="144"/>
      <c r="R686" s="144">
        <f t="shared" si="3"/>
        <v>3050</v>
      </c>
      <c r="S686" s="145">
        <f t="shared" si="4"/>
        <v>3.5999999999999996</v>
      </c>
      <c r="T686" s="145">
        <f t="shared" si="75"/>
        <v>0</v>
      </c>
      <c r="U686" s="145">
        <f t="shared" si="574"/>
        <v>0.01</v>
      </c>
      <c r="V686" s="145">
        <f t="shared" si="546"/>
        <v>3.05</v>
      </c>
      <c r="W686" s="145">
        <f t="shared" ref="W686:W692" si="578">ROUND(R686*F$1823,2)</f>
        <v>0.46</v>
      </c>
      <c r="X686" s="145">
        <f t="shared" si="506"/>
        <v>0.08</v>
      </c>
      <c r="Y686" s="145">
        <f t="shared" si="218"/>
        <v>0</v>
      </c>
      <c r="Z686" s="146">
        <f t="shared" si="10"/>
        <v>3.5999999999999996</v>
      </c>
      <c r="AA686" s="147">
        <f t="shared" ref="AA686:AA692" si="579">-ROUND(R686+SUM(T686:Y686),2)</f>
        <v>-3053.6</v>
      </c>
      <c r="AB686" s="148">
        <f t="shared" si="403"/>
        <v>-3054</v>
      </c>
      <c r="AC686" s="149">
        <f t="shared" si="48"/>
        <v>-0.40000000000009095</v>
      </c>
      <c r="AD686" s="138"/>
      <c r="AE686" s="150">
        <f t="shared" si="13"/>
        <v>1.1800000000000001E-3</v>
      </c>
      <c r="AF686" s="151">
        <f t="shared" si="14"/>
        <v>0</v>
      </c>
      <c r="AG686" s="152" t="s">
        <v>416</v>
      </c>
      <c r="AH686" s="124"/>
    </row>
    <row r="687" spans="1:34" ht="12" customHeight="1">
      <c r="A687" s="160">
        <v>44796</v>
      </c>
      <c r="B687" s="140" t="s">
        <v>484</v>
      </c>
      <c r="C687" s="141" t="s">
        <v>485</v>
      </c>
      <c r="D687" s="140"/>
      <c r="E687" s="140" t="str">
        <f t="shared" si="0"/>
        <v>CAMS</v>
      </c>
      <c r="F687" s="140"/>
      <c r="G687" s="140"/>
      <c r="H687" s="140"/>
      <c r="I687" s="141" t="s">
        <v>467</v>
      </c>
      <c r="J687" s="139" t="s">
        <v>483</v>
      </c>
      <c r="K687" s="141"/>
      <c r="L687" s="141"/>
      <c r="M687" s="142">
        <v>3</v>
      </c>
      <c r="N687" s="143">
        <v>2222</v>
      </c>
      <c r="O687" s="144">
        <f t="shared" si="573"/>
        <v>0</v>
      </c>
      <c r="P687" s="144">
        <f t="shared" si="577"/>
        <v>2222</v>
      </c>
      <c r="Q687" s="144"/>
      <c r="R687" s="144">
        <f t="shared" si="3"/>
        <v>6666</v>
      </c>
      <c r="S687" s="145">
        <f t="shared" si="4"/>
        <v>2.63</v>
      </c>
      <c r="T687" s="145">
        <f t="shared" si="75"/>
        <v>0</v>
      </c>
      <c r="U687" s="145">
        <f t="shared" si="574"/>
        <v>0.03</v>
      </c>
      <c r="V687" s="145">
        <f t="shared" si="546"/>
        <v>6.67</v>
      </c>
      <c r="W687" s="145">
        <f t="shared" si="578"/>
        <v>1</v>
      </c>
      <c r="X687" s="145">
        <f t="shared" si="506"/>
        <v>0.18</v>
      </c>
      <c r="Y687" s="145">
        <f t="shared" si="218"/>
        <v>0.01</v>
      </c>
      <c r="Z687" s="146">
        <f t="shared" si="10"/>
        <v>7.89</v>
      </c>
      <c r="AA687" s="147">
        <f t="shared" si="579"/>
        <v>-6673.89</v>
      </c>
      <c r="AB687" s="148">
        <f t="shared" si="403"/>
        <v>-6674</v>
      </c>
      <c r="AC687" s="149">
        <f t="shared" si="48"/>
        <v>-0.10999999999967258</v>
      </c>
      <c r="AD687" s="138"/>
      <c r="AE687" s="150">
        <f t="shared" si="13"/>
        <v>1.1839999999999999E-3</v>
      </c>
      <c r="AF687" s="151">
        <f t="shared" si="14"/>
        <v>0</v>
      </c>
      <c r="AG687" s="152" t="s">
        <v>416</v>
      </c>
      <c r="AH687" s="124"/>
    </row>
    <row r="688" spans="1:34" ht="12" customHeight="1">
      <c r="A688" s="160">
        <v>44796</v>
      </c>
      <c r="B688" s="140" t="s">
        <v>612</v>
      </c>
      <c r="C688" s="141" t="s">
        <v>485</v>
      </c>
      <c r="D688" s="140"/>
      <c r="E688" s="140" t="str">
        <f t="shared" si="0"/>
        <v>GAIL</v>
      </c>
      <c r="F688" s="140"/>
      <c r="G688" s="140"/>
      <c r="H688" s="140"/>
      <c r="I688" s="141" t="s">
        <v>467</v>
      </c>
      <c r="J688" s="139" t="s">
        <v>483</v>
      </c>
      <c r="K688" s="141"/>
      <c r="L688" s="141"/>
      <c r="M688" s="142">
        <v>30</v>
      </c>
      <c r="N688" s="143">
        <v>131.69999999999999</v>
      </c>
      <c r="O688" s="144">
        <f t="shared" si="573"/>
        <v>0</v>
      </c>
      <c r="P688" s="144">
        <f t="shared" si="577"/>
        <v>131.69999999999999</v>
      </c>
      <c r="Q688" s="144"/>
      <c r="R688" s="144">
        <f t="shared" si="3"/>
        <v>3951</v>
      </c>
      <c r="S688" s="145">
        <f t="shared" si="4"/>
        <v>0.1556666666666667</v>
      </c>
      <c r="T688" s="145">
        <f t="shared" si="75"/>
        <v>0</v>
      </c>
      <c r="U688" s="145">
        <f t="shared" si="574"/>
        <v>0.02</v>
      </c>
      <c r="V688" s="145">
        <f t="shared" si="546"/>
        <v>3.95</v>
      </c>
      <c r="W688" s="145">
        <f t="shared" si="578"/>
        <v>0.59</v>
      </c>
      <c r="X688" s="145">
        <f t="shared" si="506"/>
        <v>0.11</v>
      </c>
      <c r="Y688" s="145">
        <f t="shared" si="218"/>
        <v>0</v>
      </c>
      <c r="Z688" s="146">
        <f t="shared" si="10"/>
        <v>4.6700000000000008</v>
      </c>
      <c r="AA688" s="147">
        <f t="shared" si="579"/>
        <v>-3955.67</v>
      </c>
      <c r="AB688" s="148">
        <f t="shared" si="403"/>
        <v>-3956</v>
      </c>
      <c r="AC688" s="149">
        <f t="shared" si="48"/>
        <v>-0.32999999999992724</v>
      </c>
      <c r="AD688" s="138"/>
      <c r="AE688" s="150">
        <f t="shared" si="13"/>
        <v>1.1820000000000001E-3</v>
      </c>
      <c r="AF688" s="151">
        <f t="shared" si="14"/>
        <v>0</v>
      </c>
      <c r="AG688" s="152" t="s">
        <v>416</v>
      </c>
      <c r="AH688" s="124"/>
    </row>
    <row r="689" spans="1:34" ht="12" customHeight="1">
      <c r="A689" s="160">
        <v>44796</v>
      </c>
      <c r="B689" s="140" t="s">
        <v>472</v>
      </c>
      <c r="C689" s="141" t="s">
        <v>485</v>
      </c>
      <c r="D689" s="140"/>
      <c r="E689" s="140" t="str">
        <f t="shared" si="0"/>
        <v>INFY</v>
      </c>
      <c r="F689" s="140"/>
      <c r="G689" s="140"/>
      <c r="H689" s="140"/>
      <c r="I689" s="141" t="s">
        <v>467</v>
      </c>
      <c r="J689" s="139" t="s">
        <v>483</v>
      </c>
      <c r="K689" s="141"/>
      <c r="L689" s="141"/>
      <c r="M689" s="142">
        <v>3</v>
      </c>
      <c r="N689" s="143">
        <v>1545</v>
      </c>
      <c r="O689" s="144">
        <f t="shared" si="573"/>
        <v>0</v>
      </c>
      <c r="P689" s="144">
        <f t="shared" si="577"/>
        <v>1545</v>
      </c>
      <c r="Q689" s="144"/>
      <c r="R689" s="144">
        <f t="shared" si="3"/>
        <v>4635</v>
      </c>
      <c r="S689" s="145">
        <f t="shared" si="4"/>
        <v>1.8299999999999998</v>
      </c>
      <c r="T689" s="145">
        <f t="shared" si="75"/>
        <v>0</v>
      </c>
      <c r="U689" s="145">
        <f t="shared" si="574"/>
        <v>0.02</v>
      </c>
      <c r="V689" s="145">
        <f t="shared" si="546"/>
        <v>4.6399999999999997</v>
      </c>
      <c r="W689" s="145">
        <f t="shared" si="578"/>
        <v>0.7</v>
      </c>
      <c r="X689" s="145">
        <f t="shared" si="506"/>
        <v>0.13</v>
      </c>
      <c r="Y689" s="145">
        <f t="shared" si="218"/>
        <v>0</v>
      </c>
      <c r="Z689" s="146">
        <f t="shared" si="10"/>
        <v>5.4899999999999993</v>
      </c>
      <c r="AA689" s="147">
        <f t="shared" si="579"/>
        <v>-4640.49</v>
      </c>
      <c r="AB689" s="148">
        <f t="shared" si="403"/>
        <v>-4640</v>
      </c>
      <c r="AC689" s="149">
        <f t="shared" si="48"/>
        <v>0.48999999999978172</v>
      </c>
      <c r="AD689" s="138"/>
      <c r="AE689" s="150">
        <f t="shared" si="13"/>
        <v>1.1839999999999999E-3</v>
      </c>
      <c r="AF689" s="151">
        <f t="shared" si="14"/>
        <v>0</v>
      </c>
      <c r="AG689" s="152" t="s">
        <v>416</v>
      </c>
      <c r="AH689" s="124"/>
    </row>
    <row r="690" spans="1:34" ht="12" customHeight="1">
      <c r="A690" s="160">
        <v>44796</v>
      </c>
      <c r="B690" s="140" t="s">
        <v>590</v>
      </c>
      <c r="C690" s="141" t="s">
        <v>485</v>
      </c>
      <c r="D690" s="140"/>
      <c r="E690" s="140" t="str">
        <f t="shared" si="0"/>
        <v>ITC</v>
      </c>
      <c r="F690" s="140"/>
      <c r="G690" s="140"/>
      <c r="H690" s="140"/>
      <c r="I690" s="141" t="s">
        <v>467</v>
      </c>
      <c r="J690" s="139" t="s">
        <v>483</v>
      </c>
      <c r="K690" s="141"/>
      <c r="L690" s="141"/>
      <c r="M690" s="142">
        <v>5</v>
      </c>
      <c r="N690" s="143">
        <v>314.75</v>
      </c>
      <c r="O690" s="144">
        <f t="shared" si="573"/>
        <v>0</v>
      </c>
      <c r="P690" s="144">
        <f t="shared" si="577"/>
        <v>314.75</v>
      </c>
      <c r="Q690" s="144"/>
      <c r="R690" s="144">
        <f t="shared" si="3"/>
        <v>1573.75</v>
      </c>
      <c r="S690" s="145">
        <f t="shared" si="4"/>
        <v>0.372</v>
      </c>
      <c r="T690" s="145">
        <f t="shared" si="75"/>
        <v>0</v>
      </c>
      <c r="U690" s="145">
        <f t="shared" si="574"/>
        <v>0.01</v>
      </c>
      <c r="V690" s="145">
        <f t="shared" si="546"/>
        <v>1.57</v>
      </c>
      <c r="W690" s="145">
        <f t="shared" si="578"/>
        <v>0.24</v>
      </c>
      <c r="X690" s="145">
        <f t="shared" si="506"/>
        <v>0.04</v>
      </c>
      <c r="Y690" s="145">
        <f t="shared" si="218"/>
        <v>0</v>
      </c>
      <c r="Z690" s="146">
        <f t="shared" si="10"/>
        <v>1.86</v>
      </c>
      <c r="AA690" s="147">
        <f t="shared" si="579"/>
        <v>-1575.61</v>
      </c>
      <c r="AB690" s="148">
        <f t="shared" si="403"/>
        <v>-1576</v>
      </c>
      <c r="AC690" s="149">
        <f t="shared" si="48"/>
        <v>-0.39000000000010004</v>
      </c>
      <c r="AD690" s="138"/>
      <c r="AE690" s="150">
        <f t="shared" si="13"/>
        <v>1.1820000000000001E-3</v>
      </c>
      <c r="AF690" s="151">
        <f t="shared" si="14"/>
        <v>0</v>
      </c>
      <c r="AG690" s="152" t="s">
        <v>416</v>
      </c>
      <c r="AH690" s="124"/>
    </row>
    <row r="691" spans="1:34" ht="12" customHeight="1">
      <c r="A691" s="160">
        <v>44796</v>
      </c>
      <c r="B691" s="140" t="s">
        <v>589</v>
      </c>
      <c r="C691" s="141" t="s">
        <v>460</v>
      </c>
      <c r="D691" s="140"/>
      <c r="E691" s="140" t="str">
        <f t="shared" si="0"/>
        <v>DCMSHRIRAM</v>
      </c>
      <c r="F691" s="140"/>
      <c r="G691" s="140"/>
      <c r="H691" s="140"/>
      <c r="I691" s="141" t="s">
        <v>467</v>
      </c>
      <c r="J691" s="139" t="s">
        <v>483</v>
      </c>
      <c r="K691" s="141"/>
      <c r="L691" s="141"/>
      <c r="M691" s="142">
        <v>50</v>
      </c>
      <c r="N691" s="143">
        <v>1002.45</v>
      </c>
      <c r="O691" s="144">
        <f t="shared" si="573"/>
        <v>0</v>
      </c>
      <c r="P691" s="144">
        <f t="shared" si="577"/>
        <v>1002.45</v>
      </c>
      <c r="Q691" s="144"/>
      <c r="R691" s="144">
        <f t="shared" si="3"/>
        <v>50122.5</v>
      </c>
      <c r="S691" s="145">
        <f t="shared" si="4"/>
        <v>1.1863999999999999</v>
      </c>
      <c r="T691" s="145">
        <f t="shared" si="75"/>
        <v>0</v>
      </c>
      <c r="U691" s="145">
        <f t="shared" si="574"/>
        <v>0.25</v>
      </c>
      <c r="V691" s="145">
        <f t="shared" si="546"/>
        <v>50.12</v>
      </c>
      <c r="W691" s="145">
        <f t="shared" si="578"/>
        <v>7.52</v>
      </c>
      <c r="X691" s="145">
        <f t="shared" si="506"/>
        <v>1.38</v>
      </c>
      <c r="Y691" s="145">
        <f t="shared" si="218"/>
        <v>0.05</v>
      </c>
      <c r="Z691" s="146">
        <f t="shared" si="10"/>
        <v>59.32</v>
      </c>
      <c r="AA691" s="147">
        <f t="shared" si="579"/>
        <v>-50181.82</v>
      </c>
      <c r="AB691" s="148">
        <f t="shared" si="403"/>
        <v>-50182</v>
      </c>
      <c r="AC691" s="149">
        <f t="shared" si="48"/>
        <v>-0.18000000000029104</v>
      </c>
      <c r="AD691" s="138"/>
      <c r="AE691" s="150">
        <f t="shared" si="13"/>
        <v>1.1839999999999999E-3</v>
      </c>
      <c r="AF691" s="151">
        <f t="shared" si="14"/>
        <v>0</v>
      </c>
      <c r="AG691" s="152" t="s">
        <v>416</v>
      </c>
      <c r="AH691" s="124"/>
    </row>
    <row r="692" spans="1:34" ht="12" customHeight="1">
      <c r="A692" s="160">
        <v>44797</v>
      </c>
      <c r="B692" s="140" t="s">
        <v>587</v>
      </c>
      <c r="C692" s="141" t="s">
        <v>485</v>
      </c>
      <c r="D692" s="140"/>
      <c r="E692" s="140" t="str">
        <f t="shared" si="0"/>
        <v>AARTIIND</v>
      </c>
      <c r="F692" s="140"/>
      <c r="G692" s="140"/>
      <c r="H692" s="140"/>
      <c r="I692" s="141" t="s">
        <v>467</v>
      </c>
      <c r="J692" s="139" t="s">
        <v>483</v>
      </c>
      <c r="K692" s="141"/>
      <c r="L692" s="141"/>
      <c r="M692" s="142">
        <v>10</v>
      </c>
      <c r="N692" s="143">
        <v>785</v>
      </c>
      <c r="O692" s="144">
        <f t="shared" si="573"/>
        <v>0</v>
      </c>
      <c r="P692" s="144">
        <f t="shared" si="577"/>
        <v>785</v>
      </c>
      <c r="Q692" s="144"/>
      <c r="R692" s="144">
        <f t="shared" si="3"/>
        <v>7850</v>
      </c>
      <c r="S692" s="145">
        <f t="shared" si="4"/>
        <v>0.93</v>
      </c>
      <c r="T692" s="145">
        <f t="shared" si="75"/>
        <v>0</v>
      </c>
      <c r="U692" s="145">
        <f t="shared" si="574"/>
        <v>0.04</v>
      </c>
      <c r="V692" s="145">
        <f t="shared" si="546"/>
        <v>7.85</v>
      </c>
      <c r="W692" s="145">
        <f t="shared" si="578"/>
        <v>1.18</v>
      </c>
      <c r="X692" s="145">
        <f t="shared" si="506"/>
        <v>0.22</v>
      </c>
      <c r="Y692" s="145">
        <f t="shared" si="218"/>
        <v>0.01</v>
      </c>
      <c r="Z692" s="146">
        <f t="shared" si="10"/>
        <v>9.3000000000000007</v>
      </c>
      <c r="AA692" s="147">
        <f t="shared" si="579"/>
        <v>-7859.3</v>
      </c>
      <c r="AB692" s="148">
        <f t="shared" si="403"/>
        <v>-7859</v>
      </c>
      <c r="AC692" s="149">
        <f t="shared" si="48"/>
        <v>0.3000000000001819</v>
      </c>
      <c r="AD692" s="138"/>
      <c r="AE692" s="150">
        <f t="shared" si="13"/>
        <v>1.1850000000000001E-3</v>
      </c>
      <c r="AF692" s="151">
        <f t="shared" si="14"/>
        <v>0</v>
      </c>
      <c r="AG692" s="152" t="s">
        <v>416</v>
      </c>
      <c r="AH692" s="124"/>
    </row>
    <row r="693" spans="1:34" ht="12" customHeight="1">
      <c r="A693" s="155">
        <v>44797</v>
      </c>
      <c r="B693" s="112" t="s">
        <v>614</v>
      </c>
      <c r="C693" s="127" t="s">
        <v>485</v>
      </c>
      <c r="D693" s="112"/>
      <c r="E693" s="112" t="str">
        <f t="shared" si="0"/>
        <v>CARBORUNIN</v>
      </c>
      <c r="F693" s="112" t="s">
        <v>132</v>
      </c>
      <c r="G693" s="112"/>
      <c r="H693" s="112"/>
      <c r="I693" s="127" t="s">
        <v>461</v>
      </c>
      <c r="J693" s="126" t="s">
        <v>483</v>
      </c>
      <c r="K693" s="127"/>
      <c r="L693" s="127"/>
      <c r="M693" s="128">
        <v>10</v>
      </c>
      <c r="N693" s="129">
        <v>830</v>
      </c>
      <c r="O693" s="130">
        <f t="shared" si="573"/>
        <v>0</v>
      </c>
      <c r="P693" s="130">
        <f t="shared" ref="P693:P697" si="580">N693-O693</f>
        <v>830</v>
      </c>
      <c r="Q693" s="130"/>
      <c r="R693" s="130">
        <f t="shared" si="3"/>
        <v>8300</v>
      </c>
      <c r="S693" s="131">
        <f t="shared" si="4"/>
        <v>0.85799999999999998</v>
      </c>
      <c r="T693" s="131">
        <f t="shared" si="75"/>
        <v>0</v>
      </c>
      <c r="U693" s="131">
        <f t="shared" si="574"/>
        <v>0.04</v>
      </c>
      <c r="V693" s="131">
        <f t="shared" si="546"/>
        <v>8.3000000000000007</v>
      </c>
      <c r="W693" s="131">
        <v>0</v>
      </c>
      <c r="X693" s="131">
        <f t="shared" si="506"/>
        <v>0.23</v>
      </c>
      <c r="Y693" s="131">
        <f t="shared" si="218"/>
        <v>0.01</v>
      </c>
      <c r="Z693" s="131">
        <f t="shared" si="10"/>
        <v>8.58</v>
      </c>
      <c r="AA693" s="132">
        <f t="shared" ref="AA693:AA697" si="581">ROUND(R693-SUM(T693:Y693),2)</f>
        <v>8291.42</v>
      </c>
      <c r="AB693" s="133">
        <f t="shared" si="403"/>
        <v>8291</v>
      </c>
      <c r="AC693" s="134">
        <f t="shared" si="48"/>
        <v>-0.42000000000007276</v>
      </c>
      <c r="AD693" s="125"/>
      <c r="AE693" s="135">
        <f t="shared" si="13"/>
        <v>1.034E-3</v>
      </c>
      <c r="AF693" s="136">
        <f t="shared" si="14"/>
        <v>0</v>
      </c>
      <c r="AG693" s="137" t="s">
        <v>416</v>
      </c>
      <c r="AH693" s="124"/>
    </row>
    <row r="694" spans="1:34" ht="12" customHeight="1">
      <c r="A694" s="155">
        <v>44797</v>
      </c>
      <c r="B694" s="112" t="s">
        <v>619</v>
      </c>
      <c r="C694" s="127" t="s">
        <v>485</v>
      </c>
      <c r="D694" s="112"/>
      <c r="E694" s="112" t="str">
        <f t="shared" si="0"/>
        <v>NGIND</v>
      </c>
      <c r="F694" s="112"/>
      <c r="G694" s="112"/>
      <c r="H694" s="112"/>
      <c r="I694" s="127" t="s">
        <v>461</v>
      </c>
      <c r="J694" s="126" t="s">
        <v>483</v>
      </c>
      <c r="K694" s="127"/>
      <c r="L694" s="127"/>
      <c r="M694" s="128">
        <v>150</v>
      </c>
      <c r="N694" s="129">
        <v>77.349999999999994</v>
      </c>
      <c r="O694" s="130">
        <f t="shared" si="573"/>
        <v>0</v>
      </c>
      <c r="P694" s="130">
        <f t="shared" si="580"/>
        <v>77.349999999999994</v>
      </c>
      <c r="Q694" s="130"/>
      <c r="R694" s="130">
        <f t="shared" si="3"/>
        <v>11602.5</v>
      </c>
      <c r="S694" s="131">
        <f t="shared" si="4"/>
        <v>0.16866666666666666</v>
      </c>
      <c r="T694" s="131">
        <f t="shared" si="75"/>
        <v>0</v>
      </c>
      <c r="U694" s="131">
        <f t="shared" si="574"/>
        <v>2.09</v>
      </c>
      <c r="V694" s="131">
        <f t="shared" si="546"/>
        <v>11.6</v>
      </c>
      <c r="W694" s="131">
        <v>0</v>
      </c>
      <c r="X694" s="131">
        <f>ROUND(R694*0.001,2)</f>
        <v>11.6</v>
      </c>
      <c r="Y694" s="131">
        <f t="shared" si="218"/>
        <v>0.01</v>
      </c>
      <c r="Z694" s="131">
        <f t="shared" si="10"/>
        <v>25.3</v>
      </c>
      <c r="AA694" s="132">
        <f t="shared" si="581"/>
        <v>11577.2</v>
      </c>
      <c r="AB694" s="133">
        <f t="shared" si="403"/>
        <v>11577</v>
      </c>
      <c r="AC694" s="134">
        <f t="shared" si="48"/>
        <v>-0.2000000000007276</v>
      </c>
      <c r="AD694" s="125"/>
      <c r="AE694" s="135">
        <f t="shared" si="13"/>
        <v>2.1810000000000002E-3</v>
      </c>
      <c r="AF694" s="136">
        <f t="shared" si="14"/>
        <v>0</v>
      </c>
      <c r="AG694" s="137" t="s">
        <v>416</v>
      </c>
      <c r="AH694" s="124"/>
    </row>
    <row r="695" spans="1:34" ht="12" customHeight="1">
      <c r="A695" s="155">
        <v>44797</v>
      </c>
      <c r="B695" s="112" t="s">
        <v>628</v>
      </c>
      <c r="C695" s="127" t="s">
        <v>485</v>
      </c>
      <c r="D695" s="112"/>
      <c r="E695" s="112" t="str">
        <f t="shared" si="0"/>
        <v>EXCELINDUS</v>
      </c>
      <c r="F695" s="112"/>
      <c r="G695" s="112"/>
      <c r="H695" s="112"/>
      <c r="I695" s="127" t="s">
        <v>461</v>
      </c>
      <c r="J695" s="126" t="s">
        <v>483</v>
      </c>
      <c r="K695" s="127"/>
      <c r="L695" s="127"/>
      <c r="M695" s="128">
        <v>5</v>
      </c>
      <c r="N695" s="129">
        <v>1398</v>
      </c>
      <c r="O695" s="130">
        <f t="shared" si="573"/>
        <v>0</v>
      </c>
      <c r="P695" s="130">
        <f t="shared" si="580"/>
        <v>1398</v>
      </c>
      <c r="Q695" s="130"/>
      <c r="R695" s="130">
        <f t="shared" si="3"/>
        <v>6990</v>
      </c>
      <c r="S695" s="131">
        <f t="shared" si="4"/>
        <v>1.4440000000000002</v>
      </c>
      <c r="T695" s="131">
        <f t="shared" si="75"/>
        <v>0</v>
      </c>
      <c r="U695" s="131">
        <f t="shared" si="574"/>
        <v>0.03</v>
      </c>
      <c r="V695" s="131">
        <f t="shared" si="546"/>
        <v>6.99</v>
      </c>
      <c r="W695" s="131">
        <v>0</v>
      </c>
      <c r="X695" s="131">
        <f t="shared" ref="X695:X829" si="582">ROUND(R695*G$1820,2)</f>
        <v>0.19</v>
      </c>
      <c r="Y695" s="131">
        <f t="shared" si="218"/>
        <v>0.01</v>
      </c>
      <c r="Z695" s="131">
        <f t="shared" si="10"/>
        <v>7.2200000000000006</v>
      </c>
      <c r="AA695" s="132">
        <f t="shared" si="581"/>
        <v>6982.78</v>
      </c>
      <c r="AB695" s="133">
        <f t="shared" si="403"/>
        <v>6983</v>
      </c>
      <c r="AC695" s="134">
        <f t="shared" si="48"/>
        <v>0.22000000000025466</v>
      </c>
      <c r="AD695" s="125"/>
      <c r="AE695" s="135">
        <f t="shared" si="13"/>
        <v>1.0330000000000001E-3</v>
      </c>
      <c r="AF695" s="136">
        <f t="shared" si="14"/>
        <v>0</v>
      </c>
      <c r="AG695" s="137" t="s">
        <v>416</v>
      </c>
      <c r="AH695" s="124"/>
    </row>
    <row r="696" spans="1:34" ht="12" customHeight="1">
      <c r="A696" s="155">
        <v>44797</v>
      </c>
      <c r="B696" s="112" t="s">
        <v>621</v>
      </c>
      <c r="C696" s="127" t="s">
        <v>485</v>
      </c>
      <c r="D696" s="112"/>
      <c r="E696" s="112" t="str">
        <f t="shared" si="0"/>
        <v>VASWANI</v>
      </c>
      <c r="F696" s="112"/>
      <c r="G696" s="112"/>
      <c r="H696" s="112"/>
      <c r="I696" s="127" t="s">
        <v>461</v>
      </c>
      <c r="J696" s="126" t="s">
        <v>483</v>
      </c>
      <c r="K696" s="127"/>
      <c r="L696" s="127"/>
      <c r="M696" s="128">
        <v>200</v>
      </c>
      <c r="N696" s="129">
        <v>21.1</v>
      </c>
      <c r="O696" s="130">
        <f t="shared" si="573"/>
        <v>0</v>
      </c>
      <c r="P696" s="130">
        <f t="shared" si="580"/>
        <v>21.1</v>
      </c>
      <c r="Q696" s="130"/>
      <c r="R696" s="130">
        <f t="shared" si="3"/>
        <v>4220</v>
      </c>
      <c r="S696" s="131">
        <f t="shared" si="4"/>
        <v>2.1799999999999996E-2</v>
      </c>
      <c r="T696" s="131">
        <f t="shared" si="75"/>
        <v>0</v>
      </c>
      <c r="U696" s="131">
        <f t="shared" si="574"/>
        <v>0.02</v>
      </c>
      <c r="V696" s="131">
        <f t="shared" si="546"/>
        <v>4.22</v>
      </c>
      <c r="W696" s="131">
        <v>0</v>
      </c>
      <c r="X696" s="131">
        <f t="shared" si="582"/>
        <v>0.12</v>
      </c>
      <c r="Y696" s="131">
        <f t="shared" si="218"/>
        <v>0</v>
      </c>
      <c r="Z696" s="131">
        <f t="shared" si="10"/>
        <v>4.3599999999999994</v>
      </c>
      <c r="AA696" s="132">
        <f t="shared" si="581"/>
        <v>4215.6400000000003</v>
      </c>
      <c r="AB696" s="133">
        <f t="shared" si="403"/>
        <v>4216</v>
      </c>
      <c r="AC696" s="134">
        <f t="shared" si="48"/>
        <v>0.35999999999967258</v>
      </c>
      <c r="AD696" s="125"/>
      <c r="AE696" s="135">
        <f t="shared" si="13"/>
        <v>1.0330000000000001E-3</v>
      </c>
      <c r="AF696" s="136">
        <f t="shared" si="14"/>
        <v>0</v>
      </c>
      <c r="AG696" s="137" t="s">
        <v>416</v>
      </c>
      <c r="AH696" s="124"/>
    </row>
    <row r="697" spans="1:34" ht="12" customHeight="1">
      <c r="A697" s="155">
        <v>44798</v>
      </c>
      <c r="B697" s="112" t="s">
        <v>627</v>
      </c>
      <c r="C697" s="127" t="s">
        <v>485</v>
      </c>
      <c r="D697" s="112"/>
      <c r="E697" s="112" t="str">
        <f t="shared" si="0"/>
        <v>NHPC</v>
      </c>
      <c r="F697" s="112"/>
      <c r="G697" s="112"/>
      <c r="H697" s="112"/>
      <c r="I697" s="127" t="s">
        <v>461</v>
      </c>
      <c r="J697" s="126" t="s">
        <v>483</v>
      </c>
      <c r="K697" s="127"/>
      <c r="L697" s="127"/>
      <c r="M697" s="128">
        <v>100</v>
      </c>
      <c r="N697" s="129">
        <v>35.299999999999997</v>
      </c>
      <c r="O697" s="130">
        <f t="shared" si="573"/>
        <v>0</v>
      </c>
      <c r="P697" s="130">
        <f t="shared" si="580"/>
        <v>35.299999999999997</v>
      </c>
      <c r="Q697" s="130"/>
      <c r="R697" s="130">
        <f t="shared" si="3"/>
        <v>3530</v>
      </c>
      <c r="S697" s="131">
        <f t="shared" si="4"/>
        <v>3.6499999999999998E-2</v>
      </c>
      <c r="T697" s="131">
        <f t="shared" si="75"/>
        <v>0</v>
      </c>
      <c r="U697" s="131">
        <f t="shared" si="574"/>
        <v>0.02</v>
      </c>
      <c r="V697" s="131">
        <f t="shared" si="546"/>
        <v>3.53</v>
      </c>
      <c r="W697" s="131">
        <v>0</v>
      </c>
      <c r="X697" s="131">
        <f t="shared" si="582"/>
        <v>0.1</v>
      </c>
      <c r="Y697" s="131">
        <f t="shared" si="218"/>
        <v>0</v>
      </c>
      <c r="Z697" s="131">
        <f t="shared" si="10"/>
        <v>3.65</v>
      </c>
      <c r="AA697" s="132">
        <f t="shared" si="581"/>
        <v>3526.35</v>
      </c>
      <c r="AB697" s="133">
        <f t="shared" si="403"/>
        <v>3526</v>
      </c>
      <c r="AC697" s="134">
        <f t="shared" si="48"/>
        <v>-0.34999999999990905</v>
      </c>
      <c r="AD697" s="125"/>
      <c r="AE697" s="135">
        <f t="shared" si="13"/>
        <v>1.034E-3</v>
      </c>
      <c r="AF697" s="136">
        <f t="shared" si="14"/>
        <v>0</v>
      </c>
      <c r="AG697" s="137" t="s">
        <v>416</v>
      </c>
      <c r="AH697" s="124"/>
    </row>
    <row r="698" spans="1:34" ht="12" customHeight="1">
      <c r="A698" s="160">
        <v>44799</v>
      </c>
      <c r="B698" s="140" t="s">
        <v>547</v>
      </c>
      <c r="C698" s="141" t="s">
        <v>485</v>
      </c>
      <c r="D698" s="140"/>
      <c r="E698" s="140" t="str">
        <f t="shared" si="0"/>
        <v>NCC</v>
      </c>
      <c r="F698" s="140"/>
      <c r="G698" s="140"/>
      <c r="H698" s="140"/>
      <c r="I698" s="141" t="s">
        <v>467</v>
      </c>
      <c r="J698" s="139" t="s">
        <v>483</v>
      </c>
      <c r="K698" s="141"/>
      <c r="L698" s="141"/>
      <c r="M698" s="142">
        <v>50</v>
      </c>
      <c r="N698" s="143">
        <v>69.5</v>
      </c>
      <c r="O698" s="144">
        <f t="shared" si="573"/>
        <v>0</v>
      </c>
      <c r="P698" s="144">
        <f t="shared" ref="P698:P700" si="583">N698+O698</f>
        <v>69.5</v>
      </c>
      <c r="Q698" s="144"/>
      <c r="R698" s="144">
        <f t="shared" si="3"/>
        <v>3475</v>
      </c>
      <c r="S698" s="145">
        <f t="shared" si="4"/>
        <v>8.2399999999999987E-2</v>
      </c>
      <c r="T698" s="145">
        <f t="shared" si="75"/>
        <v>0</v>
      </c>
      <c r="U698" s="145">
        <f t="shared" si="574"/>
        <v>0.02</v>
      </c>
      <c r="V698" s="145">
        <f t="shared" si="546"/>
        <v>3.48</v>
      </c>
      <c r="W698" s="145">
        <f t="shared" ref="W698:W700" si="584">ROUND(R698*F$1823,2)</f>
        <v>0.52</v>
      </c>
      <c r="X698" s="145">
        <f t="shared" si="582"/>
        <v>0.1</v>
      </c>
      <c r="Y698" s="145">
        <f t="shared" si="218"/>
        <v>0</v>
      </c>
      <c r="Z698" s="146">
        <f t="shared" si="10"/>
        <v>4.1199999999999992</v>
      </c>
      <c r="AA698" s="147">
        <f t="shared" ref="AA698:AA700" si="585">-ROUND(R698+SUM(T698:Y698),2)</f>
        <v>-3479.12</v>
      </c>
      <c r="AB698" s="148">
        <f t="shared" si="403"/>
        <v>-3479</v>
      </c>
      <c r="AC698" s="149">
        <f t="shared" si="48"/>
        <v>0.11999999999989086</v>
      </c>
      <c r="AD698" s="138"/>
      <c r="AE698" s="150">
        <f t="shared" si="13"/>
        <v>1.186E-3</v>
      </c>
      <c r="AF698" s="151">
        <f t="shared" si="14"/>
        <v>0</v>
      </c>
      <c r="AG698" s="152" t="s">
        <v>416</v>
      </c>
      <c r="AH698" s="124"/>
    </row>
    <row r="699" spans="1:34" ht="12" customHeight="1">
      <c r="A699" s="160">
        <v>44802</v>
      </c>
      <c r="B699" s="140" t="s">
        <v>631</v>
      </c>
      <c r="C699" s="141" t="s">
        <v>485</v>
      </c>
      <c r="D699" s="140"/>
      <c r="E699" s="140" t="str">
        <f t="shared" si="0"/>
        <v>MOTHERSON</v>
      </c>
      <c r="F699" s="140"/>
      <c r="G699" s="140"/>
      <c r="H699" s="140"/>
      <c r="I699" s="141" t="s">
        <v>467</v>
      </c>
      <c r="J699" s="139" t="s">
        <v>483</v>
      </c>
      <c r="K699" s="141"/>
      <c r="L699" s="141"/>
      <c r="M699" s="142">
        <v>50</v>
      </c>
      <c r="N699" s="143">
        <v>121.35</v>
      </c>
      <c r="O699" s="144">
        <f t="shared" si="573"/>
        <v>0</v>
      </c>
      <c r="P699" s="144">
        <f t="shared" si="583"/>
        <v>121.35</v>
      </c>
      <c r="Q699" s="144"/>
      <c r="R699" s="144">
        <f t="shared" si="3"/>
        <v>6067.5</v>
      </c>
      <c r="S699" s="145">
        <f t="shared" si="4"/>
        <v>0.14380000000000001</v>
      </c>
      <c r="T699" s="145">
        <f t="shared" si="75"/>
        <v>0</v>
      </c>
      <c r="U699" s="145">
        <f t="shared" si="574"/>
        <v>0.03</v>
      </c>
      <c r="V699" s="145">
        <f t="shared" si="546"/>
        <v>6.07</v>
      </c>
      <c r="W699" s="145">
        <f t="shared" si="584"/>
        <v>0.91</v>
      </c>
      <c r="X699" s="145">
        <f t="shared" si="582"/>
        <v>0.17</v>
      </c>
      <c r="Y699" s="145">
        <f t="shared" si="218"/>
        <v>0.01</v>
      </c>
      <c r="Z699" s="146">
        <f t="shared" si="10"/>
        <v>7.19</v>
      </c>
      <c r="AA699" s="147">
        <f t="shared" si="585"/>
        <v>-6074.69</v>
      </c>
      <c r="AB699" s="148">
        <f t="shared" si="403"/>
        <v>-6075</v>
      </c>
      <c r="AC699" s="149">
        <f t="shared" si="48"/>
        <v>-0.31000000000040018</v>
      </c>
      <c r="AD699" s="138"/>
      <c r="AE699" s="150">
        <f t="shared" si="13"/>
        <v>1.1850000000000001E-3</v>
      </c>
      <c r="AF699" s="151">
        <f t="shared" si="14"/>
        <v>0</v>
      </c>
      <c r="AG699" s="152" t="s">
        <v>416</v>
      </c>
      <c r="AH699" s="124"/>
    </row>
    <row r="700" spans="1:34" ht="12" customHeight="1">
      <c r="A700" s="160">
        <v>44802</v>
      </c>
      <c r="B700" s="140" t="s">
        <v>633</v>
      </c>
      <c r="C700" s="141" t="s">
        <v>485</v>
      </c>
      <c r="D700" s="140"/>
      <c r="E700" s="140" t="str">
        <f t="shared" si="0"/>
        <v>SUZLON</v>
      </c>
      <c r="F700" s="140"/>
      <c r="G700" s="140"/>
      <c r="H700" s="140"/>
      <c r="I700" s="141" t="s">
        <v>467</v>
      </c>
      <c r="J700" s="139" t="s">
        <v>483</v>
      </c>
      <c r="K700" s="141"/>
      <c r="L700" s="141"/>
      <c r="M700" s="142">
        <v>900</v>
      </c>
      <c r="N700" s="143">
        <v>8.1</v>
      </c>
      <c r="O700" s="144">
        <f t="shared" si="573"/>
        <v>0</v>
      </c>
      <c r="P700" s="144">
        <f t="shared" si="583"/>
        <v>8.1</v>
      </c>
      <c r="Q700" s="144"/>
      <c r="R700" s="144">
        <f t="shared" si="3"/>
        <v>7290</v>
      </c>
      <c r="S700" s="145">
        <f t="shared" si="4"/>
        <v>9.5888888888888881E-3</v>
      </c>
      <c r="T700" s="145">
        <f t="shared" si="75"/>
        <v>0</v>
      </c>
      <c r="U700" s="145">
        <f t="shared" si="574"/>
        <v>0.04</v>
      </c>
      <c r="V700" s="145">
        <f t="shared" si="546"/>
        <v>7.29</v>
      </c>
      <c r="W700" s="145">
        <f t="shared" si="584"/>
        <v>1.0900000000000001</v>
      </c>
      <c r="X700" s="145">
        <f t="shared" si="582"/>
        <v>0.2</v>
      </c>
      <c r="Y700" s="145">
        <f t="shared" si="218"/>
        <v>0.01</v>
      </c>
      <c r="Z700" s="146">
        <f t="shared" si="10"/>
        <v>8.629999999999999</v>
      </c>
      <c r="AA700" s="147">
        <f t="shared" si="585"/>
        <v>-7298.63</v>
      </c>
      <c r="AB700" s="148">
        <f t="shared" si="403"/>
        <v>-7299</v>
      </c>
      <c r="AC700" s="149">
        <f t="shared" si="48"/>
        <v>-0.36999999999989086</v>
      </c>
      <c r="AD700" s="138"/>
      <c r="AE700" s="150">
        <f t="shared" si="13"/>
        <v>1.1839999999999999E-3</v>
      </c>
      <c r="AF700" s="151">
        <f t="shared" si="14"/>
        <v>0</v>
      </c>
      <c r="AG700" s="152" t="s">
        <v>416</v>
      </c>
      <c r="AH700" s="124"/>
    </row>
    <row r="701" spans="1:34" ht="12" customHeight="1">
      <c r="A701" s="155">
        <v>44802</v>
      </c>
      <c r="B701" s="112" t="s">
        <v>589</v>
      </c>
      <c r="C701" s="127" t="s">
        <v>460</v>
      </c>
      <c r="D701" s="112"/>
      <c r="E701" s="112" t="str">
        <f t="shared" si="0"/>
        <v>DCMSHRIRAM</v>
      </c>
      <c r="F701" s="112"/>
      <c r="G701" s="112"/>
      <c r="H701" s="112"/>
      <c r="I701" s="127" t="s">
        <v>461</v>
      </c>
      <c r="J701" s="126" t="s">
        <v>483</v>
      </c>
      <c r="K701" s="127"/>
      <c r="L701" s="127"/>
      <c r="M701" s="128">
        <v>100</v>
      </c>
      <c r="N701" s="129">
        <v>1027.626</v>
      </c>
      <c r="O701" s="130">
        <f t="shared" si="573"/>
        <v>0</v>
      </c>
      <c r="P701" s="130">
        <f>N701-O701</f>
        <v>1027.626</v>
      </c>
      <c r="Q701" s="130"/>
      <c r="R701" s="130">
        <f t="shared" si="3"/>
        <v>102762.6</v>
      </c>
      <c r="S701" s="131">
        <f t="shared" si="4"/>
        <v>1.0620000000000001</v>
      </c>
      <c r="T701" s="131">
        <f t="shared" si="75"/>
        <v>0</v>
      </c>
      <c r="U701" s="131">
        <f t="shared" si="574"/>
        <v>0.51</v>
      </c>
      <c r="V701" s="131">
        <f t="shared" si="546"/>
        <v>102.76</v>
      </c>
      <c r="W701" s="131">
        <v>0</v>
      </c>
      <c r="X701" s="131">
        <f t="shared" si="582"/>
        <v>2.83</v>
      </c>
      <c r="Y701" s="131">
        <f t="shared" si="218"/>
        <v>0.1</v>
      </c>
      <c r="Z701" s="131">
        <f t="shared" si="10"/>
        <v>106.2</v>
      </c>
      <c r="AA701" s="132">
        <f>ROUND(R701-SUM(T701:Y701),2)</f>
        <v>102656.4</v>
      </c>
      <c r="AB701" s="133">
        <f t="shared" si="403"/>
        <v>102656</v>
      </c>
      <c r="AC701" s="134">
        <f t="shared" si="48"/>
        <v>-0.39999999999417923</v>
      </c>
      <c r="AD701" s="125"/>
      <c r="AE701" s="135">
        <f t="shared" si="13"/>
        <v>1.0330000000000001E-3</v>
      </c>
      <c r="AF701" s="136">
        <f t="shared" si="14"/>
        <v>0</v>
      </c>
      <c r="AG701" s="137" t="s">
        <v>416</v>
      </c>
      <c r="AH701" s="124"/>
    </row>
    <row r="702" spans="1:34" ht="12" customHeight="1">
      <c r="A702" s="160">
        <v>44803</v>
      </c>
      <c r="B702" s="140" t="s">
        <v>589</v>
      </c>
      <c r="C702" s="141" t="s">
        <v>460</v>
      </c>
      <c r="D702" s="140"/>
      <c r="E702" s="140" t="str">
        <f t="shared" si="0"/>
        <v>DCMSHRIRAM</v>
      </c>
      <c r="F702" s="140"/>
      <c r="G702" s="140"/>
      <c r="H702" s="140"/>
      <c r="I702" s="141" t="s">
        <v>467</v>
      </c>
      <c r="J702" s="139" t="s">
        <v>483</v>
      </c>
      <c r="K702" s="141"/>
      <c r="L702" s="141"/>
      <c r="M702" s="142">
        <v>8</v>
      </c>
      <c r="N702" s="143">
        <v>1026</v>
      </c>
      <c r="O702" s="144">
        <f t="shared" si="573"/>
        <v>0</v>
      </c>
      <c r="P702" s="144">
        <f>N702+O702</f>
        <v>1026</v>
      </c>
      <c r="Q702" s="144"/>
      <c r="R702" s="144">
        <f t="shared" si="3"/>
        <v>8208</v>
      </c>
      <c r="S702" s="145">
        <f t="shared" si="4"/>
        <v>1.2150000000000001</v>
      </c>
      <c r="T702" s="145">
        <f t="shared" si="75"/>
        <v>0</v>
      </c>
      <c r="U702" s="145">
        <f t="shared" si="574"/>
        <v>0.04</v>
      </c>
      <c r="V702" s="145">
        <f t="shared" si="546"/>
        <v>8.2100000000000009</v>
      </c>
      <c r="W702" s="145">
        <f>ROUND(R702*F$1823,2)</f>
        <v>1.23</v>
      </c>
      <c r="X702" s="145">
        <f t="shared" si="582"/>
        <v>0.23</v>
      </c>
      <c r="Y702" s="145">
        <f t="shared" si="218"/>
        <v>0.01</v>
      </c>
      <c r="Z702" s="146">
        <f t="shared" si="10"/>
        <v>9.7200000000000006</v>
      </c>
      <c r="AA702" s="147">
        <f>-ROUND(R702+SUM(T702:Y702),2)</f>
        <v>-8217.7199999999993</v>
      </c>
      <c r="AB702" s="148">
        <f t="shared" si="403"/>
        <v>-8218</v>
      </c>
      <c r="AC702" s="149">
        <f t="shared" si="48"/>
        <v>-0.28000000000065484</v>
      </c>
      <c r="AD702" s="138"/>
      <c r="AE702" s="150">
        <f t="shared" si="13"/>
        <v>1.1839999999999999E-3</v>
      </c>
      <c r="AF702" s="151">
        <f t="shared" si="14"/>
        <v>0</v>
      </c>
      <c r="AG702" s="152" t="s">
        <v>416</v>
      </c>
      <c r="AH702" s="124"/>
    </row>
    <row r="703" spans="1:34" ht="12" customHeight="1">
      <c r="A703" s="155">
        <v>44803</v>
      </c>
      <c r="B703" s="112" t="s">
        <v>630</v>
      </c>
      <c r="C703" s="127" t="s">
        <v>485</v>
      </c>
      <c r="D703" s="112"/>
      <c r="E703" s="112" t="str">
        <f t="shared" si="0"/>
        <v>GARFIBRES</v>
      </c>
      <c r="F703" s="112"/>
      <c r="G703" s="112"/>
      <c r="H703" s="112"/>
      <c r="I703" s="127" t="s">
        <v>461</v>
      </c>
      <c r="J703" s="126" t="s">
        <v>483</v>
      </c>
      <c r="K703" s="127"/>
      <c r="L703" s="127"/>
      <c r="M703" s="128">
        <v>2</v>
      </c>
      <c r="N703" s="129">
        <v>3345</v>
      </c>
      <c r="O703" s="130">
        <f t="shared" si="573"/>
        <v>0</v>
      </c>
      <c r="P703" s="130">
        <f>N703-O703</f>
        <v>3345</v>
      </c>
      <c r="Q703" s="130"/>
      <c r="R703" s="130">
        <f t="shared" si="3"/>
        <v>6690</v>
      </c>
      <c r="S703" s="131">
        <f t="shared" si="4"/>
        <v>3.4550000000000001</v>
      </c>
      <c r="T703" s="131">
        <f t="shared" si="75"/>
        <v>0</v>
      </c>
      <c r="U703" s="131">
        <f t="shared" si="574"/>
        <v>0.03</v>
      </c>
      <c r="V703" s="131">
        <f t="shared" si="546"/>
        <v>6.69</v>
      </c>
      <c r="W703" s="131">
        <v>0</v>
      </c>
      <c r="X703" s="131">
        <f t="shared" si="582"/>
        <v>0.18</v>
      </c>
      <c r="Y703" s="131">
        <f t="shared" si="218"/>
        <v>0.01</v>
      </c>
      <c r="Z703" s="131">
        <f t="shared" si="10"/>
        <v>6.91</v>
      </c>
      <c r="AA703" s="132">
        <f>ROUND(R703-SUM(T703:Y703),2)</f>
        <v>6683.09</v>
      </c>
      <c r="AB703" s="133">
        <f t="shared" si="403"/>
        <v>6683</v>
      </c>
      <c r="AC703" s="134">
        <f t="shared" si="48"/>
        <v>-9.0000000000145519E-2</v>
      </c>
      <c r="AD703" s="125"/>
      <c r="AE703" s="135">
        <f t="shared" si="13"/>
        <v>1.0330000000000001E-3</v>
      </c>
      <c r="AF703" s="136">
        <f t="shared" si="14"/>
        <v>0</v>
      </c>
      <c r="AG703" s="137" t="s">
        <v>416</v>
      </c>
      <c r="AH703" s="124"/>
    </row>
    <row r="704" spans="1:34" ht="12" customHeight="1">
      <c r="A704" s="160">
        <v>44803</v>
      </c>
      <c r="B704" s="140" t="s">
        <v>576</v>
      </c>
      <c r="C704" s="141" t="s">
        <v>485</v>
      </c>
      <c r="D704" s="140"/>
      <c r="E704" s="140" t="str">
        <f t="shared" si="0"/>
        <v>CDSL</v>
      </c>
      <c r="F704" s="140"/>
      <c r="G704" s="140"/>
      <c r="H704" s="140"/>
      <c r="I704" s="141" t="s">
        <v>467</v>
      </c>
      <c r="J704" s="139" t="s">
        <v>483</v>
      </c>
      <c r="K704" s="141"/>
      <c r="L704" s="141"/>
      <c r="M704" s="142">
        <v>6</v>
      </c>
      <c r="N704" s="143">
        <v>1256.6669999999999</v>
      </c>
      <c r="O704" s="144">
        <f t="shared" si="573"/>
        <v>0</v>
      </c>
      <c r="P704" s="144">
        <f t="shared" ref="P704:P712" si="586">N704+O704</f>
        <v>1256.6669999999999</v>
      </c>
      <c r="Q704" s="144"/>
      <c r="R704" s="144">
        <f t="shared" si="3"/>
        <v>7540</v>
      </c>
      <c r="S704" s="145">
        <f t="shared" si="4"/>
        <v>1.4883333333333335</v>
      </c>
      <c r="T704" s="145">
        <f t="shared" si="75"/>
        <v>0</v>
      </c>
      <c r="U704" s="145">
        <f t="shared" si="574"/>
        <v>0.04</v>
      </c>
      <c r="V704" s="145">
        <f t="shared" si="546"/>
        <v>7.54</v>
      </c>
      <c r="W704" s="145">
        <f t="shared" ref="W704:W712" si="587">ROUND(R704*F$1823,2)</f>
        <v>1.1299999999999999</v>
      </c>
      <c r="X704" s="145">
        <f t="shared" si="582"/>
        <v>0.21</v>
      </c>
      <c r="Y704" s="145">
        <f t="shared" si="218"/>
        <v>0.01</v>
      </c>
      <c r="Z704" s="146">
        <f t="shared" si="10"/>
        <v>8.9300000000000015</v>
      </c>
      <c r="AA704" s="147">
        <f t="shared" ref="AA704:AA712" si="588">-ROUND(R704+SUM(T704:Y704),2)</f>
        <v>-7548.93</v>
      </c>
      <c r="AB704" s="148">
        <f t="shared" si="403"/>
        <v>-7549</v>
      </c>
      <c r="AC704" s="149">
        <f t="shared" si="48"/>
        <v>-6.9999999999708962E-2</v>
      </c>
      <c r="AD704" s="138"/>
      <c r="AE704" s="150">
        <f t="shared" si="13"/>
        <v>1.1839999999999999E-3</v>
      </c>
      <c r="AF704" s="151">
        <f t="shared" si="14"/>
        <v>0</v>
      </c>
      <c r="AG704" s="152" t="s">
        <v>416</v>
      </c>
      <c r="AH704" s="124"/>
    </row>
    <row r="705" spans="1:34" ht="12" customHeight="1">
      <c r="A705" s="160">
        <v>44803</v>
      </c>
      <c r="B705" s="140" t="s">
        <v>634</v>
      </c>
      <c r="C705" s="141" t="s">
        <v>485</v>
      </c>
      <c r="D705" s="140"/>
      <c r="E705" s="140" t="str">
        <f t="shared" si="0"/>
        <v>TATAELXSI</v>
      </c>
      <c r="F705" s="140"/>
      <c r="G705" s="140"/>
      <c r="H705" s="140"/>
      <c r="I705" s="141" t="s">
        <v>467</v>
      </c>
      <c r="J705" s="139" t="s">
        <v>483</v>
      </c>
      <c r="K705" s="141"/>
      <c r="L705" s="141"/>
      <c r="M705" s="142">
        <v>1</v>
      </c>
      <c r="N705" s="143">
        <v>8990</v>
      </c>
      <c r="O705" s="144">
        <f t="shared" si="573"/>
        <v>0</v>
      </c>
      <c r="P705" s="144">
        <f t="shared" si="586"/>
        <v>8990</v>
      </c>
      <c r="Q705" s="144"/>
      <c r="R705" s="144">
        <f t="shared" si="3"/>
        <v>8990</v>
      </c>
      <c r="S705" s="145">
        <f t="shared" si="4"/>
        <v>10.65</v>
      </c>
      <c r="T705" s="145">
        <f t="shared" si="75"/>
        <v>0</v>
      </c>
      <c r="U705" s="145">
        <f t="shared" si="574"/>
        <v>0.05</v>
      </c>
      <c r="V705" s="145">
        <f t="shared" si="546"/>
        <v>8.99</v>
      </c>
      <c r="W705" s="145">
        <f t="shared" si="587"/>
        <v>1.35</v>
      </c>
      <c r="X705" s="145">
        <f t="shared" si="582"/>
        <v>0.25</v>
      </c>
      <c r="Y705" s="145">
        <f t="shared" si="218"/>
        <v>0.01</v>
      </c>
      <c r="Z705" s="146">
        <f t="shared" si="10"/>
        <v>10.65</v>
      </c>
      <c r="AA705" s="147">
        <f t="shared" si="588"/>
        <v>-9000.65</v>
      </c>
      <c r="AB705" s="148">
        <f t="shared" si="403"/>
        <v>-9001</v>
      </c>
      <c r="AC705" s="149">
        <f t="shared" si="48"/>
        <v>-0.3500000000003638</v>
      </c>
      <c r="AD705" s="138"/>
      <c r="AE705" s="150">
        <f t="shared" si="13"/>
        <v>1.1850000000000001E-3</v>
      </c>
      <c r="AF705" s="151">
        <f t="shared" si="14"/>
        <v>0</v>
      </c>
      <c r="AG705" s="152" t="s">
        <v>416</v>
      </c>
      <c r="AH705" s="124"/>
    </row>
    <row r="706" spans="1:34" ht="12" customHeight="1">
      <c r="A706" s="160">
        <v>44805</v>
      </c>
      <c r="B706" s="140" t="s">
        <v>635</v>
      </c>
      <c r="C706" s="141" t="s">
        <v>485</v>
      </c>
      <c r="D706" s="140"/>
      <c r="E706" s="140" t="str">
        <f t="shared" si="0"/>
        <v>ADANIPOWER</v>
      </c>
      <c r="F706" s="140"/>
      <c r="G706" s="140"/>
      <c r="H706" s="140"/>
      <c r="I706" s="141" t="s">
        <v>467</v>
      </c>
      <c r="J706" s="139" t="s">
        <v>483</v>
      </c>
      <c r="K706" s="141"/>
      <c r="L706" s="141"/>
      <c r="M706" s="142">
        <v>20</v>
      </c>
      <c r="N706" s="143">
        <v>409</v>
      </c>
      <c r="O706" s="144">
        <f t="shared" si="573"/>
        <v>0</v>
      </c>
      <c r="P706" s="144">
        <f t="shared" si="586"/>
        <v>409</v>
      </c>
      <c r="Q706" s="144"/>
      <c r="R706" s="144">
        <f t="shared" si="3"/>
        <v>8180</v>
      </c>
      <c r="S706" s="145">
        <f t="shared" si="4"/>
        <v>0.48399999999999999</v>
      </c>
      <c r="T706" s="145">
        <f t="shared" si="75"/>
        <v>0</v>
      </c>
      <c r="U706" s="145">
        <f t="shared" si="574"/>
        <v>0.04</v>
      </c>
      <c r="V706" s="145">
        <f t="shared" si="546"/>
        <v>8.18</v>
      </c>
      <c r="W706" s="145">
        <f t="shared" si="587"/>
        <v>1.23</v>
      </c>
      <c r="X706" s="145">
        <f t="shared" si="582"/>
        <v>0.22</v>
      </c>
      <c r="Y706" s="145">
        <f t="shared" si="218"/>
        <v>0.01</v>
      </c>
      <c r="Z706" s="146">
        <f t="shared" si="10"/>
        <v>9.68</v>
      </c>
      <c r="AA706" s="147">
        <f t="shared" si="588"/>
        <v>-8189.68</v>
      </c>
      <c r="AB706" s="148">
        <f t="shared" si="403"/>
        <v>-8190</v>
      </c>
      <c r="AC706" s="149">
        <f t="shared" si="48"/>
        <v>-0.31999999999970896</v>
      </c>
      <c r="AD706" s="138"/>
      <c r="AE706" s="150">
        <f t="shared" si="13"/>
        <v>1.183E-3</v>
      </c>
      <c r="AF706" s="151">
        <f t="shared" si="14"/>
        <v>0</v>
      </c>
      <c r="AG706" s="152" t="s">
        <v>416</v>
      </c>
      <c r="AH706" s="124"/>
    </row>
    <row r="707" spans="1:34" ht="12" customHeight="1">
      <c r="A707" s="160">
        <v>44805</v>
      </c>
      <c r="B707" s="140" t="s">
        <v>576</v>
      </c>
      <c r="C707" s="141" t="s">
        <v>485</v>
      </c>
      <c r="D707" s="140"/>
      <c r="E707" s="140" t="str">
        <f t="shared" si="0"/>
        <v>CDSL</v>
      </c>
      <c r="F707" s="140"/>
      <c r="G707" s="140"/>
      <c r="H707" s="140"/>
      <c r="I707" s="141" t="s">
        <v>467</v>
      </c>
      <c r="J707" s="139" t="s">
        <v>483</v>
      </c>
      <c r="K707" s="141"/>
      <c r="L707" s="141"/>
      <c r="M707" s="142">
        <v>5</v>
      </c>
      <c r="N707" s="143">
        <v>1243</v>
      </c>
      <c r="O707" s="144">
        <f t="shared" si="573"/>
        <v>0</v>
      </c>
      <c r="P707" s="144">
        <f t="shared" si="586"/>
        <v>1243</v>
      </c>
      <c r="Q707" s="144"/>
      <c r="R707" s="144">
        <f t="shared" si="3"/>
        <v>6215</v>
      </c>
      <c r="S707" s="145">
        <f t="shared" si="4"/>
        <v>1.472</v>
      </c>
      <c r="T707" s="145">
        <f t="shared" si="75"/>
        <v>0</v>
      </c>
      <c r="U707" s="145">
        <f t="shared" si="574"/>
        <v>0.03</v>
      </c>
      <c r="V707" s="145">
        <f t="shared" si="546"/>
        <v>6.22</v>
      </c>
      <c r="W707" s="145">
        <f t="shared" si="587"/>
        <v>0.93</v>
      </c>
      <c r="X707" s="145">
        <f t="shared" si="582"/>
        <v>0.17</v>
      </c>
      <c r="Y707" s="145">
        <f t="shared" si="218"/>
        <v>0.01</v>
      </c>
      <c r="Z707" s="146">
        <f t="shared" si="10"/>
        <v>7.3599999999999994</v>
      </c>
      <c r="AA707" s="147">
        <f t="shared" si="588"/>
        <v>-6222.36</v>
      </c>
      <c r="AB707" s="148">
        <f t="shared" si="403"/>
        <v>-6222</v>
      </c>
      <c r="AC707" s="149">
        <f t="shared" si="48"/>
        <v>0.35999999999967258</v>
      </c>
      <c r="AD707" s="138"/>
      <c r="AE707" s="150">
        <f t="shared" si="13"/>
        <v>1.1839999999999999E-3</v>
      </c>
      <c r="AF707" s="151">
        <f t="shared" si="14"/>
        <v>0</v>
      </c>
      <c r="AG707" s="152" t="s">
        <v>416</v>
      </c>
      <c r="AH707" s="124"/>
    </row>
    <row r="708" spans="1:34" ht="12" customHeight="1">
      <c r="A708" s="160">
        <v>44805</v>
      </c>
      <c r="B708" s="140" t="s">
        <v>504</v>
      </c>
      <c r="C708" s="141" t="s">
        <v>485</v>
      </c>
      <c r="D708" s="140"/>
      <c r="E708" s="140" t="str">
        <f t="shared" si="0"/>
        <v>HINDUNILVR</v>
      </c>
      <c r="F708" s="140"/>
      <c r="G708" s="140"/>
      <c r="H708" s="140"/>
      <c r="I708" s="141" t="s">
        <v>467</v>
      </c>
      <c r="J708" s="139" t="s">
        <v>483</v>
      </c>
      <c r="K708" s="141"/>
      <c r="L708" s="141"/>
      <c r="M708" s="142">
        <v>4</v>
      </c>
      <c r="N708" s="143">
        <v>2625</v>
      </c>
      <c r="O708" s="144">
        <f t="shared" si="573"/>
        <v>0</v>
      </c>
      <c r="P708" s="144">
        <f t="shared" si="586"/>
        <v>2625</v>
      </c>
      <c r="Q708" s="144"/>
      <c r="R708" s="144">
        <f t="shared" si="3"/>
        <v>10500</v>
      </c>
      <c r="S708" s="145">
        <f t="shared" si="4"/>
        <v>3.1074999999999999</v>
      </c>
      <c r="T708" s="145">
        <f t="shared" si="75"/>
        <v>0</v>
      </c>
      <c r="U708" s="145">
        <f t="shared" si="574"/>
        <v>0.05</v>
      </c>
      <c r="V708" s="145">
        <f t="shared" si="546"/>
        <v>10.5</v>
      </c>
      <c r="W708" s="145">
        <f t="shared" si="587"/>
        <v>1.58</v>
      </c>
      <c r="X708" s="145">
        <f t="shared" si="582"/>
        <v>0.28999999999999998</v>
      </c>
      <c r="Y708" s="145">
        <f t="shared" si="218"/>
        <v>0.01</v>
      </c>
      <c r="Z708" s="146">
        <f t="shared" si="10"/>
        <v>12.43</v>
      </c>
      <c r="AA708" s="147">
        <f t="shared" si="588"/>
        <v>-10512.43</v>
      </c>
      <c r="AB708" s="148">
        <f t="shared" si="403"/>
        <v>-10512</v>
      </c>
      <c r="AC708" s="149">
        <f t="shared" si="48"/>
        <v>0.43000000000029104</v>
      </c>
      <c r="AD708" s="138"/>
      <c r="AE708" s="150">
        <f t="shared" si="13"/>
        <v>1.1839999999999999E-3</v>
      </c>
      <c r="AF708" s="151">
        <f t="shared" si="14"/>
        <v>0</v>
      </c>
      <c r="AG708" s="152" t="s">
        <v>416</v>
      </c>
      <c r="AH708" s="124"/>
    </row>
    <row r="709" spans="1:34" ht="12" customHeight="1">
      <c r="A709" s="160">
        <v>44805</v>
      </c>
      <c r="B709" s="140" t="s">
        <v>632</v>
      </c>
      <c r="C709" s="141" t="s">
        <v>485</v>
      </c>
      <c r="D709" s="140"/>
      <c r="E709" s="140" t="str">
        <f t="shared" si="0"/>
        <v>LT</v>
      </c>
      <c r="F709" s="140"/>
      <c r="G709" s="140"/>
      <c r="H709" s="140"/>
      <c r="I709" s="141" t="s">
        <v>467</v>
      </c>
      <c r="J709" s="139" t="s">
        <v>483</v>
      </c>
      <c r="K709" s="141"/>
      <c r="L709" s="141"/>
      <c r="M709" s="142">
        <v>5</v>
      </c>
      <c r="N709" s="143">
        <v>1900</v>
      </c>
      <c r="O709" s="144">
        <f t="shared" si="573"/>
        <v>0</v>
      </c>
      <c r="P709" s="144">
        <f t="shared" si="586"/>
        <v>1900</v>
      </c>
      <c r="Q709" s="144"/>
      <c r="R709" s="144">
        <f t="shared" si="3"/>
        <v>9500</v>
      </c>
      <c r="S709" s="145">
        <f t="shared" si="4"/>
        <v>2.25</v>
      </c>
      <c r="T709" s="145">
        <f t="shared" si="75"/>
        <v>0</v>
      </c>
      <c r="U709" s="145">
        <f t="shared" si="574"/>
        <v>0.05</v>
      </c>
      <c r="V709" s="145">
        <f t="shared" si="546"/>
        <v>9.5</v>
      </c>
      <c r="W709" s="145">
        <f t="shared" si="587"/>
        <v>1.43</v>
      </c>
      <c r="X709" s="145">
        <f t="shared" si="582"/>
        <v>0.26</v>
      </c>
      <c r="Y709" s="145">
        <f t="shared" si="218"/>
        <v>0.01</v>
      </c>
      <c r="Z709" s="146">
        <f t="shared" si="10"/>
        <v>11.25</v>
      </c>
      <c r="AA709" s="147">
        <f t="shared" si="588"/>
        <v>-9511.25</v>
      </c>
      <c r="AB709" s="148">
        <f t="shared" si="403"/>
        <v>-9511</v>
      </c>
      <c r="AC709" s="149">
        <f t="shared" si="48"/>
        <v>0.25</v>
      </c>
      <c r="AD709" s="138"/>
      <c r="AE709" s="150">
        <f t="shared" si="13"/>
        <v>1.1839999999999999E-3</v>
      </c>
      <c r="AF709" s="151">
        <f t="shared" si="14"/>
        <v>0</v>
      </c>
      <c r="AG709" s="152" t="s">
        <v>416</v>
      </c>
      <c r="AH709" s="124"/>
    </row>
    <row r="710" spans="1:34" ht="12" customHeight="1">
      <c r="A710" s="160">
        <v>44805</v>
      </c>
      <c r="B710" s="140" t="s">
        <v>636</v>
      </c>
      <c r="C710" s="141" t="s">
        <v>485</v>
      </c>
      <c r="D710" s="140"/>
      <c r="E710" s="140" t="str">
        <f t="shared" si="0"/>
        <v>SHAKTIPUMP</v>
      </c>
      <c r="F710" s="140"/>
      <c r="G710" s="140"/>
      <c r="H710" s="140"/>
      <c r="I710" s="141" t="s">
        <v>467</v>
      </c>
      <c r="J710" s="139" t="s">
        <v>483</v>
      </c>
      <c r="K710" s="141"/>
      <c r="L710" s="141"/>
      <c r="M710" s="142">
        <v>10</v>
      </c>
      <c r="N710" s="143">
        <v>515</v>
      </c>
      <c r="O710" s="144">
        <f t="shared" si="573"/>
        <v>0</v>
      </c>
      <c r="P710" s="144">
        <f t="shared" si="586"/>
        <v>515</v>
      </c>
      <c r="Q710" s="144"/>
      <c r="R710" s="144">
        <f t="shared" si="3"/>
        <v>5150</v>
      </c>
      <c r="S710" s="145">
        <f t="shared" si="4"/>
        <v>0.6100000000000001</v>
      </c>
      <c r="T710" s="145">
        <f t="shared" si="75"/>
        <v>0</v>
      </c>
      <c r="U710" s="145">
        <f t="shared" si="574"/>
        <v>0.03</v>
      </c>
      <c r="V710" s="145">
        <f t="shared" si="546"/>
        <v>5.15</v>
      </c>
      <c r="W710" s="145">
        <f t="shared" si="587"/>
        <v>0.77</v>
      </c>
      <c r="X710" s="145">
        <f t="shared" si="582"/>
        <v>0.14000000000000001</v>
      </c>
      <c r="Y710" s="145">
        <f t="shared" si="218"/>
        <v>0.01</v>
      </c>
      <c r="Z710" s="146">
        <f t="shared" si="10"/>
        <v>6.1000000000000005</v>
      </c>
      <c r="AA710" s="147">
        <f t="shared" si="588"/>
        <v>-5156.1000000000004</v>
      </c>
      <c r="AB710" s="148">
        <f t="shared" si="403"/>
        <v>-5156</v>
      </c>
      <c r="AC710" s="149">
        <f t="shared" si="48"/>
        <v>0.1000000000003638</v>
      </c>
      <c r="AD710" s="138"/>
      <c r="AE710" s="150">
        <f t="shared" si="13"/>
        <v>1.1839999999999999E-3</v>
      </c>
      <c r="AF710" s="151">
        <f t="shared" si="14"/>
        <v>0</v>
      </c>
      <c r="AG710" s="152" t="s">
        <v>416</v>
      </c>
      <c r="AH710" s="124"/>
    </row>
    <row r="711" spans="1:34" ht="12" customHeight="1">
      <c r="A711" s="160">
        <v>44805</v>
      </c>
      <c r="B711" s="140" t="s">
        <v>634</v>
      </c>
      <c r="C711" s="141" t="s">
        <v>485</v>
      </c>
      <c r="D711" s="140"/>
      <c r="E711" s="140" t="str">
        <f t="shared" si="0"/>
        <v>TATAELXSI</v>
      </c>
      <c r="F711" s="140"/>
      <c r="G711" s="140"/>
      <c r="H711" s="140"/>
      <c r="I711" s="141" t="s">
        <v>467</v>
      </c>
      <c r="J711" s="139" t="s">
        <v>483</v>
      </c>
      <c r="K711" s="141"/>
      <c r="L711" s="141"/>
      <c r="M711" s="142">
        <v>2</v>
      </c>
      <c r="N711" s="143">
        <v>8900</v>
      </c>
      <c r="O711" s="144">
        <f t="shared" si="573"/>
        <v>0</v>
      </c>
      <c r="P711" s="144">
        <f t="shared" si="586"/>
        <v>8900</v>
      </c>
      <c r="Q711" s="144"/>
      <c r="R711" s="144">
        <f t="shared" si="3"/>
        <v>17800</v>
      </c>
      <c r="S711" s="145">
        <f t="shared" si="4"/>
        <v>10.535</v>
      </c>
      <c r="T711" s="145">
        <f t="shared" si="75"/>
        <v>0</v>
      </c>
      <c r="U711" s="145">
        <f t="shared" si="574"/>
        <v>0.09</v>
      </c>
      <c r="V711" s="145">
        <f t="shared" si="546"/>
        <v>17.8</v>
      </c>
      <c r="W711" s="145">
        <f t="shared" si="587"/>
        <v>2.67</v>
      </c>
      <c r="X711" s="145">
        <f t="shared" si="582"/>
        <v>0.49</v>
      </c>
      <c r="Y711" s="145">
        <f t="shared" si="218"/>
        <v>0.02</v>
      </c>
      <c r="Z711" s="146">
        <f t="shared" si="10"/>
        <v>21.07</v>
      </c>
      <c r="AA711" s="147">
        <f t="shared" si="588"/>
        <v>-17821.07</v>
      </c>
      <c r="AB711" s="148">
        <f t="shared" si="403"/>
        <v>-17821</v>
      </c>
      <c r="AC711" s="149">
        <f t="shared" si="48"/>
        <v>6.9999999999708962E-2</v>
      </c>
      <c r="AD711" s="138"/>
      <c r="AE711" s="150">
        <f t="shared" si="13"/>
        <v>1.1839999999999999E-3</v>
      </c>
      <c r="AF711" s="151">
        <f t="shared" si="14"/>
        <v>0</v>
      </c>
      <c r="AG711" s="152" t="s">
        <v>416</v>
      </c>
      <c r="AH711" s="124"/>
    </row>
    <row r="712" spans="1:34" ht="12" customHeight="1">
      <c r="A712" s="160">
        <v>44806</v>
      </c>
      <c r="B712" s="140" t="s">
        <v>637</v>
      </c>
      <c r="C712" s="141" t="s">
        <v>485</v>
      </c>
      <c r="D712" s="140"/>
      <c r="E712" s="140" t="str">
        <f t="shared" si="0"/>
        <v>BANKBARODA</v>
      </c>
      <c r="F712" s="140"/>
      <c r="G712" s="140"/>
      <c r="H712" s="140"/>
      <c r="I712" s="141" t="s">
        <v>467</v>
      </c>
      <c r="J712" s="139" t="s">
        <v>483</v>
      </c>
      <c r="K712" s="141"/>
      <c r="L712" s="141"/>
      <c r="M712" s="142">
        <v>25</v>
      </c>
      <c r="N712" s="143">
        <v>132</v>
      </c>
      <c r="O712" s="144">
        <f t="shared" si="573"/>
        <v>0</v>
      </c>
      <c r="P712" s="144">
        <f t="shared" si="586"/>
        <v>132</v>
      </c>
      <c r="Q712" s="144"/>
      <c r="R712" s="144">
        <f t="shared" si="3"/>
        <v>3300</v>
      </c>
      <c r="S712" s="145">
        <f t="shared" si="4"/>
        <v>0.15639999999999998</v>
      </c>
      <c r="T712" s="145">
        <f t="shared" si="75"/>
        <v>0</v>
      </c>
      <c r="U712" s="145">
        <f t="shared" si="574"/>
        <v>0.02</v>
      </c>
      <c r="V712" s="145">
        <f t="shared" si="546"/>
        <v>3.3</v>
      </c>
      <c r="W712" s="145">
        <f t="shared" si="587"/>
        <v>0.5</v>
      </c>
      <c r="X712" s="145">
        <f t="shared" si="582"/>
        <v>0.09</v>
      </c>
      <c r="Y712" s="145">
        <f t="shared" si="218"/>
        <v>0</v>
      </c>
      <c r="Z712" s="146">
        <f t="shared" si="10"/>
        <v>3.9099999999999997</v>
      </c>
      <c r="AA712" s="147">
        <f t="shared" si="588"/>
        <v>-3303.91</v>
      </c>
      <c r="AB712" s="148">
        <f t="shared" si="403"/>
        <v>-3304</v>
      </c>
      <c r="AC712" s="149">
        <f t="shared" si="48"/>
        <v>-9.0000000000145519E-2</v>
      </c>
      <c r="AD712" s="138"/>
      <c r="AE712" s="150">
        <f t="shared" si="13"/>
        <v>1.1850000000000001E-3</v>
      </c>
      <c r="AF712" s="151">
        <f t="shared" si="14"/>
        <v>0</v>
      </c>
      <c r="AG712" s="152" t="s">
        <v>416</v>
      </c>
      <c r="AH712" s="124"/>
    </row>
    <row r="713" spans="1:34" ht="12" customHeight="1">
      <c r="A713" s="155">
        <v>44809</v>
      </c>
      <c r="B713" s="112" t="s">
        <v>589</v>
      </c>
      <c r="C713" s="127" t="s">
        <v>460</v>
      </c>
      <c r="D713" s="112"/>
      <c r="E713" s="112" t="str">
        <f t="shared" si="0"/>
        <v>DCMSHRIRAM</v>
      </c>
      <c r="F713" s="112"/>
      <c r="G713" s="112"/>
      <c r="H713" s="112"/>
      <c r="I713" s="127" t="s">
        <v>461</v>
      </c>
      <c r="J713" s="126" t="s">
        <v>483</v>
      </c>
      <c r="K713" s="127"/>
      <c r="L713" s="127"/>
      <c r="M713" s="128">
        <v>163</v>
      </c>
      <c r="N713" s="129">
        <v>1046.4110000000001</v>
      </c>
      <c r="O713" s="130">
        <f t="shared" si="573"/>
        <v>0</v>
      </c>
      <c r="P713" s="130">
        <f t="shared" ref="P713:P715" si="589">N713-O713</f>
        <v>1046.4110000000001</v>
      </c>
      <c r="Q713" s="130"/>
      <c r="R713" s="130">
        <f t="shared" si="3"/>
        <v>170564.99</v>
      </c>
      <c r="S713" s="131">
        <f t="shared" si="4"/>
        <v>1.0813496932515336</v>
      </c>
      <c r="T713" s="131">
        <f t="shared" si="75"/>
        <v>0</v>
      </c>
      <c r="U713" s="131">
        <f t="shared" si="574"/>
        <v>0.84</v>
      </c>
      <c r="V713" s="131">
        <f t="shared" si="546"/>
        <v>170.56</v>
      </c>
      <c r="W713" s="131">
        <v>0</v>
      </c>
      <c r="X713" s="131">
        <f t="shared" si="582"/>
        <v>4.6900000000000004</v>
      </c>
      <c r="Y713" s="131">
        <f t="shared" si="218"/>
        <v>0.17</v>
      </c>
      <c r="Z713" s="131">
        <f t="shared" si="10"/>
        <v>176.26</v>
      </c>
      <c r="AA713" s="132">
        <f t="shared" ref="AA713:AA715" si="590">ROUND(R713-SUM(T713:Y713),2)</f>
        <v>170388.73</v>
      </c>
      <c r="AB713" s="133">
        <f t="shared" si="403"/>
        <v>170389</v>
      </c>
      <c r="AC713" s="134">
        <f t="shared" si="48"/>
        <v>0.26999999998952262</v>
      </c>
      <c r="AD713" s="125"/>
      <c r="AE713" s="135">
        <f t="shared" si="13"/>
        <v>1.0330000000000001E-3</v>
      </c>
      <c r="AF713" s="136">
        <f t="shared" si="14"/>
        <v>0</v>
      </c>
      <c r="AG713" s="137" t="s">
        <v>416</v>
      </c>
      <c r="AH713" s="124"/>
    </row>
    <row r="714" spans="1:34" ht="12" customHeight="1">
      <c r="A714" s="155">
        <v>44809</v>
      </c>
      <c r="B714" s="112" t="s">
        <v>633</v>
      </c>
      <c r="C714" s="127" t="s">
        <v>485</v>
      </c>
      <c r="D714" s="112"/>
      <c r="E714" s="112" t="str">
        <f t="shared" si="0"/>
        <v>SUZLON</v>
      </c>
      <c r="F714" s="112"/>
      <c r="G714" s="112"/>
      <c r="H714" s="112"/>
      <c r="I714" s="127" t="s">
        <v>461</v>
      </c>
      <c r="J714" s="126" t="s">
        <v>483</v>
      </c>
      <c r="K714" s="127"/>
      <c r="L714" s="127"/>
      <c r="M714" s="128">
        <v>1000</v>
      </c>
      <c r="N714" s="129">
        <v>9.6</v>
      </c>
      <c r="O714" s="130">
        <f t="shared" si="573"/>
        <v>0</v>
      </c>
      <c r="P714" s="130">
        <f t="shared" si="589"/>
        <v>9.6</v>
      </c>
      <c r="Q714" s="130"/>
      <c r="R714" s="130">
        <f t="shared" si="3"/>
        <v>9600</v>
      </c>
      <c r="S714" s="131">
        <f t="shared" si="4"/>
        <v>9.92E-3</v>
      </c>
      <c r="T714" s="131">
        <f t="shared" si="75"/>
        <v>0</v>
      </c>
      <c r="U714" s="131">
        <f t="shared" si="574"/>
        <v>0.05</v>
      </c>
      <c r="V714" s="131">
        <f t="shared" si="546"/>
        <v>9.6</v>
      </c>
      <c r="W714" s="131">
        <v>0</v>
      </c>
      <c r="X714" s="131">
        <f t="shared" si="582"/>
        <v>0.26</v>
      </c>
      <c r="Y714" s="131">
        <f t="shared" si="218"/>
        <v>0.01</v>
      </c>
      <c r="Z714" s="131">
        <f t="shared" si="10"/>
        <v>9.92</v>
      </c>
      <c r="AA714" s="132">
        <f t="shared" si="590"/>
        <v>9590.08</v>
      </c>
      <c r="AB714" s="133">
        <f t="shared" si="403"/>
        <v>9590</v>
      </c>
      <c r="AC714" s="134">
        <f t="shared" si="48"/>
        <v>-7.999999999992724E-2</v>
      </c>
      <c r="AD714" s="125"/>
      <c r="AE714" s="135">
        <f t="shared" si="13"/>
        <v>1.0330000000000001E-3</v>
      </c>
      <c r="AF714" s="136">
        <f t="shared" si="14"/>
        <v>0</v>
      </c>
      <c r="AG714" s="137" t="s">
        <v>416</v>
      </c>
      <c r="AH714" s="124"/>
    </row>
    <row r="715" spans="1:34" ht="12" customHeight="1">
      <c r="A715" s="155">
        <v>44810</v>
      </c>
      <c r="B715" s="112" t="s">
        <v>479</v>
      </c>
      <c r="C715" s="127" t="s">
        <v>485</v>
      </c>
      <c r="D715" s="112"/>
      <c r="E715" s="112" t="str">
        <f t="shared" si="0"/>
        <v>TATAPOWER</v>
      </c>
      <c r="F715" s="112"/>
      <c r="G715" s="112"/>
      <c r="H715" s="112"/>
      <c r="I715" s="127" t="s">
        <v>461</v>
      </c>
      <c r="J715" s="126" t="s">
        <v>483</v>
      </c>
      <c r="K715" s="127"/>
      <c r="L715" s="127"/>
      <c r="M715" s="128">
        <v>30</v>
      </c>
      <c r="N715" s="129">
        <v>245.5</v>
      </c>
      <c r="O715" s="130">
        <f t="shared" si="573"/>
        <v>0</v>
      </c>
      <c r="P715" s="130">
        <f t="shared" si="589"/>
        <v>245.5</v>
      </c>
      <c r="Q715" s="130"/>
      <c r="R715" s="130">
        <f t="shared" si="3"/>
        <v>7365</v>
      </c>
      <c r="S715" s="131">
        <f t="shared" si="4"/>
        <v>0.254</v>
      </c>
      <c r="T715" s="131">
        <f t="shared" si="75"/>
        <v>0</v>
      </c>
      <c r="U715" s="131">
        <f t="shared" si="574"/>
        <v>0.04</v>
      </c>
      <c r="V715" s="131">
        <f t="shared" si="546"/>
        <v>7.37</v>
      </c>
      <c r="W715" s="131">
        <v>0</v>
      </c>
      <c r="X715" s="131">
        <f t="shared" si="582"/>
        <v>0.2</v>
      </c>
      <c r="Y715" s="131">
        <f t="shared" si="218"/>
        <v>0.01</v>
      </c>
      <c r="Z715" s="131">
        <f t="shared" si="10"/>
        <v>7.62</v>
      </c>
      <c r="AA715" s="132">
        <f t="shared" si="590"/>
        <v>7357.38</v>
      </c>
      <c r="AB715" s="133">
        <f t="shared" si="403"/>
        <v>7357</v>
      </c>
      <c r="AC715" s="134">
        <f t="shared" si="48"/>
        <v>-0.38000000000010914</v>
      </c>
      <c r="AD715" s="125"/>
      <c r="AE715" s="135">
        <f t="shared" si="13"/>
        <v>1.0349999999999999E-3</v>
      </c>
      <c r="AF715" s="136">
        <f t="shared" si="14"/>
        <v>0</v>
      </c>
      <c r="AG715" s="137" t="s">
        <v>416</v>
      </c>
      <c r="AH715" s="124"/>
    </row>
    <row r="716" spans="1:34" ht="12" customHeight="1">
      <c r="A716" s="160">
        <v>44810</v>
      </c>
      <c r="B716" s="140" t="s">
        <v>472</v>
      </c>
      <c r="C716" s="141" t="s">
        <v>485</v>
      </c>
      <c r="D716" s="140"/>
      <c r="E716" s="140" t="str">
        <f t="shared" si="0"/>
        <v>INFY</v>
      </c>
      <c r="F716" s="140"/>
      <c r="G716" s="140"/>
      <c r="H716" s="140"/>
      <c r="I716" s="141" t="s">
        <v>467</v>
      </c>
      <c r="J716" s="139" t="s">
        <v>483</v>
      </c>
      <c r="K716" s="141"/>
      <c r="L716" s="141"/>
      <c r="M716" s="142">
        <v>2</v>
      </c>
      <c r="N716" s="143">
        <v>1455</v>
      </c>
      <c r="O716" s="144">
        <f t="shared" si="573"/>
        <v>0</v>
      </c>
      <c r="P716" s="144">
        <f t="shared" ref="P716:P717" si="591">N716+O716</f>
        <v>1455</v>
      </c>
      <c r="Q716" s="144"/>
      <c r="R716" s="144">
        <f t="shared" si="3"/>
        <v>2910</v>
      </c>
      <c r="S716" s="145">
        <f t="shared" si="4"/>
        <v>1.72</v>
      </c>
      <c r="T716" s="145">
        <f t="shared" si="75"/>
        <v>0</v>
      </c>
      <c r="U716" s="145">
        <f t="shared" si="574"/>
        <v>0.01</v>
      </c>
      <c r="V716" s="145">
        <f t="shared" si="546"/>
        <v>2.91</v>
      </c>
      <c r="W716" s="145">
        <f t="shared" ref="W716:W717" si="592">ROUND(R716*F$1823,2)</f>
        <v>0.44</v>
      </c>
      <c r="X716" s="145">
        <f t="shared" si="582"/>
        <v>0.08</v>
      </c>
      <c r="Y716" s="145">
        <f t="shared" si="218"/>
        <v>0</v>
      </c>
      <c r="Z716" s="146">
        <f t="shared" si="10"/>
        <v>3.44</v>
      </c>
      <c r="AA716" s="147">
        <f t="shared" ref="AA716:AA717" si="593">-ROUND(R716+SUM(T716:Y716),2)</f>
        <v>-2913.44</v>
      </c>
      <c r="AB716" s="148">
        <f t="shared" si="403"/>
        <v>-2913</v>
      </c>
      <c r="AC716" s="149">
        <f t="shared" si="48"/>
        <v>0.44000000000005457</v>
      </c>
      <c r="AD716" s="138"/>
      <c r="AE716" s="150">
        <f t="shared" si="13"/>
        <v>1.1820000000000001E-3</v>
      </c>
      <c r="AF716" s="151">
        <f t="shared" si="14"/>
        <v>0</v>
      </c>
      <c r="AG716" s="152" t="s">
        <v>416</v>
      </c>
      <c r="AH716" s="124"/>
    </row>
    <row r="717" spans="1:34" ht="12" customHeight="1">
      <c r="A717" s="160">
        <v>44810</v>
      </c>
      <c r="B717" s="140" t="s">
        <v>504</v>
      </c>
      <c r="C717" s="141" t="s">
        <v>485</v>
      </c>
      <c r="D717" s="140"/>
      <c r="E717" s="140" t="str">
        <f t="shared" si="0"/>
        <v>HINDUNILVR</v>
      </c>
      <c r="F717" s="140"/>
      <c r="G717" s="140"/>
      <c r="H717" s="140"/>
      <c r="I717" s="141" t="s">
        <v>467</v>
      </c>
      <c r="J717" s="139" t="s">
        <v>483</v>
      </c>
      <c r="K717" s="141"/>
      <c r="L717" s="141"/>
      <c r="M717" s="142">
        <v>2</v>
      </c>
      <c r="N717" s="143">
        <v>2564.4</v>
      </c>
      <c r="O717" s="144">
        <f t="shared" si="573"/>
        <v>0</v>
      </c>
      <c r="P717" s="144">
        <f t="shared" si="591"/>
        <v>2564.4</v>
      </c>
      <c r="Q717" s="144"/>
      <c r="R717" s="144">
        <f t="shared" si="3"/>
        <v>5128.8</v>
      </c>
      <c r="S717" s="145">
        <f t="shared" si="4"/>
        <v>3.0399999999999996</v>
      </c>
      <c r="T717" s="145">
        <f t="shared" si="75"/>
        <v>0</v>
      </c>
      <c r="U717" s="145">
        <f t="shared" si="574"/>
        <v>0.03</v>
      </c>
      <c r="V717" s="145">
        <f t="shared" si="546"/>
        <v>5.13</v>
      </c>
      <c r="W717" s="145">
        <f t="shared" si="592"/>
        <v>0.77</v>
      </c>
      <c r="X717" s="145">
        <f t="shared" si="582"/>
        <v>0.14000000000000001</v>
      </c>
      <c r="Y717" s="145">
        <f t="shared" si="218"/>
        <v>0.01</v>
      </c>
      <c r="Z717" s="146">
        <f t="shared" si="10"/>
        <v>6.0799999999999992</v>
      </c>
      <c r="AA717" s="147">
        <f t="shared" si="593"/>
        <v>-5134.88</v>
      </c>
      <c r="AB717" s="148">
        <f t="shared" si="403"/>
        <v>-5135</v>
      </c>
      <c r="AC717" s="149">
        <f t="shared" si="48"/>
        <v>-0.11999999999989086</v>
      </c>
      <c r="AD717" s="138"/>
      <c r="AE717" s="150">
        <f t="shared" si="13"/>
        <v>1.1850000000000001E-3</v>
      </c>
      <c r="AF717" s="151">
        <f t="shared" si="14"/>
        <v>0</v>
      </c>
      <c r="AG717" s="152" t="s">
        <v>416</v>
      </c>
      <c r="AH717" s="124"/>
    </row>
    <row r="718" spans="1:34" ht="12" customHeight="1">
      <c r="A718" s="155">
        <v>44813</v>
      </c>
      <c r="B718" s="112" t="s">
        <v>589</v>
      </c>
      <c r="C718" s="127" t="s">
        <v>460</v>
      </c>
      <c r="D718" s="112"/>
      <c r="E718" s="112" t="str">
        <f t="shared" si="0"/>
        <v>DCMSHRIRAM</v>
      </c>
      <c r="F718" s="112"/>
      <c r="G718" s="112"/>
      <c r="H718" s="112"/>
      <c r="I718" s="127" t="s">
        <v>461</v>
      </c>
      <c r="J718" s="126" t="s">
        <v>483</v>
      </c>
      <c r="K718" s="127"/>
      <c r="L718" s="127"/>
      <c r="M718" s="128">
        <v>200</v>
      </c>
      <c r="N718" s="129">
        <v>1075</v>
      </c>
      <c r="O718" s="130">
        <f t="shared" si="573"/>
        <v>0</v>
      </c>
      <c r="P718" s="130">
        <f t="shared" ref="P718:P722" si="594">N718-O718</f>
        <v>1075</v>
      </c>
      <c r="Q718" s="130"/>
      <c r="R718" s="130">
        <f t="shared" si="3"/>
        <v>215000</v>
      </c>
      <c r="S718" s="131">
        <f t="shared" si="4"/>
        <v>1.1109499999999999</v>
      </c>
      <c r="T718" s="131">
        <f t="shared" si="75"/>
        <v>0</v>
      </c>
      <c r="U718" s="131">
        <f t="shared" si="574"/>
        <v>1.06</v>
      </c>
      <c r="V718" s="131">
        <f t="shared" si="546"/>
        <v>215</v>
      </c>
      <c r="W718" s="131">
        <v>0</v>
      </c>
      <c r="X718" s="131">
        <f t="shared" si="582"/>
        <v>5.91</v>
      </c>
      <c r="Y718" s="131">
        <f t="shared" si="218"/>
        <v>0.22</v>
      </c>
      <c r="Z718" s="131">
        <f t="shared" si="10"/>
        <v>222.19</v>
      </c>
      <c r="AA718" s="132">
        <f t="shared" ref="AA718:AA722" si="595">ROUND(R718-SUM(T718:Y718),2)</f>
        <v>214777.81</v>
      </c>
      <c r="AB718" s="133">
        <f t="shared" si="403"/>
        <v>214778</v>
      </c>
      <c r="AC718" s="134">
        <f t="shared" si="48"/>
        <v>0.19000000000232831</v>
      </c>
      <c r="AD718" s="125"/>
      <c r="AE718" s="135">
        <f t="shared" si="13"/>
        <v>1.0330000000000001E-3</v>
      </c>
      <c r="AF718" s="136">
        <f t="shared" si="14"/>
        <v>0</v>
      </c>
      <c r="AG718" s="137" t="s">
        <v>416</v>
      </c>
      <c r="AH718" s="124"/>
    </row>
    <row r="719" spans="1:34" ht="12" customHeight="1">
      <c r="A719" s="155">
        <v>44817</v>
      </c>
      <c r="B719" s="112" t="s">
        <v>638</v>
      </c>
      <c r="C719" s="127" t="s">
        <v>485</v>
      </c>
      <c r="D719" s="112"/>
      <c r="E719" s="112" t="str">
        <f t="shared" si="0"/>
        <v>DREAMFOLKS</v>
      </c>
      <c r="F719" s="112"/>
      <c r="G719" s="112"/>
      <c r="H719" s="112"/>
      <c r="I719" s="127" t="s">
        <v>461</v>
      </c>
      <c r="J719" s="126" t="s">
        <v>483</v>
      </c>
      <c r="K719" s="127"/>
      <c r="L719" s="127"/>
      <c r="M719" s="128">
        <v>46</v>
      </c>
      <c r="N719" s="129">
        <v>425</v>
      </c>
      <c r="O719" s="130">
        <f t="shared" si="573"/>
        <v>0</v>
      </c>
      <c r="P719" s="130">
        <f t="shared" si="594"/>
        <v>425</v>
      </c>
      <c r="Q719" s="130"/>
      <c r="R719" s="130">
        <f t="shared" si="3"/>
        <v>19550</v>
      </c>
      <c r="S719" s="131">
        <f t="shared" si="4"/>
        <v>0.43934782608695655</v>
      </c>
      <c r="T719" s="131">
        <f t="shared" si="75"/>
        <v>0</v>
      </c>
      <c r="U719" s="131">
        <f t="shared" si="574"/>
        <v>0.1</v>
      </c>
      <c r="V719" s="131">
        <f t="shared" si="546"/>
        <v>19.55</v>
      </c>
      <c r="W719" s="131">
        <v>0</v>
      </c>
      <c r="X719" s="131">
        <f t="shared" si="582"/>
        <v>0.54</v>
      </c>
      <c r="Y719" s="131">
        <f t="shared" si="218"/>
        <v>0.02</v>
      </c>
      <c r="Z719" s="131">
        <f t="shared" si="10"/>
        <v>20.21</v>
      </c>
      <c r="AA719" s="132">
        <f t="shared" si="595"/>
        <v>19529.79</v>
      </c>
      <c r="AB719" s="133">
        <f t="shared" si="403"/>
        <v>19530</v>
      </c>
      <c r="AC719" s="134">
        <f t="shared" si="48"/>
        <v>0.20999999999912689</v>
      </c>
      <c r="AD719" s="125"/>
      <c r="AE719" s="135">
        <f t="shared" si="13"/>
        <v>1.034E-3</v>
      </c>
      <c r="AF719" s="136">
        <f t="shared" si="14"/>
        <v>0</v>
      </c>
      <c r="AG719" s="137" t="s">
        <v>416</v>
      </c>
      <c r="AH719" s="124"/>
    </row>
    <row r="720" spans="1:34" ht="12" customHeight="1">
      <c r="A720" s="155">
        <v>44817</v>
      </c>
      <c r="B720" s="112" t="s">
        <v>632</v>
      </c>
      <c r="C720" s="127" t="s">
        <v>485</v>
      </c>
      <c r="D720" s="112"/>
      <c r="E720" s="112" t="str">
        <f t="shared" si="0"/>
        <v>LT</v>
      </c>
      <c r="F720" s="112"/>
      <c r="G720" s="112"/>
      <c r="H720" s="112"/>
      <c r="I720" s="127" t="s">
        <v>461</v>
      </c>
      <c r="J720" s="126" t="s">
        <v>483</v>
      </c>
      <c r="K720" s="127"/>
      <c r="L720" s="127"/>
      <c r="M720" s="128">
        <v>5</v>
      </c>
      <c r="N720" s="129">
        <v>1980</v>
      </c>
      <c r="O720" s="130">
        <f t="shared" si="573"/>
        <v>0</v>
      </c>
      <c r="P720" s="130">
        <f t="shared" si="594"/>
        <v>1980</v>
      </c>
      <c r="Q720" s="130"/>
      <c r="R720" s="130">
        <f t="shared" si="3"/>
        <v>9900</v>
      </c>
      <c r="S720" s="131">
        <f t="shared" si="4"/>
        <v>2.0460000000000003</v>
      </c>
      <c r="T720" s="131">
        <f t="shared" si="75"/>
        <v>0</v>
      </c>
      <c r="U720" s="131">
        <f t="shared" si="574"/>
        <v>0.05</v>
      </c>
      <c r="V720" s="131">
        <f t="shared" si="546"/>
        <v>9.9</v>
      </c>
      <c r="W720" s="131">
        <v>0</v>
      </c>
      <c r="X720" s="131">
        <f t="shared" si="582"/>
        <v>0.27</v>
      </c>
      <c r="Y720" s="131">
        <f t="shared" si="218"/>
        <v>0.01</v>
      </c>
      <c r="Z720" s="131">
        <f t="shared" si="10"/>
        <v>10.23</v>
      </c>
      <c r="AA720" s="132">
        <f t="shared" si="595"/>
        <v>9889.77</v>
      </c>
      <c r="AB720" s="133">
        <f t="shared" si="403"/>
        <v>9890</v>
      </c>
      <c r="AC720" s="134">
        <f t="shared" si="48"/>
        <v>0.22999999999956344</v>
      </c>
      <c r="AD720" s="125"/>
      <c r="AE720" s="135">
        <f t="shared" si="13"/>
        <v>1.0330000000000001E-3</v>
      </c>
      <c r="AF720" s="136">
        <f t="shared" si="14"/>
        <v>0</v>
      </c>
      <c r="AG720" s="137" t="s">
        <v>416</v>
      </c>
      <c r="AH720" s="124"/>
    </row>
    <row r="721" spans="1:34" ht="12" customHeight="1">
      <c r="A721" s="155">
        <v>44817</v>
      </c>
      <c r="B721" s="112" t="s">
        <v>631</v>
      </c>
      <c r="C721" s="127" t="s">
        <v>485</v>
      </c>
      <c r="D721" s="112"/>
      <c r="E721" s="112" t="str">
        <f t="shared" si="0"/>
        <v>MOTHERSON</v>
      </c>
      <c r="F721" s="112"/>
      <c r="G721" s="112"/>
      <c r="H721" s="112"/>
      <c r="I721" s="127" t="s">
        <v>461</v>
      </c>
      <c r="J721" s="126" t="s">
        <v>483</v>
      </c>
      <c r="K721" s="127"/>
      <c r="L721" s="127"/>
      <c r="M721" s="128">
        <v>50</v>
      </c>
      <c r="N721" s="129">
        <v>128.5</v>
      </c>
      <c r="O721" s="130">
        <f t="shared" si="573"/>
        <v>0</v>
      </c>
      <c r="P721" s="130">
        <f t="shared" si="594"/>
        <v>128.5</v>
      </c>
      <c r="Q721" s="130"/>
      <c r="R721" s="130">
        <f t="shared" si="3"/>
        <v>6425</v>
      </c>
      <c r="S721" s="131">
        <f t="shared" si="4"/>
        <v>0.13299999999999998</v>
      </c>
      <c r="T721" s="131">
        <f t="shared" si="75"/>
        <v>0</v>
      </c>
      <c r="U721" s="131">
        <f t="shared" si="574"/>
        <v>0.03</v>
      </c>
      <c r="V721" s="131">
        <f t="shared" si="546"/>
        <v>6.43</v>
      </c>
      <c r="W721" s="131">
        <v>0</v>
      </c>
      <c r="X721" s="131">
        <f t="shared" si="582"/>
        <v>0.18</v>
      </c>
      <c r="Y721" s="131">
        <f t="shared" si="218"/>
        <v>0.01</v>
      </c>
      <c r="Z721" s="131">
        <f t="shared" si="10"/>
        <v>6.6499999999999995</v>
      </c>
      <c r="AA721" s="132">
        <f t="shared" si="595"/>
        <v>6418.35</v>
      </c>
      <c r="AB721" s="133">
        <f t="shared" si="403"/>
        <v>6418</v>
      </c>
      <c r="AC721" s="134">
        <f t="shared" si="48"/>
        <v>-0.3500000000003638</v>
      </c>
      <c r="AD721" s="125"/>
      <c r="AE721" s="135">
        <f t="shared" si="13"/>
        <v>1.0349999999999999E-3</v>
      </c>
      <c r="AF721" s="136">
        <f t="shared" si="14"/>
        <v>0</v>
      </c>
      <c r="AG721" s="137" t="s">
        <v>416</v>
      </c>
      <c r="AH721" s="124"/>
    </row>
    <row r="722" spans="1:34" ht="12" customHeight="1">
      <c r="A722" s="155">
        <v>44818</v>
      </c>
      <c r="B722" s="112" t="s">
        <v>629</v>
      </c>
      <c r="C722" s="127" t="s">
        <v>485</v>
      </c>
      <c r="D722" s="112"/>
      <c r="E722" s="112" t="str">
        <f t="shared" si="0"/>
        <v>EIDPARRY</v>
      </c>
      <c r="F722" s="112"/>
      <c r="G722" s="112"/>
      <c r="H722" s="112"/>
      <c r="I722" s="127" t="s">
        <v>461</v>
      </c>
      <c r="J722" s="126" t="s">
        <v>483</v>
      </c>
      <c r="K722" s="127"/>
      <c r="L722" s="127"/>
      <c r="M722" s="128">
        <v>10</v>
      </c>
      <c r="N722" s="129">
        <v>565</v>
      </c>
      <c r="O722" s="130">
        <f t="shared" si="573"/>
        <v>0</v>
      </c>
      <c r="P722" s="130">
        <f t="shared" si="594"/>
        <v>565</v>
      </c>
      <c r="Q722" s="130"/>
      <c r="R722" s="130">
        <f t="shared" si="3"/>
        <v>5650</v>
      </c>
      <c r="S722" s="131">
        <f t="shared" si="4"/>
        <v>0.58500000000000008</v>
      </c>
      <c r="T722" s="131">
        <f t="shared" si="75"/>
        <v>0</v>
      </c>
      <c r="U722" s="131">
        <f t="shared" si="574"/>
        <v>0.03</v>
      </c>
      <c r="V722" s="131">
        <f t="shared" si="546"/>
        <v>5.65</v>
      </c>
      <c r="W722" s="131">
        <v>0</v>
      </c>
      <c r="X722" s="131">
        <f t="shared" si="582"/>
        <v>0.16</v>
      </c>
      <c r="Y722" s="131">
        <f t="shared" si="218"/>
        <v>0.01</v>
      </c>
      <c r="Z722" s="131">
        <f t="shared" si="10"/>
        <v>5.8500000000000005</v>
      </c>
      <c r="AA722" s="132">
        <f t="shared" si="595"/>
        <v>5644.15</v>
      </c>
      <c r="AB722" s="133">
        <f t="shared" si="403"/>
        <v>5644</v>
      </c>
      <c r="AC722" s="134">
        <f t="shared" si="48"/>
        <v>-0.1499999999996362</v>
      </c>
      <c r="AD722" s="125"/>
      <c r="AE722" s="135">
        <f t="shared" si="13"/>
        <v>1.0349999999999999E-3</v>
      </c>
      <c r="AF722" s="136">
        <f t="shared" si="14"/>
        <v>0</v>
      </c>
      <c r="AG722" s="137" t="s">
        <v>416</v>
      </c>
      <c r="AH722" s="124"/>
    </row>
    <row r="723" spans="1:34" ht="12" customHeight="1">
      <c r="A723" s="160">
        <v>44818</v>
      </c>
      <c r="B723" s="140" t="s">
        <v>589</v>
      </c>
      <c r="C723" s="141" t="s">
        <v>460</v>
      </c>
      <c r="D723" s="140"/>
      <c r="E723" s="140" t="str">
        <f t="shared" si="0"/>
        <v>DCMSHRIRAM</v>
      </c>
      <c r="F723" s="140"/>
      <c r="G723" s="140"/>
      <c r="H723" s="140"/>
      <c r="I723" s="141" t="s">
        <v>467</v>
      </c>
      <c r="J723" s="139" t="s">
        <v>483</v>
      </c>
      <c r="K723" s="141"/>
      <c r="L723" s="141"/>
      <c r="M723" s="142">
        <v>400</v>
      </c>
      <c r="N723" s="143">
        <v>1047</v>
      </c>
      <c r="O723" s="144">
        <f t="shared" si="573"/>
        <v>0</v>
      </c>
      <c r="P723" s="144">
        <f t="shared" ref="P723:P730" si="596">N723+O723</f>
        <v>1047</v>
      </c>
      <c r="Q723" s="144"/>
      <c r="R723" s="144">
        <f t="shared" si="3"/>
        <v>418800</v>
      </c>
      <c r="S723" s="145">
        <f t="shared" si="4"/>
        <v>1.2390749999999999</v>
      </c>
      <c r="T723" s="145">
        <f t="shared" si="75"/>
        <v>0</v>
      </c>
      <c r="U723" s="145">
        <f t="shared" si="574"/>
        <v>2.0699999999999998</v>
      </c>
      <c r="V723" s="145">
        <f t="shared" si="546"/>
        <v>418.8</v>
      </c>
      <c r="W723" s="145">
        <f t="shared" ref="W723:W730" si="597">ROUND(R723*F$1823,2)</f>
        <v>62.82</v>
      </c>
      <c r="X723" s="145">
        <f t="shared" si="582"/>
        <v>11.52</v>
      </c>
      <c r="Y723" s="145">
        <f t="shared" si="218"/>
        <v>0.42</v>
      </c>
      <c r="Z723" s="146">
        <f t="shared" si="10"/>
        <v>495.63</v>
      </c>
      <c r="AA723" s="147">
        <f t="shared" ref="AA723:AA730" si="598">-ROUND(R723+SUM(T723:Y723),2)</f>
        <v>-419295.63</v>
      </c>
      <c r="AB723" s="148">
        <f t="shared" si="403"/>
        <v>-419296</v>
      </c>
      <c r="AC723" s="149">
        <f t="shared" si="48"/>
        <v>-0.36999999999534339</v>
      </c>
      <c r="AD723" s="138"/>
      <c r="AE723" s="150">
        <f t="shared" si="13"/>
        <v>1.183E-3</v>
      </c>
      <c r="AF723" s="151">
        <f t="shared" si="14"/>
        <v>0</v>
      </c>
      <c r="AG723" s="152" t="s">
        <v>416</v>
      </c>
      <c r="AH723" s="124"/>
    </row>
    <row r="724" spans="1:34" ht="12" customHeight="1">
      <c r="A724" s="160">
        <v>44818</v>
      </c>
      <c r="B724" s="140" t="s">
        <v>472</v>
      </c>
      <c r="C724" s="141" t="s">
        <v>485</v>
      </c>
      <c r="D724" s="140"/>
      <c r="E724" s="140" t="str">
        <f t="shared" si="0"/>
        <v>INFY</v>
      </c>
      <c r="F724" s="140"/>
      <c r="G724" s="140"/>
      <c r="H724" s="140"/>
      <c r="I724" s="141" t="s">
        <v>467</v>
      </c>
      <c r="J724" s="139" t="s">
        <v>483</v>
      </c>
      <c r="K724" s="141"/>
      <c r="L724" s="141"/>
      <c r="M724" s="142">
        <v>5</v>
      </c>
      <c r="N724" s="143">
        <v>1486</v>
      </c>
      <c r="O724" s="144">
        <f t="shared" si="573"/>
        <v>0</v>
      </c>
      <c r="P724" s="144">
        <f t="shared" si="596"/>
        <v>1486</v>
      </c>
      <c r="Q724" s="144"/>
      <c r="R724" s="144">
        <f t="shared" si="3"/>
        <v>7430</v>
      </c>
      <c r="S724" s="145">
        <f t="shared" si="4"/>
        <v>1.7579999999999998</v>
      </c>
      <c r="T724" s="145">
        <f t="shared" si="75"/>
        <v>0</v>
      </c>
      <c r="U724" s="145">
        <f t="shared" si="574"/>
        <v>0.04</v>
      </c>
      <c r="V724" s="145">
        <f t="shared" si="546"/>
        <v>7.43</v>
      </c>
      <c r="W724" s="145">
        <f t="shared" si="597"/>
        <v>1.1100000000000001</v>
      </c>
      <c r="X724" s="145">
        <f t="shared" si="582"/>
        <v>0.2</v>
      </c>
      <c r="Y724" s="145">
        <f t="shared" si="218"/>
        <v>0.01</v>
      </c>
      <c r="Z724" s="146">
        <f t="shared" si="10"/>
        <v>8.7899999999999991</v>
      </c>
      <c r="AA724" s="147">
        <f t="shared" si="598"/>
        <v>-7438.79</v>
      </c>
      <c r="AB724" s="148">
        <f t="shared" si="403"/>
        <v>-7439</v>
      </c>
      <c r="AC724" s="149">
        <f t="shared" si="48"/>
        <v>-0.21000000000003638</v>
      </c>
      <c r="AD724" s="138"/>
      <c r="AE724" s="150">
        <f t="shared" si="13"/>
        <v>1.183E-3</v>
      </c>
      <c r="AF724" s="151">
        <f t="shared" si="14"/>
        <v>0</v>
      </c>
      <c r="AG724" s="152" t="s">
        <v>416</v>
      </c>
      <c r="AH724" s="124"/>
    </row>
    <row r="725" spans="1:34" ht="12" customHeight="1">
      <c r="A725" s="160">
        <v>44818</v>
      </c>
      <c r="B725" s="140" t="s">
        <v>588</v>
      </c>
      <c r="C725" s="141" t="s">
        <v>485</v>
      </c>
      <c r="D725" s="140"/>
      <c r="E725" s="140" t="str">
        <f t="shared" si="0"/>
        <v>TCS</v>
      </c>
      <c r="F725" s="140"/>
      <c r="G725" s="140"/>
      <c r="H725" s="140"/>
      <c r="I725" s="141" t="s">
        <v>467</v>
      </c>
      <c r="J725" s="139" t="s">
        <v>483</v>
      </c>
      <c r="K725" s="141"/>
      <c r="L725" s="141"/>
      <c r="M725" s="142">
        <v>2</v>
      </c>
      <c r="N725" s="143">
        <v>3130</v>
      </c>
      <c r="O725" s="144">
        <f t="shared" si="573"/>
        <v>0</v>
      </c>
      <c r="P725" s="144">
        <f t="shared" si="596"/>
        <v>3130</v>
      </c>
      <c r="Q725" s="144"/>
      <c r="R725" s="144">
        <f t="shared" si="3"/>
        <v>6260</v>
      </c>
      <c r="S725" s="145">
        <f t="shared" si="4"/>
        <v>3.7050000000000001</v>
      </c>
      <c r="T725" s="145">
        <f t="shared" si="75"/>
        <v>0</v>
      </c>
      <c r="U725" s="145">
        <f t="shared" si="574"/>
        <v>0.03</v>
      </c>
      <c r="V725" s="145">
        <f t="shared" si="546"/>
        <v>6.26</v>
      </c>
      <c r="W725" s="145">
        <f t="shared" si="597"/>
        <v>0.94</v>
      </c>
      <c r="X725" s="145">
        <f t="shared" si="582"/>
        <v>0.17</v>
      </c>
      <c r="Y725" s="145">
        <f t="shared" si="218"/>
        <v>0.01</v>
      </c>
      <c r="Z725" s="146">
        <f t="shared" si="10"/>
        <v>7.41</v>
      </c>
      <c r="AA725" s="147">
        <f t="shared" si="598"/>
        <v>-6267.41</v>
      </c>
      <c r="AB725" s="148">
        <f t="shared" si="403"/>
        <v>-6267</v>
      </c>
      <c r="AC725" s="149">
        <f t="shared" si="48"/>
        <v>0.40999999999985448</v>
      </c>
      <c r="AD725" s="138"/>
      <c r="AE725" s="150">
        <f t="shared" si="13"/>
        <v>1.1839999999999999E-3</v>
      </c>
      <c r="AF725" s="151">
        <f t="shared" si="14"/>
        <v>0</v>
      </c>
      <c r="AG725" s="152" t="s">
        <v>416</v>
      </c>
      <c r="AH725" s="124"/>
    </row>
    <row r="726" spans="1:34" ht="12" customHeight="1">
      <c r="A726" s="160">
        <v>44818</v>
      </c>
      <c r="B726" s="140" t="s">
        <v>639</v>
      </c>
      <c r="C726" s="141" t="s">
        <v>485</v>
      </c>
      <c r="D726" s="140"/>
      <c r="E726" s="140" t="str">
        <f t="shared" si="0"/>
        <v>ABSLAMC</v>
      </c>
      <c r="F726" s="140"/>
      <c r="G726" s="140"/>
      <c r="H726" s="140"/>
      <c r="I726" s="141" t="s">
        <v>467</v>
      </c>
      <c r="J726" s="139" t="s">
        <v>483</v>
      </c>
      <c r="K726" s="141"/>
      <c r="L726" s="141"/>
      <c r="M726" s="142">
        <v>5</v>
      </c>
      <c r="N726" s="143">
        <v>488.95</v>
      </c>
      <c r="O726" s="144">
        <f t="shared" si="573"/>
        <v>0</v>
      </c>
      <c r="P726" s="144">
        <f t="shared" si="596"/>
        <v>488.95</v>
      </c>
      <c r="Q726" s="144"/>
      <c r="R726" s="144">
        <f t="shared" si="3"/>
        <v>2444.75</v>
      </c>
      <c r="S726" s="145">
        <f t="shared" si="4"/>
        <v>0.57799999999999996</v>
      </c>
      <c r="T726" s="145">
        <f t="shared" si="75"/>
        <v>0</v>
      </c>
      <c r="U726" s="145">
        <f t="shared" si="574"/>
        <v>0.01</v>
      </c>
      <c r="V726" s="145">
        <f t="shared" si="546"/>
        <v>2.44</v>
      </c>
      <c r="W726" s="145">
        <f t="shared" si="597"/>
        <v>0.37</v>
      </c>
      <c r="X726" s="145">
        <f t="shared" si="582"/>
        <v>7.0000000000000007E-2</v>
      </c>
      <c r="Y726" s="145">
        <f t="shared" si="218"/>
        <v>0</v>
      </c>
      <c r="Z726" s="146">
        <f t="shared" si="10"/>
        <v>2.8899999999999997</v>
      </c>
      <c r="AA726" s="147">
        <f t="shared" si="598"/>
        <v>-2447.64</v>
      </c>
      <c r="AB726" s="148">
        <f t="shared" si="403"/>
        <v>-2448</v>
      </c>
      <c r="AC726" s="149">
        <f t="shared" si="48"/>
        <v>-0.36000000000012733</v>
      </c>
      <c r="AD726" s="138"/>
      <c r="AE726" s="150">
        <f t="shared" si="13"/>
        <v>1.1820000000000001E-3</v>
      </c>
      <c r="AF726" s="151">
        <f t="shared" si="14"/>
        <v>0</v>
      </c>
      <c r="AG726" s="152" t="s">
        <v>416</v>
      </c>
      <c r="AH726" s="124"/>
    </row>
    <row r="727" spans="1:34" ht="12" customHeight="1">
      <c r="A727" s="160">
        <v>44818</v>
      </c>
      <c r="B727" s="140" t="s">
        <v>554</v>
      </c>
      <c r="C727" s="141" t="s">
        <v>485</v>
      </c>
      <c r="D727" s="140"/>
      <c r="E727" s="140" t="str">
        <f t="shared" si="0"/>
        <v>GUJAPOLLO</v>
      </c>
      <c r="F727" s="140"/>
      <c r="G727" s="140"/>
      <c r="H727" s="140"/>
      <c r="I727" s="141" t="s">
        <v>467</v>
      </c>
      <c r="J727" s="139" t="s">
        <v>483</v>
      </c>
      <c r="K727" s="141"/>
      <c r="L727" s="141"/>
      <c r="M727" s="142">
        <v>5</v>
      </c>
      <c r="N727" s="143">
        <v>235</v>
      </c>
      <c r="O727" s="144">
        <f t="shared" si="573"/>
        <v>0</v>
      </c>
      <c r="P727" s="144">
        <f t="shared" si="596"/>
        <v>235</v>
      </c>
      <c r="Q727" s="144"/>
      <c r="R727" s="144">
        <f t="shared" si="3"/>
        <v>1175</v>
      </c>
      <c r="S727" s="145">
        <f t="shared" si="4"/>
        <v>0.27999999999999997</v>
      </c>
      <c r="T727" s="145">
        <f t="shared" si="75"/>
        <v>0</v>
      </c>
      <c r="U727" s="145">
        <f t="shared" si="574"/>
        <v>0.01</v>
      </c>
      <c r="V727" s="145">
        <f t="shared" si="546"/>
        <v>1.18</v>
      </c>
      <c r="W727" s="145">
        <f t="shared" si="597"/>
        <v>0.18</v>
      </c>
      <c r="X727" s="145">
        <f t="shared" si="582"/>
        <v>0.03</v>
      </c>
      <c r="Y727" s="145">
        <f t="shared" si="218"/>
        <v>0</v>
      </c>
      <c r="Z727" s="146">
        <f t="shared" si="10"/>
        <v>1.4</v>
      </c>
      <c r="AA727" s="147">
        <f t="shared" si="598"/>
        <v>-1176.4000000000001</v>
      </c>
      <c r="AB727" s="148">
        <f t="shared" si="403"/>
        <v>-1176</v>
      </c>
      <c r="AC727" s="149">
        <f t="shared" si="48"/>
        <v>0.40000000000009095</v>
      </c>
      <c r="AD727" s="138"/>
      <c r="AE727" s="150">
        <f t="shared" si="13"/>
        <v>1.191E-3</v>
      </c>
      <c r="AF727" s="151">
        <f t="shared" si="14"/>
        <v>0</v>
      </c>
      <c r="AG727" s="152" t="s">
        <v>416</v>
      </c>
      <c r="AH727" s="124"/>
    </row>
    <row r="728" spans="1:34" ht="12" customHeight="1">
      <c r="A728" s="160">
        <v>44818</v>
      </c>
      <c r="B728" s="140" t="s">
        <v>625</v>
      </c>
      <c r="C728" s="141" t="s">
        <v>485</v>
      </c>
      <c r="D728" s="140"/>
      <c r="E728" s="140" t="str">
        <f t="shared" si="0"/>
        <v>MATRIMONY</v>
      </c>
      <c r="F728" s="140"/>
      <c r="G728" s="140"/>
      <c r="H728" s="140"/>
      <c r="I728" s="141" t="s">
        <v>467</v>
      </c>
      <c r="J728" s="139" t="s">
        <v>483</v>
      </c>
      <c r="K728" s="141"/>
      <c r="L728" s="141"/>
      <c r="M728" s="142">
        <v>4</v>
      </c>
      <c r="N728" s="143">
        <v>690</v>
      </c>
      <c r="O728" s="144">
        <f t="shared" si="573"/>
        <v>0</v>
      </c>
      <c r="P728" s="144">
        <f t="shared" si="596"/>
        <v>690</v>
      </c>
      <c r="Q728" s="144"/>
      <c r="R728" s="144">
        <f t="shared" si="3"/>
        <v>2760</v>
      </c>
      <c r="S728" s="145">
        <f t="shared" si="4"/>
        <v>0.81499999999999995</v>
      </c>
      <c r="T728" s="145">
        <f t="shared" si="75"/>
        <v>0</v>
      </c>
      <c r="U728" s="145">
        <f t="shared" si="574"/>
        <v>0.01</v>
      </c>
      <c r="V728" s="145">
        <f t="shared" si="546"/>
        <v>2.76</v>
      </c>
      <c r="W728" s="145">
        <f t="shared" si="597"/>
        <v>0.41</v>
      </c>
      <c r="X728" s="145">
        <f t="shared" si="582"/>
        <v>0.08</v>
      </c>
      <c r="Y728" s="145">
        <f t="shared" si="218"/>
        <v>0</v>
      </c>
      <c r="Z728" s="146">
        <f t="shared" si="10"/>
        <v>3.26</v>
      </c>
      <c r="AA728" s="147">
        <f t="shared" si="598"/>
        <v>-2763.26</v>
      </c>
      <c r="AB728" s="148">
        <f t="shared" si="403"/>
        <v>-2763</v>
      </c>
      <c r="AC728" s="149">
        <f t="shared" si="48"/>
        <v>0.26000000000021828</v>
      </c>
      <c r="AD728" s="138"/>
      <c r="AE728" s="150">
        <f t="shared" si="13"/>
        <v>1.181E-3</v>
      </c>
      <c r="AF728" s="151">
        <f t="shared" si="14"/>
        <v>0</v>
      </c>
      <c r="AG728" s="152" t="s">
        <v>416</v>
      </c>
      <c r="AH728" s="124"/>
    </row>
    <row r="729" spans="1:34" ht="12" customHeight="1">
      <c r="A729" s="160">
        <v>44818</v>
      </c>
      <c r="B729" s="140" t="s">
        <v>640</v>
      </c>
      <c r="C729" s="141" t="s">
        <v>485</v>
      </c>
      <c r="D729" s="140"/>
      <c r="E729" s="140" t="str">
        <f t="shared" si="0"/>
        <v>NTPC</v>
      </c>
      <c r="F729" s="140"/>
      <c r="G729" s="140"/>
      <c r="H729" s="140"/>
      <c r="I729" s="141" t="s">
        <v>467</v>
      </c>
      <c r="J729" s="139" t="s">
        <v>483</v>
      </c>
      <c r="K729" s="141"/>
      <c r="L729" s="141"/>
      <c r="M729" s="142">
        <v>20</v>
      </c>
      <c r="N729" s="143">
        <v>170</v>
      </c>
      <c r="O729" s="144">
        <f t="shared" si="573"/>
        <v>0</v>
      </c>
      <c r="P729" s="144">
        <f t="shared" si="596"/>
        <v>170</v>
      </c>
      <c r="Q729" s="144"/>
      <c r="R729" s="144">
        <f t="shared" si="3"/>
        <v>3400</v>
      </c>
      <c r="S729" s="145">
        <f t="shared" si="4"/>
        <v>0.20099999999999998</v>
      </c>
      <c r="T729" s="145">
        <f t="shared" si="75"/>
        <v>0</v>
      </c>
      <c r="U729" s="145">
        <f t="shared" si="574"/>
        <v>0.02</v>
      </c>
      <c r="V729" s="145">
        <f t="shared" si="546"/>
        <v>3.4</v>
      </c>
      <c r="W729" s="145">
        <f t="shared" si="597"/>
        <v>0.51</v>
      </c>
      <c r="X729" s="145">
        <f t="shared" si="582"/>
        <v>0.09</v>
      </c>
      <c r="Y729" s="145">
        <f t="shared" si="218"/>
        <v>0</v>
      </c>
      <c r="Z729" s="146">
        <f t="shared" si="10"/>
        <v>4.0199999999999996</v>
      </c>
      <c r="AA729" s="147">
        <f t="shared" si="598"/>
        <v>-3404.02</v>
      </c>
      <c r="AB729" s="148">
        <f t="shared" si="403"/>
        <v>-3404</v>
      </c>
      <c r="AC729" s="149">
        <f t="shared" si="48"/>
        <v>1.999999999998181E-2</v>
      </c>
      <c r="AD729" s="138"/>
      <c r="AE729" s="150">
        <f t="shared" si="13"/>
        <v>1.1820000000000001E-3</v>
      </c>
      <c r="AF729" s="151">
        <f t="shared" si="14"/>
        <v>0</v>
      </c>
      <c r="AG729" s="152" t="s">
        <v>416</v>
      </c>
      <c r="AH729" s="124"/>
    </row>
    <row r="730" spans="1:34" ht="12" customHeight="1">
      <c r="A730" s="160">
        <v>44818</v>
      </c>
      <c r="B730" s="140" t="s">
        <v>633</v>
      </c>
      <c r="C730" s="141" t="s">
        <v>485</v>
      </c>
      <c r="D730" s="140"/>
      <c r="E730" s="140" t="str">
        <f t="shared" si="0"/>
        <v>SUZLON</v>
      </c>
      <c r="F730" s="140"/>
      <c r="G730" s="140"/>
      <c r="H730" s="140"/>
      <c r="I730" s="141" t="s">
        <v>467</v>
      </c>
      <c r="J730" s="139" t="s">
        <v>483</v>
      </c>
      <c r="K730" s="141"/>
      <c r="L730" s="141"/>
      <c r="M730" s="142">
        <v>100</v>
      </c>
      <c r="N730" s="143">
        <v>9.1999999999999993</v>
      </c>
      <c r="O730" s="144">
        <f t="shared" si="573"/>
        <v>0</v>
      </c>
      <c r="P730" s="144">
        <f t="shared" si="596"/>
        <v>9.1999999999999993</v>
      </c>
      <c r="Q730" s="144"/>
      <c r="R730" s="144">
        <f t="shared" si="3"/>
        <v>920</v>
      </c>
      <c r="S730" s="145">
        <f t="shared" si="4"/>
        <v>1.1000000000000001E-2</v>
      </c>
      <c r="T730" s="145">
        <f t="shared" si="75"/>
        <v>0</v>
      </c>
      <c r="U730" s="145">
        <f t="shared" si="574"/>
        <v>0.01</v>
      </c>
      <c r="V730" s="145">
        <f t="shared" si="546"/>
        <v>0.92</v>
      </c>
      <c r="W730" s="145">
        <f t="shared" si="597"/>
        <v>0.14000000000000001</v>
      </c>
      <c r="X730" s="145">
        <f t="shared" si="582"/>
        <v>0.03</v>
      </c>
      <c r="Y730" s="145">
        <f t="shared" si="218"/>
        <v>0</v>
      </c>
      <c r="Z730" s="146">
        <f t="shared" si="10"/>
        <v>1.1000000000000001</v>
      </c>
      <c r="AA730" s="147">
        <f t="shared" si="598"/>
        <v>-921.1</v>
      </c>
      <c r="AB730" s="148">
        <f t="shared" si="403"/>
        <v>-921</v>
      </c>
      <c r="AC730" s="149">
        <f t="shared" si="48"/>
        <v>0.10000000000002274</v>
      </c>
      <c r="AD730" s="138"/>
      <c r="AE730" s="150">
        <f t="shared" si="13"/>
        <v>1.196E-3</v>
      </c>
      <c r="AF730" s="151">
        <f t="shared" si="14"/>
        <v>0</v>
      </c>
      <c r="AG730" s="152" t="s">
        <v>416</v>
      </c>
      <c r="AH730" s="124"/>
    </row>
    <row r="731" spans="1:34" ht="12" customHeight="1">
      <c r="A731" s="155">
        <v>44819</v>
      </c>
      <c r="B731" s="112" t="s">
        <v>589</v>
      </c>
      <c r="C731" s="127" t="s">
        <v>460</v>
      </c>
      <c r="D731" s="112"/>
      <c r="E731" s="112" t="str">
        <f t="shared" si="0"/>
        <v>DCMSHRIRAM</v>
      </c>
      <c r="F731" s="112"/>
      <c r="G731" s="112"/>
      <c r="H731" s="112"/>
      <c r="I731" s="127" t="s">
        <v>461</v>
      </c>
      <c r="J731" s="126" t="s">
        <v>483</v>
      </c>
      <c r="K731" s="127"/>
      <c r="L731" s="127"/>
      <c r="M731" s="128">
        <v>109</v>
      </c>
      <c r="N731" s="129">
        <v>1090.0734</v>
      </c>
      <c r="O731" s="130">
        <f t="shared" si="573"/>
        <v>0</v>
      </c>
      <c r="P731" s="130">
        <f>N731-O731</f>
        <v>1090.0734</v>
      </c>
      <c r="Q731" s="130"/>
      <c r="R731" s="130">
        <f t="shared" si="3"/>
        <v>118818</v>
      </c>
      <c r="S731" s="131">
        <f t="shared" si="4"/>
        <v>1.1266055045871559</v>
      </c>
      <c r="T731" s="131">
        <f t="shared" si="75"/>
        <v>0</v>
      </c>
      <c r="U731" s="131">
        <f t="shared" si="574"/>
        <v>0.59</v>
      </c>
      <c r="V731" s="131">
        <f t="shared" si="546"/>
        <v>118.82</v>
      </c>
      <c r="W731" s="131">
        <v>0</v>
      </c>
      <c r="X731" s="131">
        <f t="shared" si="582"/>
        <v>3.27</v>
      </c>
      <c r="Y731" s="131">
        <f t="shared" si="218"/>
        <v>0.12</v>
      </c>
      <c r="Z731" s="131">
        <f t="shared" si="10"/>
        <v>122.8</v>
      </c>
      <c r="AA731" s="132">
        <f>ROUND(R731-SUM(T731:Y731),2)</f>
        <v>118695.2</v>
      </c>
      <c r="AB731" s="133">
        <f t="shared" si="403"/>
        <v>118695</v>
      </c>
      <c r="AC731" s="134">
        <f t="shared" si="48"/>
        <v>-0.19999999999708962</v>
      </c>
      <c r="AD731" s="125"/>
      <c r="AE731" s="135">
        <f t="shared" si="13"/>
        <v>1.034E-3</v>
      </c>
      <c r="AF731" s="136">
        <f t="shared" si="14"/>
        <v>0</v>
      </c>
      <c r="AG731" s="137" t="s">
        <v>416</v>
      </c>
      <c r="AH731" s="124"/>
    </row>
    <row r="732" spans="1:34" ht="12" customHeight="1">
      <c r="A732" s="160">
        <v>44820</v>
      </c>
      <c r="B732" s="140" t="s">
        <v>589</v>
      </c>
      <c r="C732" s="141" t="s">
        <v>460</v>
      </c>
      <c r="D732" s="140"/>
      <c r="E732" s="140" t="str">
        <f t="shared" si="0"/>
        <v>DCMSHRIRAM</v>
      </c>
      <c r="F732" s="140"/>
      <c r="G732" s="140"/>
      <c r="H732" s="140"/>
      <c r="I732" s="141" t="s">
        <v>467</v>
      </c>
      <c r="J732" s="139" t="s">
        <v>483</v>
      </c>
      <c r="K732" s="141"/>
      <c r="L732" s="141"/>
      <c r="M732" s="142">
        <v>159</v>
      </c>
      <c r="N732" s="143">
        <v>1084.3081999999999</v>
      </c>
      <c r="O732" s="144">
        <f t="shared" si="573"/>
        <v>0</v>
      </c>
      <c r="P732" s="144">
        <f t="shared" ref="P732:P734" si="599">N732+O732</f>
        <v>1084.3081999999999</v>
      </c>
      <c r="Q732" s="144"/>
      <c r="R732" s="144">
        <f t="shared" si="3"/>
        <v>172405</v>
      </c>
      <c r="S732" s="145">
        <f t="shared" si="4"/>
        <v>1.2832075471698112</v>
      </c>
      <c r="T732" s="145">
        <f t="shared" si="75"/>
        <v>0</v>
      </c>
      <c r="U732" s="145">
        <f t="shared" si="574"/>
        <v>0.85</v>
      </c>
      <c r="V732" s="145">
        <f t="shared" si="546"/>
        <v>172.41</v>
      </c>
      <c r="W732" s="145">
        <f t="shared" ref="W732:W734" si="600">ROUND(R732*F$1823,2)</f>
        <v>25.86</v>
      </c>
      <c r="X732" s="145">
        <f t="shared" si="582"/>
        <v>4.74</v>
      </c>
      <c r="Y732" s="145">
        <f t="shared" si="218"/>
        <v>0.17</v>
      </c>
      <c r="Z732" s="146">
        <f t="shared" si="10"/>
        <v>204.03</v>
      </c>
      <c r="AA732" s="147">
        <f t="shared" ref="AA732:AA734" si="601">-ROUND(R732+SUM(T732:Y732),2)</f>
        <v>-172609.03</v>
      </c>
      <c r="AB732" s="148">
        <f t="shared" si="403"/>
        <v>-172609</v>
      </c>
      <c r="AC732" s="149">
        <f t="shared" si="48"/>
        <v>2.9999999998835847E-2</v>
      </c>
      <c r="AD732" s="138"/>
      <c r="AE732" s="150">
        <f t="shared" si="13"/>
        <v>1.183E-3</v>
      </c>
      <c r="AF732" s="151">
        <f t="shared" si="14"/>
        <v>0</v>
      </c>
      <c r="AG732" s="152" t="s">
        <v>416</v>
      </c>
      <c r="AH732" s="124"/>
    </row>
    <row r="733" spans="1:34" ht="12" customHeight="1">
      <c r="A733" s="160">
        <v>44823</v>
      </c>
      <c r="B733" s="140" t="s">
        <v>589</v>
      </c>
      <c r="C733" s="141" t="s">
        <v>460</v>
      </c>
      <c r="D733" s="140"/>
      <c r="E733" s="140" t="str">
        <f t="shared" si="0"/>
        <v>DCMSHRIRAM</v>
      </c>
      <c r="F733" s="140"/>
      <c r="G733" s="140"/>
      <c r="H733" s="140"/>
      <c r="I733" s="141" t="s">
        <v>467</v>
      </c>
      <c r="J733" s="139" t="s">
        <v>483</v>
      </c>
      <c r="K733" s="141"/>
      <c r="L733" s="141"/>
      <c r="M733" s="142">
        <v>40</v>
      </c>
      <c r="N733" s="143">
        <v>1052</v>
      </c>
      <c r="O733" s="144">
        <f t="shared" si="573"/>
        <v>0</v>
      </c>
      <c r="P733" s="144">
        <f t="shared" si="599"/>
        <v>1052</v>
      </c>
      <c r="Q733" s="144"/>
      <c r="R733" s="144">
        <f t="shared" si="3"/>
        <v>42080</v>
      </c>
      <c r="S733" s="145">
        <f t="shared" si="4"/>
        <v>1.2449999999999999</v>
      </c>
      <c r="T733" s="145">
        <f t="shared" si="75"/>
        <v>0</v>
      </c>
      <c r="U733" s="145">
        <f t="shared" si="574"/>
        <v>0.21</v>
      </c>
      <c r="V733" s="145">
        <f t="shared" si="546"/>
        <v>42.08</v>
      </c>
      <c r="W733" s="145">
        <f t="shared" si="600"/>
        <v>6.31</v>
      </c>
      <c r="X733" s="145">
        <f t="shared" si="582"/>
        <v>1.1599999999999999</v>
      </c>
      <c r="Y733" s="145">
        <f t="shared" si="218"/>
        <v>0.04</v>
      </c>
      <c r="Z733" s="146">
        <f t="shared" si="10"/>
        <v>49.8</v>
      </c>
      <c r="AA733" s="147">
        <f t="shared" si="601"/>
        <v>-42129.8</v>
      </c>
      <c r="AB733" s="148">
        <f t="shared" si="403"/>
        <v>-42130</v>
      </c>
      <c r="AC733" s="149">
        <f t="shared" si="48"/>
        <v>-0.19999999999708962</v>
      </c>
      <c r="AD733" s="138"/>
      <c r="AE733" s="150">
        <f t="shared" si="13"/>
        <v>1.183E-3</v>
      </c>
      <c r="AF733" s="151">
        <f t="shared" si="14"/>
        <v>0</v>
      </c>
      <c r="AG733" s="152" t="s">
        <v>416</v>
      </c>
      <c r="AH733" s="124"/>
    </row>
    <row r="734" spans="1:34" ht="12" customHeight="1">
      <c r="A734" s="160">
        <v>44823</v>
      </c>
      <c r="B734" s="139" t="s">
        <v>598</v>
      </c>
      <c r="C734" s="141" t="s">
        <v>485</v>
      </c>
      <c r="D734" s="140"/>
      <c r="E734" s="140" t="str">
        <f t="shared" si="0"/>
        <v>A2ZINFRA</v>
      </c>
      <c r="F734" s="140"/>
      <c r="G734" s="140"/>
      <c r="H734" s="140"/>
      <c r="I734" s="141" t="s">
        <v>467</v>
      </c>
      <c r="J734" s="139" t="s">
        <v>483</v>
      </c>
      <c r="K734" s="141"/>
      <c r="L734" s="141"/>
      <c r="M734" s="142">
        <v>1000</v>
      </c>
      <c r="N734" s="143">
        <v>11.65</v>
      </c>
      <c r="O734" s="144">
        <f t="shared" si="573"/>
        <v>0</v>
      </c>
      <c r="P734" s="144">
        <f t="shared" si="599"/>
        <v>11.65</v>
      </c>
      <c r="Q734" s="144"/>
      <c r="R734" s="144">
        <f t="shared" si="3"/>
        <v>11650</v>
      </c>
      <c r="S734" s="145">
        <f t="shared" si="4"/>
        <v>1.379E-2</v>
      </c>
      <c r="T734" s="145">
        <f t="shared" si="75"/>
        <v>0</v>
      </c>
      <c r="U734" s="145">
        <f t="shared" si="574"/>
        <v>0.06</v>
      </c>
      <c r="V734" s="145">
        <f t="shared" si="546"/>
        <v>11.65</v>
      </c>
      <c r="W734" s="145">
        <f t="shared" si="600"/>
        <v>1.75</v>
      </c>
      <c r="X734" s="145">
        <f t="shared" si="582"/>
        <v>0.32</v>
      </c>
      <c r="Y734" s="145">
        <f t="shared" si="218"/>
        <v>0.01</v>
      </c>
      <c r="Z734" s="146">
        <f t="shared" si="10"/>
        <v>13.790000000000001</v>
      </c>
      <c r="AA734" s="147">
        <f t="shared" si="601"/>
        <v>-11663.79</v>
      </c>
      <c r="AB734" s="148">
        <f t="shared" si="403"/>
        <v>-11664</v>
      </c>
      <c r="AC734" s="149">
        <f t="shared" si="48"/>
        <v>-0.20999999999912689</v>
      </c>
      <c r="AD734" s="138"/>
      <c r="AE734" s="150">
        <f t="shared" si="13"/>
        <v>1.1839999999999999E-3</v>
      </c>
      <c r="AF734" s="151">
        <f t="shared" si="14"/>
        <v>0</v>
      </c>
      <c r="AG734" s="152" t="s">
        <v>416</v>
      </c>
      <c r="AH734" s="124"/>
    </row>
    <row r="735" spans="1:34" ht="12" customHeight="1">
      <c r="A735" s="155">
        <v>44823</v>
      </c>
      <c r="B735" s="112" t="s">
        <v>616</v>
      </c>
      <c r="C735" s="127" t="s">
        <v>485</v>
      </c>
      <c r="D735" s="112"/>
      <c r="E735" s="112" t="str">
        <f t="shared" si="0"/>
        <v>RCF</v>
      </c>
      <c r="F735" s="112"/>
      <c r="G735" s="112"/>
      <c r="H735" s="112"/>
      <c r="I735" s="127" t="s">
        <v>461</v>
      </c>
      <c r="J735" s="126" t="s">
        <v>483</v>
      </c>
      <c r="K735" s="127"/>
      <c r="L735" s="127"/>
      <c r="M735" s="128">
        <v>100</v>
      </c>
      <c r="N735" s="129">
        <v>106</v>
      </c>
      <c r="O735" s="130">
        <f t="shared" si="573"/>
        <v>0</v>
      </c>
      <c r="P735" s="130">
        <f t="shared" ref="P735:P738" si="602">N735-O735</f>
        <v>106</v>
      </c>
      <c r="Q735" s="130"/>
      <c r="R735" s="130">
        <f t="shared" si="3"/>
        <v>10600</v>
      </c>
      <c r="S735" s="131">
        <f t="shared" si="4"/>
        <v>0.10949999999999999</v>
      </c>
      <c r="T735" s="131">
        <f t="shared" si="75"/>
        <v>0</v>
      </c>
      <c r="U735" s="131">
        <f t="shared" si="574"/>
        <v>0.05</v>
      </c>
      <c r="V735" s="131">
        <f t="shared" si="546"/>
        <v>10.6</v>
      </c>
      <c r="W735" s="131">
        <v>0</v>
      </c>
      <c r="X735" s="131">
        <f t="shared" si="582"/>
        <v>0.28999999999999998</v>
      </c>
      <c r="Y735" s="131">
        <f t="shared" si="218"/>
        <v>0.01</v>
      </c>
      <c r="Z735" s="131">
        <f t="shared" si="10"/>
        <v>10.95</v>
      </c>
      <c r="AA735" s="132">
        <f t="shared" ref="AA735:AA738" si="603">ROUND(R735-SUM(T735:Y735),2)</f>
        <v>10589.05</v>
      </c>
      <c r="AB735" s="133">
        <f t="shared" si="403"/>
        <v>10589</v>
      </c>
      <c r="AC735" s="134">
        <f t="shared" si="48"/>
        <v>-4.9999999999272404E-2</v>
      </c>
      <c r="AD735" s="125"/>
      <c r="AE735" s="135">
        <f t="shared" si="13"/>
        <v>1.0330000000000001E-3</v>
      </c>
      <c r="AF735" s="136">
        <f t="shared" si="14"/>
        <v>0</v>
      </c>
      <c r="AG735" s="137" t="s">
        <v>416</v>
      </c>
      <c r="AH735" s="124"/>
    </row>
    <row r="736" spans="1:34" ht="12" customHeight="1">
      <c r="A736" s="155">
        <v>44823</v>
      </c>
      <c r="B736" s="112" t="s">
        <v>606</v>
      </c>
      <c r="C736" s="127" t="s">
        <v>485</v>
      </c>
      <c r="D736" s="112"/>
      <c r="E736" s="112" t="str">
        <f t="shared" si="0"/>
        <v>MCLEODRUSS</v>
      </c>
      <c r="F736" s="112"/>
      <c r="G736" s="112"/>
      <c r="H736" s="112"/>
      <c r="I736" s="127" t="s">
        <v>461</v>
      </c>
      <c r="J736" s="126" t="s">
        <v>483</v>
      </c>
      <c r="K736" s="127"/>
      <c r="L736" s="127"/>
      <c r="M736" s="128">
        <v>350</v>
      </c>
      <c r="N736" s="129">
        <v>34.25</v>
      </c>
      <c r="O736" s="130">
        <f t="shared" si="573"/>
        <v>0</v>
      </c>
      <c r="P736" s="130">
        <f t="shared" si="602"/>
        <v>34.25</v>
      </c>
      <c r="Q736" s="130"/>
      <c r="R736" s="130">
        <f t="shared" si="3"/>
        <v>11987.5</v>
      </c>
      <c r="S736" s="131">
        <f t="shared" si="4"/>
        <v>3.5400000000000001E-2</v>
      </c>
      <c r="T736" s="131">
        <f t="shared" si="75"/>
        <v>0</v>
      </c>
      <c r="U736" s="131">
        <f t="shared" si="574"/>
        <v>0.06</v>
      </c>
      <c r="V736" s="131">
        <f t="shared" si="546"/>
        <v>11.99</v>
      </c>
      <c r="W736" s="131">
        <v>0</v>
      </c>
      <c r="X736" s="131">
        <f t="shared" si="582"/>
        <v>0.33</v>
      </c>
      <c r="Y736" s="131">
        <f t="shared" si="218"/>
        <v>0.01</v>
      </c>
      <c r="Z736" s="131">
        <f t="shared" si="10"/>
        <v>12.39</v>
      </c>
      <c r="AA736" s="132">
        <f t="shared" si="603"/>
        <v>11975.11</v>
      </c>
      <c r="AB736" s="133">
        <f t="shared" si="403"/>
        <v>11975</v>
      </c>
      <c r="AC736" s="134">
        <f t="shared" si="48"/>
        <v>-0.11000000000058208</v>
      </c>
      <c r="AD736" s="125"/>
      <c r="AE736" s="135">
        <f t="shared" si="13"/>
        <v>1.034E-3</v>
      </c>
      <c r="AF736" s="136">
        <f t="shared" si="14"/>
        <v>0</v>
      </c>
      <c r="AG736" s="137" t="s">
        <v>416</v>
      </c>
      <c r="AH736" s="124"/>
    </row>
    <row r="737" spans="1:34" ht="12" customHeight="1">
      <c r="A737" s="155">
        <v>44824</v>
      </c>
      <c r="B737" s="112" t="s">
        <v>498</v>
      </c>
      <c r="C737" s="127" t="s">
        <v>485</v>
      </c>
      <c r="D737" s="112"/>
      <c r="E737" s="112" t="str">
        <f t="shared" si="0"/>
        <v>BAJFINANCE</v>
      </c>
      <c r="F737" s="112"/>
      <c r="G737" s="112"/>
      <c r="H737" s="112"/>
      <c r="I737" s="127" t="s">
        <v>461</v>
      </c>
      <c r="J737" s="126" t="s">
        <v>483</v>
      </c>
      <c r="K737" s="127"/>
      <c r="L737" s="127"/>
      <c r="M737" s="128">
        <v>3</v>
      </c>
      <c r="N737" s="129">
        <v>7625.2332999999999</v>
      </c>
      <c r="O737" s="130">
        <f t="shared" si="573"/>
        <v>0</v>
      </c>
      <c r="P737" s="130">
        <f t="shared" si="602"/>
        <v>7625.2332999999999</v>
      </c>
      <c r="Q737" s="130"/>
      <c r="R737" s="130">
        <f t="shared" si="3"/>
        <v>22875.7</v>
      </c>
      <c r="S737" s="131">
        <f t="shared" si="4"/>
        <v>7.879999999999999</v>
      </c>
      <c r="T737" s="131">
        <f t="shared" si="75"/>
        <v>0</v>
      </c>
      <c r="U737" s="131">
        <f t="shared" si="574"/>
        <v>0.11</v>
      </c>
      <c r="V737" s="131">
        <f t="shared" si="546"/>
        <v>22.88</v>
      </c>
      <c r="W737" s="131">
        <v>0</v>
      </c>
      <c r="X737" s="131">
        <f t="shared" si="582"/>
        <v>0.63</v>
      </c>
      <c r="Y737" s="131">
        <f t="shared" si="218"/>
        <v>0.02</v>
      </c>
      <c r="Z737" s="131">
        <f t="shared" si="10"/>
        <v>23.639999999999997</v>
      </c>
      <c r="AA737" s="132">
        <f t="shared" si="603"/>
        <v>22852.06</v>
      </c>
      <c r="AB737" s="133">
        <f t="shared" si="403"/>
        <v>22852</v>
      </c>
      <c r="AC737" s="134">
        <f t="shared" si="48"/>
        <v>-6.0000000001309672E-2</v>
      </c>
      <c r="AD737" s="125"/>
      <c r="AE737" s="135">
        <f t="shared" si="13"/>
        <v>1.0330000000000001E-3</v>
      </c>
      <c r="AF737" s="136">
        <f t="shared" si="14"/>
        <v>0</v>
      </c>
      <c r="AG737" s="137" t="s">
        <v>416</v>
      </c>
      <c r="AH737" s="124"/>
    </row>
    <row r="738" spans="1:34" ht="12" customHeight="1">
      <c r="A738" s="155">
        <v>44824</v>
      </c>
      <c r="B738" s="112" t="s">
        <v>589</v>
      </c>
      <c r="C738" s="127" t="s">
        <v>460</v>
      </c>
      <c r="D738" s="112"/>
      <c r="E738" s="112" t="str">
        <f t="shared" si="0"/>
        <v>DCMSHRIRAM</v>
      </c>
      <c r="F738" s="112"/>
      <c r="G738" s="112"/>
      <c r="H738" s="112"/>
      <c r="I738" s="127" t="s">
        <v>461</v>
      </c>
      <c r="J738" s="126" t="s">
        <v>483</v>
      </c>
      <c r="K738" s="127"/>
      <c r="L738" s="127"/>
      <c r="M738" s="128">
        <v>65</v>
      </c>
      <c r="N738" s="129">
        <v>1069.8499999999999</v>
      </c>
      <c r="O738" s="130">
        <f t="shared" si="573"/>
        <v>0</v>
      </c>
      <c r="P738" s="130">
        <f t="shared" si="602"/>
        <v>1069.8499999999999</v>
      </c>
      <c r="Q738" s="130"/>
      <c r="R738" s="130">
        <f t="shared" si="3"/>
        <v>69540.25</v>
      </c>
      <c r="S738" s="131">
        <f t="shared" si="4"/>
        <v>1.1055384615384616</v>
      </c>
      <c r="T738" s="131">
        <f t="shared" si="75"/>
        <v>0</v>
      </c>
      <c r="U738" s="131">
        <f t="shared" si="574"/>
        <v>0.34</v>
      </c>
      <c r="V738" s="131">
        <f t="shared" si="546"/>
        <v>69.540000000000006</v>
      </c>
      <c r="W738" s="131">
        <v>0</v>
      </c>
      <c r="X738" s="131">
        <f t="shared" si="582"/>
        <v>1.91</v>
      </c>
      <c r="Y738" s="131">
        <f t="shared" si="218"/>
        <v>7.0000000000000007E-2</v>
      </c>
      <c r="Z738" s="131">
        <f t="shared" si="10"/>
        <v>71.86</v>
      </c>
      <c r="AA738" s="132">
        <f t="shared" si="603"/>
        <v>69468.39</v>
      </c>
      <c r="AB738" s="133">
        <f t="shared" si="403"/>
        <v>69468</v>
      </c>
      <c r="AC738" s="134">
        <f t="shared" si="48"/>
        <v>-0.38999999999941792</v>
      </c>
      <c r="AD738" s="125"/>
      <c r="AE738" s="135">
        <f t="shared" si="13"/>
        <v>1.0330000000000001E-3</v>
      </c>
      <c r="AF738" s="136">
        <f t="shared" si="14"/>
        <v>0</v>
      </c>
      <c r="AG738" s="137" t="s">
        <v>416</v>
      </c>
      <c r="AH738" s="124"/>
    </row>
    <row r="739" spans="1:34" ht="12" customHeight="1">
      <c r="A739" s="160">
        <v>44825</v>
      </c>
      <c r="B739" s="140" t="s">
        <v>589</v>
      </c>
      <c r="C739" s="141" t="s">
        <v>460</v>
      </c>
      <c r="D739" s="140"/>
      <c r="E739" s="140" t="str">
        <f t="shared" si="0"/>
        <v>DCMSHRIRAM</v>
      </c>
      <c r="F739" s="140"/>
      <c r="G739" s="140"/>
      <c r="H739" s="140"/>
      <c r="I739" s="141" t="s">
        <v>467</v>
      </c>
      <c r="J739" s="139" t="s">
        <v>483</v>
      </c>
      <c r="K739" s="141"/>
      <c r="L739" s="141"/>
      <c r="M739" s="142">
        <v>25</v>
      </c>
      <c r="N739" s="143">
        <v>1047.0999999999999</v>
      </c>
      <c r="O739" s="144">
        <f t="shared" si="573"/>
        <v>0</v>
      </c>
      <c r="P739" s="144">
        <f t="shared" ref="P739:P742" si="604">N739+O739</f>
        <v>1047.0999999999999</v>
      </c>
      <c r="Q739" s="144"/>
      <c r="R739" s="144">
        <f t="shared" si="3"/>
        <v>26177.5</v>
      </c>
      <c r="S739" s="145">
        <f t="shared" si="4"/>
        <v>1.2396</v>
      </c>
      <c r="T739" s="145">
        <f t="shared" si="75"/>
        <v>0</v>
      </c>
      <c r="U739" s="145">
        <f t="shared" si="574"/>
        <v>0.13</v>
      </c>
      <c r="V739" s="145">
        <f t="shared" si="546"/>
        <v>26.18</v>
      </c>
      <c r="W739" s="145">
        <f t="shared" ref="W739:W742" si="605">ROUND(R739*F$1823,2)</f>
        <v>3.93</v>
      </c>
      <c r="X739" s="145">
        <f t="shared" si="582"/>
        <v>0.72</v>
      </c>
      <c r="Y739" s="145">
        <f t="shared" si="218"/>
        <v>0.03</v>
      </c>
      <c r="Z739" s="146">
        <f t="shared" si="10"/>
        <v>30.99</v>
      </c>
      <c r="AA739" s="147">
        <f t="shared" ref="AA739:AA742" si="606">-ROUND(R739+SUM(T739:Y739),2)</f>
        <v>-26208.49</v>
      </c>
      <c r="AB739" s="148">
        <f t="shared" si="403"/>
        <v>-26208</v>
      </c>
      <c r="AC739" s="149">
        <f t="shared" si="48"/>
        <v>0.49000000000160071</v>
      </c>
      <c r="AD739" s="138"/>
      <c r="AE739" s="150">
        <f t="shared" si="13"/>
        <v>1.1839999999999999E-3</v>
      </c>
      <c r="AF739" s="151">
        <f t="shared" si="14"/>
        <v>0</v>
      </c>
      <c r="AG739" s="152" t="s">
        <v>416</v>
      </c>
      <c r="AH739" s="124"/>
    </row>
    <row r="740" spans="1:34" ht="12" customHeight="1">
      <c r="A740" s="160">
        <v>44826</v>
      </c>
      <c r="B740" s="140" t="s">
        <v>589</v>
      </c>
      <c r="C740" s="141" t="s">
        <v>460</v>
      </c>
      <c r="D740" s="140"/>
      <c r="E740" s="140" t="str">
        <f t="shared" si="0"/>
        <v>DCMSHRIRAM</v>
      </c>
      <c r="F740" s="140"/>
      <c r="G740" s="140"/>
      <c r="H740" s="140"/>
      <c r="I740" s="141" t="s">
        <v>467</v>
      </c>
      <c r="J740" s="139" t="s">
        <v>483</v>
      </c>
      <c r="K740" s="141"/>
      <c r="L740" s="141"/>
      <c r="M740" s="142">
        <v>25</v>
      </c>
      <c r="N740" s="143">
        <v>1040</v>
      </c>
      <c r="O740" s="144">
        <f t="shared" si="573"/>
        <v>0</v>
      </c>
      <c r="P740" s="144">
        <f t="shared" si="604"/>
        <v>1040</v>
      </c>
      <c r="Q740" s="144"/>
      <c r="R740" s="144">
        <f t="shared" si="3"/>
        <v>26000</v>
      </c>
      <c r="S740" s="145">
        <f t="shared" si="4"/>
        <v>1.2311999999999999</v>
      </c>
      <c r="T740" s="145">
        <f t="shared" si="75"/>
        <v>0</v>
      </c>
      <c r="U740" s="145">
        <f t="shared" si="574"/>
        <v>0.13</v>
      </c>
      <c r="V740" s="145">
        <f t="shared" si="546"/>
        <v>26</v>
      </c>
      <c r="W740" s="145">
        <f t="shared" si="605"/>
        <v>3.9</v>
      </c>
      <c r="X740" s="145">
        <f t="shared" si="582"/>
        <v>0.72</v>
      </c>
      <c r="Y740" s="145">
        <f t="shared" si="218"/>
        <v>0.03</v>
      </c>
      <c r="Z740" s="146">
        <f t="shared" si="10"/>
        <v>30.779999999999998</v>
      </c>
      <c r="AA740" s="147">
        <f t="shared" si="606"/>
        <v>-26030.78</v>
      </c>
      <c r="AB740" s="148">
        <f t="shared" si="403"/>
        <v>-26031</v>
      </c>
      <c r="AC740" s="149">
        <f t="shared" si="48"/>
        <v>-0.22000000000116415</v>
      </c>
      <c r="AD740" s="138"/>
      <c r="AE740" s="150">
        <f t="shared" si="13"/>
        <v>1.1839999999999999E-3</v>
      </c>
      <c r="AF740" s="151">
        <f t="shared" si="14"/>
        <v>0</v>
      </c>
      <c r="AG740" s="152" t="s">
        <v>416</v>
      </c>
      <c r="AH740" s="124"/>
    </row>
    <row r="741" spans="1:34" ht="12" customHeight="1">
      <c r="A741" s="160">
        <v>44827</v>
      </c>
      <c r="B741" s="140" t="s">
        <v>589</v>
      </c>
      <c r="C741" s="141" t="s">
        <v>460</v>
      </c>
      <c r="D741" s="140"/>
      <c r="E741" s="140" t="str">
        <f t="shared" si="0"/>
        <v>DCMSHRIRAM</v>
      </c>
      <c r="F741" s="140"/>
      <c r="G741" s="140"/>
      <c r="H741" s="140"/>
      <c r="I741" s="141" t="s">
        <v>467</v>
      </c>
      <c r="J741" s="139" t="s">
        <v>483</v>
      </c>
      <c r="K741" s="141"/>
      <c r="L741" s="141"/>
      <c r="M741" s="142">
        <v>10</v>
      </c>
      <c r="N741" s="143">
        <v>1036</v>
      </c>
      <c r="O741" s="144">
        <f t="shared" si="573"/>
        <v>0</v>
      </c>
      <c r="P741" s="144">
        <f t="shared" si="604"/>
        <v>1036</v>
      </c>
      <c r="Q741" s="144"/>
      <c r="R741" s="144">
        <f t="shared" si="3"/>
        <v>10360</v>
      </c>
      <c r="S741" s="145">
        <f t="shared" si="4"/>
        <v>1.2250000000000001</v>
      </c>
      <c r="T741" s="145">
        <f t="shared" si="75"/>
        <v>0</v>
      </c>
      <c r="U741" s="145">
        <f t="shared" si="574"/>
        <v>0.05</v>
      </c>
      <c r="V741" s="145">
        <f t="shared" si="546"/>
        <v>10.36</v>
      </c>
      <c r="W741" s="145">
        <f t="shared" si="605"/>
        <v>1.55</v>
      </c>
      <c r="X741" s="145">
        <f t="shared" si="582"/>
        <v>0.28000000000000003</v>
      </c>
      <c r="Y741" s="145">
        <f t="shared" si="218"/>
        <v>0.01</v>
      </c>
      <c r="Z741" s="146">
        <f t="shared" si="10"/>
        <v>12.25</v>
      </c>
      <c r="AA741" s="147">
        <f t="shared" si="606"/>
        <v>-10372.25</v>
      </c>
      <c r="AB741" s="148">
        <f t="shared" si="403"/>
        <v>-10372</v>
      </c>
      <c r="AC741" s="149">
        <f t="shared" si="48"/>
        <v>0.25</v>
      </c>
      <c r="AD741" s="138"/>
      <c r="AE741" s="150">
        <f t="shared" si="13"/>
        <v>1.1820000000000001E-3</v>
      </c>
      <c r="AF741" s="151">
        <f t="shared" si="14"/>
        <v>0</v>
      </c>
      <c r="AG741" s="152" t="s">
        <v>416</v>
      </c>
      <c r="AH741" s="124"/>
    </row>
    <row r="742" spans="1:34" ht="12" customHeight="1">
      <c r="A742" s="160">
        <v>44831</v>
      </c>
      <c r="B742" s="140" t="s">
        <v>589</v>
      </c>
      <c r="C742" s="141" t="s">
        <v>460</v>
      </c>
      <c r="D742" s="140"/>
      <c r="E742" s="140" t="str">
        <f t="shared" si="0"/>
        <v>DCMSHRIRAM</v>
      </c>
      <c r="F742" s="140"/>
      <c r="G742" s="140"/>
      <c r="H742" s="140"/>
      <c r="I742" s="141" t="s">
        <v>467</v>
      </c>
      <c r="J742" s="139" t="s">
        <v>483</v>
      </c>
      <c r="K742" s="141"/>
      <c r="L742" s="141"/>
      <c r="M742" s="142">
        <v>10</v>
      </c>
      <c r="N742" s="143">
        <v>1006.5</v>
      </c>
      <c r="O742" s="144">
        <f t="shared" si="573"/>
        <v>0</v>
      </c>
      <c r="P742" s="144">
        <f t="shared" si="604"/>
        <v>1006.5</v>
      </c>
      <c r="Q742" s="144"/>
      <c r="R742" s="144">
        <f t="shared" si="3"/>
        <v>10065</v>
      </c>
      <c r="S742" s="145">
        <f t="shared" si="4"/>
        <v>1.1919999999999999</v>
      </c>
      <c r="T742" s="145">
        <f t="shared" si="75"/>
        <v>0</v>
      </c>
      <c r="U742" s="145">
        <f t="shared" si="574"/>
        <v>0.05</v>
      </c>
      <c r="V742" s="145">
        <f t="shared" si="546"/>
        <v>10.07</v>
      </c>
      <c r="W742" s="145">
        <f t="shared" si="605"/>
        <v>1.51</v>
      </c>
      <c r="X742" s="145">
        <f t="shared" si="582"/>
        <v>0.28000000000000003</v>
      </c>
      <c r="Y742" s="145">
        <f t="shared" si="218"/>
        <v>0.01</v>
      </c>
      <c r="Z742" s="146">
        <f t="shared" si="10"/>
        <v>11.92</v>
      </c>
      <c r="AA742" s="147">
        <f t="shared" si="606"/>
        <v>-10076.92</v>
      </c>
      <c r="AB742" s="148">
        <f t="shared" si="403"/>
        <v>-10077</v>
      </c>
      <c r="AC742" s="149">
        <f t="shared" si="48"/>
        <v>-7.999999999992724E-2</v>
      </c>
      <c r="AD742" s="138"/>
      <c r="AE742" s="150">
        <f t="shared" si="13"/>
        <v>1.1839999999999999E-3</v>
      </c>
      <c r="AF742" s="151">
        <f t="shared" si="14"/>
        <v>0</v>
      </c>
      <c r="AG742" s="152" t="s">
        <v>416</v>
      </c>
      <c r="AH742" s="124"/>
    </row>
    <row r="743" spans="1:34" ht="12" customHeight="1">
      <c r="A743" s="155">
        <v>44832</v>
      </c>
      <c r="B743" s="112" t="s">
        <v>589</v>
      </c>
      <c r="C743" s="127" t="s">
        <v>460</v>
      </c>
      <c r="D743" s="112"/>
      <c r="E743" s="112" t="str">
        <f t="shared" si="0"/>
        <v>DCMSHRIRAM</v>
      </c>
      <c r="F743" s="112"/>
      <c r="G743" s="112"/>
      <c r="H743" s="112"/>
      <c r="I743" s="127" t="s">
        <v>461</v>
      </c>
      <c r="J743" s="126" t="s">
        <v>483</v>
      </c>
      <c r="K743" s="127"/>
      <c r="L743" s="127"/>
      <c r="M743" s="128">
        <v>10</v>
      </c>
      <c r="N743" s="129">
        <v>1016</v>
      </c>
      <c r="O743" s="130">
        <f t="shared" si="573"/>
        <v>0</v>
      </c>
      <c r="P743" s="130">
        <f t="shared" ref="P743:P747" si="607">N743-O743</f>
        <v>1016</v>
      </c>
      <c r="Q743" s="130"/>
      <c r="R743" s="130">
        <f t="shared" si="3"/>
        <v>10160</v>
      </c>
      <c r="S743" s="131">
        <f t="shared" si="4"/>
        <v>1.05</v>
      </c>
      <c r="T743" s="131">
        <f t="shared" si="75"/>
        <v>0</v>
      </c>
      <c r="U743" s="131">
        <f t="shared" si="574"/>
        <v>0.05</v>
      </c>
      <c r="V743" s="131">
        <f t="shared" si="546"/>
        <v>10.16</v>
      </c>
      <c r="W743" s="131">
        <v>0</v>
      </c>
      <c r="X743" s="131">
        <f t="shared" si="582"/>
        <v>0.28000000000000003</v>
      </c>
      <c r="Y743" s="131">
        <f t="shared" si="218"/>
        <v>0.01</v>
      </c>
      <c r="Z743" s="131">
        <f t="shared" si="10"/>
        <v>10.5</v>
      </c>
      <c r="AA743" s="132">
        <f t="shared" ref="AA743:AA747" si="608">ROUND(R743-SUM(T743:Y743),2)</f>
        <v>10149.5</v>
      </c>
      <c r="AB743" s="133">
        <f t="shared" si="403"/>
        <v>10150</v>
      </c>
      <c r="AC743" s="134">
        <f t="shared" si="48"/>
        <v>0.5</v>
      </c>
      <c r="AD743" s="125"/>
      <c r="AE743" s="135">
        <f t="shared" si="13"/>
        <v>1.0330000000000001E-3</v>
      </c>
      <c r="AF743" s="136">
        <f t="shared" si="14"/>
        <v>0</v>
      </c>
      <c r="AG743" s="137" t="s">
        <v>416</v>
      </c>
      <c r="AH743" s="124"/>
    </row>
    <row r="744" spans="1:34" ht="12" customHeight="1">
      <c r="A744" s="155">
        <v>44838</v>
      </c>
      <c r="B744" s="112" t="s">
        <v>589</v>
      </c>
      <c r="C744" s="127" t="s">
        <v>460</v>
      </c>
      <c r="D744" s="112"/>
      <c r="E744" s="112" t="str">
        <f t="shared" si="0"/>
        <v>DCMSHRIRAM</v>
      </c>
      <c r="F744" s="112"/>
      <c r="G744" s="112"/>
      <c r="H744" s="112"/>
      <c r="I744" s="127" t="s">
        <v>461</v>
      </c>
      <c r="J744" s="126" t="s">
        <v>483</v>
      </c>
      <c r="K744" s="127"/>
      <c r="L744" s="127"/>
      <c r="M744" s="128">
        <v>10</v>
      </c>
      <c r="N744" s="129">
        <v>1019.95</v>
      </c>
      <c r="O744" s="130">
        <f t="shared" si="573"/>
        <v>0</v>
      </c>
      <c r="P744" s="130">
        <f t="shared" si="607"/>
        <v>1019.95</v>
      </c>
      <c r="Q744" s="130"/>
      <c r="R744" s="130">
        <f t="shared" si="3"/>
        <v>10199.5</v>
      </c>
      <c r="S744" s="131">
        <f t="shared" si="4"/>
        <v>1.0539999999999998</v>
      </c>
      <c r="T744" s="131">
        <f t="shared" si="75"/>
        <v>0</v>
      </c>
      <c r="U744" s="131">
        <f t="shared" si="574"/>
        <v>0.05</v>
      </c>
      <c r="V744" s="131">
        <f t="shared" si="546"/>
        <v>10.199999999999999</v>
      </c>
      <c r="W744" s="131">
        <v>0</v>
      </c>
      <c r="X744" s="131">
        <f t="shared" si="582"/>
        <v>0.28000000000000003</v>
      </c>
      <c r="Y744" s="131">
        <f t="shared" si="218"/>
        <v>0.01</v>
      </c>
      <c r="Z744" s="131">
        <f t="shared" si="10"/>
        <v>10.54</v>
      </c>
      <c r="AA744" s="132">
        <f t="shared" si="608"/>
        <v>10188.959999999999</v>
      </c>
      <c r="AB744" s="133">
        <f t="shared" si="403"/>
        <v>10189</v>
      </c>
      <c r="AC744" s="134">
        <f t="shared" si="48"/>
        <v>4.0000000000873115E-2</v>
      </c>
      <c r="AD744" s="125"/>
      <c r="AE744" s="135">
        <f t="shared" si="13"/>
        <v>1.0330000000000001E-3</v>
      </c>
      <c r="AF744" s="136">
        <f t="shared" si="14"/>
        <v>0</v>
      </c>
      <c r="AG744" s="137" t="s">
        <v>416</v>
      </c>
      <c r="AH744" s="124"/>
    </row>
    <row r="745" spans="1:34" ht="12" customHeight="1">
      <c r="A745" s="155">
        <v>44851</v>
      </c>
      <c r="B745" s="112" t="s">
        <v>589</v>
      </c>
      <c r="C745" s="127" t="s">
        <v>460</v>
      </c>
      <c r="D745" s="112"/>
      <c r="E745" s="112" t="str">
        <f t="shared" si="0"/>
        <v>DCMSHRIRAM</v>
      </c>
      <c r="F745" s="112"/>
      <c r="G745" s="112"/>
      <c r="H745" s="112"/>
      <c r="I745" s="127" t="s">
        <v>461</v>
      </c>
      <c r="J745" s="126" t="s">
        <v>483</v>
      </c>
      <c r="K745" s="127"/>
      <c r="L745" s="127"/>
      <c r="M745" s="128">
        <v>130</v>
      </c>
      <c r="N745" s="129">
        <v>1066.7335</v>
      </c>
      <c r="O745" s="130">
        <f t="shared" si="573"/>
        <v>0</v>
      </c>
      <c r="P745" s="130">
        <f t="shared" si="607"/>
        <v>1066.7335</v>
      </c>
      <c r="Q745" s="130"/>
      <c r="R745" s="130">
        <f t="shared" si="3"/>
        <v>138675.35999999999</v>
      </c>
      <c r="S745" s="131">
        <f t="shared" si="4"/>
        <v>1.1024615384615384</v>
      </c>
      <c r="T745" s="131">
        <f t="shared" si="75"/>
        <v>0</v>
      </c>
      <c r="U745" s="131">
        <f t="shared" si="574"/>
        <v>0.69</v>
      </c>
      <c r="V745" s="131">
        <f t="shared" si="546"/>
        <v>138.68</v>
      </c>
      <c r="W745" s="131">
        <v>0</v>
      </c>
      <c r="X745" s="131">
        <f t="shared" si="582"/>
        <v>3.81</v>
      </c>
      <c r="Y745" s="131">
        <f t="shared" si="218"/>
        <v>0.14000000000000001</v>
      </c>
      <c r="Z745" s="131">
        <f t="shared" si="10"/>
        <v>143.32</v>
      </c>
      <c r="AA745" s="132">
        <f t="shared" si="608"/>
        <v>138532.04</v>
      </c>
      <c r="AB745" s="133">
        <f t="shared" si="403"/>
        <v>138532</v>
      </c>
      <c r="AC745" s="134">
        <f t="shared" si="48"/>
        <v>-4.0000000008149073E-2</v>
      </c>
      <c r="AD745" s="125"/>
      <c r="AE745" s="135">
        <f t="shared" si="13"/>
        <v>1.0330000000000001E-3</v>
      </c>
      <c r="AF745" s="136">
        <f t="shared" si="14"/>
        <v>0</v>
      </c>
      <c r="AG745" s="137" t="s">
        <v>416</v>
      </c>
      <c r="AH745" s="124"/>
    </row>
    <row r="746" spans="1:34" ht="12" customHeight="1">
      <c r="A746" s="155">
        <v>44852</v>
      </c>
      <c r="B746" s="112" t="s">
        <v>589</v>
      </c>
      <c r="C746" s="127" t="s">
        <v>460</v>
      </c>
      <c r="D746" s="112"/>
      <c r="E746" s="112" t="str">
        <f t="shared" si="0"/>
        <v>DCMSHRIRAM</v>
      </c>
      <c r="F746" s="112"/>
      <c r="G746" s="112"/>
      <c r="H746" s="112"/>
      <c r="I746" s="127" t="s">
        <v>461</v>
      </c>
      <c r="J746" s="126" t="s">
        <v>483</v>
      </c>
      <c r="K746" s="127"/>
      <c r="L746" s="127"/>
      <c r="M746" s="128">
        <v>250</v>
      </c>
      <c r="N746" s="129">
        <v>1096.96</v>
      </c>
      <c r="O746" s="130">
        <f t="shared" si="573"/>
        <v>0</v>
      </c>
      <c r="P746" s="130">
        <f t="shared" si="607"/>
        <v>1096.96</v>
      </c>
      <c r="Q746" s="130"/>
      <c r="R746" s="130">
        <f t="shared" si="3"/>
        <v>274240</v>
      </c>
      <c r="S746" s="131">
        <f t="shared" si="4"/>
        <v>1.1336400000000002</v>
      </c>
      <c r="T746" s="131">
        <f t="shared" si="75"/>
        <v>0</v>
      </c>
      <c r="U746" s="131">
        <f t="shared" si="574"/>
        <v>1.36</v>
      </c>
      <c r="V746" s="131">
        <f t="shared" si="546"/>
        <v>274.24</v>
      </c>
      <c r="W746" s="131">
        <v>0</v>
      </c>
      <c r="X746" s="131">
        <f t="shared" si="582"/>
        <v>7.54</v>
      </c>
      <c r="Y746" s="131">
        <f t="shared" si="218"/>
        <v>0.27</v>
      </c>
      <c r="Z746" s="131">
        <f t="shared" si="10"/>
        <v>283.41000000000003</v>
      </c>
      <c r="AA746" s="132">
        <f t="shared" si="608"/>
        <v>273956.59000000003</v>
      </c>
      <c r="AB746" s="133">
        <f t="shared" si="403"/>
        <v>273957</v>
      </c>
      <c r="AC746" s="134">
        <f t="shared" si="48"/>
        <v>0.40999999997438863</v>
      </c>
      <c r="AD746" s="125"/>
      <c r="AE746" s="135">
        <f t="shared" si="13"/>
        <v>1.0330000000000001E-3</v>
      </c>
      <c r="AF746" s="136">
        <f t="shared" si="14"/>
        <v>0</v>
      </c>
      <c r="AG746" s="137" t="s">
        <v>416</v>
      </c>
      <c r="AH746" s="124"/>
    </row>
    <row r="747" spans="1:34" ht="12" customHeight="1">
      <c r="A747" s="155">
        <v>44853</v>
      </c>
      <c r="B747" s="112" t="s">
        <v>589</v>
      </c>
      <c r="C747" s="127" t="s">
        <v>460</v>
      </c>
      <c r="D747" s="112"/>
      <c r="E747" s="112" t="str">
        <f t="shared" si="0"/>
        <v>DCMSHRIRAM</v>
      </c>
      <c r="F747" s="112"/>
      <c r="G747" s="112"/>
      <c r="H747" s="112"/>
      <c r="I747" s="127" t="s">
        <v>461</v>
      </c>
      <c r="J747" s="126" t="s">
        <v>483</v>
      </c>
      <c r="K747" s="127"/>
      <c r="L747" s="127"/>
      <c r="M747" s="128">
        <v>70</v>
      </c>
      <c r="N747" s="129">
        <v>1095.7285999999999</v>
      </c>
      <c r="O747" s="130">
        <f t="shared" si="573"/>
        <v>0</v>
      </c>
      <c r="P747" s="130">
        <f t="shared" si="607"/>
        <v>1095.7285999999999</v>
      </c>
      <c r="Q747" s="130"/>
      <c r="R747" s="130">
        <f t="shared" si="3"/>
        <v>76701</v>
      </c>
      <c r="S747" s="131">
        <f t="shared" si="4"/>
        <v>1.1324285714285713</v>
      </c>
      <c r="T747" s="131">
        <f t="shared" si="75"/>
        <v>0</v>
      </c>
      <c r="U747" s="131">
        <f t="shared" si="574"/>
        <v>0.38</v>
      </c>
      <c r="V747" s="131">
        <f t="shared" si="546"/>
        <v>76.7</v>
      </c>
      <c r="W747" s="131">
        <v>0</v>
      </c>
      <c r="X747" s="131">
        <f t="shared" si="582"/>
        <v>2.11</v>
      </c>
      <c r="Y747" s="131">
        <f t="shared" si="218"/>
        <v>0.08</v>
      </c>
      <c r="Z747" s="131">
        <f t="shared" si="10"/>
        <v>79.27</v>
      </c>
      <c r="AA747" s="132">
        <f t="shared" si="608"/>
        <v>76621.73</v>
      </c>
      <c r="AB747" s="133">
        <f t="shared" si="403"/>
        <v>76622</v>
      </c>
      <c r="AC747" s="134">
        <f t="shared" si="48"/>
        <v>0.27000000000407454</v>
      </c>
      <c r="AD747" s="125"/>
      <c r="AE747" s="135">
        <f t="shared" si="13"/>
        <v>1.0330000000000001E-3</v>
      </c>
      <c r="AF747" s="136">
        <f t="shared" si="14"/>
        <v>0</v>
      </c>
      <c r="AG747" s="137" t="s">
        <v>416</v>
      </c>
      <c r="AH747" s="124"/>
    </row>
    <row r="748" spans="1:34" ht="12" customHeight="1">
      <c r="A748" s="160">
        <v>44854</v>
      </c>
      <c r="B748" s="140" t="s">
        <v>589</v>
      </c>
      <c r="C748" s="141" t="s">
        <v>460</v>
      </c>
      <c r="D748" s="140"/>
      <c r="E748" s="140" t="str">
        <f t="shared" si="0"/>
        <v>DCMSHRIRAM</v>
      </c>
      <c r="F748" s="140"/>
      <c r="G748" s="140"/>
      <c r="H748" s="140"/>
      <c r="I748" s="141" t="s">
        <v>467</v>
      </c>
      <c r="J748" s="139" t="s">
        <v>483</v>
      </c>
      <c r="K748" s="141"/>
      <c r="L748" s="141"/>
      <c r="M748" s="142">
        <v>475</v>
      </c>
      <c r="N748" s="143">
        <v>1042.5947000000001</v>
      </c>
      <c r="O748" s="144">
        <f t="shared" si="573"/>
        <v>0</v>
      </c>
      <c r="P748" s="144">
        <f>N748+O748</f>
        <v>1042.5947000000001</v>
      </c>
      <c r="Q748" s="144"/>
      <c r="R748" s="144">
        <f t="shared" si="3"/>
        <v>495232.48</v>
      </c>
      <c r="S748" s="145">
        <f t="shared" si="4"/>
        <v>1.2338526315789475</v>
      </c>
      <c r="T748" s="145">
        <f t="shared" si="75"/>
        <v>0</v>
      </c>
      <c r="U748" s="145">
        <f t="shared" si="574"/>
        <v>2.4500000000000002</v>
      </c>
      <c r="V748" s="145">
        <f t="shared" si="546"/>
        <v>495.23</v>
      </c>
      <c r="W748" s="145">
        <f>ROUND(R748*F$1823,2)</f>
        <v>74.28</v>
      </c>
      <c r="X748" s="145">
        <f t="shared" si="582"/>
        <v>13.62</v>
      </c>
      <c r="Y748" s="145">
        <f t="shared" si="218"/>
        <v>0.5</v>
      </c>
      <c r="Z748" s="146">
        <f t="shared" si="10"/>
        <v>586.08000000000004</v>
      </c>
      <c r="AA748" s="147">
        <f>-ROUND(R748+SUM(T748:Y748),2)</f>
        <v>-495818.56</v>
      </c>
      <c r="AB748" s="148">
        <f t="shared" si="403"/>
        <v>-495819</v>
      </c>
      <c r="AC748" s="149">
        <f t="shared" si="48"/>
        <v>-0.44000000000232831</v>
      </c>
      <c r="AD748" s="138"/>
      <c r="AE748" s="150">
        <f t="shared" si="13"/>
        <v>1.183E-3</v>
      </c>
      <c r="AF748" s="151">
        <f t="shared" si="14"/>
        <v>0</v>
      </c>
      <c r="AG748" s="152" t="s">
        <v>416</v>
      </c>
      <c r="AH748" s="124"/>
    </row>
    <row r="749" spans="1:34" ht="12" customHeight="1">
      <c r="A749" s="155">
        <v>44855</v>
      </c>
      <c r="B749" s="112" t="s">
        <v>589</v>
      </c>
      <c r="C749" s="127" t="s">
        <v>460</v>
      </c>
      <c r="D749" s="112"/>
      <c r="E749" s="112" t="str">
        <f t="shared" si="0"/>
        <v>DCMSHRIRAM</v>
      </c>
      <c r="F749" s="112"/>
      <c r="G749" s="112"/>
      <c r="H749" s="112"/>
      <c r="I749" s="127" t="s">
        <v>461</v>
      </c>
      <c r="J749" s="126" t="s">
        <v>483</v>
      </c>
      <c r="K749" s="127"/>
      <c r="L749" s="127"/>
      <c r="M749" s="128">
        <v>25</v>
      </c>
      <c r="N749" s="129">
        <v>1080</v>
      </c>
      <c r="O749" s="130">
        <f t="shared" si="573"/>
        <v>0</v>
      </c>
      <c r="P749" s="130">
        <f t="shared" ref="P749:P752" si="609">N749-O749</f>
        <v>1080</v>
      </c>
      <c r="Q749" s="130"/>
      <c r="R749" s="130">
        <f t="shared" si="3"/>
        <v>27000</v>
      </c>
      <c r="S749" s="131">
        <f t="shared" si="4"/>
        <v>1.1159999999999999</v>
      </c>
      <c r="T749" s="131">
        <f t="shared" si="75"/>
        <v>0</v>
      </c>
      <c r="U749" s="131">
        <f t="shared" si="574"/>
        <v>0.13</v>
      </c>
      <c r="V749" s="131">
        <f t="shared" si="546"/>
        <v>27</v>
      </c>
      <c r="W749" s="131">
        <v>0</v>
      </c>
      <c r="X749" s="131">
        <f t="shared" si="582"/>
        <v>0.74</v>
      </c>
      <c r="Y749" s="131">
        <f t="shared" si="218"/>
        <v>0.03</v>
      </c>
      <c r="Z749" s="131">
        <f t="shared" si="10"/>
        <v>27.9</v>
      </c>
      <c r="AA749" s="132">
        <f t="shared" ref="AA749:AA752" si="610">ROUND(R749-SUM(T749:Y749),2)</f>
        <v>26972.1</v>
      </c>
      <c r="AB749" s="133">
        <f t="shared" si="403"/>
        <v>26972</v>
      </c>
      <c r="AC749" s="134">
        <f t="shared" si="48"/>
        <v>-9.9999999998544808E-2</v>
      </c>
      <c r="AD749" s="125"/>
      <c r="AE749" s="135">
        <f t="shared" si="13"/>
        <v>1.0330000000000001E-3</v>
      </c>
      <c r="AF749" s="136">
        <f t="shared" si="14"/>
        <v>0</v>
      </c>
      <c r="AG749" s="137" t="s">
        <v>416</v>
      </c>
      <c r="AH749" s="124"/>
    </row>
    <row r="750" spans="1:34" ht="12" customHeight="1">
      <c r="A750" s="155">
        <v>44858</v>
      </c>
      <c r="B750" s="112" t="s">
        <v>589</v>
      </c>
      <c r="C750" s="127" t="s">
        <v>460</v>
      </c>
      <c r="D750" s="112"/>
      <c r="E750" s="112" t="str">
        <f t="shared" si="0"/>
        <v>DCMSHRIRAM</v>
      </c>
      <c r="F750" s="112"/>
      <c r="G750" s="112"/>
      <c r="H750" s="112"/>
      <c r="I750" s="127" t="s">
        <v>461</v>
      </c>
      <c r="J750" s="126" t="s">
        <v>483</v>
      </c>
      <c r="K750" s="127"/>
      <c r="L750" s="127"/>
      <c r="M750" s="128">
        <v>10</v>
      </c>
      <c r="N750" s="129">
        <v>1069.5</v>
      </c>
      <c r="O750" s="130">
        <f t="shared" si="573"/>
        <v>0</v>
      </c>
      <c r="P750" s="130">
        <f t="shared" si="609"/>
        <v>1069.5</v>
      </c>
      <c r="Q750" s="130"/>
      <c r="R750" s="130">
        <f t="shared" si="3"/>
        <v>10695</v>
      </c>
      <c r="S750" s="131">
        <f t="shared" si="4"/>
        <v>1.105</v>
      </c>
      <c r="T750" s="131">
        <f t="shared" si="75"/>
        <v>0</v>
      </c>
      <c r="U750" s="131">
        <f t="shared" si="574"/>
        <v>0.05</v>
      </c>
      <c r="V750" s="131">
        <f t="shared" si="546"/>
        <v>10.7</v>
      </c>
      <c r="W750" s="131">
        <v>0</v>
      </c>
      <c r="X750" s="131">
        <f t="shared" si="582"/>
        <v>0.28999999999999998</v>
      </c>
      <c r="Y750" s="131">
        <f t="shared" si="218"/>
        <v>0.01</v>
      </c>
      <c r="Z750" s="131">
        <f t="shared" si="10"/>
        <v>11.049999999999999</v>
      </c>
      <c r="AA750" s="132">
        <f t="shared" si="610"/>
        <v>10683.95</v>
      </c>
      <c r="AB750" s="133">
        <f t="shared" si="403"/>
        <v>10684</v>
      </c>
      <c r="AC750" s="134">
        <f t="shared" si="48"/>
        <v>4.9999999999272404E-2</v>
      </c>
      <c r="AD750" s="125"/>
      <c r="AE750" s="135">
        <f t="shared" si="13"/>
        <v>1.0330000000000001E-3</v>
      </c>
      <c r="AF750" s="136">
        <f t="shared" si="14"/>
        <v>0</v>
      </c>
      <c r="AG750" s="137" t="s">
        <v>416</v>
      </c>
      <c r="AH750" s="124"/>
    </row>
    <row r="751" spans="1:34" ht="12" customHeight="1">
      <c r="A751" s="155">
        <v>44859</v>
      </c>
      <c r="B751" s="112" t="s">
        <v>637</v>
      </c>
      <c r="C751" s="127" t="s">
        <v>485</v>
      </c>
      <c r="D751" s="112"/>
      <c r="E751" s="112" t="str">
        <f t="shared" si="0"/>
        <v>BANKBARODA</v>
      </c>
      <c r="F751" s="112"/>
      <c r="G751" s="112"/>
      <c r="H751" s="112"/>
      <c r="I751" s="127" t="s">
        <v>461</v>
      </c>
      <c r="J751" s="126" t="s">
        <v>483</v>
      </c>
      <c r="K751" s="127"/>
      <c r="L751" s="127"/>
      <c r="M751" s="128">
        <v>25</v>
      </c>
      <c r="N751" s="129">
        <v>148.1</v>
      </c>
      <c r="O751" s="130">
        <f t="shared" si="573"/>
        <v>0</v>
      </c>
      <c r="P751" s="130">
        <f t="shared" si="609"/>
        <v>148.1</v>
      </c>
      <c r="Q751" s="130"/>
      <c r="R751" s="130">
        <f t="shared" si="3"/>
        <v>3702.5</v>
      </c>
      <c r="S751" s="131">
        <f t="shared" si="4"/>
        <v>0.15280000000000002</v>
      </c>
      <c r="T751" s="131">
        <f t="shared" si="75"/>
        <v>0</v>
      </c>
      <c r="U751" s="131">
        <f t="shared" si="574"/>
        <v>0.02</v>
      </c>
      <c r="V751" s="131">
        <f t="shared" si="546"/>
        <v>3.7</v>
      </c>
      <c r="W751" s="131">
        <v>0</v>
      </c>
      <c r="X751" s="131">
        <f t="shared" si="582"/>
        <v>0.1</v>
      </c>
      <c r="Y751" s="131">
        <f t="shared" si="218"/>
        <v>0</v>
      </c>
      <c r="Z751" s="131">
        <f t="shared" si="10"/>
        <v>3.8200000000000003</v>
      </c>
      <c r="AA751" s="132">
        <f t="shared" si="610"/>
        <v>3698.68</v>
      </c>
      <c r="AB751" s="133">
        <f t="shared" si="403"/>
        <v>3699</v>
      </c>
      <c r="AC751" s="134">
        <f t="shared" si="48"/>
        <v>0.32000000000016371</v>
      </c>
      <c r="AD751" s="125"/>
      <c r="AE751" s="135">
        <f t="shared" si="13"/>
        <v>1.0319999999999999E-3</v>
      </c>
      <c r="AF751" s="136">
        <f t="shared" si="14"/>
        <v>0</v>
      </c>
      <c r="AG751" s="137" t="s">
        <v>416</v>
      </c>
      <c r="AH751" s="124"/>
    </row>
    <row r="752" spans="1:34" ht="12" customHeight="1">
      <c r="A752" s="155">
        <v>44865</v>
      </c>
      <c r="B752" s="112" t="s">
        <v>632</v>
      </c>
      <c r="C752" s="127" t="s">
        <v>485</v>
      </c>
      <c r="D752" s="112"/>
      <c r="E752" s="112" t="str">
        <f t="shared" si="0"/>
        <v>LT</v>
      </c>
      <c r="F752" s="112"/>
      <c r="G752" s="112"/>
      <c r="H752" s="112"/>
      <c r="I752" s="127" t="s">
        <v>461</v>
      </c>
      <c r="J752" s="126" t="s">
        <v>483</v>
      </c>
      <c r="K752" s="127"/>
      <c r="L752" s="127"/>
      <c r="M752" s="128">
        <v>20</v>
      </c>
      <c r="N752" s="129">
        <v>2000</v>
      </c>
      <c r="O752" s="130">
        <f t="shared" si="573"/>
        <v>0</v>
      </c>
      <c r="P752" s="130">
        <f t="shared" si="609"/>
        <v>2000</v>
      </c>
      <c r="Q752" s="130"/>
      <c r="R752" s="130">
        <f t="shared" si="3"/>
        <v>40000</v>
      </c>
      <c r="S752" s="131">
        <f t="shared" si="4"/>
        <v>2.0670000000000002</v>
      </c>
      <c r="T752" s="131">
        <f t="shared" si="75"/>
        <v>0</v>
      </c>
      <c r="U752" s="131">
        <f t="shared" si="574"/>
        <v>0.2</v>
      </c>
      <c r="V752" s="131">
        <f t="shared" si="546"/>
        <v>40</v>
      </c>
      <c r="W752" s="131">
        <v>0</v>
      </c>
      <c r="X752" s="131">
        <f t="shared" si="582"/>
        <v>1.1000000000000001</v>
      </c>
      <c r="Y752" s="131">
        <f t="shared" si="218"/>
        <v>0.04</v>
      </c>
      <c r="Z752" s="131">
        <f t="shared" si="10"/>
        <v>41.34</v>
      </c>
      <c r="AA752" s="132">
        <f t="shared" si="610"/>
        <v>39958.660000000003</v>
      </c>
      <c r="AB752" s="133">
        <f t="shared" si="403"/>
        <v>39959</v>
      </c>
      <c r="AC752" s="134">
        <f t="shared" si="48"/>
        <v>0.33999999999650754</v>
      </c>
      <c r="AD752" s="125"/>
      <c r="AE752" s="135">
        <f t="shared" si="13"/>
        <v>1.034E-3</v>
      </c>
      <c r="AF752" s="136">
        <f t="shared" si="14"/>
        <v>0</v>
      </c>
      <c r="AG752" s="137" t="s">
        <v>416</v>
      </c>
      <c r="AH752" s="124"/>
    </row>
    <row r="753" spans="1:34" ht="12" customHeight="1">
      <c r="A753" s="160">
        <v>44865</v>
      </c>
      <c r="B753" s="140" t="s">
        <v>589</v>
      </c>
      <c r="C753" s="141" t="s">
        <v>460</v>
      </c>
      <c r="D753" s="140"/>
      <c r="E753" s="140" t="str">
        <f t="shared" si="0"/>
        <v>DCMSHRIRAM</v>
      </c>
      <c r="F753" s="140"/>
      <c r="G753" s="140"/>
      <c r="H753" s="140"/>
      <c r="I753" s="141" t="s">
        <v>467</v>
      </c>
      <c r="J753" s="139" t="s">
        <v>483</v>
      </c>
      <c r="K753" s="141"/>
      <c r="L753" s="141"/>
      <c r="M753" s="142">
        <v>20</v>
      </c>
      <c r="N753" s="143">
        <v>1053</v>
      </c>
      <c r="O753" s="144">
        <f t="shared" si="573"/>
        <v>0</v>
      </c>
      <c r="P753" s="144">
        <f t="shared" ref="P753:P755" si="611">N753+O753</f>
        <v>1053</v>
      </c>
      <c r="Q753" s="144"/>
      <c r="R753" s="144">
        <f t="shared" si="3"/>
        <v>21060</v>
      </c>
      <c r="S753" s="145">
        <f t="shared" si="4"/>
        <v>1.246</v>
      </c>
      <c r="T753" s="145">
        <f t="shared" si="75"/>
        <v>0</v>
      </c>
      <c r="U753" s="145">
        <f t="shared" si="574"/>
        <v>0.1</v>
      </c>
      <c r="V753" s="145">
        <f t="shared" si="546"/>
        <v>21.06</v>
      </c>
      <c r="W753" s="145">
        <f t="shared" ref="W753:W755" si="612">ROUND(R753*F$1823,2)</f>
        <v>3.16</v>
      </c>
      <c r="X753" s="145">
        <f t="shared" si="582"/>
        <v>0.57999999999999996</v>
      </c>
      <c r="Y753" s="145">
        <f t="shared" si="218"/>
        <v>0.02</v>
      </c>
      <c r="Z753" s="146">
        <f t="shared" si="10"/>
        <v>24.919999999999998</v>
      </c>
      <c r="AA753" s="147">
        <f t="shared" ref="AA753:AA755" si="613">-ROUND(R753+SUM(T753:Y753),2)</f>
        <v>-21084.92</v>
      </c>
      <c r="AB753" s="148">
        <f t="shared" si="403"/>
        <v>-21085</v>
      </c>
      <c r="AC753" s="149">
        <f t="shared" si="48"/>
        <v>-8.000000000174623E-2</v>
      </c>
      <c r="AD753" s="138"/>
      <c r="AE753" s="150">
        <f t="shared" si="13"/>
        <v>1.183E-3</v>
      </c>
      <c r="AF753" s="151">
        <f t="shared" si="14"/>
        <v>0</v>
      </c>
      <c r="AG753" s="152" t="s">
        <v>416</v>
      </c>
      <c r="AH753" s="124"/>
    </row>
    <row r="754" spans="1:34" ht="12" customHeight="1">
      <c r="A754" s="160">
        <v>44866</v>
      </c>
      <c r="B754" s="140" t="s">
        <v>589</v>
      </c>
      <c r="C754" s="141" t="s">
        <v>460</v>
      </c>
      <c r="D754" s="140"/>
      <c r="E754" s="140" t="str">
        <f t="shared" si="0"/>
        <v>DCMSHRIRAM</v>
      </c>
      <c r="F754" s="140"/>
      <c r="G754" s="140"/>
      <c r="H754" s="140"/>
      <c r="I754" s="141" t="s">
        <v>467</v>
      </c>
      <c r="J754" s="139" t="s">
        <v>483</v>
      </c>
      <c r="K754" s="141"/>
      <c r="L754" s="141"/>
      <c r="M754" s="142">
        <v>20</v>
      </c>
      <c r="N754" s="143">
        <v>1044</v>
      </c>
      <c r="O754" s="144">
        <f t="shared" si="573"/>
        <v>0</v>
      </c>
      <c r="P754" s="144">
        <f t="shared" si="611"/>
        <v>1044</v>
      </c>
      <c r="Q754" s="144"/>
      <c r="R754" s="144">
        <f t="shared" si="3"/>
        <v>20880</v>
      </c>
      <c r="S754" s="145">
        <f t="shared" si="4"/>
        <v>1.2349999999999999</v>
      </c>
      <c r="T754" s="145">
        <f t="shared" si="75"/>
        <v>0</v>
      </c>
      <c r="U754" s="145">
        <f t="shared" si="574"/>
        <v>0.1</v>
      </c>
      <c r="V754" s="145">
        <f t="shared" si="546"/>
        <v>20.88</v>
      </c>
      <c r="W754" s="145">
        <f t="shared" si="612"/>
        <v>3.13</v>
      </c>
      <c r="X754" s="145">
        <f t="shared" si="582"/>
        <v>0.56999999999999995</v>
      </c>
      <c r="Y754" s="145">
        <f t="shared" si="218"/>
        <v>0.02</v>
      </c>
      <c r="Z754" s="146">
        <f t="shared" si="10"/>
        <v>24.7</v>
      </c>
      <c r="AA754" s="147">
        <f t="shared" si="613"/>
        <v>-20904.7</v>
      </c>
      <c r="AB754" s="148">
        <f t="shared" si="403"/>
        <v>-20905</v>
      </c>
      <c r="AC754" s="149">
        <f t="shared" si="48"/>
        <v>-0.2999999999992724</v>
      </c>
      <c r="AD754" s="138"/>
      <c r="AE754" s="150">
        <f t="shared" si="13"/>
        <v>1.183E-3</v>
      </c>
      <c r="AF754" s="151">
        <f t="shared" si="14"/>
        <v>0</v>
      </c>
      <c r="AG754" s="152" t="s">
        <v>416</v>
      </c>
      <c r="AH754" s="124"/>
    </row>
    <row r="755" spans="1:34" ht="12" customHeight="1">
      <c r="A755" s="160">
        <v>44868</v>
      </c>
      <c r="B755" s="140" t="s">
        <v>589</v>
      </c>
      <c r="C755" s="141" t="s">
        <v>460</v>
      </c>
      <c r="D755" s="140"/>
      <c r="E755" s="140" t="str">
        <f t="shared" si="0"/>
        <v>DCMSHRIRAM</v>
      </c>
      <c r="F755" s="140"/>
      <c r="G755" s="140"/>
      <c r="H755" s="140"/>
      <c r="I755" s="141" t="s">
        <v>467</v>
      </c>
      <c r="J755" s="139" t="s">
        <v>483</v>
      </c>
      <c r="K755" s="141"/>
      <c r="L755" s="141"/>
      <c r="M755" s="142">
        <v>20</v>
      </c>
      <c r="N755" s="143">
        <v>1030</v>
      </c>
      <c r="O755" s="144">
        <f t="shared" si="573"/>
        <v>0</v>
      </c>
      <c r="P755" s="144">
        <f t="shared" si="611"/>
        <v>1030</v>
      </c>
      <c r="Q755" s="144"/>
      <c r="R755" s="144">
        <f t="shared" si="3"/>
        <v>20600</v>
      </c>
      <c r="S755" s="145">
        <f t="shared" si="4"/>
        <v>1.2190000000000001</v>
      </c>
      <c r="T755" s="145">
        <f t="shared" si="75"/>
        <v>0</v>
      </c>
      <c r="U755" s="145">
        <f t="shared" si="574"/>
        <v>0.1</v>
      </c>
      <c r="V755" s="145">
        <f t="shared" si="546"/>
        <v>20.6</v>
      </c>
      <c r="W755" s="145">
        <f t="shared" si="612"/>
        <v>3.09</v>
      </c>
      <c r="X755" s="145">
        <f t="shared" si="582"/>
        <v>0.56999999999999995</v>
      </c>
      <c r="Y755" s="145">
        <f t="shared" si="218"/>
        <v>0.02</v>
      </c>
      <c r="Z755" s="146">
        <f t="shared" si="10"/>
        <v>24.380000000000003</v>
      </c>
      <c r="AA755" s="147">
        <f t="shared" si="613"/>
        <v>-20624.38</v>
      </c>
      <c r="AB755" s="148">
        <f t="shared" si="403"/>
        <v>-20624</v>
      </c>
      <c r="AC755" s="149">
        <f t="shared" si="48"/>
        <v>0.38000000000101863</v>
      </c>
      <c r="AD755" s="138"/>
      <c r="AE755" s="150">
        <f t="shared" si="13"/>
        <v>1.183E-3</v>
      </c>
      <c r="AF755" s="151">
        <f t="shared" si="14"/>
        <v>0</v>
      </c>
      <c r="AG755" s="152" t="s">
        <v>416</v>
      </c>
      <c r="AH755" s="124"/>
    </row>
    <row r="756" spans="1:34" ht="12" customHeight="1">
      <c r="A756" s="155">
        <v>44874</v>
      </c>
      <c r="B756" s="112" t="s">
        <v>589</v>
      </c>
      <c r="C756" s="127" t="s">
        <v>460</v>
      </c>
      <c r="D756" s="112"/>
      <c r="E756" s="112" t="str">
        <f t="shared" si="0"/>
        <v>DCMSHRIRAM</v>
      </c>
      <c r="F756" s="112"/>
      <c r="G756" s="112"/>
      <c r="H756" s="112"/>
      <c r="I756" s="127" t="s">
        <v>461</v>
      </c>
      <c r="J756" s="126" t="s">
        <v>483</v>
      </c>
      <c r="K756" s="127"/>
      <c r="L756" s="127"/>
      <c r="M756" s="128">
        <v>40</v>
      </c>
      <c r="N756" s="129">
        <v>1046</v>
      </c>
      <c r="O756" s="130">
        <f t="shared" si="573"/>
        <v>0</v>
      </c>
      <c r="P756" s="130">
        <f t="shared" ref="P756:P757" si="614">N756-O756</f>
        <v>1046</v>
      </c>
      <c r="Q756" s="130"/>
      <c r="R756" s="130">
        <f t="shared" si="3"/>
        <v>41840</v>
      </c>
      <c r="S756" s="131">
        <f t="shared" si="4"/>
        <v>1.081</v>
      </c>
      <c r="T756" s="131">
        <f t="shared" si="75"/>
        <v>0</v>
      </c>
      <c r="U756" s="131">
        <f t="shared" si="574"/>
        <v>0.21</v>
      </c>
      <c r="V756" s="131">
        <f t="shared" si="546"/>
        <v>41.84</v>
      </c>
      <c r="W756" s="131">
        <v>0</v>
      </c>
      <c r="X756" s="131">
        <f t="shared" si="582"/>
        <v>1.1499999999999999</v>
      </c>
      <c r="Y756" s="131">
        <f t="shared" si="218"/>
        <v>0.04</v>
      </c>
      <c r="Z756" s="131">
        <f t="shared" si="10"/>
        <v>43.24</v>
      </c>
      <c r="AA756" s="132">
        <f t="shared" ref="AA756:AA757" si="615">ROUND(R756-SUM(T756:Y756),2)</f>
        <v>41796.76</v>
      </c>
      <c r="AB756" s="133">
        <f t="shared" si="403"/>
        <v>41797</v>
      </c>
      <c r="AC756" s="134">
        <f t="shared" si="48"/>
        <v>0.23999999999796273</v>
      </c>
      <c r="AD756" s="125"/>
      <c r="AE756" s="135">
        <f t="shared" si="13"/>
        <v>1.0330000000000001E-3</v>
      </c>
      <c r="AF756" s="136">
        <f t="shared" si="14"/>
        <v>0</v>
      </c>
      <c r="AG756" s="137" t="s">
        <v>416</v>
      </c>
      <c r="AH756" s="124"/>
    </row>
    <row r="757" spans="1:34" ht="12" customHeight="1">
      <c r="A757" s="155">
        <v>44876</v>
      </c>
      <c r="B757" s="112" t="s">
        <v>641</v>
      </c>
      <c r="C757" s="127" t="s">
        <v>485</v>
      </c>
      <c r="D757" s="112"/>
      <c r="E757" s="112" t="str">
        <f t="shared" si="0"/>
        <v>DCXINDIA</v>
      </c>
      <c r="F757" s="112"/>
      <c r="G757" s="112"/>
      <c r="H757" s="112"/>
      <c r="I757" s="127" t="s">
        <v>461</v>
      </c>
      <c r="J757" s="126" t="s">
        <v>483</v>
      </c>
      <c r="K757" s="127"/>
      <c r="L757" s="127"/>
      <c r="M757" s="128">
        <v>72</v>
      </c>
      <c r="N757" s="129">
        <v>295</v>
      </c>
      <c r="O757" s="130">
        <f t="shared" si="573"/>
        <v>0</v>
      </c>
      <c r="P757" s="130">
        <f t="shared" si="614"/>
        <v>295</v>
      </c>
      <c r="Q757" s="130"/>
      <c r="R757" s="130">
        <f t="shared" si="3"/>
        <v>21240</v>
      </c>
      <c r="S757" s="131">
        <f t="shared" si="4"/>
        <v>0.30472222222222217</v>
      </c>
      <c r="T757" s="131">
        <f t="shared" si="75"/>
        <v>0</v>
      </c>
      <c r="U757" s="131">
        <f t="shared" si="574"/>
        <v>0.1</v>
      </c>
      <c r="V757" s="131">
        <f t="shared" si="546"/>
        <v>21.24</v>
      </c>
      <c r="W757" s="131">
        <v>0</v>
      </c>
      <c r="X757" s="131">
        <f t="shared" si="582"/>
        <v>0.57999999999999996</v>
      </c>
      <c r="Y757" s="131">
        <f t="shared" si="218"/>
        <v>0.02</v>
      </c>
      <c r="Z757" s="131">
        <f t="shared" si="10"/>
        <v>21.939999999999998</v>
      </c>
      <c r="AA757" s="132">
        <f t="shared" si="615"/>
        <v>21218.06</v>
      </c>
      <c r="AB757" s="133">
        <f t="shared" si="403"/>
        <v>21218</v>
      </c>
      <c r="AC757" s="134">
        <f t="shared" si="48"/>
        <v>-6.0000000001309672E-2</v>
      </c>
      <c r="AD757" s="125"/>
      <c r="AE757" s="135">
        <f t="shared" si="13"/>
        <v>1.0330000000000001E-3</v>
      </c>
      <c r="AF757" s="136">
        <f t="shared" si="14"/>
        <v>0</v>
      </c>
      <c r="AG757" s="137" t="s">
        <v>416</v>
      </c>
      <c r="AH757" s="124"/>
    </row>
    <row r="758" spans="1:34" ht="12" customHeight="1">
      <c r="A758" s="160">
        <v>44876</v>
      </c>
      <c r="B758" s="140" t="s">
        <v>589</v>
      </c>
      <c r="C758" s="141" t="s">
        <v>460</v>
      </c>
      <c r="D758" s="140"/>
      <c r="E758" s="140" t="str">
        <f t="shared" si="0"/>
        <v>DCMSHRIRAM</v>
      </c>
      <c r="F758" s="140"/>
      <c r="G758" s="140"/>
      <c r="H758" s="140"/>
      <c r="I758" s="141" t="s">
        <v>467</v>
      </c>
      <c r="J758" s="139" t="s">
        <v>483</v>
      </c>
      <c r="K758" s="141"/>
      <c r="L758" s="141"/>
      <c r="M758" s="142">
        <v>45</v>
      </c>
      <c r="N758" s="143">
        <v>1027.9111</v>
      </c>
      <c r="O758" s="144">
        <f t="shared" si="573"/>
        <v>0</v>
      </c>
      <c r="P758" s="144">
        <f>N758+O758</f>
        <v>1027.9111</v>
      </c>
      <c r="Q758" s="144"/>
      <c r="R758" s="144">
        <f t="shared" si="3"/>
        <v>46256</v>
      </c>
      <c r="S758" s="145">
        <f t="shared" si="4"/>
        <v>1.2166666666666666</v>
      </c>
      <c r="T758" s="145">
        <f t="shared" si="75"/>
        <v>0</v>
      </c>
      <c r="U758" s="145">
        <f t="shared" si="574"/>
        <v>0.23</v>
      </c>
      <c r="V758" s="145">
        <f t="shared" si="546"/>
        <v>46.26</v>
      </c>
      <c r="W758" s="145">
        <f>ROUND(R758*F$1823,2)</f>
        <v>6.94</v>
      </c>
      <c r="X758" s="145">
        <f t="shared" si="582"/>
        <v>1.27</v>
      </c>
      <c r="Y758" s="145">
        <f t="shared" si="218"/>
        <v>0.05</v>
      </c>
      <c r="Z758" s="146">
        <f t="shared" si="10"/>
        <v>54.749999999999993</v>
      </c>
      <c r="AA758" s="147">
        <f>-ROUND(R758+SUM(T758:Y758),2)</f>
        <v>-46310.75</v>
      </c>
      <c r="AB758" s="148">
        <f t="shared" si="403"/>
        <v>-46311</v>
      </c>
      <c r="AC758" s="149">
        <f t="shared" si="48"/>
        <v>-0.25</v>
      </c>
      <c r="AD758" s="138"/>
      <c r="AE758" s="150">
        <f t="shared" si="13"/>
        <v>1.1839999999999999E-3</v>
      </c>
      <c r="AF758" s="151">
        <f t="shared" si="14"/>
        <v>0</v>
      </c>
      <c r="AG758" s="152" t="s">
        <v>416</v>
      </c>
      <c r="AH758" s="124"/>
    </row>
    <row r="759" spans="1:34" ht="12" customHeight="1">
      <c r="A759" s="155">
        <v>44879</v>
      </c>
      <c r="B759" s="112" t="s">
        <v>480</v>
      </c>
      <c r="C759" s="127" t="s">
        <v>485</v>
      </c>
      <c r="D759" s="112"/>
      <c r="E759" s="112" t="str">
        <f t="shared" si="0"/>
        <v>ADANIENT</v>
      </c>
      <c r="F759" s="112"/>
      <c r="G759" s="112"/>
      <c r="H759" s="112"/>
      <c r="I759" s="127" t="s">
        <v>461</v>
      </c>
      <c r="J759" s="126" t="s">
        <v>483</v>
      </c>
      <c r="K759" s="127"/>
      <c r="L759" s="127"/>
      <c r="M759" s="128">
        <v>1</v>
      </c>
      <c r="N759" s="129">
        <v>4060</v>
      </c>
      <c r="O759" s="130">
        <f t="shared" si="573"/>
        <v>0</v>
      </c>
      <c r="P759" s="130">
        <f t="shared" ref="P759:P760" si="616">N759-O759</f>
        <v>4060</v>
      </c>
      <c r="Q759" s="130"/>
      <c r="R759" s="130">
        <f t="shared" si="3"/>
        <v>4060</v>
      </c>
      <c r="S759" s="131">
        <f t="shared" si="4"/>
        <v>4.1899999999999995</v>
      </c>
      <c r="T759" s="131">
        <f t="shared" si="75"/>
        <v>0</v>
      </c>
      <c r="U759" s="131">
        <f t="shared" si="574"/>
        <v>0.02</v>
      </c>
      <c r="V759" s="131">
        <f t="shared" si="546"/>
        <v>4.0599999999999996</v>
      </c>
      <c r="W759" s="131">
        <v>0</v>
      </c>
      <c r="X759" s="131">
        <f t="shared" si="582"/>
        <v>0.11</v>
      </c>
      <c r="Y759" s="131">
        <f t="shared" si="218"/>
        <v>0</v>
      </c>
      <c r="Z759" s="131">
        <f t="shared" si="10"/>
        <v>4.1899999999999995</v>
      </c>
      <c r="AA759" s="132">
        <f t="shared" ref="AA759:AA760" si="617">ROUND(R759-SUM(T759:Y759),2)</f>
        <v>4055.81</v>
      </c>
      <c r="AB759" s="133">
        <f t="shared" si="403"/>
        <v>4056</v>
      </c>
      <c r="AC759" s="134">
        <f t="shared" si="48"/>
        <v>0.19000000000005457</v>
      </c>
      <c r="AD759" s="125"/>
      <c r="AE759" s="135">
        <f t="shared" si="13"/>
        <v>1.0319999999999999E-3</v>
      </c>
      <c r="AF759" s="136">
        <f t="shared" si="14"/>
        <v>0</v>
      </c>
      <c r="AG759" s="137" t="s">
        <v>416</v>
      </c>
      <c r="AH759" s="124"/>
    </row>
    <row r="760" spans="1:34" ht="12" customHeight="1">
      <c r="A760" s="155">
        <v>44879</v>
      </c>
      <c r="B760" s="112" t="s">
        <v>545</v>
      </c>
      <c r="C760" s="127" t="s">
        <v>485</v>
      </c>
      <c r="D760" s="112"/>
      <c r="E760" s="112" t="str">
        <f t="shared" si="0"/>
        <v>DCBBANK</v>
      </c>
      <c r="F760" s="112"/>
      <c r="G760" s="112"/>
      <c r="H760" s="112"/>
      <c r="I760" s="127" t="s">
        <v>461</v>
      </c>
      <c r="J760" s="126" t="s">
        <v>483</v>
      </c>
      <c r="K760" s="127"/>
      <c r="L760" s="127"/>
      <c r="M760" s="128">
        <v>100</v>
      </c>
      <c r="N760" s="129">
        <v>121</v>
      </c>
      <c r="O760" s="130">
        <f t="shared" si="573"/>
        <v>0</v>
      </c>
      <c r="P760" s="130">
        <f t="shared" si="616"/>
        <v>121</v>
      </c>
      <c r="Q760" s="130"/>
      <c r="R760" s="130">
        <f t="shared" si="3"/>
        <v>12100</v>
      </c>
      <c r="S760" s="131">
        <f t="shared" si="4"/>
        <v>0.125</v>
      </c>
      <c r="T760" s="131">
        <f t="shared" si="75"/>
        <v>0</v>
      </c>
      <c r="U760" s="131">
        <f t="shared" si="574"/>
        <v>0.06</v>
      </c>
      <c r="V760" s="131">
        <f t="shared" si="546"/>
        <v>12.1</v>
      </c>
      <c r="W760" s="131">
        <v>0</v>
      </c>
      <c r="X760" s="131">
        <f t="shared" si="582"/>
        <v>0.33</v>
      </c>
      <c r="Y760" s="131">
        <f t="shared" si="218"/>
        <v>0.01</v>
      </c>
      <c r="Z760" s="131">
        <f t="shared" si="10"/>
        <v>12.5</v>
      </c>
      <c r="AA760" s="132">
        <f t="shared" si="617"/>
        <v>12087.5</v>
      </c>
      <c r="AB760" s="133">
        <f t="shared" si="403"/>
        <v>12088</v>
      </c>
      <c r="AC760" s="134">
        <f t="shared" si="48"/>
        <v>0.5</v>
      </c>
      <c r="AD760" s="125"/>
      <c r="AE760" s="135">
        <f t="shared" si="13"/>
        <v>1.0330000000000001E-3</v>
      </c>
      <c r="AF760" s="136">
        <f t="shared" si="14"/>
        <v>0</v>
      </c>
      <c r="AG760" s="137" t="s">
        <v>416</v>
      </c>
      <c r="AH760" s="124"/>
    </row>
    <row r="761" spans="1:34" ht="12" customHeight="1">
      <c r="A761" s="160">
        <v>44879</v>
      </c>
      <c r="B761" s="140" t="s">
        <v>589</v>
      </c>
      <c r="C761" s="141" t="s">
        <v>460</v>
      </c>
      <c r="D761" s="140"/>
      <c r="E761" s="140" t="str">
        <f t="shared" si="0"/>
        <v>DCMSHRIRAM</v>
      </c>
      <c r="F761" s="140"/>
      <c r="G761" s="140"/>
      <c r="H761" s="140"/>
      <c r="I761" s="141" t="s">
        <v>467</v>
      </c>
      <c r="J761" s="139" t="s">
        <v>483</v>
      </c>
      <c r="K761" s="141"/>
      <c r="L761" s="141"/>
      <c r="M761" s="142">
        <v>3</v>
      </c>
      <c r="N761" s="143">
        <v>937.4</v>
      </c>
      <c r="O761" s="144">
        <f t="shared" si="573"/>
        <v>0</v>
      </c>
      <c r="P761" s="144">
        <f t="shared" ref="P761:P762" si="618">N761+O761</f>
        <v>937.4</v>
      </c>
      <c r="Q761" s="144"/>
      <c r="R761" s="144">
        <f t="shared" si="3"/>
        <v>2812.2</v>
      </c>
      <c r="S761" s="145">
        <f t="shared" si="4"/>
        <v>1.1066666666666667</v>
      </c>
      <c r="T761" s="145">
        <f t="shared" si="75"/>
        <v>0</v>
      </c>
      <c r="U761" s="145">
        <f t="shared" si="574"/>
        <v>0.01</v>
      </c>
      <c r="V761" s="145">
        <f t="shared" si="546"/>
        <v>2.81</v>
      </c>
      <c r="W761" s="145">
        <f t="shared" ref="W761:W762" si="619">ROUND(R761*F$1823,2)</f>
        <v>0.42</v>
      </c>
      <c r="X761" s="145">
        <f t="shared" si="582"/>
        <v>0.08</v>
      </c>
      <c r="Y761" s="145">
        <f t="shared" si="218"/>
        <v>0</v>
      </c>
      <c r="Z761" s="146">
        <f t="shared" si="10"/>
        <v>3.32</v>
      </c>
      <c r="AA761" s="147">
        <f t="shared" ref="AA761:AA762" si="620">-ROUND(R761+SUM(T761:Y761),2)</f>
        <v>-2815.52</v>
      </c>
      <c r="AB761" s="148">
        <f t="shared" si="403"/>
        <v>-2816</v>
      </c>
      <c r="AC761" s="149">
        <f t="shared" si="48"/>
        <v>-0.48000000000001819</v>
      </c>
      <c r="AD761" s="138"/>
      <c r="AE761" s="150">
        <f t="shared" si="13"/>
        <v>1.181E-3</v>
      </c>
      <c r="AF761" s="151">
        <f t="shared" si="14"/>
        <v>0</v>
      </c>
      <c r="AG761" s="152" t="s">
        <v>416</v>
      </c>
      <c r="AH761" s="124"/>
    </row>
    <row r="762" spans="1:34" ht="12" customHeight="1">
      <c r="A762" s="160">
        <v>44880</v>
      </c>
      <c r="B762" s="140" t="s">
        <v>589</v>
      </c>
      <c r="C762" s="141" t="s">
        <v>460</v>
      </c>
      <c r="D762" s="140"/>
      <c r="E762" s="140" t="str">
        <f t="shared" si="0"/>
        <v>DCMSHRIRAM</v>
      </c>
      <c r="F762" s="140"/>
      <c r="G762" s="140"/>
      <c r="H762" s="140"/>
      <c r="I762" s="141" t="s">
        <v>467</v>
      </c>
      <c r="J762" s="139" t="s">
        <v>483</v>
      </c>
      <c r="K762" s="141"/>
      <c r="L762" s="141"/>
      <c r="M762" s="142">
        <v>8</v>
      </c>
      <c r="N762" s="143">
        <v>904.01250000000005</v>
      </c>
      <c r="O762" s="144">
        <f t="shared" si="573"/>
        <v>0</v>
      </c>
      <c r="P762" s="144">
        <f t="shared" si="618"/>
        <v>904.01250000000005</v>
      </c>
      <c r="Q762" s="144"/>
      <c r="R762" s="144">
        <f t="shared" si="3"/>
        <v>7232.1</v>
      </c>
      <c r="S762" s="145">
        <f t="shared" si="4"/>
        <v>1.07</v>
      </c>
      <c r="T762" s="145">
        <f t="shared" si="75"/>
        <v>0</v>
      </c>
      <c r="U762" s="145">
        <f t="shared" si="574"/>
        <v>0.04</v>
      </c>
      <c r="V762" s="145">
        <f t="shared" si="546"/>
        <v>7.23</v>
      </c>
      <c r="W762" s="145">
        <f t="shared" si="619"/>
        <v>1.08</v>
      </c>
      <c r="X762" s="145">
        <f t="shared" si="582"/>
        <v>0.2</v>
      </c>
      <c r="Y762" s="145">
        <f t="shared" si="218"/>
        <v>0.01</v>
      </c>
      <c r="Z762" s="146">
        <f t="shared" si="10"/>
        <v>8.56</v>
      </c>
      <c r="AA762" s="147">
        <f t="shared" si="620"/>
        <v>-7240.66</v>
      </c>
      <c r="AB762" s="148">
        <f t="shared" si="403"/>
        <v>-7241</v>
      </c>
      <c r="AC762" s="149">
        <f t="shared" si="48"/>
        <v>-0.34000000000014552</v>
      </c>
      <c r="AD762" s="138"/>
      <c r="AE762" s="150">
        <f t="shared" si="13"/>
        <v>1.1839999999999999E-3</v>
      </c>
      <c r="AF762" s="151">
        <f t="shared" si="14"/>
        <v>0</v>
      </c>
      <c r="AG762" s="152" t="s">
        <v>416</v>
      </c>
      <c r="AH762" s="124"/>
    </row>
    <row r="763" spans="1:34" ht="12" customHeight="1">
      <c r="A763" s="155">
        <v>44880</v>
      </c>
      <c r="B763" s="112" t="s">
        <v>545</v>
      </c>
      <c r="C763" s="127" t="s">
        <v>485</v>
      </c>
      <c r="D763" s="112"/>
      <c r="E763" s="112" t="str">
        <f t="shared" si="0"/>
        <v>DCBBANK</v>
      </c>
      <c r="F763" s="112"/>
      <c r="G763" s="112"/>
      <c r="H763" s="112"/>
      <c r="I763" s="127" t="s">
        <v>461</v>
      </c>
      <c r="J763" s="126" t="s">
        <v>483</v>
      </c>
      <c r="K763" s="127"/>
      <c r="L763" s="127"/>
      <c r="M763" s="128">
        <v>100</v>
      </c>
      <c r="N763" s="129">
        <v>121.5</v>
      </c>
      <c r="O763" s="130">
        <f t="shared" si="573"/>
        <v>0</v>
      </c>
      <c r="P763" s="130">
        <f t="shared" ref="P763:P765" si="621">N763-O763</f>
        <v>121.5</v>
      </c>
      <c r="Q763" s="130"/>
      <c r="R763" s="130">
        <f t="shared" si="3"/>
        <v>12150</v>
      </c>
      <c r="S763" s="131">
        <f t="shared" si="4"/>
        <v>0.1255</v>
      </c>
      <c r="T763" s="131">
        <f t="shared" si="75"/>
        <v>0</v>
      </c>
      <c r="U763" s="131">
        <f t="shared" si="574"/>
        <v>0.06</v>
      </c>
      <c r="V763" s="131">
        <f t="shared" si="546"/>
        <v>12.15</v>
      </c>
      <c r="W763" s="131">
        <v>0</v>
      </c>
      <c r="X763" s="131">
        <f t="shared" si="582"/>
        <v>0.33</v>
      </c>
      <c r="Y763" s="131">
        <f t="shared" si="218"/>
        <v>0.01</v>
      </c>
      <c r="Z763" s="131">
        <f t="shared" si="10"/>
        <v>12.55</v>
      </c>
      <c r="AA763" s="132">
        <f t="shared" ref="AA763:AA765" si="622">ROUND(R763-SUM(T763:Y763),2)</f>
        <v>12137.45</v>
      </c>
      <c r="AB763" s="133">
        <f t="shared" si="403"/>
        <v>12137</v>
      </c>
      <c r="AC763" s="134">
        <f t="shared" si="48"/>
        <v>-0.4500000000007276</v>
      </c>
      <c r="AD763" s="125"/>
      <c r="AE763" s="135">
        <f t="shared" si="13"/>
        <v>1.0330000000000001E-3</v>
      </c>
      <c r="AF763" s="136">
        <f t="shared" si="14"/>
        <v>0</v>
      </c>
      <c r="AG763" s="137" t="s">
        <v>416</v>
      </c>
      <c r="AH763" s="124"/>
    </row>
    <row r="764" spans="1:34" ht="12" customHeight="1">
      <c r="A764" s="155">
        <v>44880</v>
      </c>
      <c r="B764" s="112" t="s">
        <v>640</v>
      </c>
      <c r="C764" s="127" t="s">
        <v>485</v>
      </c>
      <c r="D764" s="112"/>
      <c r="E764" s="112" t="str">
        <f t="shared" si="0"/>
        <v>NTPC</v>
      </c>
      <c r="F764" s="112"/>
      <c r="G764" s="112"/>
      <c r="H764" s="112"/>
      <c r="I764" s="127" t="s">
        <v>461</v>
      </c>
      <c r="J764" s="126" t="s">
        <v>483</v>
      </c>
      <c r="K764" s="127"/>
      <c r="L764" s="127"/>
      <c r="M764" s="128">
        <v>20</v>
      </c>
      <c r="N764" s="129">
        <v>173.5</v>
      </c>
      <c r="O764" s="130">
        <f t="shared" si="573"/>
        <v>0</v>
      </c>
      <c r="P764" s="130">
        <f t="shared" si="621"/>
        <v>173.5</v>
      </c>
      <c r="Q764" s="130"/>
      <c r="R764" s="130">
        <f t="shared" si="3"/>
        <v>3470</v>
      </c>
      <c r="S764" s="131">
        <f t="shared" si="4"/>
        <v>0.17950000000000002</v>
      </c>
      <c r="T764" s="131">
        <f t="shared" si="75"/>
        <v>0</v>
      </c>
      <c r="U764" s="131">
        <f t="shared" si="574"/>
        <v>0.02</v>
      </c>
      <c r="V764" s="131">
        <f t="shared" si="546"/>
        <v>3.47</v>
      </c>
      <c r="W764" s="131">
        <v>0</v>
      </c>
      <c r="X764" s="131">
        <f t="shared" si="582"/>
        <v>0.1</v>
      </c>
      <c r="Y764" s="131">
        <f t="shared" si="218"/>
        <v>0</v>
      </c>
      <c r="Z764" s="131">
        <f t="shared" si="10"/>
        <v>3.5900000000000003</v>
      </c>
      <c r="AA764" s="132">
        <f t="shared" si="622"/>
        <v>3466.41</v>
      </c>
      <c r="AB764" s="133">
        <f t="shared" si="403"/>
        <v>3466</v>
      </c>
      <c r="AC764" s="134">
        <f t="shared" si="48"/>
        <v>-0.40999999999985448</v>
      </c>
      <c r="AD764" s="125"/>
      <c r="AE764" s="135">
        <f t="shared" si="13"/>
        <v>1.0349999999999999E-3</v>
      </c>
      <c r="AF764" s="136">
        <f t="shared" si="14"/>
        <v>0</v>
      </c>
      <c r="AG764" s="137" t="s">
        <v>416</v>
      </c>
      <c r="AH764" s="124"/>
    </row>
    <row r="765" spans="1:34" ht="12" customHeight="1">
      <c r="A765" s="155">
        <v>44881</v>
      </c>
      <c r="B765" s="112" t="s">
        <v>589</v>
      </c>
      <c r="C765" s="127" t="s">
        <v>460</v>
      </c>
      <c r="D765" s="112"/>
      <c r="E765" s="112" t="str">
        <f t="shared" si="0"/>
        <v>DCMSHRIRAM</v>
      </c>
      <c r="F765" s="112"/>
      <c r="G765" s="112"/>
      <c r="H765" s="112"/>
      <c r="I765" s="127" t="s">
        <v>461</v>
      </c>
      <c r="J765" s="126" t="s">
        <v>483</v>
      </c>
      <c r="K765" s="127"/>
      <c r="L765" s="127"/>
      <c r="M765" s="128">
        <v>10</v>
      </c>
      <c r="N765" s="129">
        <v>894</v>
      </c>
      <c r="O765" s="130">
        <f t="shared" si="573"/>
        <v>0</v>
      </c>
      <c r="P765" s="130">
        <f t="shared" si="621"/>
        <v>894</v>
      </c>
      <c r="Q765" s="130"/>
      <c r="R765" s="130">
        <f t="shared" si="3"/>
        <v>8940</v>
      </c>
      <c r="S765" s="131">
        <f t="shared" si="4"/>
        <v>0.92500000000000004</v>
      </c>
      <c r="T765" s="131">
        <f t="shared" si="75"/>
        <v>0</v>
      </c>
      <c r="U765" s="131">
        <f t="shared" si="574"/>
        <v>0.05</v>
      </c>
      <c r="V765" s="131">
        <f t="shared" si="546"/>
        <v>8.94</v>
      </c>
      <c r="W765" s="131">
        <v>0</v>
      </c>
      <c r="X765" s="131">
        <f t="shared" si="582"/>
        <v>0.25</v>
      </c>
      <c r="Y765" s="131">
        <f t="shared" si="218"/>
        <v>0.01</v>
      </c>
      <c r="Z765" s="131">
        <f t="shared" si="10"/>
        <v>9.25</v>
      </c>
      <c r="AA765" s="132">
        <f t="shared" si="622"/>
        <v>8930.75</v>
      </c>
      <c r="AB765" s="133">
        <f t="shared" si="403"/>
        <v>8931</v>
      </c>
      <c r="AC765" s="134">
        <f t="shared" si="48"/>
        <v>0.25</v>
      </c>
      <c r="AD765" s="125"/>
      <c r="AE765" s="135">
        <f t="shared" si="13"/>
        <v>1.0349999999999999E-3</v>
      </c>
      <c r="AF765" s="136">
        <f t="shared" si="14"/>
        <v>0</v>
      </c>
      <c r="AG765" s="137" t="s">
        <v>416</v>
      </c>
      <c r="AH765" s="124"/>
    </row>
    <row r="766" spans="1:34" ht="12" customHeight="1">
      <c r="A766" s="160">
        <v>44882</v>
      </c>
      <c r="B766" s="140" t="s">
        <v>589</v>
      </c>
      <c r="C766" s="141" t="s">
        <v>460</v>
      </c>
      <c r="D766" s="140"/>
      <c r="E766" s="140" t="str">
        <f t="shared" si="0"/>
        <v>DCMSHRIRAM</v>
      </c>
      <c r="F766" s="140"/>
      <c r="G766" s="140"/>
      <c r="H766" s="140"/>
      <c r="I766" s="141" t="s">
        <v>467</v>
      </c>
      <c r="J766" s="139" t="s">
        <v>483</v>
      </c>
      <c r="K766" s="141"/>
      <c r="L766" s="141"/>
      <c r="M766" s="142">
        <v>20</v>
      </c>
      <c r="N766" s="143">
        <v>884</v>
      </c>
      <c r="O766" s="144">
        <f t="shared" si="573"/>
        <v>0</v>
      </c>
      <c r="P766" s="144">
        <f>N766+O766</f>
        <v>884</v>
      </c>
      <c r="Q766" s="144"/>
      <c r="R766" s="144">
        <f t="shared" si="3"/>
        <v>17680</v>
      </c>
      <c r="S766" s="145">
        <f t="shared" si="4"/>
        <v>1.0464999999999998</v>
      </c>
      <c r="T766" s="145">
        <f t="shared" si="75"/>
        <v>0</v>
      </c>
      <c r="U766" s="145">
        <f t="shared" si="574"/>
        <v>0.09</v>
      </c>
      <c r="V766" s="145">
        <f t="shared" si="546"/>
        <v>17.68</v>
      </c>
      <c r="W766" s="145">
        <f>ROUND(R766*F$1823,2)</f>
        <v>2.65</v>
      </c>
      <c r="X766" s="145">
        <f t="shared" si="582"/>
        <v>0.49</v>
      </c>
      <c r="Y766" s="145">
        <f t="shared" si="218"/>
        <v>0.02</v>
      </c>
      <c r="Z766" s="146">
        <f t="shared" si="10"/>
        <v>20.929999999999996</v>
      </c>
      <c r="AA766" s="147">
        <f>-ROUND(R766+SUM(T766:Y766),2)</f>
        <v>-17700.93</v>
      </c>
      <c r="AB766" s="148">
        <f t="shared" si="403"/>
        <v>-17701</v>
      </c>
      <c r="AC766" s="149">
        <f t="shared" si="48"/>
        <v>-6.9999999999708962E-2</v>
      </c>
      <c r="AD766" s="138"/>
      <c r="AE766" s="150">
        <f t="shared" si="13"/>
        <v>1.1839999999999999E-3</v>
      </c>
      <c r="AF766" s="151">
        <f t="shared" si="14"/>
        <v>0</v>
      </c>
      <c r="AG766" s="152" t="s">
        <v>416</v>
      </c>
      <c r="AH766" s="124"/>
    </row>
    <row r="767" spans="1:34" ht="12" customHeight="1">
      <c r="A767" s="155">
        <v>44883</v>
      </c>
      <c r="B767" s="112" t="s">
        <v>589</v>
      </c>
      <c r="C767" s="127" t="s">
        <v>460</v>
      </c>
      <c r="D767" s="112"/>
      <c r="E767" s="112" t="str">
        <f t="shared" si="0"/>
        <v>DCMSHRIRAM</v>
      </c>
      <c r="F767" s="112"/>
      <c r="G767" s="112"/>
      <c r="H767" s="112"/>
      <c r="I767" s="127" t="s">
        <v>461</v>
      </c>
      <c r="J767" s="126" t="s">
        <v>483</v>
      </c>
      <c r="K767" s="127"/>
      <c r="L767" s="127"/>
      <c r="M767" s="128">
        <v>10</v>
      </c>
      <c r="N767" s="129">
        <v>896.15</v>
      </c>
      <c r="O767" s="130">
        <f t="shared" si="573"/>
        <v>0</v>
      </c>
      <c r="P767" s="130">
        <f>N767-O767</f>
        <v>896.15</v>
      </c>
      <c r="Q767" s="130"/>
      <c r="R767" s="130">
        <f t="shared" si="3"/>
        <v>8961.5</v>
      </c>
      <c r="S767" s="131">
        <f t="shared" si="4"/>
        <v>0.92700000000000016</v>
      </c>
      <c r="T767" s="131">
        <f t="shared" si="75"/>
        <v>0</v>
      </c>
      <c r="U767" s="131">
        <f t="shared" si="574"/>
        <v>0.05</v>
      </c>
      <c r="V767" s="131">
        <f t="shared" si="546"/>
        <v>8.9600000000000009</v>
      </c>
      <c r="W767" s="131">
        <v>0</v>
      </c>
      <c r="X767" s="131">
        <f t="shared" si="582"/>
        <v>0.25</v>
      </c>
      <c r="Y767" s="131">
        <f t="shared" si="218"/>
        <v>0.01</v>
      </c>
      <c r="Z767" s="131">
        <f t="shared" si="10"/>
        <v>9.2700000000000014</v>
      </c>
      <c r="AA767" s="132">
        <f>ROUND(R767-SUM(T767:Y767),2)</f>
        <v>8952.23</v>
      </c>
      <c r="AB767" s="133">
        <f t="shared" si="403"/>
        <v>8952</v>
      </c>
      <c r="AC767" s="134">
        <f t="shared" si="48"/>
        <v>-0.22999999999956344</v>
      </c>
      <c r="AD767" s="125"/>
      <c r="AE767" s="135">
        <f t="shared" si="13"/>
        <v>1.034E-3</v>
      </c>
      <c r="AF767" s="136">
        <f t="shared" si="14"/>
        <v>0</v>
      </c>
      <c r="AG767" s="137" t="s">
        <v>416</v>
      </c>
      <c r="AH767" s="124"/>
    </row>
    <row r="768" spans="1:34" ht="12" customHeight="1">
      <c r="A768" s="160">
        <v>44888</v>
      </c>
      <c r="B768" s="140" t="s">
        <v>589</v>
      </c>
      <c r="C768" s="141" t="s">
        <v>460</v>
      </c>
      <c r="D768" s="140"/>
      <c r="E768" s="140" t="str">
        <f t="shared" si="0"/>
        <v>DCMSHRIRAM</v>
      </c>
      <c r="F768" s="140"/>
      <c r="G768" s="140"/>
      <c r="H768" s="140"/>
      <c r="I768" s="141" t="s">
        <v>467</v>
      </c>
      <c r="J768" s="139" t="s">
        <v>483</v>
      </c>
      <c r="K768" s="141"/>
      <c r="L768" s="141"/>
      <c r="M768" s="142">
        <v>10</v>
      </c>
      <c r="N768" s="143">
        <v>862</v>
      </c>
      <c r="O768" s="144">
        <f t="shared" si="573"/>
        <v>0</v>
      </c>
      <c r="P768" s="144">
        <f>N768+O768</f>
        <v>862</v>
      </c>
      <c r="Q768" s="144"/>
      <c r="R768" s="144">
        <f t="shared" si="3"/>
        <v>8620</v>
      </c>
      <c r="S768" s="145">
        <f t="shared" si="4"/>
        <v>1.02</v>
      </c>
      <c r="T768" s="145">
        <f t="shared" si="75"/>
        <v>0</v>
      </c>
      <c r="U768" s="145">
        <f t="shared" si="574"/>
        <v>0.04</v>
      </c>
      <c r="V768" s="145">
        <f t="shared" si="546"/>
        <v>8.6199999999999992</v>
      </c>
      <c r="W768" s="145">
        <f>ROUND(R768*F$1823,2)</f>
        <v>1.29</v>
      </c>
      <c r="X768" s="145">
        <f t="shared" si="582"/>
        <v>0.24</v>
      </c>
      <c r="Y768" s="145">
        <f t="shared" si="218"/>
        <v>0.01</v>
      </c>
      <c r="Z768" s="146">
        <f t="shared" si="10"/>
        <v>10.199999999999999</v>
      </c>
      <c r="AA768" s="147">
        <f>-ROUND(R768+SUM(T768:Y768),2)</f>
        <v>-8630.2000000000007</v>
      </c>
      <c r="AB768" s="148">
        <f t="shared" si="403"/>
        <v>-8630</v>
      </c>
      <c r="AC768" s="149">
        <f t="shared" si="48"/>
        <v>0.2000000000007276</v>
      </c>
      <c r="AD768" s="138"/>
      <c r="AE768" s="150">
        <f t="shared" si="13"/>
        <v>1.183E-3</v>
      </c>
      <c r="AF768" s="151">
        <f t="shared" si="14"/>
        <v>0</v>
      </c>
      <c r="AG768" s="152" t="s">
        <v>416</v>
      </c>
      <c r="AH768" s="124"/>
    </row>
    <row r="769" spans="1:34" ht="12" customHeight="1">
      <c r="A769" s="155">
        <v>44889</v>
      </c>
      <c r="B769" s="112" t="s">
        <v>472</v>
      </c>
      <c r="C769" s="127" t="s">
        <v>485</v>
      </c>
      <c r="D769" s="112"/>
      <c r="E769" s="112" t="str">
        <f t="shared" si="0"/>
        <v>INFY</v>
      </c>
      <c r="F769" s="112"/>
      <c r="G769" s="112"/>
      <c r="H769" s="112"/>
      <c r="I769" s="127" t="s">
        <v>461</v>
      </c>
      <c r="J769" s="126" t="s">
        <v>483</v>
      </c>
      <c r="K769" s="127"/>
      <c r="L769" s="127"/>
      <c r="M769" s="128">
        <v>7</v>
      </c>
      <c r="N769" s="129">
        <v>1620</v>
      </c>
      <c r="O769" s="130">
        <f t="shared" si="573"/>
        <v>0</v>
      </c>
      <c r="P769" s="130">
        <f t="shared" ref="P769:P771" si="623">N769-O769</f>
        <v>1620</v>
      </c>
      <c r="Q769" s="130"/>
      <c r="R769" s="130">
        <f t="shared" si="3"/>
        <v>11340</v>
      </c>
      <c r="S769" s="131">
        <f t="shared" si="4"/>
        <v>1.6742857142857144</v>
      </c>
      <c r="T769" s="131">
        <f t="shared" si="75"/>
        <v>0</v>
      </c>
      <c r="U769" s="131">
        <f t="shared" si="574"/>
        <v>0.06</v>
      </c>
      <c r="V769" s="131">
        <f t="shared" si="546"/>
        <v>11.34</v>
      </c>
      <c r="W769" s="131">
        <v>0</v>
      </c>
      <c r="X769" s="131">
        <f t="shared" si="582"/>
        <v>0.31</v>
      </c>
      <c r="Y769" s="131">
        <f t="shared" si="218"/>
        <v>0.01</v>
      </c>
      <c r="Z769" s="131">
        <f t="shared" si="10"/>
        <v>11.72</v>
      </c>
      <c r="AA769" s="132">
        <f t="shared" ref="AA769:AA771" si="624">ROUND(R769-SUM(T769:Y769),2)</f>
        <v>11328.28</v>
      </c>
      <c r="AB769" s="133">
        <f t="shared" si="403"/>
        <v>11328</v>
      </c>
      <c r="AC769" s="134">
        <f t="shared" si="48"/>
        <v>-0.28000000000065484</v>
      </c>
      <c r="AD769" s="125"/>
      <c r="AE769" s="135">
        <f t="shared" si="13"/>
        <v>1.034E-3</v>
      </c>
      <c r="AF769" s="136">
        <f t="shared" si="14"/>
        <v>0</v>
      </c>
      <c r="AG769" s="137" t="s">
        <v>416</v>
      </c>
      <c r="AH769" s="124"/>
    </row>
    <row r="770" spans="1:34" ht="12" customHeight="1">
      <c r="A770" s="155">
        <v>44889</v>
      </c>
      <c r="B770" s="112" t="s">
        <v>588</v>
      </c>
      <c r="C770" s="127" t="s">
        <v>485</v>
      </c>
      <c r="D770" s="112"/>
      <c r="E770" s="112" t="str">
        <f t="shared" si="0"/>
        <v>TCS</v>
      </c>
      <c r="F770" s="112"/>
      <c r="G770" s="112"/>
      <c r="H770" s="112"/>
      <c r="I770" s="127" t="s">
        <v>461</v>
      </c>
      <c r="J770" s="126" t="s">
        <v>483</v>
      </c>
      <c r="K770" s="127"/>
      <c r="L770" s="127"/>
      <c r="M770" s="128">
        <v>2</v>
      </c>
      <c r="N770" s="129">
        <v>3360</v>
      </c>
      <c r="O770" s="130">
        <f t="shared" si="573"/>
        <v>0</v>
      </c>
      <c r="P770" s="130">
        <f t="shared" si="623"/>
        <v>3360</v>
      </c>
      <c r="Q770" s="130"/>
      <c r="R770" s="130">
        <f t="shared" si="3"/>
        <v>6720</v>
      </c>
      <c r="S770" s="131">
        <f t="shared" si="4"/>
        <v>3.4699999999999998</v>
      </c>
      <c r="T770" s="131">
        <f t="shared" si="75"/>
        <v>0</v>
      </c>
      <c r="U770" s="131">
        <f t="shared" si="574"/>
        <v>0.03</v>
      </c>
      <c r="V770" s="131">
        <f t="shared" si="546"/>
        <v>6.72</v>
      </c>
      <c r="W770" s="131">
        <v>0</v>
      </c>
      <c r="X770" s="131">
        <f t="shared" si="582"/>
        <v>0.18</v>
      </c>
      <c r="Y770" s="131">
        <f t="shared" si="218"/>
        <v>0.01</v>
      </c>
      <c r="Z770" s="131">
        <f t="shared" si="10"/>
        <v>6.9399999999999995</v>
      </c>
      <c r="AA770" s="132">
        <f t="shared" si="624"/>
        <v>6713.06</v>
      </c>
      <c r="AB770" s="133">
        <f t="shared" si="403"/>
        <v>6713</v>
      </c>
      <c r="AC770" s="134">
        <f t="shared" si="48"/>
        <v>-6.0000000000400178E-2</v>
      </c>
      <c r="AD770" s="125"/>
      <c r="AE770" s="135">
        <f t="shared" si="13"/>
        <v>1.0330000000000001E-3</v>
      </c>
      <c r="AF770" s="136">
        <f t="shared" si="14"/>
        <v>0</v>
      </c>
      <c r="AG770" s="137" t="s">
        <v>416</v>
      </c>
      <c r="AH770" s="124"/>
    </row>
    <row r="771" spans="1:34" ht="12" customHeight="1">
      <c r="A771" s="155">
        <v>44889</v>
      </c>
      <c r="B771" s="112" t="s">
        <v>642</v>
      </c>
      <c r="C771" s="127" t="s">
        <v>485</v>
      </c>
      <c r="D771" s="112"/>
      <c r="E771" s="112" t="str">
        <f t="shared" si="0"/>
        <v>ACI</v>
      </c>
      <c r="F771" s="112"/>
      <c r="G771" s="112"/>
      <c r="H771" s="112"/>
      <c r="I771" s="127" t="s">
        <v>461</v>
      </c>
      <c r="J771" s="126" t="s">
        <v>483</v>
      </c>
      <c r="K771" s="127"/>
      <c r="L771" s="127"/>
      <c r="M771" s="128">
        <v>36</v>
      </c>
      <c r="N771" s="129">
        <v>475</v>
      </c>
      <c r="O771" s="130">
        <f t="shared" si="573"/>
        <v>0</v>
      </c>
      <c r="P771" s="130">
        <f t="shared" si="623"/>
        <v>475</v>
      </c>
      <c r="Q771" s="130"/>
      <c r="R771" s="130">
        <f t="shared" si="3"/>
        <v>17100</v>
      </c>
      <c r="S771" s="131">
        <f t="shared" si="4"/>
        <v>0.49083333333333329</v>
      </c>
      <c r="T771" s="131">
        <f t="shared" si="75"/>
        <v>0</v>
      </c>
      <c r="U771" s="131">
        <f t="shared" si="574"/>
        <v>0.08</v>
      </c>
      <c r="V771" s="131">
        <f t="shared" si="546"/>
        <v>17.100000000000001</v>
      </c>
      <c r="W771" s="131">
        <v>0</v>
      </c>
      <c r="X771" s="131">
        <f t="shared" si="582"/>
        <v>0.47</v>
      </c>
      <c r="Y771" s="131">
        <f t="shared" si="218"/>
        <v>0.02</v>
      </c>
      <c r="Z771" s="131">
        <f t="shared" si="10"/>
        <v>17.669999999999998</v>
      </c>
      <c r="AA771" s="132">
        <f t="shared" si="624"/>
        <v>17082.330000000002</v>
      </c>
      <c r="AB771" s="133">
        <f t="shared" si="403"/>
        <v>17082</v>
      </c>
      <c r="AC771" s="134">
        <f t="shared" si="48"/>
        <v>-0.33000000000174623</v>
      </c>
      <c r="AD771" s="125"/>
      <c r="AE771" s="135">
        <f t="shared" si="13"/>
        <v>1.0330000000000001E-3</v>
      </c>
      <c r="AF771" s="136">
        <f t="shared" si="14"/>
        <v>0</v>
      </c>
      <c r="AG771" s="137" t="s">
        <v>416</v>
      </c>
      <c r="AH771" s="124"/>
    </row>
    <row r="772" spans="1:34" ht="12" customHeight="1">
      <c r="A772" s="160">
        <v>44889</v>
      </c>
      <c r="B772" s="140" t="s">
        <v>589</v>
      </c>
      <c r="C772" s="141" t="s">
        <v>460</v>
      </c>
      <c r="D772" s="140"/>
      <c r="E772" s="140" t="str">
        <f t="shared" si="0"/>
        <v>DCMSHRIRAM</v>
      </c>
      <c r="F772" s="140"/>
      <c r="G772" s="140"/>
      <c r="H772" s="140"/>
      <c r="I772" s="141" t="s">
        <v>467</v>
      </c>
      <c r="J772" s="139" t="s">
        <v>483</v>
      </c>
      <c r="K772" s="141"/>
      <c r="L772" s="141"/>
      <c r="M772" s="142">
        <v>4</v>
      </c>
      <c r="N772" s="143">
        <v>839.95</v>
      </c>
      <c r="O772" s="144">
        <f t="shared" si="573"/>
        <v>0</v>
      </c>
      <c r="P772" s="144">
        <f>N772+O772</f>
        <v>839.95</v>
      </c>
      <c r="Q772" s="144"/>
      <c r="R772" s="144">
        <f t="shared" si="3"/>
        <v>3359.8</v>
      </c>
      <c r="S772" s="145">
        <f t="shared" si="4"/>
        <v>0.99249999999999994</v>
      </c>
      <c r="T772" s="145">
        <f t="shared" si="75"/>
        <v>0</v>
      </c>
      <c r="U772" s="145">
        <f t="shared" si="574"/>
        <v>0.02</v>
      </c>
      <c r="V772" s="145">
        <f t="shared" si="546"/>
        <v>3.36</v>
      </c>
      <c r="W772" s="145">
        <f>ROUND(R772*F$1823,2)</f>
        <v>0.5</v>
      </c>
      <c r="X772" s="145">
        <f t="shared" si="582"/>
        <v>0.09</v>
      </c>
      <c r="Y772" s="145">
        <f t="shared" si="218"/>
        <v>0</v>
      </c>
      <c r="Z772" s="146">
        <f t="shared" si="10"/>
        <v>3.9699999999999998</v>
      </c>
      <c r="AA772" s="147">
        <f>-ROUND(R772+SUM(T772:Y772),2)</f>
        <v>-3363.77</v>
      </c>
      <c r="AB772" s="148">
        <f t="shared" si="403"/>
        <v>-3364</v>
      </c>
      <c r="AC772" s="149">
        <f t="shared" si="48"/>
        <v>-0.23000000000001819</v>
      </c>
      <c r="AD772" s="138"/>
      <c r="AE772" s="150">
        <f t="shared" si="13"/>
        <v>1.1820000000000001E-3</v>
      </c>
      <c r="AF772" s="151">
        <f t="shared" si="14"/>
        <v>0</v>
      </c>
      <c r="AG772" s="152" t="s">
        <v>416</v>
      </c>
      <c r="AH772" s="124"/>
    </row>
    <row r="773" spans="1:34" ht="12" customHeight="1">
      <c r="A773" s="155">
        <v>44890</v>
      </c>
      <c r="B773" s="112" t="s">
        <v>643</v>
      </c>
      <c r="C773" s="127" t="s">
        <v>485</v>
      </c>
      <c r="D773" s="112"/>
      <c r="E773" s="112" t="str">
        <f t="shared" si="0"/>
        <v xml:space="preserve">ITC </v>
      </c>
      <c r="F773" s="112"/>
      <c r="G773" s="112"/>
      <c r="H773" s="112"/>
      <c r="I773" s="127" t="s">
        <v>461</v>
      </c>
      <c r="J773" s="126" t="s">
        <v>483</v>
      </c>
      <c r="K773" s="127"/>
      <c r="L773" s="127"/>
      <c r="M773" s="128">
        <v>5</v>
      </c>
      <c r="N773" s="129">
        <v>341</v>
      </c>
      <c r="O773" s="130">
        <f t="shared" si="573"/>
        <v>0</v>
      </c>
      <c r="P773" s="130">
        <f>N773-O773</f>
        <v>341</v>
      </c>
      <c r="Q773" s="130"/>
      <c r="R773" s="130">
        <f t="shared" si="3"/>
        <v>1705</v>
      </c>
      <c r="S773" s="131">
        <f t="shared" si="4"/>
        <v>0.35399999999999998</v>
      </c>
      <c r="T773" s="131">
        <f t="shared" si="75"/>
        <v>0</v>
      </c>
      <c r="U773" s="131">
        <f t="shared" si="574"/>
        <v>0.01</v>
      </c>
      <c r="V773" s="131">
        <f t="shared" si="546"/>
        <v>1.71</v>
      </c>
      <c r="W773" s="131">
        <v>0</v>
      </c>
      <c r="X773" s="131">
        <f t="shared" si="582"/>
        <v>0.05</v>
      </c>
      <c r="Y773" s="131">
        <f t="shared" si="218"/>
        <v>0</v>
      </c>
      <c r="Z773" s="131">
        <f t="shared" si="10"/>
        <v>1.77</v>
      </c>
      <c r="AA773" s="132">
        <f>ROUND(R773-SUM(T773:Y773),2)</f>
        <v>1703.23</v>
      </c>
      <c r="AB773" s="133">
        <f t="shared" si="403"/>
        <v>1703</v>
      </c>
      <c r="AC773" s="134">
        <f t="shared" si="48"/>
        <v>-0.23000000000001819</v>
      </c>
      <c r="AD773" s="125"/>
      <c r="AE773" s="135">
        <f t="shared" si="13"/>
        <v>1.0380000000000001E-3</v>
      </c>
      <c r="AF773" s="136">
        <f t="shared" si="14"/>
        <v>0</v>
      </c>
      <c r="AG773" s="137" t="s">
        <v>416</v>
      </c>
      <c r="AH773" s="124"/>
    </row>
    <row r="774" spans="1:34" ht="12" customHeight="1">
      <c r="A774" s="160">
        <v>44890</v>
      </c>
      <c r="B774" s="140" t="s">
        <v>644</v>
      </c>
      <c r="C774" s="141" t="s">
        <v>485</v>
      </c>
      <c r="D774" s="140"/>
      <c r="E774" s="140" t="str">
        <f t="shared" si="0"/>
        <v>TATACONSUM</v>
      </c>
      <c r="F774" s="140"/>
      <c r="G774" s="140"/>
      <c r="H774" s="140"/>
      <c r="I774" s="141" t="s">
        <v>467</v>
      </c>
      <c r="J774" s="139" t="s">
        <v>483</v>
      </c>
      <c r="K774" s="141"/>
      <c r="L774" s="141"/>
      <c r="M774" s="142">
        <v>10</v>
      </c>
      <c r="N774" s="143">
        <v>785</v>
      </c>
      <c r="O774" s="144">
        <f t="shared" si="573"/>
        <v>0</v>
      </c>
      <c r="P774" s="144">
        <f t="shared" ref="P774:P775" si="625">N774+O774</f>
        <v>785</v>
      </c>
      <c r="Q774" s="144"/>
      <c r="R774" s="144">
        <f t="shared" si="3"/>
        <v>7850</v>
      </c>
      <c r="S774" s="145">
        <f t="shared" si="4"/>
        <v>0.93</v>
      </c>
      <c r="T774" s="145">
        <f t="shared" si="75"/>
        <v>0</v>
      </c>
      <c r="U774" s="145">
        <f t="shared" si="574"/>
        <v>0.04</v>
      </c>
      <c r="V774" s="145">
        <f t="shared" si="546"/>
        <v>7.85</v>
      </c>
      <c r="W774" s="145">
        <f t="shared" ref="W774:W775" si="626">ROUND(R774*F$1823,2)</f>
        <v>1.18</v>
      </c>
      <c r="X774" s="145">
        <f t="shared" si="582"/>
        <v>0.22</v>
      </c>
      <c r="Y774" s="145">
        <f t="shared" si="218"/>
        <v>0.01</v>
      </c>
      <c r="Z774" s="146">
        <f t="shared" si="10"/>
        <v>9.3000000000000007</v>
      </c>
      <c r="AA774" s="147">
        <f t="shared" ref="AA774:AA775" si="627">-ROUND(R774+SUM(T774:Y774),2)</f>
        <v>-7859.3</v>
      </c>
      <c r="AB774" s="148">
        <f t="shared" si="403"/>
        <v>-7859</v>
      </c>
      <c r="AC774" s="149">
        <f t="shared" si="48"/>
        <v>0.3000000000001819</v>
      </c>
      <c r="AD774" s="138"/>
      <c r="AE774" s="150">
        <f t="shared" si="13"/>
        <v>1.1850000000000001E-3</v>
      </c>
      <c r="AF774" s="151">
        <f t="shared" si="14"/>
        <v>0</v>
      </c>
      <c r="AG774" s="152" t="s">
        <v>416</v>
      </c>
      <c r="AH774" s="124"/>
    </row>
    <row r="775" spans="1:34" ht="12" customHeight="1">
      <c r="A775" s="160">
        <v>44890</v>
      </c>
      <c r="B775" s="140" t="s">
        <v>634</v>
      </c>
      <c r="C775" s="141" t="s">
        <v>485</v>
      </c>
      <c r="D775" s="140"/>
      <c r="E775" s="140" t="str">
        <f t="shared" si="0"/>
        <v>TATAELXSI</v>
      </c>
      <c r="F775" s="140"/>
      <c r="G775" s="140"/>
      <c r="H775" s="140"/>
      <c r="I775" s="141" t="s">
        <v>467</v>
      </c>
      <c r="J775" s="139" t="s">
        <v>483</v>
      </c>
      <c r="K775" s="141"/>
      <c r="L775" s="141"/>
      <c r="M775" s="142">
        <v>2</v>
      </c>
      <c r="N775" s="143">
        <v>6768.7</v>
      </c>
      <c r="O775" s="144">
        <f t="shared" si="573"/>
        <v>0</v>
      </c>
      <c r="P775" s="144">
        <f t="shared" si="625"/>
        <v>6768.7</v>
      </c>
      <c r="Q775" s="144"/>
      <c r="R775" s="144">
        <f t="shared" si="3"/>
        <v>13537.4</v>
      </c>
      <c r="S775" s="145">
        <f t="shared" si="4"/>
        <v>8.01</v>
      </c>
      <c r="T775" s="145">
        <f t="shared" si="75"/>
        <v>0</v>
      </c>
      <c r="U775" s="145">
        <f t="shared" si="574"/>
        <v>7.0000000000000007E-2</v>
      </c>
      <c r="V775" s="145">
        <f t="shared" si="546"/>
        <v>13.54</v>
      </c>
      <c r="W775" s="145">
        <f t="shared" si="626"/>
        <v>2.0299999999999998</v>
      </c>
      <c r="X775" s="145">
        <f t="shared" si="582"/>
        <v>0.37</v>
      </c>
      <c r="Y775" s="145">
        <f t="shared" si="218"/>
        <v>0.01</v>
      </c>
      <c r="Z775" s="146">
        <f t="shared" si="10"/>
        <v>16.02</v>
      </c>
      <c r="AA775" s="147">
        <f t="shared" si="627"/>
        <v>-13553.42</v>
      </c>
      <c r="AB775" s="148">
        <f t="shared" si="403"/>
        <v>-13553</v>
      </c>
      <c r="AC775" s="149">
        <f t="shared" si="48"/>
        <v>0.42000000000007276</v>
      </c>
      <c r="AD775" s="138"/>
      <c r="AE775" s="150">
        <f t="shared" si="13"/>
        <v>1.183E-3</v>
      </c>
      <c r="AF775" s="151">
        <f t="shared" si="14"/>
        <v>0</v>
      </c>
      <c r="AG775" s="152" t="s">
        <v>416</v>
      </c>
      <c r="AH775" s="124"/>
    </row>
    <row r="776" spans="1:34" ht="12" customHeight="1">
      <c r="A776" s="155">
        <v>44890</v>
      </c>
      <c r="B776" s="112" t="s">
        <v>589</v>
      </c>
      <c r="C776" s="127" t="s">
        <v>460</v>
      </c>
      <c r="D776" s="112"/>
      <c r="E776" s="112" t="str">
        <f t="shared" si="0"/>
        <v>DCMSHRIRAM</v>
      </c>
      <c r="F776" s="112"/>
      <c r="G776" s="112"/>
      <c r="H776" s="112"/>
      <c r="I776" s="127" t="s">
        <v>461</v>
      </c>
      <c r="J776" s="126" t="s">
        <v>483</v>
      </c>
      <c r="K776" s="127"/>
      <c r="L776" s="127"/>
      <c r="M776" s="128">
        <v>4</v>
      </c>
      <c r="N776" s="129">
        <v>853</v>
      </c>
      <c r="O776" s="130">
        <f t="shared" si="573"/>
        <v>0</v>
      </c>
      <c r="P776" s="130">
        <f t="shared" ref="P776:P780" si="628">N776-O776</f>
        <v>853</v>
      </c>
      <c r="Q776" s="130"/>
      <c r="R776" s="130">
        <f t="shared" si="3"/>
        <v>3412</v>
      </c>
      <c r="S776" s="131">
        <f t="shared" si="4"/>
        <v>0.88</v>
      </c>
      <c r="T776" s="131">
        <f t="shared" si="75"/>
        <v>0</v>
      </c>
      <c r="U776" s="131">
        <f t="shared" si="574"/>
        <v>0.02</v>
      </c>
      <c r="V776" s="131">
        <f t="shared" si="546"/>
        <v>3.41</v>
      </c>
      <c r="W776" s="131">
        <v>0</v>
      </c>
      <c r="X776" s="131">
        <f t="shared" si="582"/>
        <v>0.09</v>
      </c>
      <c r="Y776" s="131">
        <f t="shared" si="218"/>
        <v>0</v>
      </c>
      <c r="Z776" s="131">
        <f t="shared" si="10"/>
        <v>3.52</v>
      </c>
      <c r="AA776" s="132">
        <f t="shared" ref="AA776:AA780" si="629">ROUND(R776-SUM(T776:Y776),2)</f>
        <v>3408.48</v>
      </c>
      <c r="AB776" s="133">
        <f t="shared" si="403"/>
        <v>3408</v>
      </c>
      <c r="AC776" s="134">
        <f t="shared" si="48"/>
        <v>-0.48000000000001819</v>
      </c>
      <c r="AD776" s="125"/>
      <c r="AE776" s="135">
        <f t="shared" si="13"/>
        <v>1.0319999999999999E-3</v>
      </c>
      <c r="AF776" s="136">
        <f t="shared" si="14"/>
        <v>0</v>
      </c>
      <c r="AG776" s="137" t="s">
        <v>416</v>
      </c>
      <c r="AH776" s="124"/>
    </row>
    <row r="777" spans="1:34" ht="12" customHeight="1">
      <c r="A777" s="155">
        <v>44896</v>
      </c>
      <c r="B777" s="112" t="s">
        <v>604</v>
      </c>
      <c r="C777" s="127" t="s">
        <v>485</v>
      </c>
      <c r="D777" s="112"/>
      <c r="E777" s="112" t="str">
        <f t="shared" si="0"/>
        <v>TATASTEEL</v>
      </c>
      <c r="F777" s="112"/>
      <c r="G777" s="112"/>
      <c r="H777" s="112"/>
      <c r="I777" s="127" t="s">
        <v>461</v>
      </c>
      <c r="J777" s="126" t="s">
        <v>483</v>
      </c>
      <c r="K777" s="127"/>
      <c r="L777" s="127"/>
      <c r="M777" s="128">
        <v>50</v>
      </c>
      <c r="N777" s="129">
        <v>109.25</v>
      </c>
      <c r="O777" s="130">
        <f t="shared" si="573"/>
        <v>0</v>
      </c>
      <c r="P777" s="130">
        <f t="shared" si="628"/>
        <v>109.25</v>
      </c>
      <c r="Q777" s="130"/>
      <c r="R777" s="130">
        <f t="shared" si="3"/>
        <v>5462.5</v>
      </c>
      <c r="S777" s="131">
        <f t="shared" si="4"/>
        <v>0.113</v>
      </c>
      <c r="T777" s="131">
        <f t="shared" si="75"/>
        <v>0</v>
      </c>
      <c r="U777" s="131">
        <f t="shared" si="574"/>
        <v>0.03</v>
      </c>
      <c r="V777" s="131">
        <f t="shared" si="546"/>
        <v>5.46</v>
      </c>
      <c r="W777" s="131">
        <v>0</v>
      </c>
      <c r="X777" s="131">
        <f t="shared" si="582"/>
        <v>0.15</v>
      </c>
      <c r="Y777" s="131">
        <f t="shared" si="218"/>
        <v>0.01</v>
      </c>
      <c r="Z777" s="131">
        <f t="shared" si="10"/>
        <v>5.65</v>
      </c>
      <c r="AA777" s="132">
        <f t="shared" si="629"/>
        <v>5456.85</v>
      </c>
      <c r="AB777" s="133">
        <f t="shared" si="403"/>
        <v>5457</v>
      </c>
      <c r="AC777" s="134">
        <f t="shared" si="48"/>
        <v>0.1499999999996362</v>
      </c>
      <c r="AD777" s="125"/>
      <c r="AE777" s="135">
        <f t="shared" si="13"/>
        <v>1.034E-3</v>
      </c>
      <c r="AF777" s="136">
        <f t="shared" si="14"/>
        <v>0</v>
      </c>
      <c r="AG777" s="137" t="s">
        <v>416</v>
      </c>
      <c r="AH777" s="124"/>
    </row>
    <row r="778" spans="1:34" ht="12" customHeight="1">
      <c r="A778" s="155">
        <v>44897</v>
      </c>
      <c r="B778" s="112" t="s">
        <v>557</v>
      </c>
      <c r="C778" s="127" t="s">
        <v>485</v>
      </c>
      <c r="D778" s="112"/>
      <c r="E778" s="112" t="str">
        <f t="shared" si="0"/>
        <v>SKIPPER</v>
      </c>
      <c r="F778" s="112"/>
      <c r="G778" s="112"/>
      <c r="H778" s="112"/>
      <c r="I778" s="127" t="s">
        <v>461</v>
      </c>
      <c r="J778" s="126" t="s">
        <v>483</v>
      </c>
      <c r="K778" s="127"/>
      <c r="L778" s="127"/>
      <c r="M778" s="128">
        <v>100</v>
      </c>
      <c r="N778" s="129">
        <v>104</v>
      </c>
      <c r="O778" s="130">
        <f t="shared" si="573"/>
        <v>0</v>
      </c>
      <c r="P778" s="130">
        <f t="shared" si="628"/>
        <v>104</v>
      </c>
      <c r="Q778" s="130"/>
      <c r="R778" s="130">
        <f t="shared" si="3"/>
        <v>10400</v>
      </c>
      <c r="S778" s="131">
        <f t="shared" si="4"/>
        <v>0.1075</v>
      </c>
      <c r="T778" s="131">
        <f t="shared" si="75"/>
        <v>0</v>
      </c>
      <c r="U778" s="131">
        <f t="shared" si="574"/>
        <v>0.05</v>
      </c>
      <c r="V778" s="131">
        <f t="shared" si="546"/>
        <v>10.4</v>
      </c>
      <c r="W778" s="131">
        <v>0</v>
      </c>
      <c r="X778" s="131">
        <f t="shared" si="582"/>
        <v>0.28999999999999998</v>
      </c>
      <c r="Y778" s="131">
        <f t="shared" si="218"/>
        <v>0.01</v>
      </c>
      <c r="Z778" s="131">
        <f t="shared" si="10"/>
        <v>10.75</v>
      </c>
      <c r="AA778" s="132">
        <f t="shared" si="629"/>
        <v>10389.25</v>
      </c>
      <c r="AB778" s="133">
        <f t="shared" si="403"/>
        <v>10389</v>
      </c>
      <c r="AC778" s="134">
        <f t="shared" si="48"/>
        <v>-0.25</v>
      </c>
      <c r="AD778" s="125"/>
      <c r="AE778" s="135">
        <f t="shared" si="13"/>
        <v>1.034E-3</v>
      </c>
      <c r="AF778" s="136">
        <f t="shared" si="14"/>
        <v>0</v>
      </c>
      <c r="AG778" s="137" t="s">
        <v>416</v>
      </c>
      <c r="AH778" s="124"/>
    </row>
    <row r="779" spans="1:34" ht="12" customHeight="1">
      <c r="A779" s="155">
        <v>44901</v>
      </c>
      <c r="B779" s="112" t="s">
        <v>633</v>
      </c>
      <c r="C779" s="127" t="s">
        <v>485</v>
      </c>
      <c r="D779" s="112"/>
      <c r="E779" s="112" t="str">
        <f t="shared" si="0"/>
        <v>SUZLON</v>
      </c>
      <c r="F779" s="112"/>
      <c r="G779" s="112"/>
      <c r="H779" s="112"/>
      <c r="I779" s="127" t="s">
        <v>461</v>
      </c>
      <c r="J779" s="126" t="s">
        <v>483</v>
      </c>
      <c r="K779" s="127"/>
      <c r="L779" s="127"/>
      <c r="M779" s="128">
        <v>100</v>
      </c>
      <c r="N779" s="129">
        <v>10.25</v>
      </c>
      <c r="O779" s="130">
        <f t="shared" si="573"/>
        <v>0</v>
      </c>
      <c r="P779" s="130">
        <f t="shared" si="628"/>
        <v>10.25</v>
      </c>
      <c r="Q779" s="130"/>
      <c r="R779" s="130">
        <f t="shared" si="3"/>
        <v>1025</v>
      </c>
      <c r="S779" s="131">
        <f t="shared" si="4"/>
        <v>1.0700000000000001E-2</v>
      </c>
      <c r="T779" s="131">
        <f t="shared" si="75"/>
        <v>0</v>
      </c>
      <c r="U779" s="131">
        <f t="shared" si="574"/>
        <v>0.01</v>
      </c>
      <c r="V779" s="131">
        <f t="shared" si="546"/>
        <v>1.03</v>
      </c>
      <c r="W779" s="131">
        <v>0</v>
      </c>
      <c r="X779" s="131">
        <f t="shared" si="582"/>
        <v>0.03</v>
      </c>
      <c r="Y779" s="131">
        <f t="shared" si="218"/>
        <v>0</v>
      </c>
      <c r="Z779" s="131">
        <f t="shared" si="10"/>
        <v>1.07</v>
      </c>
      <c r="AA779" s="132">
        <f t="shared" si="629"/>
        <v>1023.93</v>
      </c>
      <c r="AB779" s="133">
        <f t="shared" si="403"/>
        <v>1024</v>
      </c>
      <c r="AC779" s="134">
        <f t="shared" si="48"/>
        <v>7.0000000000050022E-2</v>
      </c>
      <c r="AD779" s="125"/>
      <c r="AE779" s="135">
        <f t="shared" si="13"/>
        <v>1.044E-3</v>
      </c>
      <c r="AF779" s="136">
        <f t="shared" si="14"/>
        <v>0</v>
      </c>
      <c r="AG779" s="137" t="s">
        <v>416</v>
      </c>
      <c r="AH779" s="124"/>
    </row>
    <row r="780" spans="1:34" ht="12" customHeight="1">
      <c r="A780" s="155">
        <v>44903</v>
      </c>
      <c r="B780" s="112" t="s">
        <v>553</v>
      </c>
      <c r="C780" s="127" t="s">
        <v>485</v>
      </c>
      <c r="D780" s="112"/>
      <c r="E780" s="112" t="str">
        <f t="shared" si="0"/>
        <v>NMDC</v>
      </c>
      <c r="F780" s="112"/>
      <c r="G780" s="112"/>
      <c r="H780" s="112"/>
      <c r="I780" s="127" t="s">
        <v>461</v>
      </c>
      <c r="J780" s="126" t="s">
        <v>483</v>
      </c>
      <c r="K780" s="127"/>
      <c r="L780" s="127"/>
      <c r="M780" s="128">
        <v>50</v>
      </c>
      <c r="N780" s="129">
        <v>123.25</v>
      </c>
      <c r="O780" s="130">
        <f t="shared" si="573"/>
        <v>0</v>
      </c>
      <c r="P780" s="130">
        <f t="shared" si="628"/>
        <v>123.25</v>
      </c>
      <c r="Q780" s="130"/>
      <c r="R780" s="130">
        <f t="shared" si="3"/>
        <v>6162.5</v>
      </c>
      <c r="S780" s="131">
        <f t="shared" si="4"/>
        <v>0.12740000000000001</v>
      </c>
      <c r="T780" s="131">
        <f t="shared" si="75"/>
        <v>0</v>
      </c>
      <c r="U780" s="131">
        <f t="shared" si="574"/>
        <v>0.03</v>
      </c>
      <c r="V780" s="131">
        <f t="shared" si="546"/>
        <v>6.16</v>
      </c>
      <c r="W780" s="131">
        <v>0</v>
      </c>
      <c r="X780" s="131">
        <f t="shared" si="582"/>
        <v>0.17</v>
      </c>
      <c r="Y780" s="131">
        <f t="shared" si="218"/>
        <v>0.01</v>
      </c>
      <c r="Z780" s="131">
        <f t="shared" si="10"/>
        <v>6.37</v>
      </c>
      <c r="AA780" s="132">
        <f t="shared" si="629"/>
        <v>6156.13</v>
      </c>
      <c r="AB780" s="133">
        <f t="shared" si="403"/>
        <v>6156</v>
      </c>
      <c r="AC780" s="134">
        <f t="shared" si="48"/>
        <v>-0.13000000000010914</v>
      </c>
      <c r="AD780" s="125"/>
      <c r="AE780" s="135">
        <f t="shared" si="13"/>
        <v>1.034E-3</v>
      </c>
      <c r="AF780" s="136">
        <f t="shared" si="14"/>
        <v>0</v>
      </c>
      <c r="AG780" s="137" t="s">
        <v>416</v>
      </c>
      <c r="AH780" s="124"/>
    </row>
    <row r="781" spans="1:34" ht="12" customHeight="1">
      <c r="A781" s="160">
        <v>44904</v>
      </c>
      <c r="B781" s="140" t="s">
        <v>553</v>
      </c>
      <c r="C781" s="141" t="s">
        <v>485</v>
      </c>
      <c r="D781" s="140"/>
      <c r="E781" s="140" t="str">
        <f t="shared" si="0"/>
        <v>NMDC</v>
      </c>
      <c r="F781" s="140"/>
      <c r="G781" s="140"/>
      <c r="H781" s="140"/>
      <c r="I781" s="141" t="s">
        <v>467</v>
      </c>
      <c r="J781" s="139" t="s">
        <v>483</v>
      </c>
      <c r="K781" s="141"/>
      <c r="L781" s="141"/>
      <c r="M781" s="142">
        <v>50</v>
      </c>
      <c r="N781" s="143">
        <v>121</v>
      </c>
      <c r="O781" s="144">
        <f t="shared" si="573"/>
        <v>0</v>
      </c>
      <c r="P781" s="144">
        <f>N781+O781</f>
        <v>121</v>
      </c>
      <c r="Q781" s="144"/>
      <c r="R781" s="144">
        <f t="shared" si="3"/>
        <v>6050</v>
      </c>
      <c r="S781" s="145">
        <f t="shared" si="4"/>
        <v>0.1434</v>
      </c>
      <c r="T781" s="145">
        <f t="shared" si="75"/>
        <v>0</v>
      </c>
      <c r="U781" s="145">
        <f t="shared" si="574"/>
        <v>0.03</v>
      </c>
      <c r="V781" s="145">
        <f t="shared" si="546"/>
        <v>6.05</v>
      </c>
      <c r="W781" s="145">
        <f>ROUND(R781*F$1823,2)</f>
        <v>0.91</v>
      </c>
      <c r="X781" s="145">
        <f t="shared" si="582"/>
        <v>0.17</v>
      </c>
      <c r="Y781" s="145">
        <f t="shared" si="218"/>
        <v>0.01</v>
      </c>
      <c r="Z781" s="146">
        <f t="shared" si="10"/>
        <v>7.17</v>
      </c>
      <c r="AA781" s="147">
        <f>-ROUND(R781+SUM(T781:Y781),2)</f>
        <v>-6057.17</v>
      </c>
      <c r="AB781" s="148">
        <f t="shared" si="403"/>
        <v>-6057</v>
      </c>
      <c r="AC781" s="149">
        <f t="shared" si="48"/>
        <v>0.17000000000007276</v>
      </c>
      <c r="AD781" s="138"/>
      <c r="AE781" s="150">
        <f t="shared" si="13"/>
        <v>1.1850000000000001E-3</v>
      </c>
      <c r="AF781" s="151">
        <f t="shared" si="14"/>
        <v>0</v>
      </c>
      <c r="AG781" s="152" t="s">
        <v>416</v>
      </c>
      <c r="AH781" s="124"/>
    </row>
    <row r="782" spans="1:34" ht="12" customHeight="1">
      <c r="A782" s="155">
        <v>44907</v>
      </c>
      <c r="B782" s="112" t="s">
        <v>612</v>
      </c>
      <c r="C782" s="127" t="s">
        <v>485</v>
      </c>
      <c r="D782" s="112"/>
      <c r="E782" s="112" t="str">
        <f t="shared" si="0"/>
        <v>GAIL</v>
      </c>
      <c r="F782" s="112"/>
      <c r="G782" s="112"/>
      <c r="H782" s="112"/>
      <c r="I782" s="127" t="s">
        <v>461</v>
      </c>
      <c r="J782" s="126" t="s">
        <v>483</v>
      </c>
      <c r="K782" s="127"/>
      <c r="L782" s="127"/>
      <c r="M782" s="128">
        <v>45</v>
      </c>
      <c r="N782" s="129">
        <v>93</v>
      </c>
      <c r="O782" s="130">
        <f t="shared" si="573"/>
        <v>0</v>
      </c>
      <c r="P782" s="130">
        <f t="shared" ref="P782:P786" si="630">N782-O782</f>
        <v>93</v>
      </c>
      <c r="Q782" s="130"/>
      <c r="R782" s="130">
        <f t="shared" si="3"/>
        <v>4185</v>
      </c>
      <c r="S782" s="131">
        <f t="shared" si="4"/>
        <v>9.6222222222222223E-2</v>
      </c>
      <c r="T782" s="131">
        <f t="shared" si="75"/>
        <v>0</v>
      </c>
      <c r="U782" s="131">
        <f t="shared" si="574"/>
        <v>0.02</v>
      </c>
      <c r="V782" s="131">
        <f t="shared" si="546"/>
        <v>4.1900000000000004</v>
      </c>
      <c r="W782" s="131">
        <v>0</v>
      </c>
      <c r="X782" s="131">
        <f t="shared" si="582"/>
        <v>0.12</v>
      </c>
      <c r="Y782" s="131">
        <f t="shared" si="218"/>
        <v>0</v>
      </c>
      <c r="Z782" s="131">
        <f t="shared" si="10"/>
        <v>4.33</v>
      </c>
      <c r="AA782" s="132">
        <f t="shared" ref="AA782:AA786" si="631">ROUND(R782-SUM(T782:Y782),2)</f>
        <v>4180.67</v>
      </c>
      <c r="AB782" s="133">
        <f t="shared" si="403"/>
        <v>4181</v>
      </c>
      <c r="AC782" s="134">
        <f t="shared" si="48"/>
        <v>0.32999999999992724</v>
      </c>
      <c r="AD782" s="125"/>
      <c r="AE782" s="135">
        <f t="shared" si="13"/>
        <v>1.0349999999999999E-3</v>
      </c>
      <c r="AF782" s="136">
        <f t="shared" si="14"/>
        <v>0</v>
      </c>
      <c r="AG782" s="137" t="s">
        <v>416</v>
      </c>
      <c r="AH782" s="124"/>
    </row>
    <row r="783" spans="1:34" ht="12" customHeight="1">
      <c r="A783" s="155">
        <v>44907</v>
      </c>
      <c r="B783" s="112" t="s">
        <v>547</v>
      </c>
      <c r="C783" s="127" t="s">
        <v>485</v>
      </c>
      <c r="D783" s="112"/>
      <c r="E783" s="112" t="str">
        <f t="shared" si="0"/>
        <v>NCC</v>
      </c>
      <c r="F783" s="112"/>
      <c r="G783" s="112"/>
      <c r="H783" s="112"/>
      <c r="I783" s="127" t="s">
        <v>461</v>
      </c>
      <c r="J783" s="126" t="s">
        <v>483</v>
      </c>
      <c r="K783" s="127"/>
      <c r="L783" s="127"/>
      <c r="M783" s="128">
        <v>100</v>
      </c>
      <c r="N783" s="129">
        <v>85</v>
      </c>
      <c r="O783" s="130">
        <f t="shared" si="573"/>
        <v>0</v>
      </c>
      <c r="P783" s="130">
        <f t="shared" si="630"/>
        <v>85</v>
      </c>
      <c r="Q783" s="130"/>
      <c r="R783" s="130">
        <f t="shared" si="3"/>
        <v>8500</v>
      </c>
      <c r="S783" s="131">
        <f t="shared" si="4"/>
        <v>8.7799999999999989E-2</v>
      </c>
      <c r="T783" s="131">
        <f t="shared" si="75"/>
        <v>0</v>
      </c>
      <c r="U783" s="131">
        <f t="shared" si="574"/>
        <v>0.04</v>
      </c>
      <c r="V783" s="131">
        <f t="shared" si="546"/>
        <v>8.5</v>
      </c>
      <c r="W783" s="131">
        <v>0</v>
      </c>
      <c r="X783" s="131">
        <f t="shared" si="582"/>
        <v>0.23</v>
      </c>
      <c r="Y783" s="131">
        <f t="shared" si="218"/>
        <v>0.01</v>
      </c>
      <c r="Z783" s="131">
        <f t="shared" si="10"/>
        <v>8.7799999999999994</v>
      </c>
      <c r="AA783" s="132">
        <f t="shared" si="631"/>
        <v>8491.2199999999993</v>
      </c>
      <c r="AB783" s="133">
        <f t="shared" si="403"/>
        <v>8491</v>
      </c>
      <c r="AC783" s="134">
        <f t="shared" si="48"/>
        <v>-0.21999999999934516</v>
      </c>
      <c r="AD783" s="125"/>
      <c r="AE783" s="135">
        <f t="shared" si="13"/>
        <v>1.0330000000000001E-3</v>
      </c>
      <c r="AF783" s="136">
        <f t="shared" si="14"/>
        <v>0</v>
      </c>
      <c r="AG783" s="137" t="s">
        <v>416</v>
      </c>
      <c r="AH783" s="124"/>
    </row>
    <row r="784" spans="1:34" ht="12" customHeight="1">
      <c r="A784" s="155">
        <v>44909</v>
      </c>
      <c r="B784" s="112" t="s">
        <v>603</v>
      </c>
      <c r="C784" s="127" t="s">
        <v>485</v>
      </c>
      <c r="D784" s="112"/>
      <c r="E784" s="112" t="str">
        <f t="shared" si="0"/>
        <v>MCX</v>
      </c>
      <c r="F784" s="112"/>
      <c r="G784" s="112"/>
      <c r="H784" s="112"/>
      <c r="I784" s="127" t="s">
        <v>461</v>
      </c>
      <c r="J784" s="126" t="s">
        <v>483</v>
      </c>
      <c r="K784" s="127"/>
      <c r="L784" s="127"/>
      <c r="M784" s="128">
        <v>10</v>
      </c>
      <c r="N784" s="129">
        <v>1655</v>
      </c>
      <c r="O784" s="130">
        <f t="shared" si="573"/>
        <v>0</v>
      </c>
      <c r="P784" s="130">
        <f t="shared" si="630"/>
        <v>1655</v>
      </c>
      <c r="Q784" s="130"/>
      <c r="R784" s="130">
        <f t="shared" si="3"/>
        <v>16550</v>
      </c>
      <c r="S784" s="131">
        <f t="shared" si="4"/>
        <v>1.7109999999999999</v>
      </c>
      <c r="T784" s="131">
        <f t="shared" si="75"/>
        <v>0</v>
      </c>
      <c r="U784" s="131">
        <f t="shared" si="574"/>
        <v>0.08</v>
      </c>
      <c r="V784" s="131">
        <f t="shared" si="546"/>
        <v>16.55</v>
      </c>
      <c r="W784" s="131">
        <v>0</v>
      </c>
      <c r="X784" s="131">
        <f t="shared" si="582"/>
        <v>0.46</v>
      </c>
      <c r="Y784" s="131">
        <f t="shared" si="218"/>
        <v>0.02</v>
      </c>
      <c r="Z784" s="131">
        <f t="shared" si="10"/>
        <v>17.11</v>
      </c>
      <c r="AA784" s="132">
        <f t="shared" si="631"/>
        <v>16532.89</v>
      </c>
      <c r="AB784" s="133">
        <f t="shared" si="403"/>
        <v>16533</v>
      </c>
      <c r="AC784" s="134">
        <f t="shared" si="48"/>
        <v>0.11000000000058208</v>
      </c>
      <c r="AD784" s="125"/>
      <c r="AE784" s="135">
        <f t="shared" si="13"/>
        <v>1.034E-3</v>
      </c>
      <c r="AF784" s="136">
        <f t="shared" si="14"/>
        <v>0</v>
      </c>
      <c r="AG784" s="137" t="s">
        <v>416</v>
      </c>
      <c r="AH784" s="124"/>
    </row>
    <row r="785" spans="1:34" ht="12" customHeight="1">
      <c r="A785" s="155">
        <v>44925</v>
      </c>
      <c r="B785" s="112" t="s">
        <v>553</v>
      </c>
      <c r="C785" s="127" t="s">
        <v>485</v>
      </c>
      <c r="D785" s="112"/>
      <c r="E785" s="112" t="str">
        <f t="shared" si="0"/>
        <v>NMDC</v>
      </c>
      <c r="F785" s="112"/>
      <c r="G785" s="112"/>
      <c r="H785" s="112"/>
      <c r="I785" s="127" t="s">
        <v>461</v>
      </c>
      <c r="J785" s="126" t="s">
        <v>483</v>
      </c>
      <c r="K785" s="127"/>
      <c r="L785" s="127"/>
      <c r="M785" s="128">
        <v>50</v>
      </c>
      <c r="N785" s="129">
        <v>122.5</v>
      </c>
      <c r="O785" s="130">
        <f t="shared" si="573"/>
        <v>0</v>
      </c>
      <c r="P785" s="130">
        <f t="shared" si="630"/>
        <v>122.5</v>
      </c>
      <c r="Q785" s="130"/>
      <c r="R785" s="130">
        <f t="shared" si="3"/>
        <v>6125</v>
      </c>
      <c r="S785" s="131">
        <f t="shared" si="4"/>
        <v>0.1268</v>
      </c>
      <c r="T785" s="131">
        <f t="shared" si="75"/>
        <v>0</v>
      </c>
      <c r="U785" s="131">
        <f t="shared" si="574"/>
        <v>0.03</v>
      </c>
      <c r="V785" s="131">
        <f t="shared" si="546"/>
        <v>6.13</v>
      </c>
      <c r="W785" s="131">
        <v>0</v>
      </c>
      <c r="X785" s="131">
        <f t="shared" si="582"/>
        <v>0.17</v>
      </c>
      <c r="Y785" s="131">
        <f t="shared" si="218"/>
        <v>0.01</v>
      </c>
      <c r="Z785" s="131">
        <f t="shared" si="10"/>
        <v>6.34</v>
      </c>
      <c r="AA785" s="132">
        <f t="shared" si="631"/>
        <v>6118.66</v>
      </c>
      <c r="AB785" s="133">
        <f t="shared" si="403"/>
        <v>6119</v>
      </c>
      <c r="AC785" s="134">
        <f t="shared" si="48"/>
        <v>0.34000000000014552</v>
      </c>
      <c r="AD785" s="125"/>
      <c r="AE785" s="135">
        <f t="shared" si="13"/>
        <v>1.0349999999999999E-3</v>
      </c>
      <c r="AF785" s="136">
        <f t="shared" si="14"/>
        <v>0</v>
      </c>
      <c r="AG785" s="137" t="s">
        <v>416</v>
      </c>
      <c r="AH785" s="124"/>
    </row>
    <row r="786" spans="1:34" ht="12" customHeight="1">
      <c r="A786" s="155">
        <v>44925</v>
      </c>
      <c r="B786" s="112" t="s">
        <v>589</v>
      </c>
      <c r="C786" s="127" t="s">
        <v>460</v>
      </c>
      <c r="D786" s="112"/>
      <c r="E786" s="112" t="str">
        <f t="shared" si="0"/>
        <v>DCMSHRIRAM</v>
      </c>
      <c r="F786" s="112"/>
      <c r="G786" s="112"/>
      <c r="H786" s="112"/>
      <c r="I786" s="127" t="s">
        <v>461</v>
      </c>
      <c r="J786" s="126" t="s">
        <v>483</v>
      </c>
      <c r="K786" s="127"/>
      <c r="L786" s="127"/>
      <c r="M786" s="128">
        <v>30</v>
      </c>
      <c r="N786" s="129">
        <v>895.23329999999999</v>
      </c>
      <c r="O786" s="130">
        <f t="shared" si="573"/>
        <v>0</v>
      </c>
      <c r="P786" s="130">
        <f t="shared" si="630"/>
        <v>895.23329999999999</v>
      </c>
      <c r="Q786" s="130"/>
      <c r="R786" s="130">
        <f t="shared" si="3"/>
        <v>26857</v>
      </c>
      <c r="S786" s="131">
        <f t="shared" si="4"/>
        <v>0.92533333333333323</v>
      </c>
      <c r="T786" s="131">
        <f t="shared" si="75"/>
        <v>0</v>
      </c>
      <c r="U786" s="131">
        <f t="shared" si="574"/>
        <v>0.13</v>
      </c>
      <c r="V786" s="131">
        <f t="shared" si="546"/>
        <v>26.86</v>
      </c>
      <c r="W786" s="131">
        <v>0</v>
      </c>
      <c r="X786" s="131">
        <f t="shared" si="582"/>
        <v>0.74</v>
      </c>
      <c r="Y786" s="131">
        <f t="shared" si="218"/>
        <v>0.03</v>
      </c>
      <c r="Z786" s="131">
        <f t="shared" si="10"/>
        <v>27.759999999999998</v>
      </c>
      <c r="AA786" s="132">
        <f t="shared" si="631"/>
        <v>26829.24</v>
      </c>
      <c r="AB786" s="133">
        <f t="shared" si="403"/>
        <v>26829</v>
      </c>
      <c r="AC786" s="134">
        <f t="shared" si="48"/>
        <v>-0.24000000000160071</v>
      </c>
      <c r="AD786" s="125"/>
      <c r="AE786" s="135">
        <f t="shared" si="13"/>
        <v>1.034E-3</v>
      </c>
      <c r="AF786" s="136">
        <f t="shared" si="14"/>
        <v>0</v>
      </c>
      <c r="AG786" s="137" t="s">
        <v>416</v>
      </c>
      <c r="AH786" s="124"/>
    </row>
    <row r="787" spans="1:34" ht="12" customHeight="1">
      <c r="A787" s="160">
        <v>44928</v>
      </c>
      <c r="B787" s="140" t="s">
        <v>603</v>
      </c>
      <c r="C787" s="141" t="s">
        <v>485</v>
      </c>
      <c r="D787" s="140"/>
      <c r="E787" s="140" t="str">
        <f t="shared" si="0"/>
        <v>MCX</v>
      </c>
      <c r="F787" s="140"/>
      <c r="G787" s="140"/>
      <c r="H787" s="140"/>
      <c r="I787" s="141" t="s">
        <v>467</v>
      </c>
      <c r="J787" s="139" t="s">
        <v>483</v>
      </c>
      <c r="K787" s="141"/>
      <c r="L787" s="141"/>
      <c r="M787" s="142">
        <v>7</v>
      </c>
      <c r="N787" s="143">
        <v>1472.3929000000001</v>
      </c>
      <c r="O787" s="144">
        <f t="shared" si="573"/>
        <v>0</v>
      </c>
      <c r="P787" s="144">
        <f>N787+O787</f>
        <v>1472.3929000000001</v>
      </c>
      <c r="Q787" s="144"/>
      <c r="R787" s="144">
        <f t="shared" si="3"/>
        <v>10306.75</v>
      </c>
      <c r="S787" s="145">
        <f t="shared" si="4"/>
        <v>1.7428571428571431</v>
      </c>
      <c r="T787" s="145">
        <f t="shared" si="75"/>
        <v>0</v>
      </c>
      <c r="U787" s="145">
        <f t="shared" si="574"/>
        <v>0.05</v>
      </c>
      <c r="V787" s="145">
        <f t="shared" si="546"/>
        <v>10.31</v>
      </c>
      <c r="W787" s="145">
        <f>ROUND(R787*F$1823,2)</f>
        <v>1.55</v>
      </c>
      <c r="X787" s="145">
        <f t="shared" si="582"/>
        <v>0.28000000000000003</v>
      </c>
      <c r="Y787" s="145">
        <f t="shared" si="218"/>
        <v>0.01</v>
      </c>
      <c r="Z787" s="146">
        <f t="shared" si="10"/>
        <v>12.200000000000001</v>
      </c>
      <c r="AA787" s="147">
        <f>-ROUND(R787+SUM(T787:Y787),2)</f>
        <v>-10318.950000000001</v>
      </c>
      <c r="AB787" s="148">
        <f t="shared" si="403"/>
        <v>-10319</v>
      </c>
      <c r="AC787" s="149">
        <f t="shared" si="48"/>
        <v>-4.9999999999272404E-2</v>
      </c>
      <c r="AD787" s="138"/>
      <c r="AE787" s="150">
        <f t="shared" si="13"/>
        <v>1.1839999999999999E-3</v>
      </c>
      <c r="AF787" s="151">
        <f t="shared" si="14"/>
        <v>0</v>
      </c>
      <c r="AG787" s="152" t="s">
        <v>416</v>
      </c>
      <c r="AH787" s="124"/>
    </row>
    <row r="788" spans="1:34" ht="12" customHeight="1">
      <c r="A788" s="155">
        <v>44928</v>
      </c>
      <c r="B788" s="112" t="s">
        <v>495</v>
      </c>
      <c r="C788" s="127" t="s">
        <v>485</v>
      </c>
      <c r="D788" s="112"/>
      <c r="E788" s="112" t="str">
        <f t="shared" si="0"/>
        <v>SAIL</v>
      </c>
      <c r="F788" s="112"/>
      <c r="G788" s="112"/>
      <c r="H788" s="112"/>
      <c r="I788" s="127" t="s">
        <v>461</v>
      </c>
      <c r="J788" s="126" t="s">
        <v>483</v>
      </c>
      <c r="K788" s="127"/>
      <c r="L788" s="127"/>
      <c r="M788" s="128">
        <v>75</v>
      </c>
      <c r="N788" s="129">
        <v>87.333299999999994</v>
      </c>
      <c r="O788" s="130">
        <f t="shared" si="573"/>
        <v>0</v>
      </c>
      <c r="P788" s="130">
        <f t="shared" ref="P788:P790" si="632">N788-O788</f>
        <v>87.333299999999994</v>
      </c>
      <c r="Q788" s="130"/>
      <c r="R788" s="130">
        <f t="shared" si="3"/>
        <v>6550</v>
      </c>
      <c r="S788" s="131">
        <f t="shared" si="4"/>
        <v>9.0266666666666662E-2</v>
      </c>
      <c r="T788" s="131">
        <f t="shared" si="75"/>
        <v>0</v>
      </c>
      <c r="U788" s="131">
        <f t="shared" si="574"/>
        <v>0.03</v>
      </c>
      <c r="V788" s="131">
        <f t="shared" si="546"/>
        <v>6.55</v>
      </c>
      <c r="W788" s="131">
        <v>0</v>
      </c>
      <c r="X788" s="131">
        <f t="shared" si="582"/>
        <v>0.18</v>
      </c>
      <c r="Y788" s="131">
        <f t="shared" si="218"/>
        <v>0.01</v>
      </c>
      <c r="Z788" s="131">
        <f t="shared" si="10"/>
        <v>6.77</v>
      </c>
      <c r="AA788" s="132">
        <f t="shared" ref="AA788:AA790" si="633">ROUND(R788-SUM(T788:Y788),2)</f>
        <v>6543.23</v>
      </c>
      <c r="AB788" s="133">
        <f t="shared" si="403"/>
        <v>6543</v>
      </c>
      <c r="AC788" s="134">
        <f t="shared" si="48"/>
        <v>-0.22999999999956344</v>
      </c>
      <c r="AD788" s="125"/>
      <c r="AE788" s="135">
        <f t="shared" si="13"/>
        <v>1.034E-3</v>
      </c>
      <c r="AF788" s="136">
        <f t="shared" si="14"/>
        <v>0</v>
      </c>
      <c r="AG788" s="137" t="s">
        <v>416</v>
      </c>
      <c r="AH788" s="124"/>
    </row>
    <row r="789" spans="1:34" ht="12" customHeight="1">
      <c r="A789" s="155">
        <v>44928</v>
      </c>
      <c r="B789" s="112" t="s">
        <v>495</v>
      </c>
      <c r="C789" s="127" t="s">
        <v>485</v>
      </c>
      <c r="D789" s="112"/>
      <c r="E789" s="112" t="str">
        <f t="shared" si="0"/>
        <v>SAIL</v>
      </c>
      <c r="F789" s="112"/>
      <c r="G789" s="112"/>
      <c r="H789" s="112"/>
      <c r="I789" s="127" t="s">
        <v>461</v>
      </c>
      <c r="J789" s="126" t="s">
        <v>483</v>
      </c>
      <c r="K789" s="127"/>
      <c r="L789" s="127"/>
      <c r="M789" s="128">
        <v>25</v>
      </c>
      <c r="N789" s="129">
        <v>88</v>
      </c>
      <c r="O789" s="130">
        <f t="shared" si="573"/>
        <v>0</v>
      </c>
      <c r="P789" s="130">
        <f t="shared" si="632"/>
        <v>88</v>
      </c>
      <c r="Q789" s="130"/>
      <c r="R789" s="130">
        <f t="shared" si="3"/>
        <v>2200</v>
      </c>
      <c r="S789" s="131">
        <f t="shared" si="4"/>
        <v>9.0800000000000006E-2</v>
      </c>
      <c r="T789" s="131">
        <f t="shared" si="75"/>
        <v>0</v>
      </c>
      <c r="U789" s="131">
        <f t="shared" si="574"/>
        <v>0.01</v>
      </c>
      <c r="V789" s="131">
        <f t="shared" si="546"/>
        <v>2.2000000000000002</v>
      </c>
      <c r="W789" s="131">
        <v>0</v>
      </c>
      <c r="X789" s="131">
        <f t="shared" si="582"/>
        <v>0.06</v>
      </c>
      <c r="Y789" s="131">
        <f t="shared" si="218"/>
        <v>0</v>
      </c>
      <c r="Z789" s="131">
        <f t="shared" si="10"/>
        <v>2.27</v>
      </c>
      <c r="AA789" s="132">
        <f t="shared" si="633"/>
        <v>2197.73</v>
      </c>
      <c r="AB789" s="133">
        <f t="shared" si="403"/>
        <v>2198</v>
      </c>
      <c r="AC789" s="134">
        <f t="shared" si="48"/>
        <v>0.26999999999998181</v>
      </c>
      <c r="AD789" s="125"/>
      <c r="AE789" s="135">
        <f t="shared" si="13"/>
        <v>1.0319999999999999E-3</v>
      </c>
      <c r="AF789" s="136">
        <f t="shared" si="14"/>
        <v>0</v>
      </c>
      <c r="AG789" s="137" t="s">
        <v>416</v>
      </c>
      <c r="AH789" s="124"/>
    </row>
    <row r="790" spans="1:34" ht="12" customHeight="1">
      <c r="A790" s="155">
        <v>44928</v>
      </c>
      <c r="B790" s="112" t="s">
        <v>495</v>
      </c>
      <c r="C790" s="127" t="s">
        <v>485</v>
      </c>
      <c r="D790" s="112"/>
      <c r="E790" s="112" t="str">
        <f t="shared" si="0"/>
        <v>SAIL</v>
      </c>
      <c r="F790" s="112"/>
      <c r="G790" s="112"/>
      <c r="H790" s="112"/>
      <c r="I790" s="127" t="s">
        <v>461</v>
      </c>
      <c r="J790" s="126" t="s">
        <v>483</v>
      </c>
      <c r="K790" s="127"/>
      <c r="L790" s="127"/>
      <c r="M790" s="128">
        <v>50</v>
      </c>
      <c r="N790" s="129">
        <v>87</v>
      </c>
      <c r="O790" s="130">
        <f t="shared" si="573"/>
        <v>0</v>
      </c>
      <c r="P790" s="130">
        <f t="shared" si="632"/>
        <v>87</v>
      </c>
      <c r="Q790" s="130"/>
      <c r="R790" s="130">
        <f t="shared" si="3"/>
        <v>4350</v>
      </c>
      <c r="S790" s="131">
        <f t="shared" si="4"/>
        <v>8.9799999999999991E-2</v>
      </c>
      <c r="T790" s="131">
        <f t="shared" si="75"/>
        <v>0</v>
      </c>
      <c r="U790" s="131">
        <f t="shared" si="574"/>
        <v>0.02</v>
      </c>
      <c r="V790" s="131">
        <f t="shared" si="546"/>
        <v>4.3499999999999996</v>
      </c>
      <c r="W790" s="131">
        <v>0</v>
      </c>
      <c r="X790" s="131">
        <f t="shared" si="582"/>
        <v>0.12</v>
      </c>
      <c r="Y790" s="131">
        <f t="shared" si="218"/>
        <v>0</v>
      </c>
      <c r="Z790" s="131">
        <f t="shared" si="10"/>
        <v>4.4899999999999993</v>
      </c>
      <c r="AA790" s="132">
        <f t="shared" si="633"/>
        <v>4345.51</v>
      </c>
      <c r="AB790" s="133">
        <f t="shared" si="403"/>
        <v>4346</v>
      </c>
      <c r="AC790" s="134">
        <f t="shared" si="48"/>
        <v>0.48999999999978172</v>
      </c>
      <c r="AD790" s="125"/>
      <c r="AE790" s="135">
        <f t="shared" si="13"/>
        <v>1.0319999999999999E-3</v>
      </c>
      <c r="AF790" s="136">
        <f t="shared" si="14"/>
        <v>0</v>
      </c>
      <c r="AG790" s="137" t="s">
        <v>416</v>
      </c>
      <c r="AH790" s="124"/>
    </row>
    <row r="791" spans="1:34" ht="12" customHeight="1">
      <c r="A791" s="160">
        <v>44930</v>
      </c>
      <c r="B791" s="140" t="s">
        <v>495</v>
      </c>
      <c r="C791" s="141" t="s">
        <v>485</v>
      </c>
      <c r="D791" s="140"/>
      <c r="E791" s="140" t="str">
        <f t="shared" si="0"/>
        <v>SAIL</v>
      </c>
      <c r="F791" s="140"/>
      <c r="G791" s="140"/>
      <c r="H791" s="140"/>
      <c r="I791" s="141" t="s">
        <v>467</v>
      </c>
      <c r="J791" s="139" t="s">
        <v>483</v>
      </c>
      <c r="K791" s="141"/>
      <c r="L791" s="141"/>
      <c r="M791" s="142">
        <v>25</v>
      </c>
      <c r="N791" s="143">
        <v>85.9</v>
      </c>
      <c r="O791" s="144">
        <f t="shared" si="573"/>
        <v>0</v>
      </c>
      <c r="P791" s="144">
        <f t="shared" ref="P791:P793" si="634">N791+O791</f>
        <v>85.9</v>
      </c>
      <c r="Q791" s="144"/>
      <c r="R791" s="144">
        <f t="shared" si="3"/>
        <v>2147.5</v>
      </c>
      <c r="S791" s="145">
        <f t="shared" si="4"/>
        <v>0.10159999999999998</v>
      </c>
      <c r="T791" s="145">
        <f t="shared" si="75"/>
        <v>0</v>
      </c>
      <c r="U791" s="145">
        <f t="shared" si="574"/>
        <v>0.01</v>
      </c>
      <c r="V791" s="145">
        <f t="shared" si="546"/>
        <v>2.15</v>
      </c>
      <c r="W791" s="145">
        <f t="shared" ref="W791:W793" si="635">ROUND(R791*F$1823,2)</f>
        <v>0.32</v>
      </c>
      <c r="X791" s="145">
        <f t="shared" si="582"/>
        <v>0.06</v>
      </c>
      <c r="Y791" s="145">
        <f t="shared" si="218"/>
        <v>0</v>
      </c>
      <c r="Z791" s="146">
        <f t="shared" si="10"/>
        <v>2.5399999999999996</v>
      </c>
      <c r="AA791" s="147">
        <f t="shared" ref="AA791:AA793" si="636">-ROUND(R791+SUM(T791:Y791),2)</f>
        <v>-2150.04</v>
      </c>
      <c r="AB791" s="148">
        <f t="shared" si="403"/>
        <v>-2150</v>
      </c>
      <c r="AC791" s="149">
        <f t="shared" si="48"/>
        <v>3.999999999996362E-2</v>
      </c>
      <c r="AD791" s="138"/>
      <c r="AE791" s="150">
        <f t="shared" si="13"/>
        <v>1.183E-3</v>
      </c>
      <c r="AF791" s="151">
        <f t="shared" si="14"/>
        <v>0</v>
      </c>
      <c r="AG791" s="152" t="s">
        <v>416</v>
      </c>
      <c r="AH791" s="124"/>
    </row>
    <row r="792" spans="1:34" ht="12" customHeight="1">
      <c r="A792" s="160">
        <v>44930</v>
      </c>
      <c r="B792" s="140" t="s">
        <v>589</v>
      </c>
      <c r="C792" s="141" t="s">
        <v>460</v>
      </c>
      <c r="D792" s="140"/>
      <c r="E792" s="140" t="str">
        <f t="shared" si="0"/>
        <v>DCMSHRIRAM</v>
      </c>
      <c r="F792" s="140"/>
      <c r="G792" s="140"/>
      <c r="H792" s="140"/>
      <c r="I792" s="141" t="s">
        <v>467</v>
      </c>
      <c r="J792" s="139" t="s">
        <v>483</v>
      </c>
      <c r="K792" s="141"/>
      <c r="L792" s="141"/>
      <c r="M792" s="142">
        <v>20</v>
      </c>
      <c r="N792" s="143">
        <v>883</v>
      </c>
      <c r="O792" s="144">
        <f t="shared" si="573"/>
        <v>0</v>
      </c>
      <c r="P792" s="144">
        <f t="shared" si="634"/>
        <v>883</v>
      </c>
      <c r="Q792" s="144"/>
      <c r="R792" s="144">
        <f t="shared" si="3"/>
        <v>17660</v>
      </c>
      <c r="S792" s="145">
        <f t="shared" si="4"/>
        <v>1.0454999999999999</v>
      </c>
      <c r="T792" s="145">
        <f t="shared" si="75"/>
        <v>0</v>
      </c>
      <c r="U792" s="145">
        <f t="shared" si="574"/>
        <v>0.09</v>
      </c>
      <c r="V792" s="145">
        <f t="shared" si="546"/>
        <v>17.66</v>
      </c>
      <c r="W792" s="145">
        <f t="shared" si="635"/>
        <v>2.65</v>
      </c>
      <c r="X792" s="145">
        <f t="shared" si="582"/>
        <v>0.49</v>
      </c>
      <c r="Y792" s="145">
        <f t="shared" si="218"/>
        <v>0.02</v>
      </c>
      <c r="Z792" s="146">
        <f t="shared" si="10"/>
        <v>20.909999999999997</v>
      </c>
      <c r="AA792" s="147">
        <f t="shared" si="636"/>
        <v>-17680.91</v>
      </c>
      <c r="AB792" s="148">
        <f t="shared" si="403"/>
        <v>-17681</v>
      </c>
      <c r="AC792" s="149">
        <f t="shared" si="48"/>
        <v>-9.0000000000145519E-2</v>
      </c>
      <c r="AD792" s="138"/>
      <c r="AE792" s="150">
        <f t="shared" si="13"/>
        <v>1.1839999999999999E-3</v>
      </c>
      <c r="AF792" s="151">
        <f t="shared" si="14"/>
        <v>0</v>
      </c>
      <c r="AG792" s="152" t="s">
        <v>416</v>
      </c>
      <c r="AH792" s="124"/>
    </row>
    <row r="793" spans="1:34" ht="12" customHeight="1">
      <c r="A793" s="160">
        <v>44931</v>
      </c>
      <c r="B793" s="140" t="s">
        <v>589</v>
      </c>
      <c r="C793" s="141" t="s">
        <v>460</v>
      </c>
      <c r="D793" s="140"/>
      <c r="E793" s="140" t="str">
        <f t="shared" si="0"/>
        <v>DCMSHRIRAM</v>
      </c>
      <c r="F793" s="140"/>
      <c r="G793" s="140"/>
      <c r="H793" s="140"/>
      <c r="I793" s="141" t="s">
        <v>467</v>
      </c>
      <c r="J793" s="139" t="s">
        <v>483</v>
      </c>
      <c r="K793" s="141"/>
      <c r="L793" s="141"/>
      <c r="M793" s="142">
        <v>10</v>
      </c>
      <c r="N793" s="143">
        <v>879.4</v>
      </c>
      <c r="O793" s="144">
        <f t="shared" si="573"/>
        <v>0</v>
      </c>
      <c r="P793" s="144">
        <f t="shared" si="634"/>
        <v>879.4</v>
      </c>
      <c r="Q793" s="144"/>
      <c r="R793" s="144">
        <f t="shared" si="3"/>
        <v>8794</v>
      </c>
      <c r="S793" s="145">
        <f t="shared" si="4"/>
        <v>1.0399999999999998</v>
      </c>
      <c r="T793" s="145">
        <f t="shared" si="75"/>
        <v>0</v>
      </c>
      <c r="U793" s="145">
        <f t="shared" si="574"/>
        <v>0.04</v>
      </c>
      <c r="V793" s="145">
        <f t="shared" si="546"/>
        <v>8.7899999999999991</v>
      </c>
      <c r="W793" s="145">
        <f t="shared" si="635"/>
        <v>1.32</v>
      </c>
      <c r="X793" s="145">
        <f t="shared" si="582"/>
        <v>0.24</v>
      </c>
      <c r="Y793" s="145">
        <f t="shared" si="218"/>
        <v>0.01</v>
      </c>
      <c r="Z793" s="146">
        <f t="shared" si="10"/>
        <v>10.399999999999999</v>
      </c>
      <c r="AA793" s="147">
        <f t="shared" si="636"/>
        <v>-8804.4</v>
      </c>
      <c r="AB793" s="148">
        <f t="shared" si="403"/>
        <v>-8804</v>
      </c>
      <c r="AC793" s="149">
        <f t="shared" si="48"/>
        <v>0.3999999999996362</v>
      </c>
      <c r="AD793" s="138"/>
      <c r="AE793" s="150">
        <f t="shared" si="13"/>
        <v>1.183E-3</v>
      </c>
      <c r="AF793" s="151">
        <f t="shared" si="14"/>
        <v>0</v>
      </c>
      <c r="AG793" s="152" t="s">
        <v>416</v>
      </c>
      <c r="AH793" s="124"/>
    </row>
    <row r="794" spans="1:34" ht="12" customHeight="1">
      <c r="A794" s="155">
        <v>44939</v>
      </c>
      <c r="B794" s="112" t="s">
        <v>603</v>
      </c>
      <c r="C794" s="127" t="s">
        <v>485</v>
      </c>
      <c r="D794" s="112"/>
      <c r="E794" s="112" t="str">
        <f t="shared" si="0"/>
        <v>MCX</v>
      </c>
      <c r="F794" s="112"/>
      <c r="G794" s="112"/>
      <c r="H794" s="112"/>
      <c r="I794" s="127" t="s">
        <v>461</v>
      </c>
      <c r="J794" s="126" t="s">
        <v>483</v>
      </c>
      <c r="K794" s="127"/>
      <c r="L794" s="127"/>
      <c r="M794" s="128">
        <v>37</v>
      </c>
      <c r="N794" s="129">
        <v>1568.0689</v>
      </c>
      <c r="O794" s="130">
        <f t="shared" si="573"/>
        <v>0</v>
      </c>
      <c r="P794" s="130">
        <f t="shared" ref="P794:P795" si="637">N794-O794</f>
        <v>1568.0689</v>
      </c>
      <c r="Q794" s="130"/>
      <c r="R794" s="130">
        <f t="shared" si="3"/>
        <v>58018.55</v>
      </c>
      <c r="S794" s="131">
        <f t="shared" si="4"/>
        <v>1.620810810810811</v>
      </c>
      <c r="T794" s="131">
        <f t="shared" si="75"/>
        <v>0</v>
      </c>
      <c r="U794" s="131">
        <f t="shared" si="574"/>
        <v>0.28999999999999998</v>
      </c>
      <c r="V794" s="131">
        <f t="shared" si="546"/>
        <v>58.02</v>
      </c>
      <c r="W794" s="131">
        <v>0</v>
      </c>
      <c r="X794" s="131">
        <f t="shared" si="582"/>
        <v>1.6</v>
      </c>
      <c r="Y794" s="131">
        <f t="shared" si="218"/>
        <v>0.06</v>
      </c>
      <c r="Z794" s="131">
        <f t="shared" si="10"/>
        <v>59.970000000000006</v>
      </c>
      <c r="AA794" s="132">
        <f t="shared" ref="AA794:AA795" si="638">ROUND(R794-SUM(T794:Y794),2)</f>
        <v>57958.58</v>
      </c>
      <c r="AB794" s="133">
        <f t="shared" si="403"/>
        <v>57959</v>
      </c>
      <c r="AC794" s="134">
        <f t="shared" si="48"/>
        <v>0.41999999999825377</v>
      </c>
      <c r="AD794" s="125"/>
      <c r="AE794" s="135">
        <f t="shared" si="13"/>
        <v>1.034E-3</v>
      </c>
      <c r="AF794" s="136">
        <f t="shared" si="14"/>
        <v>0</v>
      </c>
      <c r="AG794" s="137" t="s">
        <v>416</v>
      </c>
      <c r="AH794" s="124"/>
    </row>
    <row r="795" spans="1:34" ht="12" customHeight="1">
      <c r="A795" s="155">
        <v>44942</v>
      </c>
      <c r="B795" s="112" t="s">
        <v>645</v>
      </c>
      <c r="C795" s="127" t="s">
        <v>485</v>
      </c>
      <c r="D795" s="112"/>
      <c r="E795" s="112" t="str">
        <f t="shared" si="0"/>
        <v>SULA</v>
      </c>
      <c r="F795" s="112"/>
      <c r="G795" s="112"/>
      <c r="H795" s="112"/>
      <c r="I795" s="127" t="s">
        <v>467</v>
      </c>
      <c r="J795" s="126" t="s">
        <v>483</v>
      </c>
      <c r="K795" s="127"/>
      <c r="L795" s="127"/>
      <c r="M795" s="128">
        <v>42</v>
      </c>
      <c r="N795" s="129">
        <v>357.8</v>
      </c>
      <c r="O795" s="130">
        <f t="shared" si="573"/>
        <v>0</v>
      </c>
      <c r="P795" s="130">
        <f t="shared" si="637"/>
        <v>357.8</v>
      </c>
      <c r="Q795" s="130"/>
      <c r="R795" s="130">
        <f t="shared" si="3"/>
        <v>15027.6</v>
      </c>
      <c r="S795" s="131">
        <f t="shared" si="4"/>
        <v>0.36976190476190474</v>
      </c>
      <c r="T795" s="131">
        <f t="shared" si="75"/>
        <v>0</v>
      </c>
      <c r="U795" s="131">
        <f t="shared" si="574"/>
        <v>7.0000000000000007E-2</v>
      </c>
      <c r="V795" s="131">
        <f t="shared" si="546"/>
        <v>15.03</v>
      </c>
      <c r="W795" s="131">
        <v>0</v>
      </c>
      <c r="X795" s="131">
        <f t="shared" si="582"/>
        <v>0.41</v>
      </c>
      <c r="Y795" s="131">
        <f t="shared" si="218"/>
        <v>0.02</v>
      </c>
      <c r="Z795" s="131">
        <f t="shared" si="10"/>
        <v>15.53</v>
      </c>
      <c r="AA795" s="132">
        <f t="shared" si="638"/>
        <v>15012.07</v>
      </c>
      <c r="AB795" s="133">
        <f t="shared" si="403"/>
        <v>15012</v>
      </c>
      <c r="AC795" s="134">
        <f t="shared" si="48"/>
        <v>-6.9999999999708962E-2</v>
      </c>
      <c r="AD795" s="125"/>
      <c r="AE795" s="135">
        <f t="shared" si="13"/>
        <v>1.0330000000000001E-3</v>
      </c>
      <c r="AF795" s="136">
        <f t="shared" si="14"/>
        <v>0</v>
      </c>
      <c r="AG795" s="137" t="s">
        <v>416</v>
      </c>
      <c r="AH795" s="124"/>
    </row>
    <row r="796" spans="1:34" ht="12" customHeight="1">
      <c r="A796" s="160">
        <v>44943</v>
      </c>
      <c r="B796" s="140" t="s">
        <v>590</v>
      </c>
      <c r="C796" s="141" t="s">
        <v>485</v>
      </c>
      <c r="D796" s="140"/>
      <c r="E796" s="140" t="str">
        <f t="shared" si="0"/>
        <v>ITC</v>
      </c>
      <c r="F796" s="140"/>
      <c r="G796" s="140"/>
      <c r="H796" s="140"/>
      <c r="I796" s="141" t="s">
        <v>467</v>
      </c>
      <c r="J796" s="139" t="s">
        <v>483</v>
      </c>
      <c r="K796" s="141"/>
      <c r="L796" s="141"/>
      <c r="M796" s="142">
        <v>50</v>
      </c>
      <c r="N796" s="143">
        <v>333</v>
      </c>
      <c r="O796" s="144">
        <f t="shared" si="573"/>
        <v>0</v>
      </c>
      <c r="P796" s="144">
        <f t="shared" ref="P796:P800" si="639">N796+O796</f>
        <v>333</v>
      </c>
      <c r="Q796" s="144"/>
      <c r="R796" s="144">
        <f t="shared" si="3"/>
        <v>16650</v>
      </c>
      <c r="S796" s="145">
        <f t="shared" si="4"/>
        <v>0.39419999999999994</v>
      </c>
      <c r="T796" s="145">
        <f t="shared" si="75"/>
        <v>0</v>
      </c>
      <c r="U796" s="145">
        <f t="shared" si="574"/>
        <v>0.08</v>
      </c>
      <c r="V796" s="145">
        <f t="shared" si="546"/>
        <v>16.649999999999999</v>
      </c>
      <c r="W796" s="145">
        <f t="shared" ref="W796:W800" si="640">ROUND(R796*F$1823,2)</f>
        <v>2.5</v>
      </c>
      <c r="X796" s="145">
        <f t="shared" si="582"/>
        <v>0.46</v>
      </c>
      <c r="Y796" s="145">
        <f t="shared" si="218"/>
        <v>0.02</v>
      </c>
      <c r="Z796" s="146">
        <f t="shared" si="10"/>
        <v>19.709999999999997</v>
      </c>
      <c r="AA796" s="147">
        <f t="shared" ref="AA796:AA800" si="641">-ROUND(R796+SUM(T796:Y796),2)</f>
        <v>-16669.71</v>
      </c>
      <c r="AB796" s="148">
        <f t="shared" si="403"/>
        <v>-16670</v>
      </c>
      <c r="AC796" s="149">
        <f t="shared" si="48"/>
        <v>-0.29000000000087311</v>
      </c>
      <c r="AD796" s="138"/>
      <c r="AE796" s="150">
        <f t="shared" si="13"/>
        <v>1.1839999999999999E-3</v>
      </c>
      <c r="AF796" s="151">
        <f t="shared" si="14"/>
        <v>0</v>
      </c>
      <c r="AG796" s="152" t="s">
        <v>416</v>
      </c>
      <c r="AH796" s="124"/>
    </row>
    <row r="797" spans="1:34" ht="12" customHeight="1">
      <c r="A797" s="160">
        <v>44943</v>
      </c>
      <c r="B797" s="140" t="s">
        <v>646</v>
      </c>
      <c r="C797" s="141" t="s">
        <v>485</v>
      </c>
      <c r="D797" s="140"/>
      <c r="E797" s="140" t="str">
        <f t="shared" si="0"/>
        <v>MSUMI</v>
      </c>
      <c r="F797" s="140"/>
      <c r="G797" s="140"/>
      <c r="H797" s="140"/>
      <c r="I797" s="141" t="s">
        <v>467</v>
      </c>
      <c r="J797" s="139" t="s">
        <v>483</v>
      </c>
      <c r="K797" s="141"/>
      <c r="L797" s="141"/>
      <c r="M797" s="142">
        <v>200</v>
      </c>
      <c r="N797" s="143">
        <v>51.9</v>
      </c>
      <c r="O797" s="144">
        <f t="shared" si="573"/>
        <v>0</v>
      </c>
      <c r="P797" s="144">
        <f t="shared" si="639"/>
        <v>51.9</v>
      </c>
      <c r="Q797" s="144"/>
      <c r="R797" s="144">
        <f t="shared" si="3"/>
        <v>10380</v>
      </c>
      <c r="S797" s="145">
        <f t="shared" si="4"/>
        <v>6.1450000000000005E-2</v>
      </c>
      <c r="T797" s="145">
        <f t="shared" si="75"/>
        <v>0</v>
      </c>
      <c r="U797" s="145">
        <f t="shared" si="574"/>
        <v>0.05</v>
      </c>
      <c r="V797" s="145">
        <f t="shared" si="546"/>
        <v>10.38</v>
      </c>
      <c r="W797" s="145">
        <f t="shared" si="640"/>
        <v>1.56</v>
      </c>
      <c r="X797" s="145">
        <f t="shared" si="582"/>
        <v>0.28999999999999998</v>
      </c>
      <c r="Y797" s="145">
        <f t="shared" si="218"/>
        <v>0.01</v>
      </c>
      <c r="Z797" s="146">
        <f t="shared" si="10"/>
        <v>12.290000000000001</v>
      </c>
      <c r="AA797" s="147">
        <f t="shared" si="641"/>
        <v>-10392.290000000001</v>
      </c>
      <c r="AB797" s="148">
        <f t="shared" si="403"/>
        <v>-10392</v>
      </c>
      <c r="AC797" s="149">
        <f t="shared" si="48"/>
        <v>0.29000000000087311</v>
      </c>
      <c r="AD797" s="138"/>
      <c r="AE797" s="150">
        <f t="shared" si="13"/>
        <v>1.1839999999999999E-3</v>
      </c>
      <c r="AF797" s="151">
        <f t="shared" si="14"/>
        <v>0</v>
      </c>
      <c r="AG797" s="152" t="s">
        <v>416</v>
      </c>
      <c r="AH797" s="124"/>
    </row>
    <row r="798" spans="1:34" ht="12" customHeight="1">
      <c r="A798" s="160">
        <v>44943</v>
      </c>
      <c r="B798" s="140" t="s">
        <v>627</v>
      </c>
      <c r="C798" s="141" t="s">
        <v>485</v>
      </c>
      <c r="D798" s="140"/>
      <c r="E798" s="140" t="str">
        <f t="shared" si="0"/>
        <v>NHPC</v>
      </c>
      <c r="F798" s="140"/>
      <c r="G798" s="140"/>
      <c r="H798" s="140"/>
      <c r="I798" s="141" t="s">
        <v>467</v>
      </c>
      <c r="J798" s="139" t="s">
        <v>483</v>
      </c>
      <c r="K798" s="141"/>
      <c r="L798" s="141"/>
      <c r="M798" s="142">
        <v>200</v>
      </c>
      <c r="N798" s="143">
        <v>40</v>
      </c>
      <c r="O798" s="144">
        <f t="shared" si="573"/>
        <v>0</v>
      </c>
      <c r="P798" s="144">
        <f t="shared" si="639"/>
        <v>40</v>
      </c>
      <c r="Q798" s="144"/>
      <c r="R798" s="144">
        <f t="shared" si="3"/>
        <v>8000</v>
      </c>
      <c r="S798" s="145">
        <f t="shared" si="4"/>
        <v>4.7349999999999996E-2</v>
      </c>
      <c r="T798" s="145">
        <f t="shared" si="75"/>
        <v>0</v>
      </c>
      <c r="U798" s="145">
        <f t="shared" si="574"/>
        <v>0.04</v>
      </c>
      <c r="V798" s="145">
        <f t="shared" si="546"/>
        <v>8</v>
      </c>
      <c r="W798" s="145">
        <f t="shared" si="640"/>
        <v>1.2</v>
      </c>
      <c r="X798" s="145">
        <f t="shared" si="582"/>
        <v>0.22</v>
      </c>
      <c r="Y798" s="145">
        <f t="shared" si="218"/>
        <v>0.01</v>
      </c>
      <c r="Z798" s="146">
        <f t="shared" si="10"/>
        <v>9.4699999999999989</v>
      </c>
      <c r="AA798" s="147">
        <f t="shared" si="641"/>
        <v>-8009.47</v>
      </c>
      <c r="AB798" s="148">
        <f t="shared" si="403"/>
        <v>-8009</v>
      </c>
      <c r="AC798" s="149">
        <f t="shared" si="48"/>
        <v>0.47000000000025466</v>
      </c>
      <c r="AD798" s="138"/>
      <c r="AE798" s="150">
        <f t="shared" si="13"/>
        <v>1.1839999999999999E-3</v>
      </c>
      <c r="AF798" s="151">
        <f t="shared" si="14"/>
        <v>0</v>
      </c>
      <c r="AG798" s="152" t="s">
        <v>416</v>
      </c>
      <c r="AH798" s="124"/>
    </row>
    <row r="799" spans="1:34" ht="12" customHeight="1">
      <c r="A799" s="160">
        <v>44943</v>
      </c>
      <c r="B799" s="140" t="s">
        <v>647</v>
      </c>
      <c r="C799" s="141" t="s">
        <v>485</v>
      </c>
      <c r="D799" s="140"/>
      <c r="E799" s="140" t="str">
        <f t="shared" si="0"/>
        <v>PATANJALI</v>
      </c>
      <c r="F799" s="140"/>
      <c r="G799" s="140"/>
      <c r="H799" s="140"/>
      <c r="I799" s="141" t="s">
        <v>467</v>
      </c>
      <c r="J799" s="139" t="s">
        <v>483</v>
      </c>
      <c r="K799" s="141"/>
      <c r="L799" s="141"/>
      <c r="M799" s="142">
        <v>15</v>
      </c>
      <c r="N799" s="143">
        <v>1147.3333</v>
      </c>
      <c r="O799" s="144">
        <f t="shared" si="573"/>
        <v>0</v>
      </c>
      <c r="P799" s="144">
        <f t="shared" si="639"/>
        <v>1147.3333</v>
      </c>
      <c r="Q799" s="144"/>
      <c r="R799" s="144">
        <f t="shared" si="3"/>
        <v>17210</v>
      </c>
      <c r="S799" s="145">
        <f t="shared" si="4"/>
        <v>1.3573333333333331</v>
      </c>
      <c r="T799" s="145">
        <f t="shared" si="75"/>
        <v>0</v>
      </c>
      <c r="U799" s="145">
        <f t="shared" si="574"/>
        <v>0.08</v>
      </c>
      <c r="V799" s="145">
        <f t="shared" si="546"/>
        <v>17.21</v>
      </c>
      <c r="W799" s="145">
        <f t="shared" si="640"/>
        <v>2.58</v>
      </c>
      <c r="X799" s="145">
        <f t="shared" si="582"/>
        <v>0.47</v>
      </c>
      <c r="Y799" s="145">
        <f t="shared" si="218"/>
        <v>0.02</v>
      </c>
      <c r="Z799" s="146">
        <f t="shared" si="10"/>
        <v>20.359999999999996</v>
      </c>
      <c r="AA799" s="147">
        <f t="shared" si="641"/>
        <v>-17230.36</v>
      </c>
      <c r="AB799" s="148">
        <f t="shared" si="403"/>
        <v>-17230</v>
      </c>
      <c r="AC799" s="149">
        <f t="shared" si="48"/>
        <v>0.36000000000058208</v>
      </c>
      <c r="AD799" s="138"/>
      <c r="AE799" s="150">
        <f t="shared" si="13"/>
        <v>1.183E-3</v>
      </c>
      <c r="AF799" s="151">
        <f t="shared" si="14"/>
        <v>0</v>
      </c>
      <c r="AG799" s="152" t="s">
        <v>416</v>
      </c>
      <c r="AH799" s="124"/>
    </row>
    <row r="800" spans="1:34" ht="12" customHeight="1">
      <c r="A800" s="160">
        <v>44943</v>
      </c>
      <c r="B800" s="140" t="s">
        <v>648</v>
      </c>
      <c r="C800" s="141" t="s">
        <v>485</v>
      </c>
      <c r="D800" s="140"/>
      <c r="E800" s="140" t="str">
        <f t="shared" si="0"/>
        <v>TATACOMM</v>
      </c>
      <c r="F800" s="140"/>
      <c r="G800" s="140"/>
      <c r="H800" s="140"/>
      <c r="I800" s="141" t="s">
        <v>467</v>
      </c>
      <c r="J800" s="139" t="s">
        <v>483</v>
      </c>
      <c r="K800" s="141"/>
      <c r="L800" s="141"/>
      <c r="M800" s="142">
        <v>5</v>
      </c>
      <c r="N800" s="143">
        <v>1402</v>
      </c>
      <c r="O800" s="144">
        <f t="shared" si="573"/>
        <v>0</v>
      </c>
      <c r="P800" s="144">
        <f t="shared" si="639"/>
        <v>1402</v>
      </c>
      <c r="Q800" s="144"/>
      <c r="R800" s="144">
        <f t="shared" si="3"/>
        <v>7010</v>
      </c>
      <c r="S800" s="145">
        <f t="shared" si="4"/>
        <v>1.6579999999999999</v>
      </c>
      <c r="T800" s="145">
        <f t="shared" si="75"/>
        <v>0</v>
      </c>
      <c r="U800" s="145">
        <f t="shared" si="574"/>
        <v>0.03</v>
      </c>
      <c r="V800" s="145">
        <f t="shared" si="546"/>
        <v>7.01</v>
      </c>
      <c r="W800" s="145">
        <f t="shared" si="640"/>
        <v>1.05</v>
      </c>
      <c r="X800" s="145">
        <f t="shared" si="582"/>
        <v>0.19</v>
      </c>
      <c r="Y800" s="145">
        <f t="shared" si="218"/>
        <v>0.01</v>
      </c>
      <c r="Z800" s="146">
        <f t="shared" si="10"/>
        <v>8.2899999999999991</v>
      </c>
      <c r="AA800" s="147">
        <f t="shared" si="641"/>
        <v>-7018.29</v>
      </c>
      <c r="AB800" s="148">
        <f t="shared" si="403"/>
        <v>-7018</v>
      </c>
      <c r="AC800" s="149">
        <f t="shared" si="48"/>
        <v>0.28999999999996362</v>
      </c>
      <c r="AD800" s="138"/>
      <c r="AE800" s="150">
        <f t="shared" si="13"/>
        <v>1.183E-3</v>
      </c>
      <c r="AF800" s="151">
        <f t="shared" si="14"/>
        <v>0</v>
      </c>
      <c r="AG800" s="152" t="s">
        <v>416</v>
      </c>
      <c r="AH800" s="124"/>
    </row>
    <row r="801" spans="1:34" ht="12" customHeight="1">
      <c r="A801" s="155">
        <v>44943</v>
      </c>
      <c r="B801" s="112" t="s">
        <v>504</v>
      </c>
      <c r="C801" s="127" t="s">
        <v>485</v>
      </c>
      <c r="D801" s="112"/>
      <c r="E801" s="112" t="str">
        <f t="shared" si="0"/>
        <v>HINDUNILVR</v>
      </c>
      <c r="F801" s="112"/>
      <c r="G801" s="112"/>
      <c r="H801" s="112"/>
      <c r="I801" s="127" t="s">
        <v>461</v>
      </c>
      <c r="J801" s="126" t="s">
        <v>483</v>
      </c>
      <c r="K801" s="127"/>
      <c r="L801" s="127"/>
      <c r="M801" s="128">
        <v>6</v>
      </c>
      <c r="N801" s="129">
        <v>2660</v>
      </c>
      <c r="O801" s="130">
        <f t="shared" si="573"/>
        <v>0</v>
      </c>
      <c r="P801" s="130">
        <f>N801-O801</f>
        <v>2660</v>
      </c>
      <c r="Q801" s="130"/>
      <c r="R801" s="130">
        <f t="shared" si="3"/>
        <v>15960</v>
      </c>
      <c r="S801" s="131">
        <f t="shared" si="4"/>
        <v>2.75</v>
      </c>
      <c r="T801" s="131">
        <f t="shared" si="75"/>
        <v>0</v>
      </c>
      <c r="U801" s="131">
        <f t="shared" si="574"/>
        <v>0.08</v>
      </c>
      <c r="V801" s="131">
        <f t="shared" si="546"/>
        <v>15.96</v>
      </c>
      <c r="W801" s="131">
        <v>0</v>
      </c>
      <c r="X801" s="131">
        <f t="shared" si="582"/>
        <v>0.44</v>
      </c>
      <c r="Y801" s="131">
        <f t="shared" si="218"/>
        <v>0.02</v>
      </c>
      <c r="Z801" s="131">
        <f t="shared" si="10"/>
        <v>16.5</v>
      </c>
      <c r="AA801" s="132">
        <f>ROUND(R801-SUM(T801:Y801),2)</f>
        <v>15943.5</v>
      </c>
      <c r="AB801" s="133">
        <f t="shared" si="403"/>
        <v>15944</v>
      </c>
      <c r="AC801" s="134">
        <f t="shared" si="48"/>
        <v>0.5</v>
      </c>
      <c r="AD801" s="125"/>
      <c r="AE801" s="135">
        <f t="shared" si="13"/>
        <v>1.034E-3</v>
      </c>
      <c r="AF801" s="136">
        <f t="shared" si="14"/>
        <v>0</v>
      </c>
      <c r="AG801" s="137" t="s">
        <v>416</v>
      </c>
      <c r="AH801" s="124"/>
    </row>
    <row r="802" spans="1:34" ht="12" customHeight="1">
      <c r="A802" s="160">
        <v>44944</v>
      </c>
      <c r="B802" s="140" t="s">
        <v>649</v>
      </c>
      <c r="C802" s="141" t="s">
        <v>485</v>
      </c>
      <c r="D802" s="140"/>
      <c r="E802" s="140" t="str">
        <f t="shared" si="0"/>
        <v>MUKANDLTD</v>
      </c>
      <c r="F802" s="140"/>
      <c r="G802" s="140"/>
      <c r="H802" s="140"/>
      <c r="I802" s="141" t="s">
        <v>467</v>
      </c>
      <c r="J802" s="139" t="s">
        <v>483</v>
      </c>
      <c r="K802" s="141"/>
      <c r="L802" s="141"/>
      <c r="M802" s="142">
        <v>50</v>
      </c>
      <c r="N802" s="143">
        <v>142</v>
      </c>
      <c r="O802" s="144">
        <f t="shared" si="573"/>
        <v>0</v>
      </c>
      <c r="P802" s="144">
        <f>N802+O802</f>
        <v>142</v>
      </c>
      <c r="Q802" s="144"/>
      <c r="R802" s="144">
        <f t="shared" si="3"/>
        <v>7100</v>
      </c>
      <c r="S802" s="145">
        <f t="shared" si="4"/>
        <v>0.16839999999999997</v>
      </c>
      <c r="T802" s="145">
        <f t="shared" si="75"/>
        <v>0</v>
      </c>
      <c r="U802" s="145">
        <f t="shared" si="574"/>
        <v>0.04</v>
      </c>
      <c r="V802" s="145">
        <f t="shared" si="546"/>
        <v>7.1</v>
      </c>
      <c r="W802" s="145">
        <f>ROUND(R802*F$1823,2)</f>
        <v>1.07</v>
      </c>
      <c r="X802" s="145">
        <f t="shared" si="582"/>
        <v>0.2</v>
      </c>
      <c r="Y802" s="145">
        <f t="shared" si="218"/>
        <v>0.01</v>
      </c>
      <c r="Z802" s="146">
        <f t="shared" si="10"/>
        <v>8.4199999999999982</v>
      </c>
      <c r="AA802" s="147">
        <f>-ROUND(R802+SUM(T802:Y802),2)</f>
        <v>-7108.42</v>
      </c>
      <c r="AB802" s="148">
        <f t="shared" si="403"/>
        <v>-7108</v>
      </c>
      <c r="AC802" s="149">
        <f t="shared" si="48"/>
        <v>0.42000000000007276</v>
      </c>
      <c r="AD802" s="138"/>
      <c r="AE802" s="150">
        <f t="shared" si="13"/>
        <v>1.186E-3</v>
      </c>
      <c r="AF802" s="151">
        <f t="shared" si="14"/>
        <v>0</v>
      </c>
      <c r="AG802" s="152" t="s">
        <v>416</v>
      </c>
      <c r="AH802" s="124"/>
    </row>
    <row r="803" spans="1:34" ht="12" customHeight="1">
      <c r="A803" s="155">
        <v>44944</v>
      </c>
      <c r="B803" s="112" t="s">
        <v>610</v>
      </c>
      <c r="C803" s="127" t="s">
        <v>485</v>
      </c>
      <c r="D803" s="112"/>
      <c r="E803" s="112" t="str">
        <f t="shared" si="0"/>
        <v>POLYPLEX</v>
      </c>
      <c r="F803" s="112"/>
      <c r="G803" s="112"/>
      <c r="H803" s="112"/>
      <c r="I803" s="127" t="s">
        <v>461</v>
      </c>
      <c r="J803" s="126" t="s">
        <v>483</v>
      </c>
      <c r="K803" s="127"/>
      <c r="L803" s="127"/>
      <c r="M803" s="128">
        <v>10</v>
      </c>
      <c r="N803" s="129">
        <v>1579</v>
      </c>
      <c r="O803" s="130">
        <f t="shared" si="573"/>
        <v>0</v>
      </c>
      <c r="P803" s="130">
        <f t="shared" ref="P803:P805" si="642">N803-O803</f>
        <v>1579</v>
      </c>
      <c r="Q803" s="130"/>
      <c r="R803" s="130">
        <f t="shared" si="3"/>
        <v>15790</v>
      </c>
      <c r="S803" s="131">
        <f t="shared" si="4"/>
        <v>1.6320000000000001</v>
      </c>
      <c r="T803" s="131">
        <f t="shared" si="75"/>
        <v>0</v>
      </c>
      <c r="U803" s="131">
        <f t="shared" si="574"/>
        <v>0.08</v>
      </c>
      <c r="V803" s="131">
        <f t="shared" si="546"/>
        <v>15.79</v>
      </c>
      <c r="W803" s="131">
        <v>0</v>
      </c>
      <c r="X803" s="131">
        <f t="shared" si="582"/>
        <v>0.43</v>
      </c>
      <c r="Y803" s="131">
        <f t="shared" si="218"/>
        <v>0.02</v>
      </c>
      <c r="Z803" s="131">
        <f t="shared" si="10"/>
        <v>16.32</v>
      </c>
      <c r="AA803" s="132">
        <f t="shared" ref="AA803:AA805" si="643">ROUND(R803-SUM(T803:Y803),2)</f>
        <v>15773.68</v>
      </c>
      <c r="AB803" s="133">
        <f t="shared" si="403"/>
        <v>15774</v>
      </c>
      <c r="AC803" s="134">
        <f t="shared" si="48"/>
        <v>0.31999999999970896</v>
      </c>
      <c r="AD803" s="125"/>
      <c r="AE803" s="135">
        <f t="shared" si="13"/>
        <v>1.034E-3</v>
      </c>
      <c r="AF803" s="136">
        <f t="shared" si="14"/>
        <v>0</v>
      </c>
      <c r="AG803" s="137" t="s">
        <v>416</v>
      </c>
      <c r="AH803" s="124"/>
    </row>
    <row r="804" spans="1:34" ht="12" customHeight="1">
      <c r="A804" s="155">
        <v>44945</v>
      </c>
      <c r="B804" s="112" t="s">
        <v>589</v>
      </c>
      <c r="C804" s="127" t="s">
        <v>460</v>
      </c>
      <c r="D804" s="112"/>
      <c r="E804" s="112" t="str">
        <f t="shared" si="0"/>
        <v>DCMSHRIRAM</v>
      </c>
      <c r="F804" s="112"/>
      <c r="G804" s="112"/>
      <c r="H804" s="112"/>
      <c r="I804" s="127" t="s">
        <v>461</v>
      </c>
      <c r="J804" s="126" t="s">
        <v>483</v>
      </c>
      <c r="K804" s="127"/>
      <c r="L804" s="127"/>
      <c r="M804" s="128">
        <v>20</v>
      </c>
      <c r="N804" s="129">
        <v>896.75</v>
      </c>
      <c r="O804" s="130">
        <f t="shared" si="573"/>
        <v>0</v>
      </c>
      <c r="P804" s="130">
        <f t="shared" si="642"/>
        <v>896.75</v>
      </c>
      <c r="Q804" s="130"/>
      <c r="R804" s="130">
        <f t="shared" si="3"/>
        <v>17935</v>
      </c>
      <c r="S804" s="131">
        <f t="shared" si="4"/>
        <v>0.92699999999999994</v>
      </c>
      <c r="T804" s="131">
        <f t="shared" si="75"/>
        <v>0</v>
      </c>
      <c r="U804" s="131">
        <f t="shared" si="574"/>
        <v>0.09</v>
      </c>
      <c r="V804" s="131">
        <f t="shared" si="546"/>
        <v>17.940000000000001</v>
      </c>
      <c r="W804" s="131">
        <v>0</v>
      </c>
      <c r="X804" s="131">
        <f t="shared" si="582"/>
        <v>0.49</v>
      </c>
      <c r="Y804" s="131">
        <f t="shared" si="218"/>
        <v>0.02</v>
      </c>
      <c r="Z804" s="131">
        <f t="shared" si="10"/>
        <v>18.54</v>
      </c>
      <c r="AA804" s="132">
        <f t="shared" si="643"/>
        <v>17916.46</v>
      </c>
      <c r="AB804" s="133">
        <f t="shared" si="403"/>
        <v>17916</v>
      </c>
      <c r="AC804" s="134">
        <f t="shared" si="48"/>
        <v>-0.45999999999912689</v>
      </c>
      <c r="AD804" s="125"/>
      <c r="AE804" s="135">
        <f t="shared" si="13"/>
        <v>1.034E-3</v>
      </c>
      <c r="AF804" s="136">
        <f t="shared" si="14"/>
        <v>0</v>
      </c>
      <c r="AG804" s="137" t="s">
        <v>416</v>
      </c>
      <c r="AH804" s="124"/>
    </row>
    <row r="805" spans="1:34" ht="12" customHeight="1">
      <c r="A805" s="155">
        <v>44946</v>
      </c>
      <c r="B805" s="112" t="s">
        <v>647</v>
      </c>
      <c r="C805" s="127" t="s">
        <v>485</v>
      </c>
      <c r="D805" s="112"/>
      <c r="E805" s="112" t="str">
        <f t="shared" si="0"/>
        <v>PATANJALI</v>
      </c>
      <c r="F805" s="112"/>
      <c r="G805" s="112"/>
      <c r="H805" s="112"/>
      <c r="I805" s="127" t="s">
        <v>461</v>
      </c>
      <c r="J805" s="126" t="s">
        <v>483</v>
      </c>
      <c r="K805" s="127"/>
      <c r="L805" s="127"/>
      <c r="M805" s="128">
        <v>5</v>
      </c>
      <c r="N805" s="129">
        <v>1202</v>
      </c>
      <c r="O805" s="130">
        <f t="shared" si="573"/>
        <v>0</v>
      </c>
      <c r="P805" s="130">
        <f t="shared" si="642"/>
        <v>1202</v>
      </c>
      <c r="Q805" s="130"/>
      <c r="R805" s="130">
        <f t="shared" si="3"/>
        <v>6010</v>
      </c>
      <c r="S805" s="131">
        <f t="shared" si="4"/>
        <v>1.244</v>
      </c>
      <c r="T805" s="131">
        <f t="shared" si="75"/>
        <v>0</v>
      </c>
      <c r="U805" s="131">
        <f t="shared" si="574"/>
        <v>0.03</v>
      </c>
      <c r="V805" s="131">
        <f t="shared" si="546"/>
        <v>6.01</v>
      </c>
      <c r="W805" s="131">
        <v>0</v>
      </c>
      <c r="X805" s="131">
        <f t="shared" si="582"/>
        <v>0.17</v>
      </c>
      <c r="Y805" s="131">
        <f t="shared" si="218"/>
        <v>0.01</v>
      </c>
      <c r="Z805" s="131">
        <f t="shared" si="10"/>
        <v>6.22</v>
      </c>
      <c r="AA805" s="132">
        <f t="shared" si="643"/>
        <v>6003.78</v>
      </c>
      <c r="AB805" s="133">
        <f t="shared" si="403"/>
        <v>6004</v>
      </c>
      <c r="AC805" s="134">
        <f t="shared" si="48"/>
        <v>0.22000000000025466</v>
      </c>
      <c r="AD805" s="125"/>
      <c r="AE805" s="135">
        <f t="shared" si="13"/>
        <v>1.0349999999999999E-3</v>
      </c>
      <c r="AF805" s="136">
        <f t="shared" si="14"/>
        <v>0</v>
      </c>
      <c r="AG805" s="137" t="s">
        <v>416</v>
      </c>
      <c r="AH805" s="124"/>
    </row>
    <row r="806" spans="1:34" ht="12" customHeight="1">
      <c r="A806" s="160">
        <v>44949</v>
      </c>
      <c r="B806" s="140" t="s">
        <v>610</v>
      </c>
      <c r="C806" s="141" t="s">
        <v>485</v>
      </c>
      <c r="D806" s="140"/>
      <c r="E806" s="140" t="str">
        <f t="shared" si="0"/>
        <v>POLYPLEX</v>
      </c>
      <c r="F806" s="140"/>
      <c r="G806" s="140"/>
      <c r="H806" s="140"/>
      <c r="I806" s="141" t="s">
        <v>467</v>
      </c>
      <c r="J806" s="139" t="s">
        <v>483</v>
      </c>
      <c r="K806" s="141"/>
      <c r="L806" s="141"/>
      <c r="M806" s="142">
        <v>10</v>
      </c>
      <c r="N806" s="143">
        <v>1552</v>
      </c>
      <c r="O806" s="144">
        <f t="shared" si="573"/>
        <v>0</v>
      </c>
      <c r="P806" s="144">
        <f>N806+O806</f>
        <v>1552</v>
      </c>
      <c r="Q806" s="144"/>
      <c r="R806" s="144">
        <f t="shared" si="3"/>
        <v>15520</v>
      </c>
      <c r="S806" s="145">
        <f t="shared" si="4"/>
        <v>1.8379999999999999</v>
      </c>
      <c r="T806" s="145">
        <f t="shared" si="75"/>
        <v>0</v>
      </c>
      <c r="U806" s="145">
        <f t="shared" si="574"/>
        <v>0.08</v>
      </c>
      <c r="V806" s="145">
        <f t="shared" si="546"/>
        <v>15.52</v>
      </c>
      <c r="W806" s="145">
        <f>ROUND(R806*F$1823,2)</f>
        <v>2.33</v>
      </c>
      <c r="X806" s="145">
        <f t="shared" si="582"/>
        <v>0.43</v>
      </c>
      <c r="Y806" s="145">
        <f t="shared" si="218"/>
        <v>0.02</v>
      </c>
      <c r="Z806" s="146">
        <f t="shared" si="10"/>
        <v>18.38</v>
      </c>
      <c r="AA806" s="147">
        <f>-ROUND(R806+SUM(T806:Y806),2)</f>
        <v>-15538.38</v>
      </c>
      <c r="AB806" s="148">
        <f t="shared" si="403"/>
        <v>-15538</v>
      </c>
      <c r="AC806" s="149">
        <f t="shared" si="48"/>
        <v>0.37999999999919964</v>
      </c>
      <c r="AD806" s="138"/>
      <c r="AE806" s="150">
        <f t="shared" si="13"/>
        <v>1.1839999999999999E-3</v>
      </c>
      <c r="AF806" s="151">
        <f t="shared" si="14"/>
        <v>0</v>
      </c>
      <c r="AG806" s="152" t="s">
        <v>416</v>
      </c>
      <c r="AH806" s="124"/>
    </row>
    <row r="807" spans="1:34" ht="12" customHeight="1">
      <c r="A807" s="155">
        <v>44949</v>
      </c>
      <c r="B807" s="112" t="s">
        <v>612</v>
      </c>
      <c r="C807" s="127" t="s">
        <v>485</v>
      </c>
      <c r="D807" s="112"/>
      <c r="E807" s="112" t="str">
        <f t="shared" si="0"/>
        <v>GAIL</v>
      </c>
      <c r="F807" s="112"/>
      <c r="G807" s="112"/>
      <c r="H807" s="112"/>
      <c r="I807" s="127" t="s">
        <v>461</v>
      </c>
      <c r="J807" s="126" t="s">
        <v>483</v>
      </c>
      <c r="K807" s="127"/>
      <c r="L807" s="127"/>
      <c r="M807" s="128">
        <v>132</v>
      </c>
      <c r="N807" s="129">
        <v>101.75</v>
      </c>
      <c r="O807" s="130">
        <f t="shared" si="573"/>
        <v>0</v>
      </c>
      <c r="P807" s="130">
        <f>N807-O807</f>
        <v>101.75</v>
      </c>
      <c r="Q807" s="130"/>
      <c r="R807" s="130">
        <f t="shared" si="3"/>
        <v>13431</v>
      </c>
      <c r="S807" s="131">
        <f t="shared" si="4"/>
        <v>0.10515151515151515</v>
      </c>
      <c r="T807" s="131">
        <f t="shared" si="75"/>
        <v>0</v>
      </c>
      <c r="U807" s="131">
        <f t="shared" si="574"/>
        <v>7.0000000000000007E-2</v>
      </c>
      <c r="V807" s="131">
        <f t="shared" si="546"/>
        <v>13.43</v>
      </c>
      <c r="W807" s="131">
        <v>0</v>
      </c>
      <c r="X807" s="131">
        <f t="shared" si="582"/>
        <v>0.37</v>
      </c>
      <c r="Y807" s="131">
        <f t="shared" si="218"/>
        <v>0.01</v>
      </c>
      <c r="Z807" s="131">
        <f t="shared" si="10"/>
        <v>13.879999999999999</v>
      </c>
      <c r="AA807" s="132">
        <f>ROUND(R807-SUM(T807:Y807),2)</f>
        <v>13417.12</v>
      </c>
      <c r="AB807" s="133">
        <f t="shared" si="403"/>
        <v>13417</v>
      </c>
      <c r="AC807" s="134">
        <f t="shared" si="48"/>
        <v>-0.12000000000080036</v>
      </c>
      <c r="AD807" s="125"/>
      <c r="AE807" s="135">
        <f t="shared" si="13"/>
        <v>1.0330000000000001E-3</v>
      </c>
      <c r="AF807" s="136">
        <f t="shared" si="14"/>
        <v>0</v>
      </c>
      <c r="AG807" s="137" t="s">
        <v>416</v>
      </c>
      <c r="AH807" s="124"/>
    </row>
    <row r="808" spans="1:34" ht="12" customHeight="1">
      <c r="A808" s="160">
        <v>44950</v>
      </c>
      <c r="B808" s="140" t="s">
        <v>589</v>
      </c>
      <c r="C808" s="141" t="s">
        <v>460</v>
      </c>
      <c r="D808" s="140"/>
      <c r="E808" s="140" t="str">
        <f t="shared" si="0"/>
        <v>DCMSHRIRAM</v>
      </c>
      <c r="F808" s="140"/>
      <c r="G808" s="140"/>
      <c r="H808" s="140"/>
      <c r="I808" s="141" t="s">
        <v>467</v>
      </c>
      <c r="J808" s="139" t="s">
        <v>483</v>
      </c>
      <c r="K808" s="141"/>
      <c r="L808" s="141"/>
      <c r="M808" s="142">
        <v>20</v>
      </c>
      <c r="N808" s="143">
        <v>885</v>
      </c>
      <c r="O808" s="144">
        <f t="shared" si="573"/>
        <v>0</v>
      </c>
      <c r="P808" s="144">
        <f t="shared" ref="P808:P809" si="644">N808+O808</f>
        <v>885</v>
      </c>
      <c r="Q808" s="144"/>
      <c r="R808" s="144">
        <f t="shared" si="3"/>
        <v>17700</v>
      </c>
      <c r="S808" s="145">
        <f t="shared" si="4"/>
        <v>1.0479999999999998</v>
      </c>
      <c r="T808" s="145">
        <f t="shared" si="75"/>
        <v>0</v>
      </c>
      <c r="U808" s="145">
        <f t="shared" si="574"/>
        <v>0.09</v>
      </c>
      <c r="V808" s="145">
        <f t="shared" si="546"/>
        <v>17.7</v>
      </c>
      <c r="W808" s="145">
        <f t="shared" ref="W808:W809" si="645">ROUND(R808*F$1823,2)</f>
        <v>2.66</v>
      </c>
      <c r="X808" s="145">
        <f t="shared" si="582"/>
        <v>0.49</v>
      </c>
      <c r="Y808" s="145">
        <f t="shared" si="218"/>
        <v>0.02</v>
      </c>
      <c r="Z808" s="146">
        <f t="shared" si="10"/>
        <v>20.959999999999997</v>
      </c>
      <c r="AA808" s="147">
        <f t="shared" ref="AA808:AA809" si="646">-ROUND(R808+SUM(T808:Y808),2)</f>
        <v>-17720.96</v>
      </c>
      <c r="AB808" s="148">
        <f t="shared" si="403"/>
        <v>-17721</v>
      </c>
      <c r="AC808" s="149">
        <f t="shared" si="48"/>
        <v>-4.0000000000873115E-2</v>
      </c>
      <c r="AD808" s="138"/>
      <c r="AE808" s="150">
        <f t="shared" si="13"/>
        <v>1.1839999999999999E-3</v>
      </c>
      <c r="AF808" s="151">
        <f t="shared" si="14"/>
        <v>0</v>
      </c>
      <c r="AG808" s="152" t="s">
        <v>416</v>
      </c>
      <c r="AH808" s="124"/>
    </row>
    <row r="809" spans="1:34" ht="12" customHeight="1">
      <c r="A809" s="160">
        <v>44950</v>
      </c>
      <c r="B809" s="140" t="s">
        <v>603</v>
      </c>
      <c r="C809" s="141" t="s">
        <v>485</v>
      </c>
      <c r="D809" s="140"/>
      <c r="E809" s="140" t="str">
        <f t="shared" si="0"/>
        <v>MCX</v>
      </c>
      <c r="F809" s="140"/>
      <c r="G809" s="140"/>
      <c r="H809" s="140"/>
      <c r="I809" s="141" t="s">
        <v>467</v>
      </c>
      <c r="J809" s="139" t="s">
        <v>483</v>
      </c>
      <c r="K809" s="141"/>
      <c r="L809" s="141"/>
      <c r="M809" s="142">
        <v>30</v>
      </c>
      <c r="N809" s="143">
        <v>1555</v>
      </c>
      <c r="O809" s="144">
        <f t="shared" si="573"/>
        <v>0</v>
      </c>
      <c r="P809" s="144">
        <f t="shared" si="644"/>
        <v>1555</v>
      </c>
      <c r="Q809" s="144"/>
      <c r="R809" s="144">
        <f t="shared" si="3"/>
        <v>46650</v>
      </c>
      <c r="S809" s="145">
        <f t="shared" si="4"/>
        <v>1.8403333333333332</v>
      </c>
      <c r="T809" s="145">
        <f t="shared" si="75"/>
        <v>0</v>
      </c>
      <c r="U809" s="145">
        <f t="shared" si="574"/>
        <v>0.23</v>
      </c>
      <c r="V809" s="145">
        <f t="shared" si="546"/>
        <v>46.65</v>
      </c>
      <c r="W809" s="145">
        <f t="shared" si="645"/>
        <v>7</v>
      </c>
      <c r="X809" s="145">
        <f t="shared" si="582"/>
        <v>1.28</v>
      </c>
      <c r="Y809" s="145">
        <f t="shared" si="218"/>
        <v>0.05</v>
      </c>
      <c r="Z809" s="146">
        <f t="shared" si="10"/>
        <v>55.209999999999994</v>
      </c>
      <c r="AA809" s="147">
        <f t="shared" si="646"/>
        <v>-46705.21</v>
      </c>
      <c r="AB809" s="148">
        <f t="shared" si="403"/>
        <v>-46705</v>
      </c>
      <c r="AC809" s="149">
        <f t="shared" si="48"/>
        <v>0.20999999999912689</v>
      </c>
      <c r="AD809" s="138"/>
      <c r="AE809" s="150">
        <f t="shared" si="13"/>
        <v>1.183E-3</v>
      </c>
      <c r="AF809" s="151">
        <f t="shared" si="14"/>
        <v>0</v>
      </c>
      <c r="AG809" s="152" t="s">
        <v>416</v>
      </c>
      <c r="AH809" s="124"/>
    </row>
    <row r="810" spans="1:34" ht="12" customHeight="1">
      <c r="A810" s="155">
        <v>44950</v>
      </c>
      <c r="B810" s="112" t="s">
        <v>590</v>
      </c>
      <c r="C810" s="127" t="s">
        <v>485</v>
      </c>
      <c r="D810" s="112"/>
      <c r="E810" s="112" t="str">
        <f t="shared" si="0"/>
        <v>ITC</v>
      </c>
      <c r="F810" s="112"/>
      <c r="G810" s="112"/>
      <c r="H810" s="112"/>
      <c r="I810" s="127" t="s">
        <v>461</v>
      </c>
      <c r="J810" s="126" t="s">
        <v>483</v>
      </c>
      <c r="K810" s="127"/>
      <c r="L810" s="127"/>
      <c r="M810" s="128">
        <v>50</v>
      </c>
      <c r="N810" s="129">
        <v>340</v>
      </c>
      <c r="O810" s="130">
        <f t="shared" si="573"/>
        <v>0</v>
      </c>
      <c r="P810" s="130">
        <f>N810-O810</f>
        <v>340</v>
      </c>
      <c r="Q810" s="130"/>
      <c r="R810" s="130">
        <f t="shared" si="3"/>
        <v>17000</v>
      </c>
      <c r="S810" s="131">
        <f t="shared" si="4"/>
        <v>0.35139999999999993</v>
      </c>
      <c r="T810" s="131">
        <f t="shared" si="75"/>
        <v>0</v>
      </c>
      <c r="U810" s="131">
        <f t="shared" si="574"/>
        <v>0.08</v>
      </c>
      <c r="V810" s="131">
        <f t="shared" si="546"/>
        <v>17</v>
      </c>
      <c r="W810" s="131">
        <v>0</v>
      </c>
      <c r="X810" s="131">
        <f t="shared" si="582"/>
        <v>0.47</v>
      </c>
      <c r="Y810" s="131">
        <f t="shared" si="218"/>
        <v>0.02</v>
      </c>
      <c r="Z810" s="131">
        <f t="shared" si="10"/>
        <v>17.569999999999997</v>
      </c>
      <c r="AA810" s="132">
        <f>ROUND(R810-SUM(T810:Y810),2)</f>
        <v>16982.43</v>
      </c>
      <c r="AB810" s="133">
        <f t="shared" si="403"/>
        <v>16982</v>
      </c>
      <c r="AC810" s="134">
        <f t="shared" si="48"/>
        <v>-0.43000000000029104</v>
      </c>
      <c r="AD810" s="125"/>
      <c r="AE810" s="135">
        <f t="shared" si="13"/>
        <v>1.034E-3</v>
      </c>
      <c r="AF810" s="136">
        <f t="shared" si="14"/>
        <v>0</v>
      </c>
      <c r="AG810" s="137" t="s">
        <v>416</v>
      </c>
      <c r="AH810" s="124"/>
    </row>
    <row r="811" spans="1:34" ht="12" customHeight="1">
      <c r="A811" s="160">
        <v>44951</v>
      </c>
      <c r="B811" s="140" t="s">
        <v>589</v>
      </c>
      <c r="C811" s="141" t="s">
        <v>460</v>
      </c>
      <c r="D811" s="140"/>
      <c r="E811" s="140" t="str">
        <f t="shared" si="0"/>
        <v>DCMSHRIRAM</v>
      </c>
      <c r="F811" s="140"/>
      <c r="G811" s="140"/>
      <c r="H811" s="140"/>
      <c r="I811" s="141" t="s">
        <v>467</v>
      </c>
      <c r="J811" s="139" t="s">
        <v>483</v>
      </c>
      <c r="K811" s="141"/>
      <c r="L811" s="141"/>
      <c r="M811" s="142">
        <v>5</v>
      </c>
      <c r="N811" s="143">
        <v>874.2</v>
      </c>
      <c r="O811" s="144">
        <f t="shared" si="573"/>
        <v>0</v>
      </c>
      <c r="P811" s="144">
        <f t="shared" ref="P811:P815" si="647">N811+O811</f>
        <v>874.2</v>
      </c>
      <c r="Q811" s="144"/>
      <c r="R811" s="144">
        <f t="shared" si="3"/>
        <v>4371</v>
      </c>
      <c r="S811" s="145">
        <f t="shared" si="4"/>
        <v>1.034</v>
      </c>
      <c r="T811" s="145">
        <f t="shared" si="75"/>
        <v>0</v>
      </c>
      <c r="U811" s="145">
        <f t="shared" si="574"/>
        <v>0.02</v>
      </c>
      <c r="V811" s="145">
        <f t="shared" si="546"/>
        <v>4.37</v>
      </c>
      <c r="W811" s="145">
        <f t="shared" ref="W811:W815" si="648">ROUND(R811*F$1823,2)</f>
        <v>0.66</v>
      </c>
      <c r="X811" s="145">
        <f t="shared" si="582"/>
        <v>0.12</v>
      </c>
      <c r="Y811" s="145">
        <f t="shared" si="218"/>
        <v>0</v>
      </c>
      <c r="Z811" s="146">
        <f t="shared" si="10"/>
        <v>5.17</v>
      </c>
      <c r="AA811" s="147">
        <f t="shared" ref="AA811:AA815" si="649">-ROUND(R811+SUM(T811:Y811),2)</f>
        <v>-4376.17</v>
      </c>
      <c r="AB811" s="148">
        <f t="shared" si="403"/>
        <v>-4376</v>
      </c>
      <c r="AC811" s="149">
        <f t="shared" si="48"/>
        <v>0.17000000000007276</v>
      </c>
      <c r="AD811" s="138"/>
      <c r="AE811" s="150">
        <f t="shared" si="13"/>
        <v>1.183E-3</v>
      </c>
      <c r="AF811" s="151">
        <f t="shared" si="14"/>
        <v>0</v>
      </c>
      <c r="AG811" s="152" t="s">
        <v>416</v>
      </c>
      <c r="AH811" s="124"/>
    </row>
    <row r="812" spans="1:34" ht="12" customHeight="1">
      <c r="A812" s="160">
        <v>44953</v>
      </c>
      <c r="B812" s="140" t="s">
        <v>650</v>
      </c>
      <c r="C812" s="141" t="s">
        <v>485</v>
      </c>
      <c r="D812" s="140"/>
      <c r="E812" s="140" t="str">
        <f t="shared" si="0"/>
        <v>IDFCFIRSTB</v>
      </c>
      <c r="F812" s="140"/>
      <c r="G812" s="140"/>
      <c r="H812" s="140"/>
      <c r="I812" s="141" t="s">
        <v>467</v>
      </c>
      <c r="J812" s="139" t="s">
        <v>483</v>
      </c>
      <c r="K812" s="141"/>
      <c r="L812" s="141"/>
      <c r="M812" s="142">
        <v>50</v>
      </c>
      <c r="N812" s="143">
        <v>54.75</v>
      </c>
      <c r="O812" s="144">
        <f t="shared" si="573"/>
        <v>0</v>
      </c>
      <c r="P812" s="144">
        <f t="shared" si="647"/>
        <v>54.75</v>
      </c>
      <c r="Q812" s="144"/>
      <c r="R812" s="144">
        <f t="shared" si="3"/>
        <v>2737.5</v>
      </c>
      <c r="S812" s="145">
        <f t="shared" si="4"/>
        <v>6.480000000000001E-2</v>
      </c>
      <c r="T812" s="145">
        <f t="shared" si="75"/>
        <v>0</v>
      </c>
      <c r="U812" s="145">
        <f t="shared" si="574"/>
        <v>0.01</v>
      </c>
      <c r="V812" s="145">
        <f t="shared" si="546"/>
        <v>2.74</v>
      </c>
      <c r="W812" s="145">
        <f t="shared" si="648"/>
        <v>0.41</v>
      </c>
      <c r="X812" s="145">
        <f t="shared" si="582"/>
        <v>0.08</v>
      </c>
      <c r="Y812" s="145">
        <f t="shared" si="218"/>
        <v>0</v>
      </c>
      <c r="Z812" s="146">
        <f t="shared" si="10"/>
        <v>3.24</v>
      </c>
      <c r="AA812" s="147">
        <f t="shared" si="649"/>
        <v>-2740.74</v>
      </c>
      <c r="AB812" s="148">
        <f t="shared" si="403"/>
        <v>-2741</v>
      </c>
      <c r="AC812" s="149">
        <f t="shared" si="48"/>
        <v>-0.26000000000021828</v>
      </c>
      <c r="AD812" s="138"/>
      <c r="AE812" s="150">
        <f t="shared" si="13"/>
        <v>1.1839999999999999E-3</v>
      </c>
      <c r="AF812" s="151">
        <f t="shared" si="14"/>
        <v>0</v>
      </c>
      <c r="AG812" s="152" t="s">
        <v>416</v>
      </c>
      <c r="AH812" s="124"/>
    </row>
    <row r="813" spans="1:34" ht="12" customHeight="1">
      <c r="A813" s="160">
        <v>44953</v>
      </c>
      <c r="B813" s="140" t="s">
        <v>553</v>
      </c>
      <c r="C813" s="141" t="s">
        <v>485</v>
      </c>
      <c r="D813" s="140"/>
      <c r="E813" s="140" t="str">
        <f t="shared" si="0"/>
        <v>NMDC</v>
      </c>
      <c r="F813" s="140"/>
      <c r="G813" s="140"/>
      <c r="H813" s="140"/>
      <c r="I813" s="141" t="s">
        <v>467</v>
      </c>
      <c r="J813" s="139" t="s">
        <v>483</v>
      </c>
      <c r="K813" s="141"/>
      <c r="L813" s="141"/>
      <c r="M813" s="142">
        <v>50</v>
      </c>
      <c r="N813" s="143">
        <v>121</v>
      </c>
      <c r="O813" s="144">
        <f t="shared" si="573"/>
        <v>0</v>
      </c>
      <c r="P813" s="144">
        <f t="shared" si="647"/>
        <v>121</v>
      </c>
      <c r="Q813" s="144"/>
      <c r="R813" s="144">
        <f t="shared" si="3"/>
        <v>6050</v>
      </c>
      <c r="S813" s="145">
        <f t="shared" si="4"/>
        <v>0.1434</v>
      </c>
      <c r="T813" s="145">
        <f t="shared" si="75"/>
        <v>0</v>
      </c>
      <c r="U813" s="145">
        <f t="shared" si="574"/>
        <v>0.03</v>
      </c>
      <c r="V813" s="145">
        <f t="shared" si="546"/>
        <v>6.05</v>
      </c>
      <c r="W813" s="145">
        <f t="shared" si="648"/>
        <v>0.91</v>
      </c>
      <c r="X813" s="145">
        <f t="shared" si="582"/>
        <v>0.17</v>
      </c>
      <c r="Y813" s="145">
        <f t="shared" si="218"/>
        <v>0.01</v>
      </c>
      <c r="Z813" s="146">
        <f t="shared" si="10"/>
        <v>7.17</v>
      </c>
      <c r="AA813" s="147">
        <f t="shared" si="649"/>
        <v>-6057.17</v>
      </c>
      <c r="AB813" s="148">
        <f t="shared" si="403"/>
        <v>-6057</v>
      </c>
      <c r="AC813" s="149">
        <f t="shared" si="48"/>
        <v>0.17000000000007276</v>
      </c>
      <c r="AD813" s="138"/>
      <c r="AE813" s="150">
        <f t="shared" si="13"/>
        <v>1.1850000000000001E-3</v>
      </c>
      <c r="AF813" s="151">
        <f t="shared" si="14"/>
        <v>0</v>
      </c>
      <c r="AG813" s="152" t="s">
        <v>416</v>
      </c>
      <c r="AH813" s="124"/>
    </row>
    <row r="814" spans="1:34" ht="12" customHeight="1">
      <c r="A814" s="160">
        <v>44953</v>
      </c>
      <c r="B814" s="140" t="s">
        <v>651</v>
      </c>
      <c r="C814" s="141" t="s">
        <v>485</v>
      </c>
      <c r="D814" s="140"/>
      <c r="E814" s="140" t="str">
        <f t="shared" si="0"/>
        <v>SOUTHBANK</v>
      </c>
      <c r="F814" s="140"/>
      <c r="G814" s="140"/>
      <c r="H814" s="140"/>
      <c r="I814" s="141" t="s">
        <v>467</v>
      </c>
      <c r="J814" s="139" t="s">
        <v>483</v>
      </c>
      <c r="K814" s="141"/>
      <c r="L814" s="141"/>
      <c r="M814" s="142">
        <v>75</v>
      </c>
      <c r="N814" s="143">
        <v>16.7</v>
      </c>
      <c r="O814" s="144">
        <f t="shared" si="573"/>
        <v>0</v>
      </c>
      <c r="P814" s="144">
        <f t="shared" si="647"/>
        <v>16.7</v>
      </c>
      <c r="Q814" s="144"/>
      <c r="R814" s="144">
        <f t="shared" si="3"/>
        <v>1252.5</v>
      </c>
      <c r="S814" s="145">
        <f t="shared" si="4"/>
        <v>1.9733333333333332E-2</v>
      </c>
      <c r="T814" s="145">
        <f t="shared" si="75"/>
        <v>0</v>
      </c>
      <c r="U814" s="145">
        <f t="shared" si="574"/>
        <v>0.01</v>
      </c>
      <c r="V814" s="145">
        <f t="shared" si="546"/>
        <v>1.25</v>
      </c>
      <c r="W814" s="145">
        <f t="shared" si="648"/>
        <v>0.19</v>
      </c>
      <c r="X814" s="145">
        <f t="shared" si="582"/>
        <v>0.03</v>
      </c>
      <c r="Y814" s="145">
        <f t="shared" si="218"/>
        <v>0</v>
      </c>
      <c r="Z814" s="146">
        <f t="shared" si="10"/>
        <v>1.48</v>
      </c>
      <c r="AA814" s="147">
        <f t="shared" si="649"/>
        <v>-1253.98</v>
      </c>
      <c r="AB814" s="148">
        <f t="shared" si="403"/>
        <v>-1254</v>
      </c>
      <c r="AC814" s="149">
        <f t="shared" si="48"/>
        <v>-1.999999999998181E-2</v>
      </c>
      <c r="AD814" s="138"/>
      <c r="AE814" s="150">
        <f t="shared" si="13"/>
        <v>1.1820000000000001E-3</v>
      </c>
      <c r="AF814" s="151">
        <f t="shared" si="14"/>
        <v>0</v>
      </c>
      <c r="AG814" s="152" t="s">
        <v>416</v>
      </c>
      <c r="AH814" s="124"/>
    </row>
    <row r="815" spans="1:34" ht="12" customHeight="1">
      <c r="A815" s="160">
        <v>44956</v>
      </c>
      <c r="B815" s="140" t="s">
        <v>495</v>
      </c>
      <c r="C815" s="141" t="s">
        <v>485</v>
      </c>
      <c r="D815" s="140"/>
      <c r="E815" s="140" t="str">
        <f t="shared" si="0"/>
        <v>SAIL</v>
      </c>
      <c r="F815" s="140"/>
      <c r="G815" s="140"/>
      <c r="H815" s="140"/>
      <c r="I815" s="141" t="s">
        <v>467</v>
      </c>
      <c r="J815" s="139" t="s">
        <v>483</v>
      </c>
      <c r="K815" s="141"/>
      <c r="L815" s="141"/>
      <c r="M815" s="142">
        <v>50</v>
      </c>
      <c r="N815" s="143">
        <v>86.25</v>
      </c>
      <c r="O815" s="144">
        <f t="shared" si="573"/>
        <v>0</v>
      </c>
      <c r="P815" s="144">
        <f t="shared" si="647"/>
        <v>86.25</v>
      </c>
      <c r="Q815" s="144"/>
      <c r="R815" s="144">
        <f t="shared" si="3"/>
        <v>4312.5</v>
      </c>
      <c r="S815" s="145">
        <f t="shared" si="4"/>
        <v>0.10199999999999999</v>
      </c>
      <c r="T815" s="145">
        <f t="shared" si="75"/>
        <v>0</v>
      </c>
      <c r="U815" s="145">
        <f t="shared" si="574"/>
        <v>0.02</v>
      </c>
      <c r="V815" s="145">
        <f t="shared" si="546"/>
        <v>4.3099999999999996</v>
      </c>
      <c r="W815" s="145">
        <f t="shared" si="648"/>
        <v>0.65</v>
      </c>
      <c r="X815" s="145">
        <f t="shared" si="582"/>
        <v>0.12</v>
      </c>
      <c r="Y815" s="145">
        <f t="shared" si="218"/>
        <v>0</v>
      </c>
      <c r="Z815" s="146">
        <f t="shared" si="10"/>
        <v>5.0999999999999996</v>
      </c>
      <c r="AA815" s="147">
        <f t="shared" si="649"/>
        <v>-4317.6000000000004</v>
      </c>
      <c r="AB815" s="148">
        <f t="shared" si="403"/>
        <v>-4318</v>
      </c>
      <c r="AC815" s="149">
        <f t="shared" si="48"/>
        <v>-0.3999999999996362</v>
      </c>
      <c r="AD815" s="138"/>
      <c r="AE815" s="150">
        <f t="shared" si="13"/>
        <v>1.183E-3</v>
      </c>
      <c r="AF815" s="151">
        <f t="shared" si="14"/>
        <v>0</v>
      </c>
      <c r="AG815" s="152" t="s">
        <v>416</v>
      </c>
      <c r="AH815" s="124"/>
    </row>
    <row r="816" spans="1:34" ht="12" customHeight="1">
      <c r="A816" s="155">
        <v>44958</v>
      </c>
      <c r="B816" s="112" t="s">
        <v>589</v>
      </c>
      <c r="C816" s="127" t="s">
        <v>460</v>
      </c>
      <c r="D816" s="112"/>
      <c r="E816" s="112" t="str">
        <f t="shared" si="0"/>
        <v>DCMSHRIRAM</v>
      </c>
      <c r="F816" s="112"/>
      <c r="G816" s="112"/>
      <c r="H816" s="112"/>
      <c r="I816" s="127" t="s">
        <v>461</v>
      </c>
      <c r="J816" s="126" t="s">
        <v>483</v>
      </c>
      <c r="K816" s="127"/>
      <c r="L816" s="127"/>
      <c r="M816" s="128">
        <v>45</v>
      </c>
      <c r="N816" s="129">
        <v>902.22220000000004</v>
      </c>
      <c r="O816" s="130">
        <f t="shared" si="573"/>
        <v>0</v>
      </c>
      <c r="P816" s="130">
        <f>N816-O816</f>
        <v>902.22220000000004</v>
      </c>
      <c r="Q816" s="130"/>
      <c r="R816" s="130">
        <f t="shared" si="3"/>
        <v>40600</v>
      </c>
      <c r="S816" s="131">
        <f t="shared" si="4"/>
        <v>0.93244444444444441</v>
      </c>
      <c r="T816" s="131">
        <f t="shared" si="75"/>
        <v>0</v>
      </c>
      <c r="U816" s="131">
        <f t="shared" si="574"/>
        <v>0.2</v>
      </c>
      <c r="V816" s="131">
        <f t="shared" si="546"/>
        <v>40.6</v>
      </c>
      <c r="W816" s="131">
        <v>0</v>
      </c>
      <c r="X816" s="131">
        <f t="shared" si="582"/>
        <v>1.1200000000000001</v>
      </c>
      <c r="Y816" s="131">
        <f t="shared" si="218"/>
        <v>0.04</v>
      </c>
      <c r="Z816" s="131">
        <f t="shared" si="10"/>
        <v>41.96</v>
      </c>
      <c r="AA816" s="132">
        <f>ROUND(R816-SUM(T816:Y816),2)</f>
        <v>40558.04</v>
      </c>
      <c r="AB816" s="133">
        <f t="shared" si="403"/>
        <v>40558</v>
      </c>
      <c r="AC816" s="134">
        <f t="shared" si="48"/>
        <v>-4.0000000000873115E-2</v>
      </c>
      <c r="AD816" s="125"/>
      <c r="AE816" s="135">
        <f t="shared" si="13"/>
        <v>1.0330000000000001E-3</v>
      </c>
      <c r="AF816" s="136">
        <f t="shared" si="14"/>
        <v>0</v>
      </c>
      <c r="AG816" s="137" t="s">
        <v>416</v>
      </c>
      <c r="AH816" s="124"/>
    </row>
    <row r="817" spans="1:34" ht="12" customHeight="1">
      <c r="A817" s="160">
        <v>44959</v>
      </c>
      <c r="B817" s="140" t="s">
        <v>589</v>
      </c>
      <c r="C817" s="141" t="s">
        <v>460</v>
      </c>
      <c r="D817" s="140"/>
      <c r="E817" s="140" t="str">
        <f t="shared" si="0"/>
        <v>DCMSHRIRAM</v>
      </c>
      <c r="F817" s="140"/>
      <c r="G817" s="140"/>
      <c r="H817" s="140"/>
      <c r="I817" s="141" t="s">
        <v>467</v>
      </c>
      <c r="J817" s="139" t="s">
        <v>483</v>
      </c>
      <c r="K817" s="141"/>
      <c r="L817" s="141"/>
      <c r="M817" s="142">
        <v>45</v>
      </c>
      <c r="N817" s="143">
        <v>880</v>
      </c>
      <c r="O817" s="144">
        <f t="shared" si="573"/>
        <v>0</v>
      </c>
      <c r="P817" s="144">
        <f t="shared" ref="P817:P818" si="650">N817+O817</f>
        <v>880</v>
      </c>
      <c r="Q817" s="144"/>
      <c r="R817" s="144">
        <f t="shared" si="3"/>
        <v>39600</v>
      </c>
      <c r="S817" s="145">
        <f t="shared" si="4"/>
        <v>1.0415555555555556</v>
      </c>
      <c r="T817" s="145">
        <f t="shared" si="75"/>
        <v>0</v>
      </c>
      <c r="U817" s="145">
        <f t="shared" si="574"/>
        <v>0.2</v>
      </c>
      <c r="V817" s="145">
        <f t="shared" si="546"/>
        <v>39.6</v>
      </c>
      <c r="W817" s="145">
        <f t="shared" ref="W817:W818" si="651">ROUND(R817*F$1823,2)</f>
        <v>5.94</v>
      </c>
      <c r="X817" s="145">
        <f t="shared" si="582"/>
        <v>1.0900000000000001</v>
      </c>
      <c r="Y817" s="145">
        <f t="shared" si="218"/>
        <v>0.04</v>
      </c>
      <c r="Z817" s="146">
        <f t="shared" si="10"/>
        <v>46.870000000000005</v>
      </c>
      <c r="AA817" s="147">
        <f t="shared" ref="AA817:AA818" si="652">-ROUND(R817+SUM(T817:Y817),2)</f>
        <v>-39646.870000000003</v>
      </c>
      <c r="AB817" s="148">
        <f t="shared" si="403"/>
        <v>-39647</v>
      </c>
      <c r="AC817" s="149">
        <f t="shared" si="48"/>
        <v>-0.12999999999738066</v>
      </c>
      <c r="AD817" s="138"/>
      <c r="AE817" s="150">
        <f t="shared" si="13"/>
        <v>1.1839999999999999E-3</v>
      </c>
      <c r="AF817" s="151">
        <f t="shared" si="14"/>
        <v>0</v>
      </c>
      <c r="AG817" s="152" t="s">
        <v>416</v>
      </c>
      <c r="AH817" s="124"/>
    </row>
    <row r="818" spans="1:34" ht="12" customHeight="1">
      <c r="A818" s="160">
        <v>44963</v>
      </c>
      <c r="B818" s="140" t="s">
        <v>635</v>
      </c>
      <c r="C818" s="141" t="s">
        <v>485</v>
      </c>
      <c r="D818" s="140"/>
      <c r="E818" s="140" t="str">
        <f t="shared" si="0"/>
        <v>ADANIPOWER</v>
      </c>
      <c r="F818" s="140"/>
      <c r="G818" s="140"/>
      <c r="H818" s="140"/>
      <c r="I818" s="141" t="s">
        <v>467</v>
      </c>
      <c r="J818" s="139" t="s">
        <v>483</v>
      </c>
      <c r="K818" s="141"/>
      <c r="L818" s="141"/>
      <c r="M818" s="142">
        <v>10</v>
      </c>
      <c r="N818" s="143">
        <v>182.45</v>
      </c>
      <c r="O818" s="144">
        <f t="shared" si="573"/>
        <v>0</v>
      </c>
      <c r="P818" s="144">
        <f t="shared" si="650"/>
        <v>182.45</v>
      </c>
      <c r="Q818" s="144"/>
      <c r="R818" s="144">
        <f t="shared" si="3"/>
        <v>1824.5</v>
      </c>
      <c r="S818" s="145">
        <f t="shared" si="4"/>
        <v>0.215</v>
      </c>
      <c r="T818" s="145">
        <f t="shared" si="75"/>
        <v>0</v>
      </c>
      <c r="U818" s="145">
        <f t="shared" si="574"/>
        <v>0.01</v>
      </c>
      <c r="V818" s="145">
        <f t="shared" si="546"/>
        <v>1.82</v>
      </c>
      <c r="W818" s="145">
        <f t="shared" si="651"/>
        <v>0.27</v>
      </c>
      <c r="X818" s="145">
        <f t="shared" si="582"/>
        <v>0.05</v>
      </c>
      <c r="Y818" s="145">
        <f t="shared" si="218"/>
        <v>0</v>
      </c>
      <c r="Z818" s="146">
        <f t="shared" si="10"/>
        <v>2.15</v>
      </c>
      <c r="AA818" s="147">
        <f t="shared" si="652"/>
        <v>-1826.65</v>
      </c>
      <c r="AB818" s="148">
        <f t="shared" si="403"/>
        <v>-1827</v>
      </c>
      <c r="AC818" s="149">
        <f t="shared" si="48"/>
        <v>-0.34999999999990905</v>
      </c>
      <c r="AD818" s="138"/>
      <c r="AE818" s="150">
        <f t="shared" si="13"/>
        <v>1.178E-3</v>
      </c>
      <c r="AF818" s="151">
        <f t="shared" si="14"/>
        <v>0</v>
      </c>
      <c r="AG818" s="152" t="s">
        <v>416</v>
      </c>
      <c r="AH818" s="124"/>
    </row>
    <row r="819" spans="1:34" ht="12" customHeight="1">
      <c r="A819" s="155">
        <v>44971</v>
      </c>
      <c r="B819" s="112" t="s">
        <v>589</v>
      </c>
      <c r="C819" s="127" t="s">
        <v>460</v>
      </c>
      <c r="D819" s="112"/>
      <c r="E819" s="112" t="str">
        <f t="shared" si="0"/>
        <v>DCMSHRIRAM</v>
      </c>
      <c r="F819" s="112"/>
      <c r="G819" s="112"/>
      <c r="H819" s="112"/>
      <c r="I819" s="127" t="s">
        <v>461</v>
      </c>
      <c r="J819" s="126" t="s">
        <v>483</v>
      </c>
      <c r="K819" s="127"/>
      <c r="L819" s="127"/>
      <c r="M819" s="128">
        <v>1</v>
      </c>
      <c r="N819" s="129">
        <v>856.9</v>
      </c>
      <c r="O819" s="130">
        <f t="shared" si="573"/>
        <v>0</v>
      </c>
      <c r="P819" s="130">
        <f t="shared" ref="P819:P821" si="653">N819-O819</f>
        <v>856.9</v>
      </c>
      <c r="Q819" s="130"/>
      <c r="R819" s="130">
        <f t="shared" si="3"/>
        <v>856.9</v>
      </c>
      <c r="S819" s="131">
        <f t="shared" si="4"/>
        <v>0.88</v>
      </c>
      <c r="T819" s="131">
        <f t="shared" si="75"/>
        <v>0</v>
      </c>
      <c r="U819" s="131">
        <f t="shared" si="574"/>
        <v>0</v>
      </c>
      <c r="V819" s="131">
        <f t="shared" si="546"/>
        <v>0.86</v>
      </c>
      <c r="W819" s="131">
        <v>0</v>
      </c>
      <c r="X819" s="131">
        <f t="shared" si="582"/>
        <v>0.02</v>
      </c>
      <c r="Y819" s="131">
        <f t="shared" si="218"/>
        <v>0</v>
      </c>
      <c r="Z819" s="131">
        <f t="shared" si="10"/>
        <v>0.88</v>
      </c>
      <c r="AA819" s="132">
        <f t="shared" ref="AA819:AA821" si="654">ROUND(R819-SUM(T819:Y819),2)</f>
        <v>856.02</v>
      </c>
      <c r="AB819" s="133">
        <f t="shared" si="403"/>
        <v>856</v>
      </c>
      <c r="AC819" s="134">
        <f t="shared" si="48"/>
        <v>-1.999999999998181E-2</v>
      </c>
      <c r="AD819" s="125"/>
      <c r="AE819" s="135">
        <f t="shared" si="13"/>
        <v>1.0269999999999999E-3</v>
      </c>
      <c r="AF819" s="136">
        <f t="shared" si="14"/>
        <v>0</v>
      </c>
      <c r="AG819" s="137" t="s">
        <v>416</v>
      </c>
      <c r="AH819" s="124"/>
    </row>
    <row r="820" spans="1:34" ht="12" customHeight="1">
      <c r="A820" s="155">
        <v>44972</v>
      </c>
      <c r="B820" s="112" t="s">
        <v>589</v>
      </c>
      <c r="C820" s="127" t="s">
        <v>460</v>
      </c>
      <c r="D820" s="112"/>
      <c r="E820" s="112" t="str">
        <f t="shared" si="0"/>
        <v>DCMSHRIRAM</v>
      </c>
      <c r="F820" s="112"/>
      <c r="G820" s="112"/>
      <c r="H820" s="112"/>
      <c r="I820" s="127" t="s">
        <v>461</v>
      </c>
      <c r="J820" s="126" t="s">
        <v>483</v>
      </c>
      <c r="K820" s="127"/>
      <c r="L820" s="127"/>
      <c r="M820" s="128">
        <v>20</v>
      </c>
      <c r="N820" s="129">
        <v>859.75</v>
      </c>
      <c r="O820" s="130">
        <f t="shared" si="573"/>
        <v>0</v>
      </c>
      <c r="P820" s="130">
        <f t="shared" si="653"/>
        <v>859.75</v>
      </c>
      <c r="Q820" s="130"/>
      <c r="R820" s="130">
        <f t="shared" si="3"/>
        <v>17195</v>
      </c>
      <c r="S820" s="131">
        <f t="shared" si="4"/>
        <v>0.88849999999999985</v>
      </c>
      <c r="T820" s="131">
        <f t="shared" si="75"/>
        <v>0</v>
      </c>
      <c r="U820" s="131">
        <f t="shared" si="574"/>
        <v>0.08</v>
      </c>
      <c r="V820" s="131">
        <f t="shared" si="546"/>
        <v>17.2</v>
      </c>
      <c r="W820" s="131">
        <v>0</v>
      </c>
      <c r="X820" s="131">
        <f t="shared" si="582"/>
        <v>0.47</v>
      </c>
      <c r="Y820" s="131">
        <f t="shared" si="218"/>
        <v>0.02</v>
      </c>
      <c r="Z820" s="131">
        <f t="shared" si="10"/>
        <v>17.769999999999996</v>
      </c>
      <c r="AA820" s="132">
        <f t="shared" si="654"/>
        <v>17177.23</v>
      </c>
      <c r="AB820" s="133">
        <f t="shared" si="403"/>
        <v>17177</v>
      </c>
      <c r="AC820" s="134">
        <f t="shared" si="48"/>
        <v>-0.22999999999956344</v>
      </c>
      <c r="AD820" s="125"/>
      <c r="AE820" s="135">
        <f t="shared" si="13"/>
        <v>1.0330000000000001E-3</v>
      </c>
      <c r="AF820" s="136">
        <f t="shared" si="14"/>
        <v>0</v>
      </c>
      <c r="AG820" s="137" t="s">
        <v>416</v>
      </c>
      <c r="AH820" s="124"/>
    </row>
    <row r="821" spans="1:34" ht="12" customHeight="1">
      <c r="A821" s="155">
        <v>44973</v>
      </c>
      <c r="B821" s="112" t="s">
        <v>589</v>
      </c>
      <c r="C821" s="127" t="s">
        <v>460</v>
      </c>
      <c r="D821" s="112"/>
      <c r="E821" s="112" t="str">
        <f t="shared" si="0"/>
        <v>DCMSHRIRAM</v>
      </c>
      <c r="F821" s="112"/>
      <c r="G821" s="112"/>
      <c r="H821" s="112"/>
      <c r="I821" s="127" t="s">
        <v>461</v>
      </c>
      <c r="J821" s="126" t="s">
        <v>483</v>
      </c>
      <c r="K821" s="127"/>
      <c r="L821" s="127"/>
      <c r="M821" s="128">
        <v>10</v>
      </c>
      <c r="N821" s="129">
        <v>880.08</v>
      </c>
      <c r="O821" s="130">
        <f t="shared" si="573"/>
        <v>0</v>
      </c>
      <c r="P821" s="130">
        <f t="shared" si="653"/>
        <v>880.08</v>
      </c>
      <c r="Q821" s="130"/>
      <c r="R821" s="130">
        <f t="shared" si="3"/>
        <v>8800.7999999999993</v>
      </c>
      <c r="S821" s="131">
        <f t="shared" si="4"/>
        <v>0.90900000000000003</v>
      </c>
      <c r="T821" s="131">
        <f t="shared" si="75"/>
        <v>0</v>
      </c>
      <c r="U821" s="131">
        <f t="shared" si="574"/>
        <v>0.04</v>
      </c>
      <c r="V821" s="131">
        <f t="shared" si="546"/>
        <v>8.8000000000000007</v>
      </c>
      <c r="W821" s="131">
        <v>0</v>
      </c>
      <c r="X821" s="131">
        <f t="shared" si="582"/>
        <v>0.24</v>
      </c>
      <c r="Y821" s="131">
        <f t="shared" si="218"/>
        <v>0.01</v>
      </c>
      <c r="Z821" s="131">
        <f t="shared" si="10"/>
        <v>9.09</v>
      </c>
      <c r="AA821" s="132">
        <f t="shared" si="654"/>
        <v>8791.7099999999991</v>
      </c>
      <c r="AB821" s="133">
        <f t="shared" si="403"/>
        <v>8792</v>
      </c>
      <c r="AC821" s="134">
        <f t="shared" si="48"/>
        <v>0.29000000000087311</v>
      </c>
      <c r="AD821" s="125"/>
      <c r="AE821" s="135">
        <f t="shared" si="13"/>
        <v>1.0330000000000001E-3</v>
      </c>
      <c r="AF821" s="136">
        <f t="shared" si="14"/>
        <v>0</v>
      </c>
      <c r="AG821" s="137" t="s">
        <v>416</v>
      </c>
      <c r="AH821" s="124"/>
    </row>
    <row r="822" spans="1:34" ht="12" customHeight="1">
      <c r="A822" s="160">
        <v>44979</v>
      </c>
      <c r="B822" s="140" t="s">
        <v>589</v>
      </c>
      <c r="C822" s="141" t="s">
        <v>460</v>
      </c>
      <c r="D822" s="140"/>
      <c r="E822" s="140" t="str">
        <f t="shared" si="0"/>
        <v>DCMSHRIRAM</v>
      </c>
      <c r="F822" s="140"/>
      <c r="G822" s="140"/>
      <c r="H822" s="140"/>
      <c r="I822" s="141" t="s">
        <v>467</v>
      </c>
      <c r="J822" s="139" t="s">
        <v>483</v>
      </c>
      <c r="K822" s="141"/>
      <c r="L822" s="141"/>
      <c r="M822" s="142">
        <v>31</v>
      </c>
      <c r="N822" s="143">
        <v>853.67740000000003</v>
      </c>
      <c r="O822" s="144">
        <f t="shared" si="573"/>
        <v>0</v>
      </c>
      <c r="P822" s="144">
        <f>N822+O822</f>
        <v>853.67740000000003</v>
      </c>
      <c r="Q822" s="144"/>
      <c r="R822" s="144">
        <f t="shared" si="3"/>
        <v>26464</v>
      </c>
      <c r="S822" s="145">
        <f t="shared" si="4"/>
        <v>1.0103225806451612</v>
      </c>
      <c r="T822" s="145">
        <f t="shared" si="75"/>
        <v>0</v>
      </c>
      <c r="U822" s="145">
        <f t="shared" si="574"/>
        <v>0.13</v>
      </c>
      <c r="V822" s="145">
        <f t="shared" si="546"/>
        <v>26.46</v>
      </c>
      <c r="W822" s="145">
        <f>ROUND(R822*F$1823,2)</f>
        <v>3.97</v>
      </c>
      <c r="X822" s="145">
        <f t="shared" si="582"/>
        <v>0.73</v>
      </c>
      <c r="Y822" s="145">
        <f t="shared" si="218"/>
        <v>0.03</v>
      </c>
      <c r="Z822" s="146">
        <f t="shared" si="10"/>
        <v>31.32</v>
      </c>
      <c r="AA822" s="147">
        <f>-ROUND(R822+SUM(T822:Y822),2)</f>
        <v>-26495.32</v>
      </c>
      <c r="AB822" s="148">
        <f t="shared" si="403"/>
        <v>-26495</v>
      </c>
      <c r="AC822" s="149">
        <f t="shared" si="48"/>
        <v>0.31999999999970896</v>
      </c>
      <c r="AD822" s="138"/>
      <c r="AE822" s="150">
        <f t="shared" si="13"/>
        <v>1.183E-3</v>
      </c>
      <c r="AF822" s="151">
        <f t="shared" si="14"/>
        <v>0</v>
      </c>
      <c r="AG822" s="152" t="s">
        <v>416</v>
      </c>
      <c r="AH822" s="124"/>
    </row>
    <row r="823" spans="1:34" ht="12" customHeight="1">
      <c r="A823" s="155">
        <v>44991</v>
      </c>
      <c r="B823" s="112" t="s">
        <v>612</v>
      </c>
      <c r="C823" s="127" t="s">
        <v>485</v>
      </c>
      <c r="D823" s="112"/>
      <c r="E823" s="112" t="str">
        <f t="shared" si="0"/>
        <v>GAIL</v>
      </c>
      <c r="F823" s="112"/>
      <c r="G823" s="112"/>
      <c r="H823" s="112"/>
      <c r="I823" s="127" t="s">
        <v>461</v>
      </c>
      <c r="J823" s="126" t="s">
        <v>483</v>
      </c>
      <c r="K823" s="127"/>
      <c r="L823" s="127"/>
      <c r="M823" s="128">
        <v>43</v>
      </c>
      <c r="N823" s="129">
        <v>108.73260000000001</v>
      </c>
      <c r="O823" s="130">
        <f t="shared" si="573"/>
        <v>0</v>
      </c>
      <c r="P823" s="130">
        <f t="shared" ref="P823:P824" si="655">N823-O823</f>
        <v>108.73260000000001</v>
      </c>
      <c r="Q823" s="130"/>
      <c r="R823" s="130">
        <f t="shared" si="3"/>
        <v>4675.5</v>
      </c>
      <c r="S823" s="131">
        <f t="shared" si="4"/>
        <v>0.11232558139534882</v>
      </c>
      <c r="T823" s="131">
        <f t="shared" si="75"/>
        <v>0</v>
      </c>
      <c r="U823" s="131">
        <f t="shared" si="574"/>
        <v>0.02</v>
      </c>
      <c r="V823" s="131">
        <f t="shared" si="546"/>
        <v>4.68</v>
      </c>
      <c r="W823" s="131">
        <v>0</v>
      </c>
      <c r="X823" s="131">
        <f t="shared" si="582"/>
        <v>0.13</v>
      </c>
      <c r="Y823" s="131">
        <f t="shared" si="218"/>
        <v>0</v>
      </c>
      <c r="Z823" s="131">
        <f t="shared" si="10"/>
        <v>4.8299999999999992</v>
      </c>
      <c r="AA823" s="132">
        <f t="shared" ref="AA823:AA824" si="656">ROUND(R823-SUM(T823:Y823),2)</f>
        <v>4670.67</v>
      </c>
      <c r="AB823" s="133">
        <f t="shared" si="403"/>
        <v>4671</v>
      </c>
      <c r="AC823" s="134">
        <f t="shared" si="48"/>
        <v>0.32999999999992724</v>
      </c>
      <c r="AD823" s="125"/>
      <c r="AE823" s="135">
        <f t="shared" si="13"/>
        <v>1.0330000000000001E-3</v>
      </c>
      <c r="AF823" s="136">
        <f t="shared" si="14"/>
        <v>0</v>
      </c>
      <c r="AG823" s="137" t="s">
        <v>416</v>
      </c>
      <c r="AH823" s="124"/>
    </row>
    <row r="824" spans="1:34" ht="12" customHeight="1">
      <c r="A824" s="155">
        <v>44993</v>
      </c>
      <c r="B824" s="112" t="s">
        <v>612</v>
      </c>
      <c r="C824" s="127" t="s">
        <v>485</v>
      </c>
      <c r="D824" s="112"/>
      <c r="E824" s="112" t="str">
        <f t="shared" si="0"/>
        <v>GAIL</v>
      </c>
      <c r="F824" s="112"/>
      <c r="G824" s="112"/>
      <c r="H824" s="112"/>
      <c r="I824" s="127" t="s">
        <v>461</v>
      </c>
      <c r="J824" s="126" t="s">
        <v>483</v>
      </c>
      <c r="K824" s="127"/>
      <c r="L824" s="127"/>
      <c r="M824" s="128">
        <v>50</v>
      </c>
      <c r="N824" s="129">
        <v>111.38</v>
      </c>
      <c r="O824" s="130">
        <f t="shared" si="573"/>
        <v>0</v>
      </c>
      <c r="P824" s="130">
        <f t="shared" si="655"/>
        <v>111.38</v>
      </c>
      <c r="Q824" s="130"/>
      <c r="R824" s="130">
        <f t="shared" si="3"/>
        <v>5569</v>
      </c>
      <c r="S824" s="131">
        <f t="shared" si="4"/>
        <v>0.11520000000000001</v>
      </c>
      <c r="T824" s="131">
        <f t="shared" si="75"/>
        <v>0</v>
      </c>
      <c r="U824" s="131">
        <f t="shared" si="574"/>
        <v>0.03</v>
      </c>
      <c r="V824" s="131">
        <f t="shared" si="546"/>
        <v>5.57</v>
      </c>
      <c r="W824" s="131">
        <v>0</v>
      </c>
      <c r="X824" s="131">
        <f t="shared" si="582"/>
        <v>0.15</v>
      </c>
      <c r="Y824" s="131">
        <f t="shared" si="218"/>
        <v>0.01</v>
      </c>
      <c r="Z824" s="131">
        <f t="shared" si="10"/>
        <v>5.7600000000000007</v>
      </c>
      <c r="AA824" s="132">
        <f t="shared" si="656"/>
        <v>5563.24</v>
      </c>
      <c r="AB824" s="133">
        <f t="shared" si="403"/>
        <v>5563</v>
      </c>
      <c r="AC824" s="134">
        <f t="shared" si="48"/>
        <v>-0.23999999999978172</v>
      </c>
      <c r="AD824" s="125"/>
      <c r="AE824" s="135">
        <f t="shared" si="13"/>
        <v>1.034E-3</v>
      </c>
      <c r="AF824" s="136">
        <f t="shared" si="14"/>
        <v>0</v>
      </c>
      <c r="AG824" s="137" t="s">
        <v>416</v>
      </c>
      <c r="AH824" s="124"/>
    </row>
    <row r="825" spans="1:34" ht="12" customHeight="1">
      <c r="A825" s="160">
        <v>44994</v>
      </c>
      <c r="B825" s="140" t="s">
        <v>612</v>
      </c>
      <c r="C825" s="141" t="s">
        <v>485</v>
      </c>
      <c r="D825" s="140"/>
      <c r="E825" s="140" t="str">
        <f t="shared" si="0"/>
        <v>GAIL</v>
      </c>
      <c r="F825" s="140"/>
      <c r="G825" s="140"/>
      <c r="H825" s="140"/>
      <c r="I825" s="141" t="s">
        <v>467</v>
      </c>
      <c r="J825" s="139" t="s">
        <v>483</v>
      </c>
      <c r="K825" s="141"/>
      <c r="L825" s="141"/>
      <c r="M825" s="142">
        <v>50</v>
      </c>
      <c r="N825" s="143">
        <v>110</v>
      </c>
      <c r="O825" s="144">
        <f t="shared" si="573"/>
        <v>0</v>
      </c>
      <c r="P825" s="144">
        <f t="shared" ref="P825:P827" si="657">N825+O825</f>
        <v>110</v>
      </c>
      <c r="Q825" s="144"/>
      <c r="R825" s="144">
        <f t="shared" si="3"/>
        <v>5500</v>
      </c>
      <c r="S825" s="145">
        <f t="shared" si="4"/>
        <v>0.13040000000000002</v>
      </c>
      <c r="T825" s="145">
        <f t="shared" si="75"/>
        <v>0</v>
      </c>
      <c r="U825" s="145">
        <f t="shared" si="574"/>
        <v>0.03</v>
      </c>
      <c r="V825" s="145">
        <f t="shared" si="546"/>
        <v>5.5</v>
      </c>
      <c r="W825" s="145">
        <f t="shared" ref="W825:W827" si="658">ROUND(R825*F$1823,2)</f>
        <v>0.83</v>
      </c>
      <c r="X825" s="145">
        <f t="shared" si="582"/>
        <v>0.15</v>
      </c>
      <c r="Y825" s="145">
        <f t="shared" si="218"/>
        <v>0.01</v>
      </c>
      <c r="Z825" s="146">
        <f t="shared" si="10"/>
        <v>6.5200000000000005</v>
      </c>
      <c r="AA825" s="147">
        <f t="shared" ref="AA825:AA827" si="659">-ROUND(R825+SUM(T825:Y825),2)</f>
        <v>-5506.52</v>
      </c>
      <c r="AB825" s="148">
        <f t="shared" si="403"/>
        <v>-5507</v>
      </c>
      <c r="AC825" s="149">
        <f t="shared" si="48"/>
        <v>-0.47999999999956344</v>
      </c>
      <c r="AD825" s="138"/>
      <c r="AE825" s="150">
        <f t="shared" si="13"/>
        <v>1.1850000000000001E-3</v>
      </c>
      <c r="AF825" s="151">
        <f t="shared" si="14"/>
        <v>0</v>
      </c>
      <c r="AG825" s="152" t="s">
        <v>416</v>
      </c>
      <c r="AH825" s="124"/>
    </row>
    <row r="826" spans="1:34" ht="12" customHeight="1">
      <c r="A826" s="160">
        <v>45000</v>
      </c>
      <c r="B826" s="140" t="s">
        <v>612</v>
      </c>
      <c r="C826" s="141" t="s">
        <v>485</v>
      </c>
      <c r="D826" s="140"/>
      <c r="E826" s="140" t="str">
        <f t="shared" si="0"/>
        <v>GAIL</v>
      </c>
      <c r="F826" s="140"/>
      <c r="G826" s="140"/>
      <c r="H826" s="140"/>
      <c r="I826" s="141" t="s">
        <v>467</v>
      </c>
      <c r="J826" s="139" t="s">
        <v>483</v>
      </c>
      <c r="K826" s="141"/>
      <c r="L826" s="141"/>
      <c r="M826" s="142">
        <v>43</v>
      </c>
      <c r="N826" s="143">
        <v>109</v>
      </c>
      <c r="O826" s="144">
        <f t="shared" si="573"/>
        <v>0</v>
      </c>
      <c r="P826" s="144">
        <f t="shared" si="657"/>
        <v>109</v>
      </c>
      <c r="Q826" s="144"/>
      <c r="R826" s="144">
        <f t="shared" si="3"/>
        <v>4687</v>
      </c>
      <c r="S826" s="145">
        <f t="shared" si="4"/>
        <v>0.12883720930232559</v>
      </c>
      <c r="T826" s="145">
        <f t="shared" si="75"/>
        <v>0</v>
      </c>
      <c r="U826" s="145">
        <f t="shared" si="574"/>
        <v>0.02</v>
      </c>
      <c r="V826" s="145">
        <f t="shared" si="546"/>
        <v>4.6900000000000004</v>
      </c>
      <c r="W826" s="145">
        <f t="shared" si="658"/>
        <v>0.7</v>
      </c>
      <c r="X826" s="145">
        <f t="shared" si="582"/>
        <v>0.13</v>
      </c>
      <c r="Y826" s="145">
        <f t="shared" si="218"/>
        <v>0</v>
      </c>
      <c r="Z826" s="146">
        <f t="shared" si="10"/>
        <v>5.54</v>
      </c>
      <c r="AA826" s="147">
        <f t="shared" si="659"/>
        <v>-4692.54</v>
      </c>
      <c r="AB826" s="148">
        <f t="shared" si="403"/>
        <v>-4693</v>
      </c>
      <c r="AC826" s="149">
        <f t="shared" si="48"/>
        <v>-0.46000000000003638</v>
      </c>
      <c r="AD826" s="138"/>
      <c r="AE826" s="150">
        <f t="shared" si="13"/>
        <v>1.1820000000000001E-3</v>
      </c>
      <c r="AF826" s="151">
        <f t="shared" si="14"/>
        <v>0</v>
      </c>
      <c r="AG826" s="152" t="s">
        <v>416</v>
      </c>
      <c r="AH826" s="124"/>
    </row>
    <row r="827" spans="1:34" ht="12" customHeight="1">
      <c r="A827" s="160">
        <v>45007</v>
      </c>
      <c r="B827" s="140" t="s">
        <v>612</v>
      </c>
      <c r="C827" s="141" t="s">
        <v>485</v>
      </c>
      <c r="D827" s="140"/>
      <c r="E827" s="140" t="str">
        <f t="shared" si="0"/>
        <v>GAIL</v>
      </c>
      <c r="F827" s="140"/>
      <c r="G827" s="140"/>
      <c r="H827" s="140"/>
      <c r="I827" s="141" t="s">
        <v>467</v>
      </c>
      <c r="J827" s="139" t="s">
        <v>483</v>
      </c>
      <c r="K827" s="141"/>
      <c r="L827" s="141"/>
      <c r="M827" s="142">
        <v>2</v>
      </c>
      <c r="N827" s="143">
        <v>104</v>
      </c>
      <c r="O827" s="144">
        <f t="shared" si="573"/>
        <v>0</v>
      </c>
      <c r="P827" s="144">
        <f t="shared" si="657"/>
        <v>104</v>
      </c>
      <c r="Q827" s="144"/>
      <c r="R827" s="144">
        <f t="shared" si="3"/>
        <v>208</v>
      </c>
      <c r="S827" s="145">
        <f t="shared" si="4"/>
        <v>0.125</v>
      </c>
      <c r="T827" s="145">
        <f t="shared" si="75"/>
        <v>0</v>
      </c>
      <c r="U827" s="145">
        <f t="shared" si="574"/>
        <v>0</v>
      </c>
      <c r="V827" s="145">
        <f t="shared" si="546"/>
        <v>0.21</v>
      </c>
      <c r="W827" s="145">
        <f t="shared" si="658"/>
        <v>0.03</v>
      </c>
      <c r="X827" s="145">
        <f t="shared" si="582"/>
        <v>0.01</v>
      </c>
      <c r="Y827" s="145">
        <f t="shared" si="218"/>
        <v>0</v>
      </c>
      <c r="Z827" s="146">
        <f t="shared" si="10"/>
        <v>0.25</v>
      </c>
      <c r="AA827" s="147">
        <f t="shared" si="659"/>
        <v>-208.25</v>
      </c>
      <c r="AB827" s="148">
        <f t="shared" si="403"/>
        <v>-208</v>
      </c>
      <c r="AC827" s="149">
        <f t="shared" si="48"/>
        <v>0.25</v>
      </c>
      <c r="AD827" s="138"/>
      <c r="AE827" s="150">
        <f t="shared" si="13"/>
        <v>1.2019999999999999E-3</v>
      </c>
      <c r="AF827" s="151">
        <f t="shared" si="14"/>
        <v>0</v>
      </c>
      <c r="AG827" s="152" t="s">
        <v>416</v>
      </c>
      <c r="AH827" s="124"/>
    </row>
    <row r="828" spans="1:34" ht="12" customHeight="1">
      <c r="A828" s="155">
        <v>45019</v>
      </c>
      <c r="B828" s="112" t="s">
        <v>589</v>
      </c>
      <c r="C828" s="127" t="s">
        <v>460</v>
      </c>
      <c r="D828" s="112"/>
      <c r="E828" s="112" t="str">
        <f t="shared" si="0"/>
        <v>DCMSHRIRAM</v>
      </c>
      <c r="F828" s="112"/>
      <c r="G828" s="112"/>
      <c r="H828" s="112"/>
      <c r="I828" s="127" t="s">
        <v>461</v>
      </c>
      <c r="J828" s="126" t="s">
        <v>483</v>
      </c>
      <c r="K828" s="127"/>
      <c r="L828" s="127"/>
      <c r="M828" s="128">
        <v>40</v>
      </c>
      <c r="N828" s="129">
        <v>764.45</v>
      </c>
      <c r="O828" s="130">
        <f t="shared" si="573"/>
        <v>0</v>
      </c>
      <c r="P828" s="130">
        <f t="shared" ref="P828:P831" si="660">N828-O828</f>
        <v>764.45</v>
      </c>
      <c r="Q828" s="130"/>
      <c r="R828" s="130">
        <f t="shared" si="3"/>
        <v>30578</v>
      </c>
      <c r="S828" s="131">
        <f t="shared" si="4"/>
        <v>0.78999999999999992</v>
      </c>
      <c r="T828" s="131">
        <f t="shared" si="75"/>
        <v>0</v>
      </c>
      <c r="U828" s="131">
        <f t="shared" si="574"/>
        <v>0.15</v>
      </c>
      <c r="V828" s="131">
        <f t="shared" si="546"/>
        <v>30.58</v>
      </c>
      <c r="W828" s="131">
        <v>0</v>
      </c>
      <c r="X828" s="131">
        <f t="shared" si="582"/>
        <v>0.84</v>
      </c>
      <c r="Y828" s="131">
        <f t="shared" si="218"/>
        <v>0.03</v>
      </c>
      <c r="Z828" s="131">
        <f t="shared" si="10"/>
        <v>31.599999999999998</v>
      </c>
      <c r="AA828" s="132">
        <f t="shared" ref="AA828:AA831" si="661">ROUND(R828-SUM(T828:Y828),2)</f>
        <v>30546.400000000001</v>
      </c>
      <c r="AB828" s="133">
        <f t="shared" si="403"/>
        <v>30546</v>
      </c>
      <c r="AC828" s="134">
        <f t="shared" si="48"/>
        <v>-0.40000000000145519</v>
      </c>
      <c r="AD828" s="125"/>
      <c r="AE828" s="135">
        <f t="shared" si="13"/>
        <v>1.0330000000000001E-3</v>
      </c>
      <c r="AF828" s="136">
        <f t="shared" si="14"/>
        <v>0</v>
      </c>
      <c r="AG828" s="137" t="s">
        <v>416</v>
      </c>
      <c r="AH828" s="124"/>
    </row>
    <row r="829" spans="1:34" ht="12" customHeight="1">
      <c r="A829" s="155">
        <v>45021</v>
      </c>
      <c r="B829" s="112" t="s">
        <v>589</v>
      </c>
      <c r="C829" s="127" t="s">
        <v>460</v>
      </c>
      <c r="D829" s="112"/>
      <c r="E829" s="112" t="str">
        <f t="shared" si="0"/>
        <v>DCMSHRIRAM</v>
      </c>
      <c r="F829" s="112"/>
      <c r="G829" s="112"/>
      <c r="H829" s="112"/>
      <c r="I829" s="127" t="s">
        <v>461</v>
      </c>
      <c r="J829" s="126" t="s">
        <v>483</v>
      </c>
      <c r="K829" s="127"/>
      <c r="L829" s="127"/>
      <c r="M829" s="128">
        <v>30</v>
      </c>
      <c r="N829" s="129">
        <v>788.16669999999999</v>
      </c>
      <c r="O829" s="130">
        <f t="shared" si="573"/>
        <v>0</v>
      </c>
      <c r="P829" s="130">
        <f t="shared" si="660"/>
        <v>788.16669999999999</v>
      </c>
      <c r="Q829" s="130"/>
      <c r="R829" s="130">
        <f t="shared" si="3"/>
        <v>23645</v>
      </c>
      <c r="S829" s="131">
        <f t="shared" si="4"/>
        <v>0.81466666666666654</v>
      </c>
      <c r="T829" s="131">
        <f t="shared" si="75"/>
        <v>0</v>
      </c>
      <c r="U829" s="131">
        <f t="shared" si="574"/>
        <v>0.12</v>
      </c>
      <c r="V829" s="131">
        <f t="shared" si="546"/>
        <v>23.65</v>
      </c>
      <c r="W829" s="131">
        <v>0</v>
      </c>
      <c r="X829" s="131">
        <f t="shared" si="582"/>
        <v>0.65</v>
      </c>
      <c r="Y829" s="131">
        <f t="shared" si="218"/>
        <v>0.02</v>
      </c>
      <c r="Z829" s="131">
        <f t="shared" si="10"/>
        <v>24.439999999999998</v>
      </c>
      <c r="AA829" s="132">
        <f t="shared" si="661"/>
        <v>23620.560000000001</v>
      </c>
      <c r="AB829" s="133">
        <f t="shared" si="403"/>
        <v>23621</v>
      </c>
      <c r="AC829" s="134">
        <f t="shared" si="48"/>
        <v>0.43999999999869033</v>
      </c>
      <c r="AD829" s="125"/>
      <c r="AE829" s="135">
        <f t="shared" si="13"/>
        <v>1.034E-3</v>
      </c>
      <c r="AF829" s="136">
        <f t="shared" si="14"/>
        <v>0</v>
      </c>
      <c r="AG829" s="137" t="s">
        <v>416</v>
      </c>
      <c r="AH829" s="124"/>
    </row>
    <row r="830" spans="1:34" ht="12" customHeight="1">
      <c r="A830" s="155">
        <v>45028</v>
      </c>
      <c r="B830" s="112" t="s">
        <v>612</v>
      </c>
      <c r="C830" s="127" t="s">
        <v>485</v>
      </c>
      <c r="D830" s="112"/>
      <c r="E830" s="112" t="str">
        <f t="shared" si="0"/>
        <v>GAIL</v>
      </c>
      <c r="F830" s="112"/>
      <c r="G830" s="112"/>
      <c r="H830" s="112"/>
      <c r="I830" s="127" t="s">
        <v>461</v>
      </c>
      <c r="J830" s="126" t="s">
        <v>483</v>
      </c>
      <c r="K830" s="127"/>
      <c r="L830" s="127"/>
      <c r="M830" s="128">
        <v>95</v>
      </c>
      <c r="N830" s="129">
        <v>108.75</v>
      </c>
      <c r="O830" s="130">
        <f t="shared" si="573"/>
        <v>0</v>
      </c>
      <c r="P830" s="130">
        <f t="shared" si="660"/>
        <v>108.75</v>
      </c>
      <c r="Q830" s="130"/>
      <c r="R830" s="130">
        <f t="shared" si="3"/>
        <v>10331.25</v>
      </c>
      <c r="S830" s="131">
        <f t="shared" si="4"/>
        <v>0.11305263157894738</v>
      </c>
      <c r="T830" s="131">
        <f t="shared" si="75"/>
        <v>0</v>
      </c>
      <c r="U830" s="131">
        <f t="shared" si="574"/>
        <v>0.06</v>
      </c>
      <c r="V830" s="131">
        <f t="shared" si="546"/>
        <v>10.33</v>
      </c>
      <c r="W830" s="131">
        <v>0</v>
      </c>
      <c r="X830" s="131">
        <f t="shared" ref="X830:X838" si="662">ROUND(R830*I$1820,2)</f>
        <v>0.34</v>
      </c>
      <c r="Y830" s="131">
        <f t="shared" si="218"/>
        <v>0.01</v>
      </c>
      <c r="Z830" s="131">
        <f t="shared" si="10"/>
        <v>10.74</v>
      </c>
      <c r="AA830" s="132">
        <f t="shared" si="661"/>
        <v>10320.51</v>
      </c>
      <c r="AB830" s="133">
        <f t="shared" si="403"/>
        <v>10321</v>
      </c>
      <c r="AC830" s="134">
        <f t="shared" si="48"/>
        <v>0.48999999999978172</v>
      </c>
      <c r="AD830" s="125"/>
      <c r="AE830" s="135">
        <f t="shared" si="13"/>
        <v>1.0399999999999999E-3</v>
      </c>
      <c r="AF830" s="136">
        <f t="shared" si="14"/>
        <v>0</v>
      </c>
      <c r="AG830" s="137" t="s">
        <v>416</v>
      </c>
      <c r="AH830" s="124"/>
    </row>
    <row r="831" spans="1:34" ht="12" customHeight="1">
      <c r="A831" s="155">
        <v>45028</v>
      </c>
      <c r="B831" s="112" t="s">
        <v>627</v>
      </c>
      <c r="C831" s="127" t="s">
        <v>485</v>
      </c>
      <c r="D831" s="112"/>
      <c r="E831" s="112" t="str">
        <f t="shared" si="0"/>
        <v>NHPC</v>
      </c>
      <c r="F831" s="112"/>
      <c r="G831" s="112"/>
      <c r="H831" s="112"/>
      <c r="I831" s="127" t="s">
        <v>461</v>
      </c>
      <c r="J831" s="126" t="s">
        <v>483</v>
      </c>
      <c r="K831" s="127"/>
      <c r="L831" s="127"/>
      <c r="M831" s="128">
        <v>200</v>
      </c>
      <c r="N831" s="129">
        <v>41.25</v>
      </c>
      <c r="O831" s="130">
        <f t="shared" si="573"/>
        <v>0</v>
      </c>
      <c r="P831" s="130">
        <f t="shared" si="660"/>
        <v>41.25</v>
      </c>
      <c r="Q831" s="130"/>
      <c r="R831" s="130">
        <f t="shared" si="3"/>
        <v>8250</v>
      </c>
      <c r="S831" s="131">
        <f t="shared" si="4"/>
        <v>4.2900000000000001E-2</v>
      </c>
      <c r="T831" s="131">
        <f t="shared" si="75"/>
        <v>0</v>
      </c>
      <c r="U831" s="131">
        <f t="shared" si="574"/>
        <v>0.05</v>
      </c>
      <c r="V831" s="131">
        <f t="shared" si="546"/>
        <v>8.25</v>
      </c>
      <c r="W831" s="131">
        <v>0</v>
      </c>
      <c r="X831" s="131">
        <f t="shared" si="662"/>
        <v>0.27</v>
      </c>
      <c r="Y831" s="131">
        <f t="shared" si="218"/>
        <v>0.01</v>
      </c>
      <c r="Z831" s="131">
        <f t="shared" si="10"/>
        <v>8.58</v>
      </c>
      <c r="AA831" s="132">
        <f t="shared" si="661"/>
        <v>8241.42</v>
      </c>
      <c r="AB831" s="133">
        <f t="shared" si="403"/>
        <v>8241</v>
      </c>
      <c r="AC831" s="134">
        <f t="shared" si="48"/>
        <v>-0.42000000000007276</v>
      </c>
      <c r="AD831" s="125"/>
      <c r="AE831" s="135">
        <f t="shared" si="13"/>
        <v>1.0399999999999999E-3</v>
      </c>
      <c r="AF831" s="136">
        <f t="shared" si="14"/>
        <v>0</v>
      </c>
      <c r="AG831" s="137" t="s">
        <v>416</v>
      </c>
      <c r="AH831" s="124"/>
    </row>
    <row r="832" spans="1:34" ht="12" customHeight="1">
      <c r="A832" s="160">
        <v>45028</v>
      </c>
      <c r="B832" s="140" t="s">
        <v>495</v>
      </c>
      <c r="C832" s="141" t="s">
        <v>485</v>
      </c>
      <c r="D832" s="140"/>
      <c r="E832" s="140" t="str">
        <f t="shared" si="0"/>
        <v>SAIL</v>
      </c>
      <c r="F832" s="140"/>
      <c r="G832" s="140"/>
      <c r="H832" s="140"/>
      <c r="I832" s="141" t="s">
        <v>467</v>
      </c>
      <c r="J832" s="139" t="s">
        <v>483</v>
      </c>
      <c r="K832" s="141"/>
      <c r="L832" s="141"/>
      <c r="M832" s="142">
        <v>100</v>
      </c>
      <c r="N832" s="143">
        <v>82.5</v>
      </c>
      <c r="O832" s="144">
        <f t="shared" si="573"/>
        <v>0</v>
      </c>
      <c r="P832" s="144">
        <f t="shared" ref="P832:P834" si="663">N832+O832</f>
        <v>82.5</v>
      </c>
      <c r="Q832" s="144"/>
      <c r="R832" s="144">
        <f t="shared" si="3"/>
        <v>8250</v>
      </c>
      <c r="S832" s="145">
        <f t="shared" si="4"/>
        <v>9.820000000000001E-2</v>
      </c>
      <c r="T832" s="145">
        <f t="shared" si="75"/>
        <v>0</v>
      </c>
      <c r="U832" s="145">
        <f t="shared" si="574"/>
        <v>0.05</v>
      </c>
      <c r="V832" s="145">
        <f t="shared" si="546"/>
        <v>8.25</v>
      </c>
      <c r="W832" s="145">
        <f t="shared" ref="W832:W834" si="664">ROUND(R832*F$1823,2)</f>
        <v>1.24</v>
      </c>
      <c r="X832" s="145">
        <f t="shared" si="662"/>
        <v>0.27</v>
      </c>
      <c r="Y832" s="145">
        <f t="shared" si="218"/>
        <v>0.01</v>
      </c>
      <c r="Z832" s="146">
        <f t="shared" si="10"/>
        <v>9.82</v>
      </c>
      <c r="AA832" s="147">
        <f t="shared" ref="AA832:AA834" si="665">-ROUND(R832+SUM(T832:Y832),2)</f>
        <v>-8259.82</v>
      </c>
      <c r="AB832" s="148">
        <f t="shared" si="403"/>
        <v>-8260</v>
      </c>
      <c r="AC832" s="149">
        <f t="shared" si="48"/>
        <v>-0.18000000000029104</v>
      </c>
      <c r="AD832" s="138"/>
      <c r="AE832" s="150">
        <f t="shared" si="13"/>
        <v>1.1900000000000001E-3</v>
      </c>
      <c r="AF832" s="151">
        <f t="shared" si="14"/>
        <v>0</v>
      </c>
      <c r="AG832" s="152" t="s">
        <v>416</v>
      </c>
      <c r="AH832" s="124"/>
    </row>
    <row r="833" spans="1:34" ht="12" customHeight="1">
      <c r="A833" s="160">
        <v>45029</v>
      </c>
      <c r="B833" s="140" t="s">
        <v>612</v>
      </c>
      <c r="C833" s="141" t="s">
        <v>485</v>
      </c>
      <c r="D833" s="140"/>
      <c r="E833" s="140" t="str">
        <f t="shared" si="0"/>
        <v>GAIL</v>
      </c>
      <c r="F833" s="140"/>
      <c r="G833" s="140"/>
      <c r="H833" s="140"/>
      <c r="I833" s="141" t="s">
        <v>467</v>
      </c>
      <c r="J833" s="139" t="s">
        <v>483</v>
      </c>
      <c r="K833" s="141"/>
      <c r="L833" s="141"/>
      <c r="M833" s="142">
        <v>50</v>
      </c>
      <c r="N833" s="143">
        <v>107.35</v>
      </c>
      <c r="O833" s="144">
        <f t="shared" si="573"/>
        <v>0</v>
      </c>
      <c r="P833" s="144">
        <f t="shared" si="663"/>
        <v>107.35</v>
      </c>
      <c r="Q833" s="144"/>
      <c r="R833" s="144">
        <f t="shared" si="3"/>
        <v>5367.5</v>
      </c>
      <c r="S833" s="145">
        <f t="shared" si="4"/>
        <v>0.12780000000000002</v>
      </c>
      <c r="T833" s="145">
        <f t="shared" si="75"/>
        <v>0</v>
      </c>
      <c r="U833" s="145">
        <f t="shared" si="574"/>
        <v>0.03</v>
      </c>
      <c r="V833" s="145">
        <f t="shared" si="546"/>
        <v>5.37</v>
      </c>
      <c r="W833" s="145">
        <f t="shared" si="664"/>
        <v>0.81</v>
      </c>
      <c r="X833" s="145">
        <f t="shared" si="662"/>
        <v>0.17</v>
      </c>
      <c r="Y833" s="145">
        <f t="shared" si="218"/>
        <v>0.01</v>
      </c>
      <c r="Z833" s="146">
        <f t="shared" si="10"/>
        <v>6.3900000000000006</v>
      </c>
      <c r="AA833" s="147">
        <f t="shared" si="665"/>
        <v>-5373.89</v>
      </c>
      <c r="AB833" s="148">
        <f t="shared" si="403"/>
        <v>-5374</v>
      </c>
      <c r="AC833" s="149">
        <f t="shared" si="48"/>
        <v>-0.10999999999967258</v>
      </c>
      <c r="AD833" s="138"/>
      <c r="AE833" s="150">
        <f t="shared" si="13"/>
        <v>1.1900000000000001E-3</v>
      </c>
      <c r="AF833" s="151">
        <f t="shared" si="14"/>
        <v>0</v>
      </c>
      <c r="AG833" s="152" t="s">
        <v>416</v>
      </c>
      <c r="AH833" s="124"/>
    </row>
    <row r="834" spans="1:34" ht="12" customHeight="1">
      <c r="A834" s="160">
        <v>45040</v>
      </c>
      <c r="B834" s="140" t="s">
        <v>589</v>
      </c>
      <c r="C834" s="141" t="s">
        <v>460</v>
      </c>
      <c r="D834" s="140"/>
      <c r="E834" s="140" t="str">
        <f t="shared" si="0"/>
        <v>DCMSHRIRAM</v>
      </c>
      <c r="F834" s="140"/>
      <c r="G834" s="140"/>
      <c r="H834" s="140"/>
      <c r="I834" s="141" t="s">
        <v>467</v>
      </c>
      <c r="J834" s="139" t="s">
        <v>483</v>
      </c>
      <c r="K834" s="141"/>
      <c r="L834" s="141"/>
      <c r="M834" s="142">
        <v>20</v>
      </c>
      <c r="N834" s="143">
        <v>826.25</v>
      </c>
      <c r="O834" s="144">
        <f t="shared" si="573"/>
        <v>0</v>
      </c>
      <c r="P834" s="144">
        <f t="shared" si="663"/>
        <v>826.25</v>
      </c>
      <c r="Q834" s="144"/>
      <c r="R834" s="144">
        <f t="shared" si="3"/>
        <v>16525</v>
      </c>
      <c r="S834" s="145">
        <f t="shared" si="4"/>
        <v>0.98350000000000004</v>
      </c>
      <c r="T834" s="145">
        <f t="shared" si="75"/>
        <v>0</v>
      </c>
      <c r="U834" s="145">
        <f t="shared" si="574"/>
        <v>0.1</v>
      </c>
      <c r="V834" s="145">
        <f t="shared" si="546"/>
        <v>16.53</v>
      </c>
      <c r="W834" s="145">
        <f t="shared" si="664"/>
        <v>2.48</v>
      </c>
      <c r="X834" s="145">
        <f t="shared" si="662"/>
        <v>0.54</v>
      </c>
      <c r="Y834" s="145">
        <f t="shared" si="218"/>
        <v>0.02</v>
      </c>
      <c r="Z834" s="146">
        <f t="shared" si="10"/>
        <v>19.670000000000002</v>
      </c>
      <c r="AA834" s="147">
        <f t="shared" si="665"/>
        <v>-16544.669999999998</v>
      </c>
      <c r="AB834" s="148">
        <f t="shared" si="403"/>
        <v>-16545</v>
      </c>
      <c r="AC834" s="149">
        <f t="shared" si="48"/>
        <v>-0.33000000000174623</v>
      </c>
      <c r="AD834" s="138"/>
      <c r="AE834" s="150">
        <f t="shared" si="13"/>
        <v>1.1900000000000001E-3</v>
      </c>
      <c r="AF834" s="151">
        <f t="shared" si="14"/>
        <v>0</v>
      </c>
      <c r="AG834" s="152" t="s">
        <v>416</v>
      </c>
      <c r="AH834" s="124"/>
    </row>
    <row r="835" spans="1:34" ht="12" customHeight="1">
      <c r="A835" s="155">
        <v>45040</v>
      </c>
      <c r="B835" s="112" t="s">
        <v>650</v>
      </c>
      <c r="C835" s="127" t="s">
        <v>485</v>
      </c>
      <c r="D835" s="112"/>
      <c r="E835" s="112" t="str">
        <f t="shared" si="0"/>
        <v>IDFCFIRSTB</v>
      </c>
      <c r="F835" s="112"/>
      <c r="G835" s="112"/>
      <c r="H835" s="112"/>
      <c r="I835" s="127" t="s">
        <v>461</v>
      </c>
      <c r="J835" s="126" t="s">
        <v>483</v>
      </c>
      <c r="K835" s="127"/>
      <c r="L835" s="127"/>
      <c r="M835" s="128">
        <v>50</v>
      </c>
      <c r="N835" s="129">
        <v>58.15</v>
      </c>
      <c r="O835" s="130">
        <f t="shared" si="573"/>
        <v>0</v>
      </c>
      <c r="P835" s="130">
        <f t="shared" ref="P835:P838" si="666">N835-O835</f>
        <v>58.15</v>
      </c>
      <c r="Q835" s="130"/>
      <c r="R835" s="130">
        <f t="shared" si="3"/>
        <v>2907.5</v>
      </c>
      <c r="S835" s="131">
        <f t="shared" si="4"/>
        <v>6.0400000000000002E-2</v>
      </c>
      <c r="T835" s="131">
        <f t="shared" si="75"/>
        <v>0</v>
      </c>
      <c r="U835" s="131">
        <f t="shared" si="574"/>
        <v>0.02</v>
      </c>
      <c r="V835" s="131">
        <f t="shared" si="546"/>
        <v>2.91</v>
      </c>
      <c r="W835" s="131">
        <v>0</v>
      </c>
      <c r="X835" s="131">
        <f t="shared" si="662"/>
        <v>0.09</v>
      </c>
      <c r="Y835" s="131">
        <f t="shared" si="218"/>
        <v>0</v>
      </c>
      <c r="Z835" s="131">
        <f t="shared" si="10"/>
        <v>3.02</v>
      </c>
      <c r="AA835" s="132">
        <f t="shared" ref="AA835:AA838" si="667">ROUND(R835-SUM(T835:Y835),2)</f>
        <v>2904.48</v>
      </c>
      <c r="AB835" s="133">
        <f t="shared" si="403"/>
        <v>2904</v>
      </c>
      <c r="AC835" s="134">
        <f t="shared" si="48"/>
        <v>-0.48000000000001819</v>
      </c>
      <c r="AD835" s="125"/>
      <c r="AE835" s="135">
        <f t="shared" si="13"/>
        <v>1.039E-3</v>
      </c>
      <c r="AF835" s="136">
        <f t="shared" si="14"/>
        <v>0</v>
      </c>
      <c r="AG835" s="137" t="s">
        <v>416</v>
      </c>
      <c r="AH835" s="124"/>
    </row>
    <row r="836" spans="1:34" ht="12" customHeight="1">
      <c r="A836" s="155">
        <v>45041</v>
      </c>
      <c r="B836" s="112" t="s">
        <v>635</v>
      </c>
      <c r="C836" s="127" t="s">
        <v>485</v>
      </c>
      <c r="D836" s="112"/>
      <c r="E836" s="112" t="str">
        <f t="shared" si="0"/>
        <v>ADANIPOWER</v>
      </c>
      <c r="F836" s="112"/>
      <c r="G836" s="112"/>
      <c r="H836" s="112"/>
      <c r="I836" s="127" t="s">
        <v>461</v>
      </c>
      <c r="J836" s="126" t="s">
        <v>483</v>
      </c>
      <c r="K836" s="127"/>
      <c r="L836" s="127"/>
      <c r="M836" s="128">
        <v>10</v>
      </c>
      <c r="N836" s="129">
        <v>204.5</v>
      </c>
      <c r="O836" s="130">
        <f t="shared" si="573"/>
        <v>0</v>
      </c>
      <c r="P836" s="130">
        <f t="shared" si="666"/>
        <v>204.5</v>
      </c>
      <c r="Q836" s="130"/>
      <c r="R836" s="130">
        <f t="shared" si="3"/>
        <v>2045</v>
      </c>
      <c r="S836" s="131">
        <f t="shared" si="4"/>
        <v>0.21299999999999994</v>
      </c>
      <c r="T836" s="131">
        <f t="shared" si="75"/>
        <v>0</v>
      </c>
      <c r="U836" s="131">
        <f t="shared" si="574"/>
        <v>0.01</v>
      </c>
      <c r="V836" s="131">
        <f t="shared" si="546"/>
        <v>2.0499999999999998</v>
      </c>
      <c r="W836" s="131">
        <v>0</v>
      </c>
      <c r="X836" s="131">
        <f t="shared" si="662"/>
        <v>7.0000000000000007E-2</v>
      </c>
      <c r="Y836" s="131">
        <f t="shared" si="218"/>
        <v>0</v>
      </c>
      <c r="Z836" s="131">
        <f t="shared" si="10"/>
        <v>2.1299999999999994</v>
      </c>
      <c r="AA836" s="132">
        <f t="shared" si="667"/>
        <v>2042.87</v>
      </c>
      <c r="AB836" s="133">
        <f t="shared" si="403"/>
        <v>2043</v>
      </c>
      <c r="AC836" s="134">
        <f t="shared" si="48"/>
        <v>0.13000000000010914</v>
      </c>
      <c r="AD836" s="125"/>
      <c r="AE836" s="135">
        <f t="shared" si="13"/>
        <v>1.042E-3</v>
      </c>
      <c r="AF836" s="136">
        <f t="shared" si="14"/>
        <v>0</v>
      </c>
      <c r="AG836" s="137" t="s">
        <v>416</v>
      </c>
      <c r="AH836" s="124"/>
    </row>
    <row r="837" spans="1:34" ht="12" customHeight="1">
      <c r="A837" s="155">
        <v>45042</v>
      </c>
      <c r="B837" s="112" t="s">
        <v>612</v>
      </c>
      <c r="C837" s="127" t="s">
        <v>485</v>
      </c>
      <c r="D837" s="112"/>
      <c r="E837" s="112" t="str">
        <f t="shared" si="0"/>
        <v>GAIL</v>
      </c>
      <c r="F837" s="112"/>
      <c r="G837" s="112"/>
      <c r="H837" s="112"/>
      <c r="I837" s="127" t="s">
        <v>461</v>
      </c>
      <c r="J837" s="126" t="s">
        <v>483</v>
      </c>
      <c r="K837" s="127"/>
      <c r="L837" s="127"/>
      <c r="M837" s="128">
        <v>50</v>
      </c>
      <c r="N837" s="129">
        <v>110.375</v>
      </c>
      <c r="O837" s="130">
        <f t="shared" si="573"/>
        <v>0</v>
      </c>
      <c r="P837" s="130">
        <f t="shared" si="666"/>
        <v>110.375</v>
      </c>
      <c r="Q837" s="130"/>
      <c r="R837" s="130">
        <f t="shared" si="3"/>
        <v>5518.75</v>
      </c>
      <c r="S837" s="131">
        <f t="shared" si="4"/>
        <v>0.11479999999999999</v>
      </c>
      <c r="T837" s="131">
        <f t="shared" si="75"/>
        <v>0</v>
      </c>
      <c r="U837" s="131">
        <f t="shared" si="574"/>
        <v>0.03</v>
      </c>
      <c r="V837" s="131">
        <f t="shared" si="546"/>
        <v>5.52</v>
      </c>
      <c r="W837" s="131">
        <v>0</v>
      </c>
      <c r="X837" s="131">
        <f t="shared" si="662"/>
        <v>0.18</v>
      </c>
      <c r="Y837" s="131">
        <f t="shared" si="218"/>
        <v>0.01</v>
      </c>
      <c r="Z837" s="131">
        <f t="shared" si="10"/>
        <v>5.7399999999999993</v>
      </c>
      <c r="AA837" s="132">
        <f t="shared" si="667"/>
        <v>5513.01</v>
      </c>
      <c r="AB837" s="133">
        <f t="shared" si="403"/>
        <v>5513</v>
      </c>
      <c r="AC837" s="134">
        <f t="shared" si="48"/>
        <v>-1.0000000000218279E-2</v>
      </c>
      <c r="AD837" s="125"/>
      <c r="AE837" s="135">
        <f t="shared" si="13"/>
        <v>1.0399999999999999E-3</v>
      </c>
      <c r="AF837" s="136">
        <f t="shared" si="14"/>
        <v>0</v>
      </c>
      <c r="AG837" s="137" t="s">
        <v>416</v>
      </c>
      <c r="AH837" s="124"/>
    </row>
    <row r="838" spans="1:34" ht="12" customHeight="1">
      <c r="A838" s="161">
        <v>45049</v>
      </c>
      <c r="B838" s="162" t="s">
        <v>495</v>
      </c>
      <c r="C838" s="127" t="s">
        <v>485</v>
      </c>
      <c r="D838" s="112"/>
      <c r="E838" s="112" t="str">
        <f t="shared" si="0"/>
        <v>SAIL</v>
      </c>
      <c r="F838" s="112"/>
      <c r="G838" s="112"/>
      <c r="H838" s="112"/>
      <c r="I838" s="127" t="s">
        <v>461</v>
      </c>
      <c r="J838" s="126" t="s">
        <v>483</v>
      </c>
      <c r="K838" s="127"/>
      <c r="L838" s="127"/>
      <c r="M838" s="163">
        <v>100</v>
      </c>
      <c r="N838" s="164">
        <v>85.25</v>
      </c>
      <c r="O838" s="130">
        <f t="shared" si="573"/>
        <v>0</v>
      </c>
      <c r="P838" s="130">
        <f t="shared" si="666"/>
        <v>85.25</v>
      </c>
      <c r="Q838" s="130"/>
      <c r="R838" s="130">
        <f t="shared" si="3"/>
        <v>8525</v>
      </c>
      <c r="S838" s="131">
        <f t="shared" si="4"/>
        <v>8.8699999999999987E-2</v>
      </c>
      <c r="T838" s="131">
        <f t="shared" si="75"/>
        <v>0</v>
      </c>
      <c r="U838" s="131">
        <f t="shared" si="574"/>
        <v>0.05</v>
      </c>
      <c r="V838" s="131">
        <f t="shared" si="546"/>
        <v>8.5299999999999994</v>
      </c>
      <c r="W838" s="131">
        <v>0</v>
      </c>
      <c r="X838" s="131">
        <f t="shared" si="662"/>
        <v>0.28000000000000003</v>
      </c>
      <c r="Y838" s="131">
        <f t="shared" si="218"/>
        <v>0.01</v>
      </c>
      <c r="Z838" s="131">
        <f t="shared" si="10"/>
        <v>8.8699999999999992</v>
      </c>
      <c r="AA838" s="132">
        <f t="shared" si="667"/>
        <v>8516.1299999999992</v>
      </c>
      <c r="AB838" s="133">
        <f t="shared" si="403"/>
        <v>8516</v>
      </c>
      <c r="AC838" s="134">
        <f t="shared" si="48"/>
        <v>-0.12999999999919964</v>
      </c>
      <c r="AD838" s="125"/>
      <c r="AE838" s="135">
        <f t="shared" si="13"/>
        <v>1.0399999999999999E-3</v>
      </c>
      <c r="AF838" s="136">
        <f t="shared" si="14"/>
        <v>0</v>
      </c>
      <c r="AG838" s="137" t="s">
        <v>416</v>
      </c>
      <c r="AH838" s="124"/>
    </row>
    <row r="839" spans="1:34" ht="5.25" customHeight="1">
      <c r="A839" s="165"/>
      <c r="B839" s="166"/>
      <c r="C839" s="167"/>
      <c r="D839" s="166"/>
      <c r="E839" s="166"/>
      <c r="F839" s="166"/>
      <c r="G839" s="166"/>
      <c r="H839" s="166"/>
      <c r="I839" s="167"/>
      <c r="J839" s="70"/>
      <c r="K839" s="167"/>
      <c r="L839" s="167"/>
      <c r="M839" s="168"/>
      <c r="N839" s="169"/>
      <c r="O839" s="170"/>
      <c r="P839" s="170"/>
      <c r="Q839" s="170"/>
      <c r="R839" s="170"/>
      <c r="S839" s="171"/>
      <c r="T839" s="171"/>
      <c r="U839" s="171"/>
      <c r="V839" s="171"/>
      <c r="W839" s="171"/>
      <c r="X839" s="171"/>
      <c r="Y839" s="171"/>
      <c r="Z839" s="172"/>
      <c r="AA839" s="173"/>
      <c r="AB839" s="174"/>
      <c r="AC839" s="175"/>
      <c r="AD839" s="176"/>
      <c r="AE839" s="177"/>
      <c r="AF839" s="178"/>
      <c r="AG839" s="179"/>
      <c r="AH839" s="124"/>
    </row>
    <row r="840" spans="1:34" ht="12" customHeight="1">
      <c r="A840" s="104" t="s">
        <v>0</v>
      </c>
      <c r="B840" s="105" t="s">
        <v>435</v>
      </c>
      <c r="C840" s="106" t="s">
        <v>436</v>
      </c>
      <c r="D840" s="105"/>
      <c r="E840" s="105" t="s">
        <v>437</v>
      </c>
      <c r="F840" s="105"/>
      <c r="G840" s="105"/>
      <c r="H840" s="105"/>
      <c r="I840" s="106" t="s">
        <v>438</v>
      </c>
      <c r="J840" s="106" t="s">
        <v>439</v>
      </c>
      <c r="K840" s="106"/>
      <c r="L840" s="106"/>
      <c r="M840" s="107" t="s">
        <v>440</v>
      </c>
      <c r="N840" s="104" t="s">
        <v>441</v>
      </c>
      <c r="O840" s="104" t="s">
        <v>442</v>
      </c>
      <c r="P840" s="104" t="s">
        <v>443</v>
      </c>
      <c r="Q840" s="104"/>
      <c r="R840" s="104" t="s">
        <v>444</v>
      </c>
      <c r="S840" s="104" t="s">
        <v>445</v>
      </c>
      <c r="T840" s="104" t="s">
        <v>442</v>
      </c>
      <c r="U840" s="104" t="s">
        <v>446</v>
      </c>
      <c r="V840" s="104" t="s">
        <v>447</v>
      </c>
      <c r="W840" s="104" t="s">
        <v>448</v>
      </c>
      <c r="X840" s="104" t="s">
        <v>449</v>
      </c>
      <c r="Y840" s="104" t="s">
        <v>450</v>
      </c>
      <c r="Z840" s="104" t="s">
        <v>451</v>
      </c>
      <c r="AA840" s="104" t="s">
        <v>652</v>
      </c>
      <c r="AB840" s="104" t="s">
        <v>653</v>
      </c>
      <c r="AC840" s="108" t="s">
        <v>654</v>
      </c>
      <c r="AD840" s="104" t="s">
        <v>655</v>
      </c>
      <c r="AE840" s="104" t="s">
        <v>456</v>
      </c>
      <c r="AF840" s="105" t="s">
        <v>457</v>
      </c>
      <c r="AG840" s="104" t="s">
        <v>458</v>
      </c>
      <c r="AH840" s="109"/>
    </row>
    <row r="841" spans="1:34" ht="12" customHeight="1">
      <c r="A841" s="160"/>
      <c r="B841" s="140"/>
      <c r="C841" s="141" t="s">
        <v>485</v>
      </c>
      <c r="D841" s="140"/>
      <c r="E841" s="140">
        <f t="shared" ref="E841:E842" si="668">B841</f>
        <v>0</v>
      </c>
      <c r="F841" s="140"/>
      <c r="G841" s="140"/>
      <c r="H841" s="140"/>
      <c r="I841" s="141" t="s">
        <v>467</v>
      </c>
      <c r="J841" s="139" t="s">
        <v>483</v>
      </c>
      <c r="K841" s="141"/>
      <c r="L841" s="141"/>
      <c r="M841" s="142"/>
      <c r="N841" s="143"/>
      <c r="O841" s="144">
        <f t="shared" ref="O841:O842" si="669">ROUND(N841*G$1813,2)</f>
        <v>0</v>
      </c>
      <c r="P841" s="144">
        <f>N841+O841</f>
        <v>0</v>
      </c>
      <c r="Q841" s="144"/>
      <c r="R841" s="144">
        <f t="shared" ref="R841:R842" si="670">ROUND(M841*N841,2)</f>
        <v>0</v>
      </c>
      <c r="S841" s="145" t="e">
        <f t="shared" ref="S841:S842" si="671">SUM(T841:Y841)/M841</f>
        <v>#DIV/0!</v>
      </c>
      <c r="T841" s="145">
        <f t="shared" ref="T841:T842" si="672">ROUND(O841*M841,2)</f>
        <v>0</v>
      </c>
      <c r="U841" s="145">
        <f t="shared" ref="U841:U842" si="673">ROUND((T841+X841)*H$1816,2)</f>
        <v>0</v>
      </c>
      <c r="V841" s="145">
        <f t="shared" ref="V841:V842" si="674">ROUND(R841*F$1817,2)</f>
        <v>0</v>
      </c>
      <c r="W841" s="145">
        <f>ROUND(R841*F$1823,2)</f>
        <v>0</v>
      </c>
      <c r="X841" s="145">
        <f t="shared" ref="X841:X842" si="675">ROUND(R841*I$1820,2)</f>
        <v>0</v>
      </c>
      <c r="Y841" s="145">
        <f t="shared" ref="Y841:Y842" si="676">ROUND(R841*C$1826,2)</f>
        <v>0</v>
      </c>
      <c r="Z841" s="146">
        <f t="shared" ref="Z841:Z842" si="677">SUM(T841:Y841)</f>
        <v>0</v>
      </c>
      <c r="AA841" s="147">
        <f>-ROUND(R841+SUM(T841:Y841),2)</f>
        <v>0</v>
      </c>
      <c r="AB841" s="148">
        <f t="shared" ref="AB841:AB842" si="678">ROUND(AA841,0)</f>
        <v>0</v>
      </c>
      <c r="AC841" s="149">
        <f t="shared" ref="AC841:AC842" si="679">AB841-AA841</f>
        <v>0</v>
      </c>
      <c r="AD841" s="138"/>
      <c r="AE841" s="150" t="e">
        <f t="shared" ref="AE841:AE842" si="680">ROUND(Z841/R841,6)</f>
        <v>#DIV/0!</v>
      </c>
      <c r="AF841" s="151">
        <f t="shared" ref="AF841:AF842" si="681">AD841</f>
        <v>0</v>
      </c>
      <c r="AG841" s="152" t="s">
        <v>416</v>
      </c>
      <c r="AH841" s="124"/>
    </row>
    <row r="842" spans="1:34" ht="12" customHeight="1">
      <c r="A842" s="161"/>
      <c r="B842" s="112"/>
      <c r="C842" s="127" t="s">
        <v>485</v>
      </c>
      <c r="D842" s="112"/>
      <c r="E842" s="112">
        <f t="shared" si="668"/>
        <v>0</v>
      </c>
      <c r="F842" s="112"/>
      <c r="G842" s="112"/>
      <c r="H842" s="112"/>
      <c r="I842" s="127" t="s">
        <v>461</v>
      </c>
      <c r="J842" s="126" t="s">
        <v>483</v>
      </c>
      <c r="K842" s="127"/>
      <c r="L842" s="127"/>
      <c r="M842" s="128"/>
      <c r="N842" s="129"/>
      <c r="O842" s="130">
        <f t="shared" si="669"/>
        <v>0</v>
      </c>
      <c r="P842" s="130">
        <f>N842-O842</f>
        <v>0</v>
      </c>
      <c r="Q842" s="130"/>
      <c r="R842" s="130">
        <f t="shared" si="670"/>
        <v>0</v>
      </c>
      <c r="S842" s="131" t="e">
        <f t="shared" si="671"/>
        <v>#DIV/0!</v>
      </c>
      <c r="T842" s="131">
        <f t="shared" si="672"/>
        <v>0</v>
      </c>
      <c r="U842" s="131">
        <f t="shared" si="673"/>
        <v>0</v>
      </c>
      <c r="V842" s="131">
        <f t="shared" si="674"/>
        <v>0</v>
      </c>
      <c r="W842" s="131">
        <v>0</v>
      </c>
      <c r="X842" s="131">
        <f t="shared" si="675"/>
        <v>0</v>
      </c>
      <c r="Y842" s="131">
        <f t="shared" si="676"/>
        <v>0</v>
      </c>
      <c r="Z842" s="131">
        <f t="shared" si="677"/>
        <v>0</v>
      </c>
      <c r="AA842" s="132">
        <f>ROUND(R842-SUM(T842:Y842),2)</f>
        <v>0</v>
      </c>
      <c r="AB842" s="133">
        <f t="shared" si="678"/>
        <v>0</v>
      </c>
      <c r="AC842" s="134">
        <f t="shared" si="679"/>
        <v>0</v>
      </c>
      <c r="AD842" s="125"/>
      <c r="AE842" s="135" t="e">
        <f t="shared" si="680"/>
        <v>#DIV/0!</v>
      </c>
      <c r="AF842" s="136">
        <f t="shared" si="681"/>
        <v>0</v>
      </c>
      <c r="AG842" s="137" t="s">
        <v>416</v>
      </c>
      <c r="AH842" s="124"/>
    </row>
    <row r="843" spans="1:34" ht="5.25" customHeight="1">
      <c r="A843" s="180"/>
      <c r="B843" s="98"/>
      <c r="C843" s="98"/>
      <c r="D843" s="98"/>
      <c r="E843" s="98"/>
      <c r="F843" s="98"/>
      <c r="G843" s="98"/>
      <c r="H843" s="98"/>
      <c r="I843" s="98"/>
      <c r="J843" s="98"/>
      <c r="K843" s="98"/>
      <c r="L843" s="98"/>
      <c r="M843" s="98"/>
      <c r="N843" s="181"/>
      <c r="O843" s="181"/>
      <c r="P843" s="182"/>
      <c r="Q843" s="182"/>
      <c r="R843" s="181"/>
      <c r="S843" s="181"/>
      <c r="T843" s="181"/>
      <c r="U843" s="181"/>
      <c r="V843" s="181"/>
      <c r="W843" s="182"/>
      <c r="X843" s="181"/>
      <c r="Y843" s="98"/>
      <c r="Z843" s="181"/>
      <c r="AA843" s="98"/>
      <c r="AB843" s="181"/>
      <c r="AC843" s="183"/>
      <c r="AD843" s="184"/>
      <c r="AE843" s="185"/>
      <c r="AF843" s="186"/>
      <c r="AG843" s="41"/>
      <c r="AH843" s="124"/>
    </row>
    <row r="844" spans="1:34" ht="12" customHeight="1">
      <c r="A844" s="104" t="s">
        <v>0</v>
      </c>
      <c r="B844" s="105" t="s">
        <v>435</v>
      </c>
      <c r="C844" s="106" t="s">
        <v>436</v>
      </c>
      <c r="D844" s="105"/>
      <c r="E844" s="105" t="s">
        <v>437</v>
      </c>
      <c r="F844" s="105"/>
      <c r="G844" s="105"/>
      <c r="H844" s="105"/>
      <c r="I844" s="106" t="s">
        <v>656</v>
      </c>
      <c r="J844" s="106" t="s">
        <v>439</v>
      </c>
      <c r="K844" s="106"/>
      <c r="L844" s="106"/>
      <c r="M844" s="107" t="s">
        <v>440</v>
      </c>
      <c r="N844" s="104" t="s">
        <v>657</v>
      </c>
      <c r="O844" s="104" t="s">
        <v>658</v>
      </c>
      <c r="P844" s="104" t="s">
        <v>659</v>
      </c>
      <c r="Q844" s="104" t="s">
        <v>660</v>
      </c>
      <c r="R844" s="104" t="s">
        <v>444</v>
      </c>
      <c r="S844" s="104" t="s">
        <v>661</v>
      </c>
      <c r="T844" s="104" t="s">
        <v>662</v>
      </c>
      <c r="U844" s="104" t="s">
        <v>446</v>
      </c>
      <c r="V844" s="104" t="s">
        <v>447</v>
      </c>
      <c r="W844" s="104" t="s">
        <v>448</v>
      </c>
      <c r="X844" s="104" t="s">
        <v>449</v>
      </c>
      <c r="Y844" s="104" t="s">
        <v>450</v>
      </c>
      <c r="Z844" s="104" t="s">
        <v>451</v>
      </c>
      <c r="AA844" s="104" t="s">
        <v>663</v>
      </c>
      <c r="AB844" s="104" t="s">
        <v>664</v>
      </c>
      <c r="AC844" s="108" t="s">
        <v>665</v>
      </c>
      <c r="AD844" s="104" t="s">
        <v>666</v>
      </c>
      <c r="AE844" s="104" t="s">
        <v>456</v>
      </c>
      <c r="AF844" s="105" t="s">
        <v>667</v>
      </c>
      <c r="AG844" s="104" t="s">
        <v>458</v>
      </c>
      <c r="AH844" s="109"/>
    </row>
    <row r="845" spans="1:34" ht="12" hidden="1" customHeight="1">
      <c r="A845" s="187">
        <v>40967</v>
      </c>
      <c r="B845" s="188" t="s">
        <v>528</v>
      </c>
      <c r="C845" s="188" t="s">
        <v>460</v>
      </c>
      <c r="D845" s="188"/>
      <c r="E845" s="188" t="str">
        <f t="shared" ref="E845:E1427" si="682">B845</f>
        <v>ZEEL</v>
      </c>
      <c r="F845" s="188"/>
      <c r="G845" s="188"/>
      <c r="H845" s="188"/>
      <c r="I845" s="188" t="s">
        <v>668</v>
      </c>
      <c r="J845" s="188" t="s">
        <v>462</v>
      </c>
      <c r="K845" s="188"/>
      <c r="L845" s="188"/>
      <c r="M845" s="189">
        <v>10</v>
      </c>
      <c r="N845" s="190">
        <v>126.5</v>
      </c>
      <c r="O845" s="191">
        <v>124.6</v>
      </c>
      <c r="P845" s="192">
        <f t="shared" ref="P845:P888" si="683">IF(N845*K$1814&lt;0.05,0.05,ROUND(N845*K$1814,2))*M845</f>
        <v>0.5</v>
      </c>
      <c r="Q845" s="192">
        <f t="shared" ref="Q845:Q888" si="684">IF(O845*K$1814&lt;0.05,0.05,ROUND(O845*K$1814,2))*M845</f>
        <v>0.5</v>
      </c>
      <c r="R845" s="193">
        <f t="shared" ref="R845:R1427" si="685">ROUND((N845*M845)+(O845*M845),2)</f>
        <v>2511</v>
      </c>
      <c r="S845" s="193">
        <f t="shared" ref="S845:S1427" si="686">(O845-N845)*M845</f>
        <v>-19.000000000000057</v>
      </c>
      <c r="T845" s="193">
        <f t="shared" ref="T845:T894" si="687">ROUND(P845+Q845,2)</f>
        <v>1</v>
      </c>
      <c r="U845" s="193">
        <f t="shared" ref="U845:U854" si="688">ROUND(T845*F$1816,2)</f>
        <v>0.1</v>
      </c>
      <c r="V845" s="193">
        <f t="shared" ref="V845:V892" si="689">ROUND((R845*F$1818)/2,2)</f>
        <v>0.31</v>
      </c>
      <c r="W845" s="193">
        <f t="shared" ref="W845:W854" si="690">ROUND(R845*K$1824,2)</f>
        <v>0</v>
      </c>
      <c r="X845" s="193">
        <f t="shared" ref="X845:X850" si="691">ROUND(R845*K$1820,2)</f>
        <v>0</v>
      </c>
      <c r="Y845" s="193">
        <v>0</v>
      </c>
      <c r="Z845" s="193">
        <f t="shared" ref="Z845:Z1427" si="692">SUM(T845:Y845)</f>
        <v>1.4100000000000001</v>
      </c>
      <c r="AA845" s="194">
        <f t="shared" ref="AA845:AA1427" si="693">ROUND(S845-Z845,2)</f>
        <v>-20.41</v>
      </c>
      <c r="AB845" s="195">
        <v>-20.46</v>
      </c>
      <c r="AC845" s="196">
        <f t="shared" ref="AC845:AC1427" si="694">AB845-AA845</f>
        <v>-5.0000000000000711E-2</v>
      </c>
      <c r="AD845" s="197">
        <f t="shared" ref="AD845:AD1427" si="695">(O845-N845)/N845</f>
        <v>-1.5019762845849847E-2</v>
      </c>
      <c r="AE845" s="198">
        <f t="shared" ref="AE845:AE1427" si="696">ROUND(Z845/R845,6)</f>
        <v>5.62E-4</v>
      </c>
      <c r="AF845" s="193"/>
      <c r="AG845" s="199" t="s">
        <v>463</v>
      </c>
      <c r="AH845" s="124"/>
    </row>
    <row r="846" spans="1:34" ht="12" hidden="1" customHeight="1">
      <c r="A846" s="187">
        <v>40975</v>
      </c>
      <c r="B846" s="188" t="s">
        <v>669</v>
      </c>
      <c r="C846" s="188" t="s">
        <v>460</v>
      </c>
      <c r="D846" s="188"/>
      <c r="E846" s="188" t="str">
        <f t="shared" si="682"/>
        <v>UPL</v>
      </c>
      <c r="F846" s="188"/>
      <c r="G846" s="188"/>
      <c r="H846" s="188"/>
      <c r="I846" s="188" t="s">
        <v>668</v>
      </c>
      <c r="J846" s="188" t="s">
        <v>462</v>
      </c>
      <c r="K846" s="188"/>
      <c r="L846" s="188"/>
      <c r="M846" s="189">
        <v>10</v>
      </c>
      <c r="N846" s="190">
        <v>136.4</v>
      </c>
      <c r="O846" s="191">
        <v>136.80000000000001</v>
      </c>
      <c r="P846" s="192">
        <f t="shared" si="683"/>
        <v>0.5</v>
      </c>
      <c r="Q846" s="192">
        <f t="shared" si="684"/>
        <v>0.5</v>
      </c>
      <c r="R846" s="193">
        <f t="shared" si="685"/>
        <v>2732</v>
      </c>
      <c r="S846" s="193">
        <f t="shared" si="686"/>
        <v>4.0000000000000568</v>
      </c>
      <c r="T846" s="193">
        <f t="shared" si="687"/>
        <v>1</v>
      </c>
      <c r="U846" s="193">
        <f t="shared" si="688"/>
        <v>0.1</v>
      </c>
      <c r="V846" s="193">
        <f t="shared" si="689"/>
        <v>0.34</v>
      </c>
      <c r="W846" s="193">
        <f t="shared" si="690"/>
        <v>0</v>
      </c>
      <c r="X846" s="193">
        <f t="shared" si="691"/>
        <v>0</v>
      </c>
      <c r="Y846" s="193">
        <v>0</v>
      </c>
      <c r="Z846" s="193">
        <f t="shared" si="692"/>
        <v>1.4400000000000002</v>
      </c>
      <c r="AA846" s="194">
        <f t="shared" si="693"/>
        <v>2.56</v>
      </c>
      <c r="AB846" s="195">
        <v>2.31</v>
      </c>
      <c r="AC846" s="196">
        <f t="shared" si="694"/>
        <v>-0.25</v>
      </c>
      <c r="AD846" s="197">
        <f t="shared" si="695"/>
        <v>2.9325513196481355E-3</v>
      </c>
      <c r="AE846" s="198">
        <f t="shared" si="696"/>
        <v>5.2700000000000002E-4</v>
      </c>
      <c r="AF846" s="193"/>
      <c r="AG846" s="199" t="s">
        <v>463</v>
      </c>
      <c r="AH846" s="124"/>
    </row>
    <row r="847" spans="1:34" ht="12" hidden="1" customHeight="1">
      <c r="A847" s="187">
        <v>40980</v>
      </c>
      <c r="B847" s="188" t="s">
        <v>472</v>
      </c>
      <c r="C847" s="188" t="s">
        <v>460</v>
      </c>
      <c r="D847" s="188"/>
      <c r="E847" s="188" t="str">
        <f t="shared" si="682"/>
        <v>INFY</v>
      </c>
      <c r="F847" s="188"/>
      <c r="G847" s="188"/>
      <c r="H847" s="188"/>
      <c r="I847" s="188" t="s">
        <v>668</v>
      </c>
      <c r="J847" s="188" t="s">
        <v>483</v>
      </c>
      <c r="K847" s="188"/>
      <c r="L847" s="188"/>
      <c r="M847" s="189">
        <v>2</v>
      </c>
      <c r="N847" s="190">
        <v>2850</v>
      </c>
      <c r="O847" s="191">
        <v>2815.05</v>
      </c>
      <c r="P847" s="192">
        <f t="shared" si="683"/>
        <v>0.1</v>
      </c>
      <c r="Q847" s="192">
        <f t="shared" si="684"/>
        <v>0.1</v>
      </c>
      <c r="R847" s="193">
        <f t="shared" si="685"/>
        <v>11330.1</v>
      </c>
      <c r="S847" s="193">
        <f t="shared" si="686"/>
        <v>-69.899999999999636</v>
      </c>
      <c r="T847" s="193">
        <f t="shared" si="687"/>
        <v>0.2</v>
      </c>
      <c r="U847" s="193">
        <f t="shared" si="688"/>
        <v>0.02</v>
      </c>
      <c r="V847" s="193">
        <f t="shared" si="689"/>
        <v>1.42</v>
      </c>
      <c r="W847" s="193">
        <f t="shared" si="690"/>
        <v>0</v>
      </c>
      <c r="X847" s="193">
        <f t="shared" si="691"/>
        <v>0</v>
      </c>
      <c r="Y847" s="193">
        <v>0</v>
      </c>
      <c r="Z847" s="193">
        <f t="shared" si="692"/>
        <v>1.64</v>
      </c>
      <c r="AA847" s="194">
        <f t="shared" si="693"/>
        <v>-71.540000000000006</v>
      </c>
      <c r="AB847" s="195">
        <v>-77.8</v>
      </c>
      <c r="AC847" s="196">
        <f t="shared" si="694"/>
        <v>-6.2599999999999909</v>
      </c>
      <c r="AD847" s="197">
        <f t="shared" si="695"/>
        <v>-1.2263157894736778E-2</v>
      </c>
      <c r="AE847" s="198">
        <f t="shared" si="696"/>
        <v>1.45E-4</v>
      </c>
      <c r="AF847" s="193"/>
      <c r="AG847" s="199" t="s">
        <v>463</v>
      </c>
      <c r="AH847" s="124"/>
    </row>
    <row r="848" spans="1:34" ht="12" hidden="1" customHeight="1">
      <c r="A848" s="187">
        <v>40987</v>
      </c>
      <c r="B848" s="188" t="s">
        <v>495</v>
      </c>
      <c r="C848" s="188" t="s">
        <v>460</v>
      </c>
      <c r="D848" s="188"/>
      <c r="E848" s="188" t="str">
        <f t="shared" si="682"/>
        <v>SAIL</v>
      </c>
      <c r="F848" s="188"/>
      <c r="G848" s="188"/>
      <c r="H848" s="188"/>
      <c r="I848" s="188" t="s">
        <v>668</v>
      </c>
      <c r="J848" s="188" t="s">
        <v>462</v>
      </c>
      <c r="K848" s="188"/>
      <c r="L848" s="188"/>
      <c r="M848" s="189">
        <v>100</v>
      </c>
      <c r="N848" s="190">
        <v>95.7</v>
      </c>
      <c r="O848" s="191">
        <v>95.65</v>
      </c>
      <c r="P848" s="192">
        <f t="shared" si="683"/>
        <v>5</v>
      </c>
      <c r="Q848" s="192">
        <f t="shared" si="684"/>
        <v>5</v>
      </c>
      <c r="R848" s="193">
        <f t="shared" si="685"/>
        <v>19135</v>
      </c>
      <c r="S848" s="193">
        <f t="shared" si="686"/>
        <v>-4.9999999999997158</v>
      </c>
      <c r="T848" s="193">
        <f t="shared" si="687"/>
        <v>10</v>
      </c>
      <c r="U848" s="193">
        <f t="shared" si="688"/>
        <v>1.03</v>
      </c>
      <c r="V848" s="193">
        <f t="shared" si="689"/>
        <v>2.39</v>
      </c>
      <c r="W848" s="193">
        <f t="shared" si="690"/>
        <v>0</v>
      </c>
      <c r="X848" s="193">
        <f t="shared" si="691"/>
        <v>0</v>
      </c>
      <c r="Y848" s="193">
        <v>0</v>
      </c>
      <c r="Z848" s="193">
        <f t="shared" si="692"/>
        <v>13.42</v>
      </c>
      <c r="AA848" s="194">
        <f t="shared" si="693"/>
        <v>-18.420000000000002</v>
      </c>
      <c r="AB848" s="195">
        <v>-18</v>
      </c>
      <c r="AC848" s="196">
        <f t="shared" si="694"/>
        <v>0.42000000000000171</v>
      </c>
      <c r="AD848" s="197">
        <f t="shared" si="695"/>
        <v>-5.2246603970738925E-4</v>
      </c>
      <c r="AE848" s="198">
        <f t="shared" si="696"/>
        <v>7.0100000000000002E-4</v>
      </c>
      <c r="AF848" s="193"/>
      <c r="AG848" s="199" t="s">
        <v>463</v>
      </c>
      <c r="AH848" s="124"/>
    </row>
    <row r="849" spans="1:34" ht="12" hidden="1" customHeight="1">
      <c r="A849" s="187">
        <v>40987</v>
      </c>
      <c r="B849" s="188" t="s">
        <v>670</v>
      </c>
      <c r="C849" s="188" t="s">
        <v>460</v>
      </c>
      <c r="D849" s="188"/>
      <c r="E849" s="188" t="str">
        <f t="shared" si="682"/>
        <v>ELDERPHARM</v>
      </c>
      <c r="F849" s="188"/>
      <c r="G849" s="188"/>
      <c r="H849" s="188"/>
      <c r="I849" s="188" t="s">
        <v>668</v>
      </c>
      <c r="J849" s="188" t="s">
        <v>462</v>
      </c>
      <c r="K849" s="188"/>
      <c r="L849" s="188"/>
      <c r="M849" s="189">
        <v>50</v>
      </c>
      <c r="N849" s="190">
        <v>321.8</v>
      </c>
      <c r="O849" s="191">
        <v>318.44</v>
      </c>
      <c r="P849" s="192">
        <f t="shared" si="683"/>
        <v>2.5</v>
      </c>
      <c r="Q849" s="192">
        <f t="shared" si="684"/>
        <v>2.5</v>
      </c>
      <c r="R849" s="193">
        <f t="shared" si="685"/>
        <v>32012</v>
      </c>
      <c r="S849" s="193">
        <f t="shared" si="686"/>
        <v>-168.00000000000068</v>
      </c>
      <c r="T849" s="193">
        <f t="shared" si="687"/>
        <v>5</v>
      </c>
      <c r="U849" s="193">
        <f t="shared" si="688"/>
        <v>0.52</v>
      </c>
      <c r="V849" s="193">
        <f t="shared" si="689"/>
        <v>4</v>
      </c>
      <c r="W849" s="193">
        <f t="shared" si="690"/>
        <v>0</v>
      </c>
      <c r="X849" s="193">
        <f t="shared" si="691"/>
        <v>0</v>
      </c>
      <c r="Y849" s="193">
        <v>0</v>
      </c>
      <c r="Z849" s="193">
        <f t="shared" si="692"/>
        <v>9.52</v>
      </c>
      <c r="AA849" s="194">
        <f t="shared" si="693"/>
        <v>-177.52</v>
      </c>
      <c r="AB849" s="195">
        <v>-178</v>
      </c>
      <c r="AC849" s="196">
        <f t="shared" si="694"/>
        <v>-0.47999999999998977</v>
      </c>
      <c r="AD849" s="197">
        <f t="shared" si="695"/>
        <v>-1.0441267868241186E-2</v>
      </c>
      <c r="AE849" s="198">
        <f t="shared" si="696"/>
        <v>2.9700000000000001E-4</v>
      </c>
      <c r="AF849" s="193"/>
      <c r="AG849" s="199" t="s">
        <v>463</v>
      </c>
      <c r="AH849" s="124"/>
    </row>
    <row r="850" spans="1:34" ht="12" hidden="1" customHeight="1">
      <c r="A850" s="187">
        <v>40987</v>
      </c>
      <c r="B850" s="188" t="s">
        <v>464</v>
      </c>
      <c r="C850" s="188" t="s">
        <v>460</v>
      </c>
      <c r="D850" s="188"/>
      <c r="E850" s="188" t="str">
        <f t="shared" si="682"/>
        <v>RPOWER</v>
      </c>
      <c r="F850" s="188"/>
      <c r="G850" s="188"/>
      <c r="H850" s="188"/>
      <c r="I850" s="188" t="s">
        <v>668</v>
      </c>
      <c r="J850" s="188" t="s">
        <v>462</v>
      </c>
      <c r="K850" s="188"/>
      <c r="L850" s="188"/>
      <c r="M850" s="189">
        <v>150</v>
      </c>
      <c r="N850" s="190">
        <v>130.07</v>
      </c>
      <c r="O850" s="191">
        <v>126.65</v>
      </c>
      <c r="P850" s="192">
        <f t="shared" si="683"/>
        <v>7.5</v>
      </c>
      <c r="Q850" s="192">
        <f t="shared" si="684"/>
        <v>7.5</v>
      </c>
      <c r="R850" s="193">
        <f t="shared" si="685"/>
        <v>38508</v>
      </c>
      <c r="S850" s="193">
        <f t="shared" si="686"/>
        <v>-512.99999999999818</v>
      </c>
      <c r="T850" s="193">
        <f t="shared" si="687"/>
        <v>15</v>
      </c>
      <c r="U850" s="193">
        <f t="shared" si="688"/>
        <v>1.55</v>
      </c>
      <c r="V850" s="193">
        <f t="shared" si="689"/>
        <v>4.8099999999999996</v>
      </c>
      <c r="W850" s="193">
        <f t="shared" si="690"/>
        <v>0</v>
      </c>
      <c r="X850" s="193">
        <f t="shared" si="691"/>
        <v>0</v>
      </c>
      <c r="Y850" s="193">
        <v>0</v>
      </c>
      <c r="Z850" s="193">
        <f t="shared" si="692"/>
        <v>21.36</v>
      </c>
      <c r="AA850" s="194">
        <f t="shared" si="693"/>
        <v>-534.36</v>
      </c>
      <c r="AB850" s="195">
        <f>-534-21.15</f>
        <v>-555.15</v>
      </c>
      <c r="AC850" s="196">
        <f t="shared" si="694"/>
        <v>-20.789999999999964</v>
      </c>
      <c r="AD850" s="197">
        <f t="shared" si="695"/>
        <v>-2.6293534250787943E-2</v>
      </c>
      <c r="AE850" s="198">
        <f t="shared" si="696"/>
        <v>5.5500000000000005E-4</v>
      </c>
      <c r="AF850" s="193"/>
      <c r="AG850" s="199" t="s">
        <v>463</v>
      </c>
      <c r="AH850" s="124"/>
    </row>
    <row r="851" spans="1:34" ht="12" hidden="1" customHeight="1">
      <c r="A851" s="187">
        <v>40995</v>
      </c>
      <c r="B851" s="188" t="s">
        <v>466</v>
      </c>
      <c r="C851" s="188" t="s">
        <v>460</v>
      </c>
      <c r="D851" s="188"/>
      <c r="E851" s="188" t="str">
        <f t="shared" si="682"/>
        <v>PATELENG</v>
      </c>
      <c r="F851" s="188"/>
      <c r="G851" s="188"/>
      <c r="H851" s="188"/>
      <c r="I851" s="188" t="s">
        <v>668</v>
      </c>
      <c r="J851" s="188" t="s">
        <v>462</v>
      </c>
      <c r="K851" s="188"/>
      <c r="L851" s="188"/>
      <c r="M851" s="189">
        <v>200</v>
      </c>
      <c r="N851" s="190">
        <v>103.65</v>
      </c>
      <c r="O851" s="191">
        <v>104.85</v>
      </c>
      <c r="P851" s="192">
        <f t="shared" si="683"/>
        <v>10</v>
      </c>
      <c r="Q851" s="192">
        <f t="shared" si="684"/>
        <v>10</v>
      </c>
      <c r="R851" s="193">
        <f t="shared" si="685"/>
        <v>41700</v>
      </c>
      <c r="S851" s="193">
        <f t="shared" si="686"/>
        <v>239.99999999999773</v>
      </c>
      <c r="T851" s="193">
        <f t="shared" si="687"/>
        <v>20</v>
      </c>
      <c r="U851" s="193">
        <f t="shared" si="688"/>
        <v>2.06</v>
      </c>
      <c r="V851" s="193">
        <f t="shared" si="689"/>
        <v>5.21</v>
      </c>
      <c r="W851" s="193">
        <f t="shared" si="690"/>
        <v>0</v>
      </c>
      <c r="X851" s="193">
        <f t="shared" ref="X851:X888" si="697">ROUND(R851*E$1820,2)</f>
        <v>1.52</v>
      </c>
      <c r="Y851" s="193">
        <v>0</v>
      </c>
      <c r="Z851" s="193">
        <f t="shared" si="692"/>
        <v>28.79</v>
      </c>
      <c r="AA851" s="194">
        <f t="shared" si="693"/>
        <v>211.21</v>
      </c>
      <c r="AB851" s="195">
        <v>209.71</v>
      </c>
      <c r="AC851" s="196">
        <f t="shared" si="694"/>
        <v>-1.5</v>
      </c>
      <c r="AD851" s="197">
        <f t="shared" si="695"/>
        <v>1.1577424023154738E-2</v>
      </c>
      <c r="AE851" s="198">
        <f t="shared" si="696"/>
        <v>6.8999999999999997E-4</v>
      </c>
      <c r="AF851" s="193"/>
      <c r="AG851" s="199" t="s">
        <v>463</v>
      </c>
      <c r="AH851" s="124"/>
    </row>
    <row r="852" spans="1:34" ht="12" hidden="1" customHeight="1">
      <c r="A852" s="187">
        <v>40997</v>
      </c>
      <c r="B852" s="188" t="s">
        <v>466</v>
      </c>
      <c r="C852" s="188" t="s">
        <v>460</v>
      </c>
      <c r="D852" s="188"/>
      <c r="E852" s="188" t="str">
        <f t="shared" si="682"/>
        <v>PATELENG</v>
      </c>
      <c r="F852" s="188"/>
      <c r="G852" s="188"/>
      <c r="H852" s="188"/>
      <c r="I852" s="188" t="s">
        <v>668</v>
      </c>
      <c r="J852" s="188" t="s">
        <v>462</v>
      </c>
      <c r="K852" s="188"/>
      <c r="L852" s="188"/>
      <c r="M852" s="189">
        <v>50</v>
      </c>
      <c r="N852" s="190">
        <v>101.95</v>
      </c>
      <c r="O852" s="191">
        <v>103</v>
      </c>
      <c r="P852" s="192">
        <f t="shared" si="683"/>
        <v>2.5</v>
      </c>
      <c r="Q852" s="192">
        <f t="shared" si="684"/>
        <v>2.5</v>
      </c>
      <c r="R852" s="193">
        <f t="shared" si="685"/>
        <v>10247.5</v>
      </c>
      <c r="S852" s="193">
        <f t="shared" si="686"/>
        <v>52.499999999999858</v>
      </c>
      <c r="T852" s="193">
        <f t="shared" si="687"/>
        <v>5</v>
      </c>
      <c r="U852" s="193">
        <f t="shared" si="688"/>
        <v>0.52</v>
      </c>
      <c r="V852" s="193">
        <f t="shared" si="689"/>
        <v>1.28</v>
      </c>
      <c r="W852" s="193">
        <f t="shared" si="690"/>
        <v>0</v>
      </c>
      <c r="X852" s="193">
        <f t="shared" si="697"/>
        <v>0.37</v>
      </c>
      <c r="Y852" s="193">
        <v>0</v>
      </c>
      <c r="Z852" s="193">
        <f t="shared" si="692"/>
        <v>7.17</v>
      </c>
      <c r="AA852" s="194">
        <f t="shared" si="693"/>
        <v>45.33</v>
      </c>
      <c r="AB852" s="195">
        <f>45-0.24</f>
        <v>44.76</v>
      </c>
      <c r="AC852" s="196">
        <f t="shared" si="694"/>
        <v>-0.57000000000000028</v>
      </c>
      <c r="AD852" s="197">
        <f t="shared" si="695"/>
        <v>1.0299166257969564E-2</v>
      </c>
      <c r="AE852" s="198">
        <f t="shared" si="696"/>
        <v>6.9999999999999999E-4</v>
      </c>
      <c r="AF852" s="193"/>
      <c r="AG852" s="199" t="s">
        <v>463</v>
      </c>
      <c r="AH852" s="124"/>
    </row>
    <row r="853" spans="1:34" ht="12" hidden="1" customHeight="1">
      <c r="A853" s="187">
        <v>40997</v>
      </c>
      <c r="B853" s="188" t="s">
        <v>466</v>
      </c>
      <c r="C853" s="188" t="s">
        <v>460</v>
      </c>
      <c r="D853" s="188"/>
      <c r="E853" s="188" t="str">
        <f t="shared" si="682"/>
        <v>PATELENG</v>
      </c>
      <c r="F853" s="188"/>
      <c r="G853" s="188"/>
      <c r="H853" s="188"/>
      <c r="I853" s="188" t="s">
        <v>668</v>
      </c>
      <c r="J853" s="188" t="s">
        <v>462</v>
      </c>
      <c r="K853" s="188"/>
      <c r="L853" s="188"/>
      <c r="M853" s="189">
        <v>30</v>
      </c>
      <c r="N853" s="190">
        <v>102.35</v>
      </c>
      <c r="O853" s="191">
        <v>101.75</v>
      </c>
      <c r="P853" s="192">
        <f t="shared" si="683"/>
        <v>1.5</v>
      </c>
      <c r="Q853" s="192">
        <f t="shared" si="684"/>
        <v>1.5</v>
      </c>
      <c r="R853" s="193">
        <f t="shared" si="685"/>
        <v>6123</v>
      </c>
      <c r="S853" s="193">
        <f t="shared" si="686"/>
        <v>-17.999999999999829</v>
      </c>
      <c r="T853" s="193">
        <f t="shared" si="687"/>
        <v>3</v>
      </c>
      <c r="U853" s="193">
        <f t="shared" si="688"/>
        <v>0.31</v>
      </c>
      <c r="V853" s="193">
        <f t="shared" si="689"/>
        <v>0.77</v>
      </c>
      <c r="W853" s="193">
        <f t="shared" si="690"/>
        <v>0</v>
      </c>
      <c r="X853" s="193">
        <f t="shared" si="697"/>
        <v>0.22</v>
      </c>
      <c r="Y853" s="193">
        <v>0</v>
      </c>
      <c r="Z853" s="193">
        <f t="shared" si="692"/>
        <v>4.3</v>
      </c>
      <c r="AA853" s="194">
        <f t="shared" si="693"/>
        <v>-22.3</v>
      </c>
      <c r="AB853" s="195">
        <v>-22</v>
      </c>
      <c r="AC853" s="196">
        <f t="shared" si="694"/>
        <v>0.30000000000000071</v>
      </c>
      <c r="AD853" s="197">
        <f t="shared" si="695"/>
        <v>-5.8622374206154801E-3</v>
      </c>
      <c r="AE853" s="198">
        <f t="shared" si="696"/>
        <v>7.0200000000000004E-4</v>
      </c>
      <c r="AF853" s="193"/>
      <c r="AG853" s="199" t="s">
        <v>463</v>
      </c>
      <c r="AH853" s="124"/>
    </row>
    <row r="854" spans="1:34" ht="12" hidden="1" customHeight="1">
      <c r="A854" s="187">
        <v>40998</v>
      </c>
      <c r="B854" s="188" t="s">
        <v>468</v>
      </c>
      <c r="C854" s="188" t="s">
        <v>460</v>
      </c>
      <c r="D854" s="188"/>
      <c r="E854" s="188" t="str">
        <f t="shared" si="682"/>
        <v>CUMMINSIND</v>
      </c>
      <c r="F854" s="188"/>
      <c r="G854" s="188"/>
      <c r="H854" s="188"/>
      <c r="I854" s="188" t="s">
        <v>668</v>
      </c>
      <c r="J854" s="188" t="s">
        <v>462</v>
      </c>
      <c r="K854" s="188"/>
      <c r="L854" s="188"/>
      <c r="M854" s="189">
        <v>50</v>
      </c>
      <c r="N854" s="190">
        <v>492</v>
      </c>
      <c r="O854" s="191">
        <v>494</v>
      </c>
      <c r="P854" s="192">
        <f t="shared" si="683"/>
        <v>2.5</v>
      </c>
      <c r="Q854" s="192">
        <f t="shared" si="684"/>
        <v>2.5</v>
      </c>
      <c r="R854" s="193">
        <f t="shared" si="685"/>
        <v>49300</v>
      </c>
      <c r="S854" s="193">
        <f t="shared" si="686"/>
        <v>100</v>
      </c>
      <c r="T854" s="193">
        <f t="shared" si="687"/>
        <v>5</v>
      </c>
      <c r="U854" s="193">
        <f t="shared" si="688"/>
        <v>0.52</v>
      </c>
      <c r="V854" s="193">
        <f t="shared" si="689"/>
        <v>6.16</v>
      </c>
      <c r="W854" s="193">
        <f t="shared" si="690"/>
        <v>0</v>
      </c>
      <c r="X854" s="193">
        <f t="shared" si="697"/>
        <v>1.8</v>
      </c>
      <c r="Y854" s="193">
        <v>0</v>
      </c>
      <c r="Z854" s="193">
        <f t="shared" si="692"/>
        <v>13.48</v>
      </c>
      <c r="AA854" s="194">
        <f t="shared" si="693"/>
        <v>86.52</v>
      </c>
      <c r="AB854" s="195">
        <v>64.05</v>
      </c>
      <c r="AC854" s="196">
        <f t="shared" si="694"/>
        <v>-22.47</v>
      </c>
      <c r="AD854" s="197">
        <f t="shared" si="695"/>
        <v>4.0650406504065045E-3</v>
      </c>
      <c r="AE854" s="198">
        <f t="shared" si="696"/>
        <v>2.7300000000000002E-4</v>
      </c>
      <c r="AF854" s="193"/>
      <c r="AG854" s="199" t="s">
        <v>463</v>
      </c>
      <c r="AH854" s="124"/>
    </row>
    <row r="855" spans="1:34" ht="12" hidden="1" customHeight="1">
      <c r="A855" s="187">
        <v>41012</v>
      </c>
      <c r="B855" s="188" t="s">
        <v>469</v>
      </c>
      <c r="C855" s="188" t="s">
        <v>460</v>
      </c>
      <c r="D855" s="188"/>
      <c r="E855" s="188" t="str">
        <f t="shared" si="682"/>
        <v>ROLTA</v>
      </c>
      <c r="F855" s="188"/>
      <c r="G855" s="188"/>
      <c r="H855" s="188"/>
      <c r="I855" s="188" t="s">
        <v>668</v>
      </c>
      <c r="J855" s="188" t="s">
        <v>462</v>
      </c>
      <c r="K855" s="188"/>
      <c r="L855" s="188"/>
      <c r="M855" s="189">
        <v>100</v>
      </c>
      <c r="N855" s="190">
        <v>93.95</v>
      </c>
      <c r="O855" s="191">
        <v>94.7</v>
      </c>
      <c r="P855" s="192">
        <f t="shared" si="683"/>
        <v>5</v>
      </c>
      <c r="Q855" s="192">
        <f t="shared" si="684"/>
        <v>5</v>
      </c>
      <c r="R855" s="193">
        <f t="shared" si="685"/>
        <v>18865</v>
      </c>
      <c r="S855" s="193">
        <f t="shared" si="686"/>
        <v>75</v>
      </c>
      <c r="T855" s="193">
        <f t="shared" si="687"/>
        <v>10</v>
      </c>
      <c r="U855" s="193">
        <f t="shared" ref="U855:U888" si="698">ROUND(T855*G$1816,2)</f>
        <v>1.24</v>
      </c>
      <c r="V855" s="193">
        <f t="shared" si="689"/>
        <v>2.36</v>
      </c>
      <c r="W855" s="193">
        <f t="shared" ref="W855:W888" si="699">ROUND(R855*C$1824,2)</f>
        <v>1.89</v>
      </c>
      <c r="X855" s="193">
        <f t="shared" si="697"/>
        <v>0.69</v>
      </c>
      <c r="Y855" s="193">
        <v>0</v>
      </c>
      <c r="Z855" s="193">
        <f t="shared" si="692"/>
        <v>16.18</v>
      </c>
      <c r="AA855" s="194">
        <f t="shared" si="693"/>
        <v>58.82</v>
      </c>
      <c r="AB855" s="195">
        <f>59-1</f>
        <v>58</v>
      </c>
      <c r="AC855" s="196">
        <f t="shared" si="694"/>
        <v>-0.82000000000000028</v>
      </c>
      <c r="AD855" s="197">
        <f t="shared" si="695"/>
        <v>7.9829696647152736E-3</v>
      </c>
      <c r="AE855" s="198">
        <f t="shared" si="696"/>
        <v>8.5800000000000004E-4</v>
      </c>
      <c r="AF855" s="193"/>
      <c r="AG855" s="199" t="s">
        <v>463</v>
      </c>
      <c r="AH855" s="124"/>
    </row>
    <row r="856" spans="1:34" ht="12" hidden="1" customHeight="1">
      <c r="A856" s="187">
        <v>41012</v>
      </c>
      <c r="B856" s="188" t="s">
        <v>466</v>
      </c>
      <c r="C856" s="188" t="s">
        <v>460</v>
      </c>
      <c r="D856" s="188"/>
      <c r="E856" s="188" t="str">
        <f t="shared" si="682"/>
        <v>PATELENG</v>
      </c>
      <c r="F856" s="188"/>
      <c r="G856" s="188"/>
      <c r="H856" s="188"/>
      <c r="I856" s="188" t="s">
        <v>668</v>
      </c>
      <c r="J856" s="188" t="s">
        <v>462</v>
      </c>
      <c r="K856" s="188"/>
      <c r="L856" s="188"/>
      <c r="M856" s="189">
        <v>100</v>
      </c>
      <c r="N856" s="190">
        <v>116</v>
      </c>
      <c r="O856" s="191">
        <v>117</v>
      </c>
      <c r="P856" s="192">
        <f t="shared" si="683"/>
        <v>5</v>
      </c>
      <c r="Q856" s="192">
        <f t="shared" si="684"/>
        <v>5</v>
      </c>
      <c r="R856" s="193">
        <f t="shared" si="685"/>
        <v>23300</v>
      </c>
      <c r="S856" s="193">
        <f t="shared" si="686"/>
        <v>100</v>
      </c>
      <c r="T856" s="193">
        <f t="shared" si="687"/>
        <v>10</v>
      </c>
      <c r="U856" s="193">
        <f t="shared" si="698"/>
        <v>1.24</v>
      </c>
      <c r="V856" s="193">
        <f t="shared" si="689"/>
        <v>2.91</v>
      </c>
      <c r="W856" s="193">
        <f t="shared" si="699"/>
        <v>2.33</v>
      </c>
      <c r="X856" s="193">
        <f t="shared" si="697"/>
        <v>0.85</v>
      </c>
      <c r="Y856" s="193">
        <v>0</v>
      </c>
      <c r="Z856" s="193">
        <f t="shared" si="692"/>
        <v>17.330000000000002</v>
      </c>
      <c r="AA856" s="194">
        <f t="shared" si="693"/>
        <v>82.67</v>
      </c>
      <c r="AB856" s="195">
        <f>83-1.5</f>
        <v>81.5</v>
      </c>
      <c r="AC856" s="196">
        <f t="shared" si="694"/>
        <v>-1.1700000000000017</v>
      </c>
      <c r="AD856" s="197">
        <f t="shared" si="695"/>
        <v>8.6206896551724137E-3</v>
      </c>
      <c r="AE856" s="198">
        <f t="shared" si="696"/>
        <v>7.4399999999999998E-4</v>
      </c>
      <c r="AF856" s="193"/>
      <c r="AG856" s="199" t="s">
        <v>463</v>
      </c>
      <c r="AH856" s="124"/>
    </row>
    <row r="857" spans="1:34" ht="12" hidden="1" customHeight="1">
      <c r="A857" s="187">
        <v>41015</v>
      </c>
      <c r="B857" s="188" t="s">
        <v>671</v>
      </c>
      <c r="C857" s="188" t="s">
        <v>460</v>
      </c>
      <c r="D857" s="188"/>
      <c r="E857" s="188" t="str">
        <f t="shared" si="682"/>
        <v>POWERGRID</v>
      </c>
      <c r="F857" s="188"/>
      <c r="G857" s="188"/>
      <c r="H857" s="188"/>
      <c r="I857" s="188" t="s">
        <v>668</v>
      </c>
      <c r="J857" s="188" t="s">
        <v>462</v>
      </c>
      <c r="K857" s="188"/>
      <c r="L857" s="188"/>
      <c r="M857" s="189">
        <v>100</v>
      </c>
      <c r="N857" s="190">
        <v>111.5</v>
      </c>
      <c r="O857" s="191">
        <v>111.7</v>
      </c>
      <c r="P857" s="192">
        <f t="shared" si="683"/>
        <v>5</v>
      </c>
      <c r="Q857" s="192">
        <f t="shared" si="684"/>
        <v>5</v>
      </c>
      <c r="R857" s="193">
        <f t="shared" si="685"/>
        <v>22320</v>
      </c>
      <c r="S857" s="193">
        <f t="shared" si="686"/>
        <v>20.000000000000284</v>
      </c>
      <c r="T857" s="193">
        <f t="shared" si="687"/>
        <v>10</v>
      </c>
      <c r="U857" s="193">
        <f t="shared" si="698"/>
        <v>1.24</v>
      </c>
      <c r="V857" s="193">
        <f t="shared" si="689"/>
        <v>2.79</v>
      </c>
      <c r="W857" s="193">
        <f t="shared" si="699"/>
        <v>2.23</v>
      </c>
      <c r="X857" s="193">
        <f t="shared" si="697"/>
        <v>0.81</v>
      </c>
      <c r="Y857" s="193">
        <v>0</v>
      </c>
      <c r="Z857" s="193">
        <f t="shared" si="692"/>
        <v>17.07</v>
      </c>
      <c r="AA857" s="194">
        <f t="shared" si="693"/>
        <v>2.93</v>
      </c>
      <c r="AB857" s="195">
        <v>0.47</v>
      </c>
      <c r="AC857" s="196">
        <f t="shared" si="694"/>
        <v>-2.46</v>
      </c>
      <c r="AD857" s="197">
        <f t="shared" si="695"/>
        <v>1.7937219730941958E-3</v>
      </c>
      <c r="AE857" s="198">
        <f t="shared" si="696"/>
        <v>7.6499999999999995E-4</v>
      </c>
      <c r="AF857" s="193"/>
      <c r="AG857" s="199" t="s">
        <v>463</v>
      </c>
      <c r="AH857" s="124"/>
    </row>
    <row r="858" spans="1:34" ht="12" hidden="1" customHeight="1">
      <c r="A858" s="187">
        <v>41016</v>
      </c>
      <c r="B858" s="188" t="s">
        <v>553</v>
      </c>
      <c r="C858" s="188" t="s">
        <v>460</v>
      </c>
      <c r="D858" s="188"/>
      <c r="E858" s="188" t="str">
        <f t="shared" si="682"/>
        <v>NMDC</v>
      </c>
      <c r="F858" s="188"/>
      <c r="G858" s="188"/>
      <c r="H858" s="188"/>
      <c r="I858" s="188" t="s">
        <v>668</v>
      </c>
      <c r="J858" s="188" t="s">
        <v>462</v>
      </c>
      <c r="K858" s="188"/>
      <c r="L858" s="188"/>
      <c r="M858" s="189">
        <v>500</v>
      </c>
      <c r="N858" s="190">
        <v>166.4</v>
      </c>
      <c r="O858" s="191">
        <v>167</v>
      </c>
      <c r="P858" s="192">
        <f t="shared" si="683"/>
        <v>25</v>
      </c>
      <c r="Q858" s="192">
        <f t="shared" si="684"/>
        <v>25</v>
      </c>
      <c r="R858" s="193">
        <f t="shared" si="685"/>
        <v>166700</v>
      </c>
      <c r="S858" s="193">
        <f t="shared" si="686"/>
        <v>299.99999999999716</v>
      </c>
      <c r="T858" s="193">
        <f t="shared" si="687"/>
        <v>50</v>
      </c>
      <c r="U858" s="193">
        <f t="shared" si="698"/>
        <v>6.18</v>
      </c>
      <c r="V858" s="193">
        <f t="shared" si="689"/>
        <v>20.84</v>
      </c>
      <c r="W858" s="193">
        <f t="shared" si="699"/>
        <v>16.670000000000002</v>
      </c>
      <c r="X858" s="193">
        <f t="shared" si="697"/>
        <v>6.08</v>
      </c>
      <c r="Y858" s="193">
        <v>0</v>
      </c>
      <c r="Z858" s="193">
        <f t="shared" si="692"/>
        <v>99.77</v>
      </c>
      <c r="AA858" s="194">
        <f t="shared" si="693"/>
        <v>200.23</v>
      </c>
      <c r="AB858" s="195">
        <f>200-40.15</f>
        <v>159.85</v>
      </c>
      <c r="AC858" s="196">
        <f t="shared" si="694"/>
        <v>-40.379999999999995</v>
      </c>
      <c r="AD858" s="197">
        <f t="shared" si="695"/>
        <v>3.6057692307691963E-3</v>
      </c>
      <c r="AE858" s="198">
        <f t="shared" si="696"/>
        <v>5.9900000000000003E-4</v>
      </c>
      <c r="AF858" s="193"/>
      <c r="AG858" s="199" t="s">
        <v>463</v>
      </c>
      <c r="AH858" s="124"/>
    </row>
    <row r="859" spans="1:34" ht="12" hidden="1" customHeight="1">
      <c r="A859" s="187">
        <v>41016</v>
      </c>
      <c r="B859" s="188" t="s">
        <v>553</v>
      </c>
      <c r="C859" s="188" t="s">
        <v>460</v>
      </c>
      <c r="D859" s="188"/>
      <c r="E859" s="188" t="str">
        <f t="shared" si="682"/>
        <v>NMDC</v>
      </c>
      <c r="F859" s="188"/>
      <c r="G859" s="188"/>
      <c r="H859" s="188"/>
      <c r="I859" s="188" t="s">
        <v>668</v>
      </c>
      <c r="J859" s="188" t="s">
        <v>462</v>
      </c>
      <c r="K859" s="188"/>
      <c r="L859" s="188"/>
      <c r="M859" s="189">
        <v>100</v>
      </c>
      <c r="N859" s="190">
        <v>165.7</v>
      </c>
      <c r="O859" s="191">
        <v>166.7</v>
      </c>
      <c r="P859" s="192">
        <f t="shared" si="683"/>
        <v>5</v>
      </c>
      <c r="Q859" s="192">
        <f t="shared" si="684"/>
        <v>5</v>
      </c>
      <c r="R859" s="193">
        <f t="shared" si="685"/>
        <v>33240</v>
      </c>
      <c r="S859" s="193">
        <f t="shared" si="686"/>
        <v>100</v>
      </c>
      <c r="T859" s="193">
        <f t="shared" si="687"/>
        <v>10</v>
      </c>
      <c r="U859" s="193">
        <f t="shared" si="698"/>
        <v>1.24</v>
      </c>
      <c r="V859" s="193">
        <f t="shared" si="689"/>
        <v>4.16</v>
      </c>
      <c r="W859" s="193">
        <f t="shared" si="699"/>
        <v>3.32</v>
      </c>
      <c r="X859" s="193">
        <f t="shared" si="697"/>
        <v>1.21</v>
      </c>
      <c r="Y859" s="193">
        <v>0</v>
      </c>
      <c r="Z859" s="193">
        <f t="shared" si="692"/>
        <v>19.93</v>
      </c>
      <c r="AA859" s="194">
        <f t="shared" si="693"/>
        <v>80.069999999999993</v>
      </c>
      <c r="AB859" s="195">
        <v>80</v>
      </c>
      <c r="AC859" s="196">
        <f t="shared" si="694"/>
        <v>-6.9999999999993179E-2</v>
      </c>
      <c r="AD859" s="197">
        <f t="shared" si="695"/>
        <v>6.0350030175015095E-3</v>
      </c>
      <c r="AE859" s="198">
        <f t="shared" si="696"/>
        <v>5.9999999999999995E-4</v>
      </c>
      <c r="AF859" s="193"/>
      <c r="AG859" s="199" t="s">
        <v>463</v>
      </c>
      <c r="AH859" s="124"/>
    </row>
    <row r="860" spans="1:34" ht="12" hidden="1" customHeight="1">
      <c r="A860" s="187">
        <v>41017</v>
      </c>
      <c r="B860" s="188" t="s">
        <v>469</v>
      </c>
      <c r="C860" s="188" t="s">
        <v>460</v>
      </c>
      <c r="D860" s="188"/>
      <c r="E860" s="188" t="str">
        <f t="shared" si="682"/>
        <v>ROLTA</v>
      </c>
      <c r="F860" s="188"/>
      <c r="G860" s="188"/>
      <c r="H860" s="188"/>
      <c r="I860" s="188" t="s">
        <v>668</v>
      </c>
      <c r="J860" s="188" t="s">
        <v>462</v>
      </c>
      <c r="K860" s="188"/>
      <c r="L860" s="188"/>
      <c r="M860" s="189">
        <v>200</v>
      </c>
      <c r="N860" s="190">
        <v>96</v>
      </c>
      <c r="O860" s="191">
        <v>97.016999999999996</v>
      </c>
      <c r="P860" s="192">
        <f t="shared" si="683"/>
        <v>10</v>
      </c>
      <c r="Q860" s="192">
        <f t="shared" si="684"/>
        <v>10</v>
      </c>
      <c r="R860" s="193">
        <f t="shared" si="685"/>
        <v>38603.4</v>
      </c>
      <c r="S860" s="193">
        <f t="shared" si="686"/>
        <v>203.39999999999918</v>
      </c>
      <c r="T860" s="193">
        <f t="shared" si="687"/>
        <v>20</v>
      </c>
      <c r="U860" s="193">
        <f t="shared" si="698"/>
        <v>2.4700000000000002</v>
      </c>
      <c r="V860" s="193">
        <f t="shared" si="689"/>
        <v>4.83</v>
      </c>
      <c r="W860" s="193">
        <f t="shared" si="699"/>
        <v>3.86</v>
      </c>
      <c r="X860" s="193">
        <f t="shared" si="697"/>
        <v>1.41</v>
      </c>
      <c r="Y860" s="193">
        <v>0</v>
      </c>
      <c r="Z860" s="193">
        <f t="shared" si="692"/>
        <v>32.569999999999993</v>
      </c>
      <c r="AA860" s="194">
        <f t="shared" si="693"/>
        <v>170.83</v>
      </c>
      <c r="AB860" s="195">
        <v>170.62</v>
      </c>
      <c r="AC860" s="196">
        <f t="shared" si="694"/>
        <v>-0.21000000000000796</v>
      </c>
      <c r="AD860" s="197">
        <f t="shared" si="695"/>
        <v>1.0593749999999957E-2</v>
      </c>
      <c r="AE860" s="198">
        <f t="shared" si="696"/>
        <v>8.4400000000000002E-4</v>
      </c>
      <c r="AF860" s="193"/>
      <c r="AG860" s="199" t="s">
        <v>463</v>
      </c>
      <c r="AH860" s="124"/>
    </row>
    <row r="861" spans="1:34" ht="12" hidden="1" customHeight="1">
      <c r="A861" s="187">
        <v>41023</v>
      </c>
      <c r="B861" s="188" t="s">
        <v>607</v>
      </c>
      <c r="C861" s="188" t="s">
        <v>460</v>
      </c>
      <c r="D861" s="188"/>
      <c r="E861" s="188" t="str">
        <f t="shared" si="682"/>
        <v>AUROPHARMA</v>
      </c>
      <c r="F861" s="188"/>
      <c r="G861" s="188"/>
      <c r="H861" s="188"/>
      <c r="I861" s="188" t="s">
        <v>668</v>
      </c>
      <c r="J861" s="188" t="s">
        <v>462</v>
      </c>
      <c r="K861" s="188"/>
      <c r="L861" s="188"/>
      <c r="M861" s="189">
        <v>100</v>
      </c>
      <c r="N861" s="190">
        <v>130.85</v>
      </c>
      <c r="O861" s="191">
        <v>129.80000000000001</v>
      </c>
      <c r="P861" s="192">
        <f t="shared" si="683"/>
        <v>5</v>
      </c>
      <c r="Q861" s="192">
        <f t="shared" si="684"/>
        <v>5</v>
      </c>
      <c r="R861" s="193">
        <f t="shared" si="685"/>
        <v>26065</v>
      </c>
      <c r="S861" s="193">
        <f t="shared" si="686"/>
        <v>-104.99999999999829</v>
      </c>
      <c r="T861" s="193">
        <f t="shared" si="687"/>
        <v>10</v>
      </c>
      <c r="U861" s="193">
        <f t="shared" si="698"/>
        <v>1.24</v>
      </c>
      <c r="V861" s="193">
        <f t="shared" si="689"/>
        <v>3.26</v>
      </c>
      <c r="W861" s="193">
        <f t="shared" si="699"/>
        <v>2.61</v>
      </c>
      <c r="X861" s="193">
        <f t="shared" si="697"/>
        <v>0.95</v>
      </c>
      <c r="Y861" s="193">
        <v>0</v>
      </c>
      <c r="Z861" s="193">
        <f t="shared" si="692"/>
        <v>18.059999999999999</v>
      </c>
      <c r="AA861" s="194">
        <f t="shared" si="693"/>
        <v>-123.06</v>
      </c>
      <c r="AB861" s="195">
        <f>-123-15.32</f>
        <v>-138.32</v>
      </c>
      <c r="AC861" s="196">
        <f t="shared" si="694"/>
        <v>-15.259999999999991</v>
      </c>
      <c r="AD861" s="197">
        <f t="shared" si="695"/>
        <v>-8.0244554833777838E-3</v>
      </c>
      <c r="AE861" s="198">
        <f t="shared" si="696"/>
        <v>6.9300000000000004E-4</v>
      </c>
      <c r="AF861" s="193"/>
      <c r="AG861" s="199" t="s">
        <v>463</v>
      </c>
      <c r="AH861" s="124"/>
    </row>
    <row r="862" spans="1:34" ht="12" hidden="1" customHeight="1">
      <c r="A862" s="187">
        <v>41023</v>
      </c>
      <c r="B862" s="188" t="s">
        <v>473</v>
      </c>
      <c r="C862" s="188" t="s">
        <v>460</v>
      </c>
      <c r="D862" s="188"/>
      <c r="E862" s="188" t="str">
        <f t="shared" si="682"/>
        <v>CIPLA</v>
      </c>
      <c r="F862" s="188"/>
      <c r="G862" s="188"/>
      <c r="H862" s="188"/>
      <c r="I862" s="188" t="s">
        <v>668</v>
      </c>
      <c r="J862" s="188" t="s">
        <v>462</v>
      </c>
      <c r="K862" s="188"/>
      <c r="L862" s="188"/>
      <c r="M862" s="189">
        <v>50</v>
      </c>
      <c r="N862" s="190">
        <v>315.81700000000001</v>
      </c>
      <c r="O862" s="191">
        <v>317.5</v>
      </c>
      <c r="P862" s="192">
        <f t="shared" si="683"/>
        <v>2.5</v>
      </c>
      <c r="Q862" s="192">
        <f t="shared" si="684"/>
        <v>2.5</v>
      </c>
      <c r="R862" s="193">
        <f t="shared" si="685"/>
        <v>31665.85</v>
      </c>
      <c r="S862" s="193">
        <f t="shared" si="686"/>
        <v>84.149999999999636</v>
      </c>
      <c r="T862" s="193">
        <f t="shared" si="687"/>
        <v>5</v>
      </c>
      <c r="U862" s="193">
        <f t="shared" si="698"/>
        <v>0.62</v>
      </c>
      <c r="V862" s="193">
        <f t="shared" si="689"/>
        <v>3.96</v>
      </c>
      <c r="W862" s="193">
        <f t="shared" si="699"/>
        <v>3.17</v>
      </c>
      <c r="X862" s="193">
        <f t="shared" si="697"/>
        <v>1.1599999999999999</v>
      </c>
      <c r="Y862" s="193">
        <v>0</v>
      </c>
      <c r="Z862" s="193">
        <f t="shared" si="692"/>
        <v>13.91</v>
      </c>
      <c r="AA862" s="194">
        <f t="shared" si="693"/>
        <v>70.239999999999995</v>
      </c>
      <c r="AB862" s="195">
        <v>70</v>
      </c>
      <c r="AC862" s="196">
        <f t="shared" si="694"/>
        <v>-0.23999999999999488</v>
      </c>
      <c r="AD862" s="197">
        <f t="shared" si="695"/>
        <v>5.3290354857401367E-3</v>
      </c>
      <c r="AE862" s="198">
        <f t="shared" si="696"/>
        <v>4.3899999999999999E-4</v>
      </c>
      <c r="AF862" s="193"/>
      <c r="AG862" s="199" t="s">
        <v>463</v>
      </c>
      <c r="AH862" s="124"/>
    </row>
    <row r="863" spans="1:34" ht="12" hidden="1" customHeight="1">
      <c r="A863" s="187">
        <v>41029</v>
      </c>
      <c r="B863" s="188" t="s">
        <v>495</v>
      </c>
      <c r="C863" s="188" t="s">
        <v>460</v>
      </c>
      <c r="D863" s="188"/>
      <c r="E863" s="188" t="str">
        <f t="shared" si="682"/>
        <v>SAIL</v>
      </c>
      <c r="F863" s="188"/>
      <c r="G863" s="188"/>
      <c r="H863" s="188"/>
      <c r="I863" s="188" t="s">
        <v>668</v>
      </c>
      <c r="J863" s="188" t="s">
        <v>462</v>
      </c>
      <c r="K863" s="188"/>
      <c r="L863" s="188"/>
      <c r="M863" s="189">
        <v>100</v>
      </c>
      <c r="N863" s="190">
        <v>96.85</v>
      </c>
      <c r="O863" s="191">
        <v>94.35</v>
      </c>
      <c r="P863" s="192">
        <f t="shared" si="683"/>
        <v>5</v>
      </c>
      <c r="Q863" s="192">
        <f t="shared" si="684"/>
        <v>5</v>
      </c>
      <c r="R863" s="193">
        <f t="shared" si="685"/>
        <v>19120</v>
      </c>
      <c r="S863" s="193">
        <f t="shared" si="686"/>
        <v>-250</v>
      </c>
      <c r="T863" s="193">
        <f t="shared" si="687"/>
        <v>10</v>
      </c>
      <c r="U863" s="193">
        <f t="shared" si="698"/>
        <v>1.24</v>
      </c>
      <c r="V863" s="193">
        <f t="shared" si="689"/>
        <v>2.39</v>
      </c>
      <c r="W863" s="193">
        <f t="shared" si="699"/>
        <v>1.91</v>
      </c>
      <c r="X863" s="193">
        <f t="shared" si="697"/>
        <v>0.7</v>
      </c>
      <c r="Y863" s="193">
        <v>0</v>
      </c>
      <c r="Z863" s="193">
        <f t="shared" si="692"/>
        <v>16.240000000000002</v>
      </c>
      <c r="AA863" s="194">
        <f t="shared" si="693"/>
        <v>-266.24</v>
      </c>
      <c r="AB863" s="195">
        <f>-266-37.1</f>
        <v>-303.10000000000002</v>
      </c>
      <c r="AC863" s="196">
        <f t="shared" si="694"/>
        <v>-36.860000000000014</v>
      </c>
      <c r="AD863" s="197">
        <f t="shared" si="695"/>
        <v>-2.581311306143521E-2</v>
      </c>
      <c r="AE863" s="198">
        <f t="shared" si="696"/>
        <v>8.4900000000000004E-4</v>
      </c>
      <c r="AF863" s="193"/>
      <c r="AG863" s="199" t="s">
        <v>463</v>
      </c>
      <c r="AH863" s="124"/>
    </row>
    <row r="864" spans="1:34" ht="12" hidden="1" customHeight="1">
      <c r="A864" s="187">
        <v>41029</v>
      </c>
      <c r="B864" s="188" t="s">
        <v>473</v>
      </c>
      <c r="C864" s="188" t="s">
        <v>460</v>
      </c>
      <c r="D864" s="188"/>
      <c r="E864" s="188" t="str">
        <f t="shared" si="682"/>
        <v>CIPLA</v>
      </c>
      <c r="F864" s="188"/>
      <c r="G864" s="188"/>
      <c r="H864" s="188"/>
      <c r="I864" s="188" t="s">
        <v>668</v>
      </c>
      <c r="J864" s="188" t="s">
        <v>462</v>
      </c>
      <c r="K864" s="188"/>
      <c r="L864" s="188"/>
      <c r="M864" s="189">
        <v>150</v>
      </c>
      <c r="N864" s="190">
        <v>312.45</v>
      </c>
      <c r="O864" s="191">
        <v>312.88666666666666</v>
      </c>
      <c r="P864" s="192">
        <f t="shared" si="683"/>
        <v>7.5</v>
      </c>
      <c r="Q864" s="192">
        <f t="shared" si="684"/>
        <v>7.5</v>
      </c>
      <c r="R864" s="193">
        <f t="shared" si="685"/>
        <v>93800.5</v>
      </c>
      <c r="S864" s="193">
        <f t="shared" si="686"/>
        <v>65.500000000000114</v>
      </c>
      <c r="T864" s="193">
        <f t="shared" si="687"/>
        <v>15</v>
      </c>
      <c r="U864" s="193">
        <f t="shared" si="698"/>
        <v>1.85</v>
      </c>
      <c r="V864" s="193">
        <f t="shared" si="689"/>
        <v>11.73</v>
      </c>
      <c r="W864" s="193">
        <f t="shared" si="699"/>
        <v>9.3800000000000008</v>
      </c>
      <c r="X864" s="193">
        <f t="shared" si="697"/>
        <v>3.42</v>
      </c>
      <c r="Y864" s="193">
        <v>0</v>
      </c>
      <c r="Z864" s="193">
        <f t="shared" si="692"/>
        <v>41.38</v>
      </c>
      <c r="AA864" s="194">
        <f t="shared" si="693"/>
        <v>24.12</v>
      </c>
      <c r="AB864" s="195">
        <v>24</v>
      </c>
      <c r="AC864" s="196">
        <f t="shared" si="694"/>
        <v>-0.12000000000000099</v>
      </c>
      <c r="AD864" s="197">
        <f t="shared" si="695"/>
        <v>1.397556942444127E-3</v>
      </c>
      <c r="AE864" s="198">
        <f t="shared" si="696"/>
        <v>4.4099999999999999E-4</v>
      </c>
      <c r="AF864" s="193"/>
      <c r="AG864" s="199" t="s">
        <v>463</v>
      </c>
      <c r="AH864" s="124"/>
    </row>
    <row r="865" spans="1:34" ht="12" hidden="1" customHeight="1">
      <c r="A865" s="187">
        <v>41198</v>
      </c>
      <c r="B865" s="188" t="s">
        <v>672</v>
      </c>
      <c r="C865" s="188" t="s">
        <v>460</v>
      </c>
      <c r="D865" s="188"/>
      <c r="E865" s="188" t="str">
        <f t="shared" si="682"/>
        <v>ORIENTBANK</v>
      </c>
      <c r="F865" s="188"/>
      <c r="G865" s="188"/>
      <c r="H865" s="188"/>
      <c r="I865" s="188" t="s">
        <v>668</v>
      </c>
      <c r="J865" s="188" t="s">
        <v>462</v>
      </c>
      <c r="K865" s="188"/>
      <c r="L865" s="188"/>
      <c r="M865" s="189">
        <v>20</v>
      </c>
      <c r="N865" s="190">
        <v>297.7</v>
      </c>
      <c r="O865" s="191">
        <v>290.45</v>
      </c>
      <c r="P865" s="192">
        <f t="shared" si="683"/>
        <v>1</v>
      </c>
      <c r="Q865" s="192">
        <f t="shared" si="684"/>
        <v>1</v>
      </c>
      <c r="R865" s="193">
        <f t="shared" si="685"/>
        <v>11763</v>
      </c>
      <c r="S865" s="193">
        <f t="shared" si="686"/>
        <v>-145</v>
      </c>
      <c r="T865" s="193">
        <f t="shared" si="687"/>
        <v>2</v>
      </c>
      <c r="U865" s="193">
        <f t="shared" si="698"/>
        <v>0.25</v>
      </c>
      <c r="V865" s="193">
        <f t="shared" si="689"/>
        <v>1.47</v>
      </c>
      <c r="W865" s="193">
        <f t="shared" si="699"/>
        <v>1.18</v>
      </c>
      <c r="X865" s="193">
        <f t="shared" si="697"/>
        <v>0.43</v>
      </c>
      <c r="Y865" s="193">
        <v>0</v>
      </c>
      <c r="Z865" s="193">
        <f t="shared" si="692"/>
        <v>5.3299999999999992</v>
      </c>
      <c r="AA865" s="194">
        <f t="shared" si="693"/>
        <v>-150.33000000000001</v>
      </c>
      <c r="AB865" s="195">
        <v>-154.35</v>
      </c>
      <c r="AC865" s="196">
        <f t="shared" si="694"/>
        <v>-4.0199999999999818</v>
      </c>
      <c r="AD865" s="197">
        <f t="shared" si="695"/>
        <v>-2.4353375881760161E-2</v>
      </c>
      <c r="AE865" s="198">
        <f t="shared" si="696"/>
        <v>4.5300000000000001E-4</v>
      </c>
      <c r="AF865" s="193"/>
      <c r="AG865" s="199" t="s">
        <v>463</v>
      </c>
      <c r="AH865" s="124"/>
    </row>
    <row r="866" spans="1:34" ht="12" hidden="1" customHeight="1">
      <c r="A866" s="187">
        <v>41199</v>
      </c>
      <c r="B866" s="188" t="s">
        <v>477</v>
      </c>
      <c r="C866" s="188" t="s">
        <v>460</v>
      </c>
      <c r="D866" s="188"/>
      <c r="E866" s="188" t="str">
        <f t="shared" si="682"/>
        <v>CROMPTON</v>
      </c>
      <c r="F866" s="188"/>
      <c r="G866" s="188"/>
      <c r="H866" s="188"/>
      <c r="I866" s="188" t="s">
        <v>668</v>
      </c>
      <c r="J866" s="188" t="s">
        <v>462</v>
      </c>
      <c r="K866" s="188"/>
      <c r="L866" s="188"/>
      <c r="M866" s="189">
        <v>50</v>
      </c>
      <c r="N866" s="190">
        <v>130.19999999999999</v>
      </c>
      <c r="O866" s="191">
        <v>129.55000000000001</v>
      </c>
      <c r="P866" s="192">
        <f t="shared" si="683"/>
        <v>2.5</v>
      </c>
      <c r="Q866" s="192">
        <f t="shared" si="684"/>
        <v>2.5</v>
      </c>
      <c r="R866" s="193">
        <f t="shared" si="685"/>
        <v>12987.5</v>
      </c>
      <c r="S866" s="193">
        <f t="shared" si="686"/>
        <v>-32.499999999998863</v>
      </c>
      <c r="T866" s="193">
        <f t="shared" si="687"/>
        <v>5</v>
      </c>
      <c r="U866" s="193">
        <f t="shared" si="698"/>
        <v>0.62</v>
      </c>
      <c r="V866" s="193">
        <f t="shared" si="689"/>
        <v>1.62</v>
      </c>
      <c r="W866" s="193">
        <f t="shared" si="699"/>
        <v>1.3</v>
      </c>
      <c r="X866" s="193">
        <f t="shared" si="697"/>
        <v>0.47</v>
      </c>
      <c r="Y866" s="193">
        <v>0</v>
      </c>
      <c r="Z866" s="193">
        <f t="shared" si="692"/>
        <v>9.0100000000000016</v>
      </c>
      <c r="AA866" s="194">
        <f t="shared" si="693"/>
        <v>-41.51</v>
      </c>
      <c r="AB866" s="195">
        <v>-43.57</v>
      </c>
      <c r="AC866" s="196">
        <f t="shared" si="694"/>
        <v>-2.0600000000000023</v>
      </c>
      <c r="AD866" s="197">
        <f t="shared" si="695"/>
        <v>-4.9923195084483661E-3</v>
      </c>
      <c r="AE866" s="198">
        <f t="shared" si="696"/>
        <v>6.9399999999999996E-4</v>
      </c>
      <c r="AF866" s="193"/>
      <c r="AG866" s="199" t="s">
        <v>463</v>
      </c>
      <c r="AH866" s="124"/>
    </row>
    <row r="867" spans="1:34" ht="12" hidden="1" customHeight="1">
      <c r="A867" s="187">
        <v>41200</v>
      </c>
      <c r="B867" s="188" t="s">
        <v>673</v>
      </c>
      <c r="C867" s="188" t="s">
        <v>460</v>
      </c>
      <c r="D867" s="188"/>
      <c r="E867" s="188" t="str">
        <f t="shared" si="682"/>
        <v>JSWSTEEL</v>
      </c>
      <c r="F867" s="188"/>
      <c r="G867" s="188"/>
      <c r="H867" s="188"/>
      <c r="I867" s="188" t="s">
        <v>668</v>
      </c>
      <c r="J867" s="188" t="s">
        <v>462</v>
      </c>
      <c r="K867" s="188"/>
      <c r="L867" s="188"/>
      <c r="M867" s="189">
        <v>10</v>
      </c>
      <c r="N867" s="190">
        <v>722.7</v>
      </c>
      <c r="O867" s="191">
        <v>732.55</v>
      </c>
      <c r="P867" s="192">
        <f t="shared" si="683"/>
        <v>0.5</v>
      </c>
      <c r="Q867" s="192">
        <f t="shared" si="684"/>
        <v>0.5</v>
      </c>
      <c r="R867" s="193">
        <f t="shared" si="685"/>
        <v>14552.5</v>
      </c>
      <c r="S867" s="193">
        <f t="shared" si="686"/>
        <v>98.499999999999091</v>
      </c>
      <c r="T867" s="193">
        <f t="shared" si="687"/>
        <v>1</v>
      </c>
      <c r="U867" s="193">
        <f t="shared" si="698"/>
        <v>0.12</v>
      </c>
      <c r="V867" s="193">
        <f t="shared" si="689"/>
        <v>1.82</v>
      </c>
      <c r="W867" s="193">
        <f t="shared" si="699"/>
        <v>1.46</v>
      </c>
      <c r="X867" s="193">
        <f t="shared" si="697"/>
        <v>0.53</v>
      </c>
      <c r="Y867" s="193">
        <v>0</v>
      </c>
      <c r="Z867" s="193">
        <f t="shared" si="692"/>
        <v>4.9300000000000006</v>
      </c>
      <c r="AA867" s="194">
        <f t="shared" si="693"/>
        <v>93.57</v>
      </c>
      <c r="AB867" s="195">
        <v>86.33</v>
      </c>
      <c r="AC867" s="196">
        <f t="shared" si="694"/>
        <v>-7.2399999999999949</v>
      </c>
      <c r="AD867" s="197">
        <f t="shared" si="695"/>
        <v>1.3629445136294325E-2</v>
      </c>
      <c r="AE867" s="198">
        <f t="shared" si="696"/>
        <v>3.39E-4</v>
      </c>
      <c r="AF867" s="193"/>
      <c r="AG867" s="199" t="s">
        <v>463</v>
      </c>
      <c r="AH867" s="124"/>
    </row>
    <row r="868" spans="1:34" ht="12" hidden="1" customHeight="1">
      <c r="A868" s="187">
        <v>41201</v>
      </c>
      <c r="B868" s="188" t="s">
        <v>477</v>
      </c>
      <c r="C868" s="188" t="s">
        <v>460</v>
      </c>
      <c r="D868" s="188"/>
      <c r="E868" s="188" t="str">
        <f t="shared" si="682"/>
        <v>CROMPTON</v>
      </c>
      <c r="F868" s="188"/>
      <c r="G868" s="188"/>
      <c r="H868" s="188"/>
      <c r="I868" s="188" t="s">
        <v>668</v>
      </c>
      <c r="J868" s="188" t="s">
        <v>462</v>
      </c>
      <c r="K868" s="188"/>
      <c r="L868" s="188"/>
      <c r="M868" s="189">
        <v>50</v>
      </c>
      <c r="N868" s="190">
        <v>130.85</v>
      </c>
      <c r="O868" s="191">
        <v>129.44999999999999</v>
      </c>
      <c r="P868" s="192">
        <f t="shared" si="683"/>
        <v>2.5</v>
      </c>
      <c r="Q868" s="192">
        <f t="shared" si="684"/>
        <v>2.5</v>
      </c>
      <c r="R868" s="193">
        <f t="shared" si="685"/>
        <v>13015</v>
      </c>
      <c r="S868" s="193">
        <f t="shared" si="686"/>
        <v>-70.000000000000284</v>
      </c>
      <c r="T868" s="193">
        <f t="shared" si="687"/>
        <v>5</v>
      </c>
      <c r="U868" s="193">
        <f t="shared" si="698"/>
        <v>0.62</v>
      </c>
      <c r="V868" s="193">
        <f t="shared" si="689"/>
        <v>1.63</v>
      </c>
      <c r="W868" s="193">
        <f t="shared" si="699"/>
        <v>1.3</v>
      </c>
      <c r="X868" s="193">
        <f t="shared" si="697"/>
        <v>0.48</v>
      </c>
      <c r="Y868" s="193">
        <v>0</v>
      </c>
      <c r="Z868" s="193">
        <f t="shared" si="692"/>
        <v>9.0300000000000011</v>
      </c>
      <c r="AA868" s="194">
        <f t="shared" si="693"/>
        <v>-79.03</v>
      </c>
      <c r="AB868" s="195">
        <v>-81.08</v>
      </c>
      <c r="AC868" s="196">
        <f t="shared" si="694"/>
        <v>-2.0499999999999972</v>
      </c>
      <c r="AD868" s="197">
        <f t="shared" si="695"/>
        <v>-1.0699273977837261E-2</v>
      </c>
      <c r="AE868" s="198">
        <f t="shared" si="696"/>
        <v>6.9399999999999996E-4</v>
      </c>
      <c r="AF868" s="193"/>
      <c r="AG868" s="199" t="s">
        <v>463</v>
      </c>
      <c r="AH868" s="124"/>
    </row>
    <row r="869" spans="1:34" ht="12" hidden="1" customHeight="1">
      <c r="A869" s="187">
        <v>41205</v>
      </c>
      <c r="B869" s="188" t="s">
        <v>480</v>
      </c>
      <c r="C869" s="188" t="s">
        <v>460</v>
      </c>
      <c r="D869" s="188"/>
      <c r="E869" s="188" t="str">
        <f t="shared" si="682"/>
        <v>ADANIENT</v>
      </c>
      <c r="F869" s="188"/>
      <c r="G869" s="188"/>
      <c r="H869" s="188"/>
      <c r="I869" s="188" t="s">
        <v>668</v>
      </c>
      <c r="J869" s="188" t="s">
        <v>462</v>
      </c>
      <c r="K869" s="188"/>
      <c r="L869" s="188"/>
      <c r="M869" s="189">
        <v>20</v>
      </c>
      <c r="N869" s="190">
        <v>223.8</v>
      </c>
      <c r="O869" s="191">
        <v>224.15</v>
      </c>
      <c r="P869" s="192">
        <f t="shared" si="683"/>
        <v>1</v>
      </c>
      <c r="Q869" s="192">
        <f t="shared" si="684"/>
        <v>1</v>
      </c>
      <c r="R869" s="193">
        <f t="shared" si="685"/>
        <v>8959</v>
      </c>
      <c r="S869" s="193">
        <f t="shared" si="686"/>
        <v>6.9999999999998863</v>
      </c>
      <c r="T869" s="193">
        <f t="shared" si="687"/>
        <v>2</v>
      </c>
      <c r="U869" s="193">
        <f t="shared" si="698"/>
        <v>0.25</v>
      </c>
      <c r="V869" s="193">
        <f t="shared" si="689"/>
        <v>1.1200000000000001</v>
      </c>
      <c r="W869" s="193">
        <f t="shared" si="699"/>
        <v>0.9</v>
      </c>
      <c r="X869" s="193">
        <f t="shared" si="697"/>
        <v>0.33</v>
      </c>
      <c r="Y869" s="193">
        <v>0</v>
      </c>
      <c r="Z869" s="193">
        <f t="shared" si="692"/>
        <v>4.6000000000000005</v>
      </c>
      <c r="AA869" s="194">
        <f t="shared" si="693"/>
        <v>2.4</v>
      </c>
      <c r="AB869" s="195">
        <v>-0.17</v>
      </c>
      <c r="AC869" s="196">
        <f t="shared" si="694"/>
        <v>-2.57</v>
      </c>
      <c r="AD869" s="197">
        <f t="shared" si="695"/>
        <v>1.563896336014273E-3</v>
      </c>
      <c r="AE869" s="198">
        <f t="shared" si="696"/>
        <v>5.13E-4</v>
      </c>
      <c r="AF869" s="193"/>
      <c r="AG869" s="199" t="s">
        <v>463</v>
      </c>
      <c r="AH869" s="124"/>
    </row>
    <row r="870" spans="1:34" ht="12" hidden="1" customHeight="1">
      <c r="A870" s="187">
        <v>41205</v>
      </c>
      <c r="B870" s="188" t="s">
        <v>672</v>
      </c>
      <c r="C870" s="188" t="s">
        <v>460</v>
      </c>
      <c r="D870" s="188"/>
      <c r="E870" s="188" t="str">
        <f t="shared" si="682"/>
        <v>ORIENTBANK</v>
      </c>
      <c r="F870" s="188"/>
      <c r="G870" s="188"/>
      <c r="H870" s="188"/>
      <c r="I870" s="188" t="s">
        <v>668</v>
      </c>
      <c r="J870" s="188" t="s">
        <v>462</v>
      </c>
      <c r="K870" s="188"/>
      <c r="L870" s="188"/>
      <c r="M870" s="189">
        <v>20</v>
      </c>
      <c r="N870" s="190">
        <v>291</v>
      </c>
      <c r="O870" s="191">
        <v>290.89999999999998</v>
      </c>
      <c r="P870" s="192">
        <f t="shared" si="683"/>
        <v>1</v>
      </c>
      <c r="Q870" s="192">
        <f t="shared" si="684"/>
        <v>1</v>
      </c>
      <c r="R870" s="193">
        <f t="shared" si="685"/>
        <v>11638</v>
      </c>
      <c r="S870" s="193">
        <f t="shared" si="686"/>
        <v>-2.0000000000004547</v>
      </c>
      <c r="T870" s="193">
        <f t="shared" si="687"/>
        <v>2</v>
      </c>
      <c r="U870" s="193">
        <f t="shared" si="698"/>
        <v>0.25</v>
      </c>
      <c r="V870" s="193">
        <f t="shared" si="689"/>
        <v>1.45</v>
      </c>
      <c r="W870" s="193">
        <f t="shared" si="699"/>
        <v>1.1599999999999999</v>
      </c>
      <c r="X870" s="193">
        <f t="shared" si="697"/>
        <v>0.42</v>
      </c>
      <c r="Y870" s="193">
        <v>0</v>
      </c>
      <c r="Z870" s="193">
        <f t="shared" si="692"/>
        <v>5.28</v>
      </c>
      <c r="AA870" s="194">
        <f t="shared" si="693"/>
        <v>-7.28</v>
      </c>
      <c r="AB870" s="195">
        <v>-11.32</v>
      </c>
      <c r="AC870" s="196">
        <f t="shared" si="694"/>
        <v>-4.04</v>
      </c>
      <c r="AD870" s="197">
        <f t="shared" si="695"/>
        <v>-3.4364261168392694E-4</v>
      </c>
      <c r="AE870" s="198">
        <f t="shared" si="696"/>
        <v>4.5399999999999998E-4</v>
      </c>
      <c r="AF870" s="193"/>
      <c r="AG870" s="199" t="s">
        <v>463</v>
      </c>
      <c r="AH870" s="124"/>
    </row>
    <row r="871" spans="1:34" ht="12" hidden="1" customHeight="1">
      <c r="A871" s="187">
        <v>41208</v>
      </c>
      <c r="B871" s="188" t="s">
        <v>590</v>
      </c>
      <c r="C871" s="188" t="s">
        <v>460</v>
      </c>
      <c r="D871" s="188"/>
      <c r="E871" s="188" t="str">
        <f t="shared" si="682"/>
        <v>ITC</v>
      </c>
      <c r="F871" s="188"/>
      <c r="G871" s="188"/>
      <c r="H871" s="188"/>
      <c r="I871" s="188" t="s">
        <v>668</v>
      </c>
      <c r="J871" s="188" t="s">
        <v>462</v>
      </c>
      <c r="K871" s="188"/>
      <c r="L871" s="188"/>
      <c r="M871" s="189">
        <v>20</v>
      </c>
      <c r="N871" s="190">
        <v>287.55</v>
      </c>
      <c r="O871" s="191">
        <v>287</v>
      </c>
      <c r="P871" s="192">
        <f t="shared" si="683"/>
        <v>1</v>
      </c>
      <c r="Q871" s="192">
        <f t="shared" si="684"/>
        <v>1</v>
      </c>
      <c r="R871" s="193">
        <f t="shared" si="685"/>
        <v>11491</v>
      </c>
      <c r="S871" s="193">
        <f t="shared" si="686"/>
        <v>-11.000000000000227</v>
      </c>
      <c r="T871" s="193">
        <f t="shared" si="687"/>
        <v>2</v>
      </c>
      <c r="U871" s="193">
        <f t="shared" si="698"/>
        <v>0.25</v>
      </c>
      <c r="V871" s="193">
        <f t="shared" si="689"/>
        <v>1.44</v>
      </c>
      <c r="W871" s="193">
        <f t="shared" si="699"/>
        <v>1.1499999999999999</v>
      </c>
      <c r="X871" s="193">
        <f t="shared" si="697"/>
        <v>0.42</v>
      </c>
      <c r="Y871" s="193">
        <v>0</v>
      </c>
      <c r="Z871" s="193">
        <f t="shared" si="692"/>
        <v>5.26</v>
      </c>
      <c r="AA871" s="194">
        <f t="shared" si="693"/>
        <v>-16.260000000000002</v>
      </c>
      <c r="AB871" s="195">
        <v>-20.49</v>
      </c>
      <c r="AC871" s="196">
        <f t="shared" si="694"/>
        <v>-4.2299999999999969</v>
      </c>
      <c r="AD871" s="197">
        <f t="shared" si="695"/>
        <v>-1.9127108328986658E-3</v>
      </c>
      <c r="AE871" s="198">
        <f t="shared" si="696"/>
        <v>4.5800000000000002E-4</v>
      </c>
      <c r="AF871" s="193"/>
      <c r="AG871" s="199" t="s">
        <v>463</v>
      </c>
      <c r="AH871" s="124"/>
    </row>
    <row r="872" spans="1:34" ht="12" hidden="1" customHeight="1">
      <c r="A872" s="187">
        <v>41212</v>
      </c>
      <c r="B872" s="188" t="s">
        <v>674</v>
      </c>
      <c r="C872" s="188" t="s">
        <v>460</v>
      </c>
      <c r="D872" s="188"/>
      <c r="E872" s="188" t="str">
        <f t="shared" si="682"/>
        <v>RAYMOND</v>
      </c>
      <c r="F872" s="188"/>
      <c r="G872" s="188"/>
      <c r="H872" s="188"/>
      <c r="I872" s="188" t="s">
        <v>668</v>
      </c>
      <c r="J872" s="188" t="s">
        <v>462</v>
      </c>
      <c r="K872" s="188"/>
      <c r="L872" s="188"/>
      <c r="M872" s="189">
        <v>60</v>
      </c>
      <c r="N872" s="190">
        <v>381.77</v>
      </c>
      <c r="O872" s="191">
        <v>380.82</v>
      </c>
      <c r="P872" s="192">
        <f t="shared" si="683"/>
        <v>3</v>
      </c>
      <c r="Q872" s="192">
        <f t="shared" si="684"/>
        <v>3</v>
      </c>
      <c r="R872" s="193">
        <f t="shared" si="685"/>
        <v>45755.4</v>
      </c>
      <c r="S872" s="193">
        <f t="shared" si="686"/>
        <v>-56.999999999999318</v>
      </c>
      <c r="T872" s="193">
        <f t="shared" si="687"/>
        <v>6</v>
      </c>
      <c r="U872" s="193">
        <f t="shared" si="698"/>
        <v>0.74</v>
      </c>
      <c r="V872" s="193">
        <f t="shared" si="689"/>
        <v>5.72</v>
      </c>
      <c r="W872" s="193">
        <f t="shared" si="699"/>
        <v>4.58</v>
      </c>
      <c r="X872" s="193">
        <f t="shared" si="697"/>
        <v>1.67</v>
      </c>
      <c r="Y872" s="193">
        <v>0</v>
      </c>
      <c r="Z872" s="193">
        <f t="shared" si="692"/>
        <v>18.71</v>
      </c>
      <c r="AA872" s="194">
        <f t="shared" si="693"/>
        <v>-75.709999999999994</v>
      </c>
      <c r="AB872" s="195">
        <v>-94.87</v>
      </c>
      <c r="AC872" s="196">
        <f t="shared" si="694"/>
        <v>-19.160000000000011</v>
      </c>
      <c r="AD872" s="197">
        <f t="shared" si="695"/>
        <v>-2.48840925164363E-3</v>
      </c>
      <c r="AE872" s="198">
        <f t="shared" si="696"/>
        <v>4.0900000000000002E-4</v>
      </c>
      <c r="AF872" s="193"/>
      <c r="AG872" s="199" t="s">
        <v>463</v>
      </c>
      <c r="AH872" s="124"/>
    </row>
    <row r="873" spans="1:34" ht="12" hidden="1" customHeight="1">
      <c r="A873" s="187">
        <v>41213</v>
      </c>
      <c r="B873" s="188" t="s">
        <v>675</v>
      </c>
      <c r="C873" s="188" t="s">
        <v>460</v>
      </c>
      <c r="D873" s="188"/>
      <c r="E873" s="188" t="str">
        <f t="shared" si="682"/>
        <v>DISHTV</v>
      </c>
      <c r="F873" s="188"/>
      <c r="G873" s="188"/>
      <c r="H873" s="188"/>
      <c r="I873" s="188" t="s">
        <v>668</v>
      </c>
      <c r="J873" s="188" t="s">
        <v>462</v>
      </c>
      <c r="K873" s="188"/>
      <c r="L873" s="188"/>
      <c r="M873" s="189">
        <v>30</v>
      </c>
      <c r="N873" s="190">
        <v>74.95</v>
      </c>
      <c r="O873" s="191">
        <v>75.349999999999994</v>
      </c>
      <c r="P873" s="192">
        <f t="shared" si="683"/>
        <v>1.5</v>
      </c>
      <c r="Q873" s="192">
        <f t="shared" si="684"/>
        <v>1.5</v>
      </c>
      <c r="R873" s="193">
        <f t="shared" si="685"/>
        <v>4509</v>
      </c>
      <c r="S873" s="193">
        <f t="shared" si="686"/>
        <v>11.999999999999744</v>
      </c>
      <c r="T873" s="193">
        <f t="shared" si="687"/>
        <v>3</v>
      </c>
      <c r="U873" s="193">
        <f t="shared" si="698"/>
        <v>0.37</v>
      </c>
      <c r="V873" s="193">
        <f t="shared" si="689"/>
        <v>0.56000000000000005</v>
      </c>
      <c r="W873" s="193">
        <f t="shared" si="699"/>
        <v>0.45</v>
      </c>
      <c r="X873" s="193">
        <f t="shared" si="697"/>
        <v>0.16</v>
      </c>
      <c r="Y873" s="193">
        <v>0</v>
      </c>
      <c r="Z873" s="193">
        <f t="shared" si="692"/>
        <v>4.54</v>
      </c>
      <c r="AA873" s="194">
        <f t="shared" si="693"/>
        <v>7.46</v>
      </c>
      <c r="AB873" s="195">
        <v>7.01</v>
      </c>
      <c r="AC873" s="196">
        <f t="shared" si="694"/>
        <v>-0.45000000000000018</v>
      </c>
      <c r="AD873" s="197">
        <f t="shared" si="695"/>
        <v>5.3368912608404463E-3</v>
      </c>
      <c r="AE873" s="198">
        <f t="shared" si="696"/>
        <v>1.0070000000000001E-3</v>
      </c>
      <c r="AF873" s="193"/>
      <c r="AG873" s="199" t="s">
        <v>463</v>
      </c>
      <c r="AH873" s="124"/>
    </row>
    <row r="874" spans="1:34" ht="12" hidden="1" customHeight="1">
      <c r="A874" s="187">
        <v>41215</v>
      </c>
      <c r="B874" s="188" t="s">
        <v>480</v>
      </c>
      <c r="C874" s="188" t="s">
        <v>460</v>
      </c>
      <c r="D874" s="188"/>
      <c r="E874" s="188" t="str">
        <f t="shared" si="682"/>
        <v>ADANIENT</v>
      </c>
      <c r="F874" s="188"/>
      <c r="G874" s="188"/>
      <c r="H874" s="188"/>
      <c r="I874" s="188" t="s">
        <v>668</v>
      </c>
      <c r="J874" s="188" t="s">
        <v>462</v>
      </c>
      <c r="K874" s="188"/>
      <c r="L874" s="188"/>
      <c r="M874" s="189">
        <v>20</v>
      </c>
      <c r="N874" s="190">
        <v>226.85</v>
      </c>
      <c r="O874" s="191">
        <v>230</v>
      </c>
      <c r="P874" s="192">
        <f t="shared" si="683"/>
        <v>1</v>
      </c>
      <c r="Q874" s="192">
        <f t="shared" si="684"/>
        <v>1</v>
      </c>
      <c r="R874" s="193">
        <f t="shared" si="685"/>
        <v>9137</v>
      </c>
      <c r="S874" s="193">
        <f t="shared" si="686"/>
        <v>63.000000000000114</v>
      </c>
      <c r="T874" s="193">
        <f t="shared" si="687"/>
        <v>2</v>
      </c>
      <c r="U874" s="193">
        <f t="shared" si="698"/>
        <v>0.25</v>
      </c>
      <c r="V874" s="193">
        <f t="shared" si="689"/>
        <v>1.1399999999999999</v>
      </c>
      <c r="W874" s="193">
        <f t="shared" si="699"/>
        <v>0.91</v>
      </c>
      <c r="X874" s="193">
        <f t="shared" si="697"/>
        <v>0.33</v>
      </c>
      <c r="Y874" s="193">
        <v>0</v>
      </c>
      <c r="Z874" s="193">
        <f t="shared" si="692"/>
        <v>4.63</v>
      </c>
      <c r="AA874" s="194">
        <f t="shared" si="693"/>
        <v>58.37</v>
      </c>
      <c r="AB874" s="195">
        <v>55.59</v>
      </c>
      <c r="AC874" s="196">
        <f t="shared" si="694"/>
        <v>-2.779999999999994</v>
      </c>
      <c r="AD874" s="197">
        <f t="shared" si="695"/>
        <v>1.3885827639409327E-2</v>
      </c>
      <c r="AE874" s="198">
        <f t="shared" si="696"/>
        <v>5.0699999999999996E-4</v>
      </c>
      <c r="AF874" s="193"/>
      <c r="AG874" s="199" t="s">
        <v>463</v>
      </c>
      <c r="AH874" s="124"/>
    </row>
    <row r="875" spans="1:34" ht="12" hidden="1" customHeight="1">
      <c r="A875" s="187">
        <v>41218</v>
      </c>
      <c r="B875" s="188" t="s">
        <v>480</v>
      </c>
      <c r="C875" s="188" t="s">
        <v>460</v>
      </c>
      <c r="D875" s="188"/>
      <c r="E875" s="188" t="str">
        <f t="shared" si="682"/>
        <v>ADANIENT</v>
      </c>
      <c r="F875" s="188"/>
      <c r="G875" s="188"/>
      <c r="H875" s="188"/>
      <c r="I875" s="188" t="s">
        <v>668</v>
      </c>
      <c r="J875" s="188" t="s">
        <v>462</v>
      </c>
      <c r="K875" s="188"/>
      <c r="L875" s="188"/>
      <c r="M875" s="189">
        <v>30</v>
      </c>
      <c r="N875" s="190">
        <v>225</v>
      </c>
      <c r="O875" s="191">
        <v>225.9</v>
      </c>
      <c r="P875" s="192">
        <f t="shared" si="683"/>
        <v>1.5</v>
      </c>
      <c r="Q875" s="192">
        <f t="shared" si="684"/>
        <v>1.5</v>
      </c>
      <c r="R875" s="193">
        <f t="shared" si="685"/>
        <v>13527</v>
      </c>
      <c r="S875" s="193">
        <f t="shared" si="686"/>
        <v>27.000000000000171</v>
      </c>
      <c r="T875" s="193">
        <f t="shared" si="687"/>
        <v>3</v>
      </c>
      <c r="U875" s="193">
        <f t="shared" si="698"/>
        <v>0.37</v>
      </c>
      <c r="V875" s="193">
        <f t="shared" si="689"/>
        <v>1.69</v>
      </c>
      <c r="W875" s="193">
        <f t="shared" si="699"/>
        <v>1.35</v>
      </c>
      <c r="X875" s="193">
        <f t="shared" si="697"/>
        <v>0.49</v>
      </c>
      <c r="Y875" s="193">
        <v>0</v>
      </c>
      <c r="Z875" s="193">
        <f t="shared" si="692"/>
        <v>6.9</v>
      </c>
      <c r="AA875" s="194">
        <f t="shared" si="693"/>
        <v>20.100000000000001</v>
      </c>
      <c r="AB875" s="195">
        <v>16.05</v>
      </c>
      <c r="AC875" s="196">
        <f t="shared" si="694"/>
        <v>-4.0500000000000007</v>
      </c>
      <c r="AD875" s="197">
        <f t="shared" si="695"/>
        <v>4.0000000000000252E-3</v>
      </c>
      <c r="AE875" s="198">
        <f t="shared" si="696"/>
        <v>5.1000000000000004E-4</v>
      </c>
      <c r="AF875" s="193"/>
      <c r="AG875" s="199" t="s">
        <v>463</v>
      </c>
      <c r="AH875" s="124"/>
    </row>
    <row r="876" spans="1:34" ht="12" hidden="1" customHeight="1">
      <c r="A876" s="187">
        <v>41218</v>
      </c>
      <c r="B876" s="188" t="s">
        <v>672</v>
      </c>
      <c r="C876" s="188" t="s">
        <v>460</v>
      </c>
      <c r="D876" s="188"/>
      <c r="E876" s="188" t="str">
        <f t="shared" si="682"/>
        <v>ORIENTBANK</v>
      </c>
      <c r="F876" s="188"/>
      <c r="G876" s="188"/>
      <c r="H876" s="188"/>
      <c r="I876" s="188" t="s">
        <v>668</v>
      </c>
      <c r="J876" s="188" t="s">
        <v>462</v>
      </c>
      <c r="K876" s="188"/>
      <c r="L876" s="188"/>
      <c r="M876" s="189">
        <v>20</v>
      </c>
      <c r="N876" s="190">
        <v>327.25</v>
      </c>
      <c r="O876" s="191">
        <v>326</v>
      </c>
      <c r="P876" s="192">
        <f t="shared" si="683"/>
        <v>1</v>
      </c>
      <c r="Q876" s="192">
        <f t="shared" si="684"/>
        <v>1</v>
      </c>
      <c r="R876" s="193">
        <f t="shared" si="685"/>
        <v>13065</v>
      </c>
      <c r="S876" s="193">
        <f t="shared" si="686"/>
        <v>-25</v>
      </c>
      <c r="T876" s="193">
        <f t="shared" si="687"/>
        <v>2</v>
      </c>
      <c r="U876" s="193">
        <f t="shared" si="698"/>
        <v>0.25</v>
      </c>
      <c r="V876" s="193">
        <f t="shared" si="689"/>
        <v>1.63</v>
      </c>
      <c r="W876" s="193">
        <f t="shared" si="699"/>
        <v>1.31</v>
      </c>
      <c r="X876" s="193">
        <f t="shared" si="697"/>
        <v>0.48</v>
      </c>
      <c r="Y876" s="193">
        <v>0</v>
      </c>
      <c r="Z876" s="193">
        <f t="shared" si="692"/>
        <v>5.67</v>
      </c>
      <c r="AA876" s="194">
        <f t="shared" si="693"/>
        <v>-30.67</v>
      </c>
      <c r="AB876" s="195">
        <v>-35.61</v>
      </c>
      <c r="AC876" s="196">
        <f t="shared" si="694"/>
        <v>-4.9399999999999977</v>
      </c>
      <c r="AD876" s="197">
        <f t="shared" si="695"/>
        <v>-3.8197097020626434E-3</v>
      </c>
      <c r="AE876" s="198">
        <f t="shared" si="696"/>
        <v>4.3399999999999998E-4</v>
      </c>
      <c r="AF876" s="193"/>
      <c r="AG876" s="199" t="s">
        <v>463</v>
      </c>
      <c r="AH876" s="124"/>
    </row>
    <row r="877" spans="1:34" ht="12" hidden="1" customHeight="1">
      <c r="A877" s="187">
        <v>41218</v>
      </c>
      <c r="B877" s="188" t="s">
        <v>478</v>
      </c>
      <c r="C877" s="188" t="s">
        <v>460</v>
      </c>
      <c r="D877" s="188"/>
      <c r="E877" s="188" t="str">
        <f t="shared" si="682"/>
        <v>DABUR</v>
      </c>
      <c r="F877" s="188"/>
      <c r="G877" s="188"/>
      <c r="H877" s="188"/>
      <c r="I877" s="188" t="s">
        <v>668</v>
      </c>
      <c r="J877" s="188" t="s">
        <v>462</v>
      </c>
      <c r="K877" s="188"/>
      <c r="L877" s="188"/>
      <c r="M877" s="189">
        <v>30</v>
      </c>
      <c r="N877" s="190">
        <v>126.8</v>
      </c>
      <c r="O877" s="191">
        <v>126.67</v>
      </c>
      <c r="P877" s="192">
        <f t="shared" si="683"/>
        <v>1.5</v>
      </c>
      <c r="Q877" s="192">
        <f t="shared" si="684"/>
        <v>1.5</v>
      </c>
      <c r="R877" s="193">
        <f t="shared" si="685"/>
        <v>7604.1</v>
      </c>
      <c r="S877" s="193">
        <f t="shared" si="686"/>
        <v>-3.8999999999998636</v>
      </c>
      <c r="T877" s="193">
        <f t="shared" si="687"/>
        <v>3</v>
      </c>
      <c r="U877" s="193">
        <f t="shared" si="698"/>
        <v>0.37</v>
      </c>
      <c r="V877" s="193">
        <f t="shared" si="689"/>
        <v>0.95</v>
      </c>
      <c r="W877" s="193">
        <f t="shared" si="699"/>
        <v>0.76</v>
      </c>
      <c r="X877" s="193">
        <f t="shared" si="697"/>
        <v>0.28000000000000003</v>
      </c>
      <c r="Y877" s="193">
        <v>0</v>
      </c>
      <c r="Z877" s="193">
        <f t="shared" si="692"/>
        <v>5.36</v>
      </c>
      <c r="AA877" s="194">
        <f t="shared" si="693"/>
        <v>-9.26</v>
      </c>
      <c r="AB877" s="195">
        <f>-9.93+0.21</f>
        <v>-9.7199999999999989</v>
      </c>
      <c r="AC877" s="196">
        <f t="shared" si="694"/>
        <v>-0.45999999999999908</v>
      </c>
      <c r="AD877" s="197">
        <f t="shared" si="695"/>
        <v>-1.025236593059901E-3</v>
      </c>
      <c r="AE877" s="198">
        <f t="shared" si="696"/>
        <v>7.0500000000000001E-4</v>
      </c>
      <c r="AF877" s="193"/>
      <c r="AG877" s="199" t="s">
        <v>463</v>
      </c>
      <c r="AH877" s="124"/>
    </row>
    <row r="878" spans="1:34" ht="12" hidden="1" customHeight="1">
      <c r="A878" s="187">
        <v>41219</v>
      </c>
      <c r="B878" s="188" t="s">
        <v>471</v>
      </c>
      <c r="C878" s="188" t="s">
        <v>460</v>
      </c>
      <c r="D878" s="188"/>
      <c r="E878" s="188" t="str">
        <f t="shared" si="682"/>
        <v>BHEL</v>
      </c>
      <c r="F878" s="188"/>
      <c r="G878" s="188"/>
      <c r="H878" s="188"/>
      <c r="I878" s="188" t="s">
        <v>668</v>
      </c>
      <c r="J878" s="188" t="s">
        <v>462</v>
      </c>
      <c r="K878" s="188"/>
      <c r="L878" s="188"/>
      <c r="M878" s="189">
        <v>20</v>
      </c>
      <c r="N878" s="190">
        <v>231.9</v>
      </c>
      <c r="O878" s="191">
        <v>232.5</v>
      </c>
      <c r="P878" s="192">
        <f t="shared" si="683"/>
        <v>1</v>
      </c>
      <c r="Q878" s="192">
        <f t="shared" si="684"/>
        <v>1</v>
      </c>
      <c r="R878" s="193">
        <f t="shared" si="685"/>
        <v>9288</v>
      </c>
      <c r="S878" s="193">
        <f t="shared" si="686"/>
        <v>11.999999999999886</v>
      </c>
      <c r="T878" s="193">
        <f t="shared" si="687"/>
        <v>2</v>
      </c>
      <c r="U878" s="193">
        <f t="shared" si="698"/>
        <v>0.25</v>
      </c>
      <c r="V878" s="193">
        <f t="shared" si="689"/>
        <v>1.1599999999999999</v>
      </c>
      <c r="W878" s="193">
        <f t="shared" si="699"/>
        <v>0.93</v>
      </c>
      <c r="X878" s="193">
        <f t="shared" si="697"/>
        <v>0.34</v>
      </c>
      <c r="Y878" s="193">
        <v>0</v>
      </c>
      <c r="Z878" s="193">
        <f t="shared" si="692"/>
        <v>4.68</v>
      </c>
      <c r="AA878" s="194">
        <f t="shared" si="693"/>
        <v>7.32</v>
      </c>
      <c r="AB878" s="195">
        <v>4.18</v>
      </c>
      <c r="AC878" s="196">
        <f t="shared" si="694"/>
        <v>-3.1400000000000006</v>
      </c>
      <c r="AD878" s="197">
        <f t="shared" si="695"/>
        <v>2.5873221216041152E-3</v>
      </c>
      <c r="AE878" s="198">
        <f t="shared" si="696"/>
        <v>5.04E-4</v>
      </c>
      <c r="AF878" s="193"/>
      <c r="AG878" s="199" t="s">
        <v>463</v>
      </c>
      <c r="AH878" s="124"/>
    </row>
    <row r="879" spans="1:34" ht="12" hidden="1" customHeight="1">
      <c r="A879" s="187">
        <v>41220</v>
      </c>
      <c r="B879" s="188" t="s">
        <v>640</v>
      </c>
      <c r="C879" s="188" t="s">
        <v>460</v>
      </c>
      <c r="D879" s="188"/>
      <c r="E879" s="188" t="str">
        <f t="shared" si="682"/>
        <v>NTPC</v>
      </c>
      <c r="F879" s="188"/>
      <c r="G879" s="188"/>
      <c r="H879" s="188"/>
      <c r="I879" s="188" t="s">
        <v>668</v>
      </c>
      <c r="J879" s="188" t="s">
        <v>462</v>
      </c>
      <c r="K879" s="188"/>
      <c r="L879" s="188"/>
      <c r="M879" s="189">
        <v>20</v>
      </c>
      <c r="N879" s="190">
        <v>168.7</v>
      </c>
      <c r="O879" s="191">
        <v>169.2</v>
      </c>
      <c r="P879" s="192">
        <f t="shared" si="683"/>
        <v>1</v>
      </c>
      <c r="Q879" s="192">
        <f t="shared" si="684"/>
        <v>1</v>
      </c>
      <c r="R879" s="193">
        <f t="shared" si="685"/>
        <v>6758</v>
      </c>
      <c r="S879" s="193">
        <f t="shared" si="686"/>
        <v>10</v>
      </c>
      <c r="T879" s="193">
        <f t="shared" si="687"/>
        <v>2</v>
      </c>
      <c r="U879" s="193">
        <f t="shared" si="698"/>
        <v>0.25</v>
      </c>
      <c r="V879" s="193">
        <f t="shared" si="689"/>
        <v>0.84</v>
      </c>
      <c r="W879" s="193">
        <f t="shared" si="699"/>
        <v>0.68</v>
      </c>
      <c r="X879" s="193">
        <f t="shared" si="697"/>
        <v>0.25</v>
      </c>
      <c r="Y879" s="193">
        <v>0</v>
      </c>
      <c r="Z879" s="193">
        <f t="shared" si="692"/>
        <v>4.0199999999999996</v>
      </c>
      <c r="AA879" s="194">
        <f t="shared" si="693"/>
        <v>5.98</v>
      </c>
      <c r="AB879" s="195">
        <v>4.63</v>
      </c>
      <c r="AC879" s="196">
        <f t="shared" si="694"/>
        <v>-1.3500000000000005</v>
      </c>
      <c r="AD879" s="197">
        <f t="shared" si="695"/>
        <v>2.9638411381149973E-3</v>
      </c>
      <c r="AE879" s="198">
        <f t="shared" si="696"/>
        <v>5.9500000000000004E-4</v>
      </c>
      <c r="AF879" s="193"/>
      <c r="AG879" s="199" t="s">
        <v>463</v>
      </c>
      <c r="AH879" s="124"/>
    </row>
    <row r="880" spans="1:34" ht="12" hidden="1" customHeight="1">
      <c r="A880" s="187">
        <v>41220</v>
      </c>
      <c r="B880" s="188" t="s">
        <v>471</v>
      </c>
      <c r="C880" s="188" t="s">
        <v>460</v>
      </c>
      <c r="D880" s="188"/>
      <c r="E880" s="188" t="str">
        <f t="shared" si="682"/>
        <v>BHEL</v>
      </c>
      <c r="F880" s="188"/>
      <c r="G880" s="188"/>
      <c r="H880" s="188"/>
      <c r="I880" s="188" t="s">
        <v>668</v>
      </c>
      <c r="J880" s="188" t="s">
        <v>462</v>
      </c>
      <c r="K880" s="188"/>
      <c r="L880" s="188"/>
      <c r="M880" s="189">
        <v>72</v>
      </c>
      <c r="N880" s="190">
        <v>235.9333</v>
      </c>
      <c r="O880" s="191">
        <v>235.5</v>
      </c>
      <c r="P880" s="192">
        <f t="shared" si="683"/>
        <v>3.6</v>
      </c>
      <c r="Q880" s="192">
        <f t="shared" si="684"/>
        <v>3.6</v>
      </c>
      <c r="R880" s="193">
        <f t="shared" si="685"/>
        <v>33943.199999999997</v>
      </c>
      <c r="S880" s="193">
        <f t="shared" si="686"/>
        <v>-31.197600000000193</v>
      </c>
      <c r="T880" s="193">
        <f t="shared" si="687"/>
        <v>7.2</v>
      </c>
      <c r="U880" s="193">
        <f t="shared" si="698"/>
        <v>0.89</v>
      </c>
      <c r="V880" s="193">
        <f t="shared" si="689"/>
        <v>4.24</v>
      </c>
      <c r="W880" s="193">
        <f t="shared" si="699"/>
        <v>3.39</v>
      </c>
      <c r="X880" s="193">
        <f t="shared" si="697"/>
        <v>1.24</v>
      </c>
      <c r="Y880" s="193">
        <v>0</v>
      </c>
      <c r="Z880" s="193">
        <f t="shared" si="692"/>
        <v>16.96</v>
      </c>
      <c r="AA880" s="194">
        <f t="shared" si="693"/>
        <v>-48.16</v>
      </c>
      <c r="AB880" s="195">
        <f>-59.25-0.57</f>
        <v>-59.82</v>
      </c>
      <c r="AC880" s="196">
        <f t="shared" si="694"/>
        <v>-11.660000000000004</v>
      </c>
      <c r="AD880" s="197">
        <f t="shared" si="695"/>
        <v>-1.8365360040316593E-3</v>
      </c>
      <c r="AE880" s="198">
        <f t="shared" si="696"/>
        <v>5.0000000000000001E-4</v>
      </c>
      <c r="AF880" s="193"/>
      <c r="AG880" s="199" t="s">
        <v>463</v>
      </c>
      <c r="AH880" s="124"/>
    </row>
    <row r="881" spans="1:34" ht="12" hidden="1" customHeight="1">
      <c r="A881" s="187">
        <v>41220</v>
      </c>
      <c r="B881" s="188" t="s">
        <v>480</v>
      </c>
      <c r="C881" s="188" t="s">
        <v>460</v>
      </c>
      <c r="D881" s="188"/>
      <c r="E881" s="188" t="str">
        <f t="shared" si="682"/>
        <v>ADANIENT</v>
      </c>
      <c r="F881" s="188"/>
      <c r="G881" s="188"/>
      <c r="H881" s="188"/>
      <c r="I881" s="188" t="s">
        <v>668</v>
      </c>
      <c r="J881" s="188" t="s">
        <v>462</v>
      </c>
      <c r="K881" s="188"/>
      <c r="L881" s="188"/>
      <c r="M881" s="189">
        <v>20</v>
      </c>
      <c r="N881" s="190">
        <v>230.5</v>
      </c>
      <c r="O881" s="191">
        <v>231.85</v>
      </c>
      <c r="P881" s="192">
        <f t="shared" si="683"/>
        <v>1</v>
      </c>
      <c r="Q881" s="192">
        <f t="shared" si="684"/>
        <v>1</v>
      </c>
      <c r="R881" s="193">
        <f t="shared" si="685"/>
        <v>9247</v>
      </c>
      <c r="S881" s="193">
        <f t="shared" si="686"/>
        <v>26.999999999999886</v>
      </c>
      <c r="T881" s="193">
        <f t="shared" si="687"/>
        <v>2</v>
      </c>
      <c r="U881" s="193">
        <f t="shared" si="698"/>
        <v>0.25</v>
      </c>
      <c r="V881" s="193">
        <f t="shared" si="689"/>
        <v>1.1599999999999999</v>
      </c>
      <c r="W881" s="193">
        <f t="shared" si="699"/>
        <v>0.92</v>
      </c>
      <c r="X881" s="193">
        <f t="shared" si="697"/>
        <v>0.34</v>
      </c>
      <c r="Y881" s="193">
        <v>0</v>
      </c>
      <c r="Z881" s="193">
        <f t="shared" si="692"/>
        <v>4.67</v>
      </c>
      <c r="AA881" s="194">
        <f t="shared" si="693"/>
        <v>22.33</v>
      </c>
      <c r="AB881" s="195">
        <v>19.190000000000001</v>
      </c>
      <c r="AC881" s="196">
        <f t="shared" si="694"/>
        <v>-3.139999999999997</v>
      </c>
      <c r="AD881" s="197">
        <f t="shared" si="695"/>
        <v>5.8568329718004094E-3</v>
      </c>
      <c r="AE881" s="198">
        <f t="shared" si="696"/>
        <v>5.0500000000000002E-4</v>
      </c>
      <c r="AF881" s="193"/>
      <c r="AG881" s="199" t="s">
        <v>463</v>
      </c>
      <c r="AH881" s="124"/>
    </row>
    <row r="882" spans="1:34" ht="12" hidden="1" customHeight="1">
      <c r="A882" s="187">
        <v>41220</v>
      </c>
      <c r="B882" s="188" t="s">
        <v>508</v>
      </c>
      <c r="C882" s="188" t="s">
        <v>460</v>
      </c>
      <c r="D882" s="188"/>
      <c r="E882" s="188" t="str">
        <f t="shared" si="682"/>
        <v>BIOCON</v>
      </c>
      <c r="F882" s="188"/>
      <c r="G882" s="188"/>
      <c r="H882" s="188"/>
      <c r="I882" s="188" t="s">
        <v>668</v>
      </c>
      <c r="J882" s="188" t="s">
        <v>462</v>
      </c>
      <c r="K882" s="188"/>
      <c r="L882" s="188"/>
      <c r="M882" s="189">
        <v>20</v>
      </c>
      <c r="N882" s="190">
        <v>289</v>
      </c>
      <c r="O882" s="191">
        <v>290.8</v>
      </c>
      <c r="P882" s="192">
        <f t="shared" si="683"/>
        <v>1</v>
      </c>
      <c r="Q882" s="192">
        <f t="shared" si="684"/>
        <v>1</v>
      </c>
      <c r="R882" s="193">
        <f t="shared" si="685"/>
        <v>11596</v>
      </c>
      <c r="S882" s="193">
        <f t="shared" si="686"/>
        <v>36.000000000000227</v>
      </c>
      <c r="T882" s="193">
        <f t="shared" si="687"/>
        <v>2</v>
      </c>
      <c r="U882" s="193">
        <f t="shared" si="698"/>
        <v>0.25</v>
      </c>
      <c r="V882" s="193">
        <f t="shared" si="689"/>
        <v>1.45</v>
      </c>
      <c r="W882" s="193">
        <f t="shared" si="699"/>
        <v>1.1599999999999999</v>
      </c>
      <c r="X882" s="193">
        <f t="shared" si="697"/>
        <v>0.42</v>
      </c>
      <c r="Y882" s="193">
        <v>0</v>
      </c>
      <c r="Z882" s="193">
        <f t="shared" si="692"/>
        <v>5.28</v>
      </c>
      <c r="AA882" s="194">
        <f t="shared" si="693"/>
        <v>30.72</v>
      </c>
      <c r="AB882" s="195">
        <v>26.45</v>
      </c>
      <c r="AC882" s="196">
        <f t="shared" si="694"/>
        <v>-4.2699999999999996</v>
      </c>
      <c r="AD882" s="197">
        <f t="shared" si="695"/>
        <v>6.2283737024221844E-3</v>
      </c>
      <c r="AE882" s="198">
        <f t="shared" si="696"/>
        <v>4.55E-4</v>
      </c>
      <c r="AF882" s="193"/>
      <c r="AG882" s="199" t="s">
        <v>463</v>
      </c>
      <c r="AH882" s="124"/>
    </row>
    <row r="883" spans="1:34" ht="12" hidden="1" customHeight="1">
      <c r="A883" s="187">
        <v>41222</v>
      </c>
      <c r="B883" s="188" t="s">
        <v>478</v>
      </c>
      <c r="C883" s="188" t="s">
        <v>460</v>
      </c>
      <c r="D883" s="188"/>
      <c r="E883" s="188" t="str">
        <f t="shared" si="682"/>
        <v>DABUR</v>
      </c>
      <c r="F883" s="188"/>
      <c r="G883" s="188"/>
      <c r="H883" s="188"/>
      <c r="I883" s="188" t="s">
        <v>668</v>
      </c>
      <c r="J883" s="188" t="s">
        <v>462</v>
      </c>
      <c r="K883" s="188"/>
      <c r="L883" s="188"/>
      <c r="M883" s="189">
        <v>100</v>
      </c>
      <c r="N883" s="190">
        <v>126.925</v>
      </c>
      <c r="O883" s="191">
        <v>127.4</v>
      </c>
      <c r="P883" s="192">
        <f t="shared" si="683"/>
        <v>5</v>
      </c>
      <c r="Q883" s="192">
        <f t="shared" si="684"/>
        <v>5</v>
      </c>
      <c r="R883" s="193">
        <f t="shared" si="685"/>
        <v>25432.5</v>
      </c>
      <c r="S883" s="193">
        <f t="shared" si="686"/>
        <v>47.500000000000853</v>
      </c>
      <c r="T883" s="193">
        <f t="shared" si="687"/>
        <v>10</v>
      </c>
      <c r="U883" s="193">
        <f t="shared" si="698"/>
        <v>1.24</v>
      </c>
      <c r="V883" s="193">
        <f t="shared" si="689"/>
        <v>3.18</v>
      </c>
      <c r="W883" s="193">
        <f t="shared" si="699"/>
        <v>2.54</v>
      </c>
      <c r="X883" s="193">
        <f t="shared" si="697"/>
        <v>0.93</v>
      </c>
      <c r="Y883" s="193">
        <v>0</v>
      </c>
      <c r="Z883" s="193">
        <f t="shared" si="692"/>
        <v>17.89</v>
      </c>
      <c r="AA883" s="194">
        <f t="shared" si="693"/>
        <v>29.61</v>
      </c>
      <c r="AB883" s="195">
        <v>27.55</v>
      </c>
      <c r="AC883" s="196">
        <f t="shared" si="694"/>
        <v>-2.0599999999999987</v>
      </c>
      <c r="AD883" s="197">
        <f t="shared" si="695"/>
        <v>3.7423675398858265E-3</v>
      </c>
      <c r="AE883" s="198">
        <f t="shared" si="696"/>
        <v>7.0299999999999996E-4</v>
      </c>
      <c r="AF883" s="193"/>
      <c r="AG883" s="199" t="s">
        <v>463</v>
      </c>
      <c r="AH883" s="124"/>
    </row>
    <row r="884" spans="1:34" ht="12" hidden="1" customHeight="1">
      <c r="A884" s="187">
        <v>41225</v>
      </c>
      <c r="B884" s="188" t="s">
        <v>676</v>
      </c>
      <c r="C884" s="188" t="s">
        <v>460</v>
      </c>
      <c r="D884" s="188"/>
      <c r="E884" s="188" t="str">
        <f t="shared" si="682"/>
        <v>GVKPIL</v>
      </c>
      <c r="F884" s="188"/>
      <c r="G884" s="188"/>
      <c r="H884" s="188"/>
      <c r="I884" s="188" t="s">
        <v>668</v>
      </c>
      <c r="J884" s="188" t="s">
        <v>462</v>
      </c>
      <c r="K884" s="188"/>
      <c r="L884" s="188"/>
      <c r="M884" s="189">
        <v>500</v>
      </c>
      <c r="N884" s="190">
        <v>12.308</v>
      </c>
      <c r="O884" s="191">
        <v>12.32</v>
      </c>
      <c r="P884" s="192">
        <f t="shared" si="683"/>
        <v>25</v>
      </c>
      <c r="Q884" s="192">
        <f t="shared" si="684"/>
        <v>25</v>
      </c>
      <c r="R884" s="193">
        <f t="shared" si="685"/>
        <v>12314</v>
      </c>
      <c r="S884" s="193">
        <f t="shared" si="686"/>
        <v>6.0000000000002274</v>
      </c>
      <c r="T884" s="193">
        <f t="shared" si="687"/>
        <v>50</v>
      </c>
      <c r="U884" s="193">
        <f t="shared" si="698"/>
        <v>6.18</v>
      </c>
      <c r="V884" s="193">
        <f t="shared" si="689"/>
        <v>1.54</v>
      </c>
      <c r="W884" s="193">
        <f t="shared" si="699"/>
        <v>1.23</v>
      </c>
      <c r="X884" s="193">
        <f t="shared" si="697"/>
        <v>0.45</v>
      </c>
      <c r="Y884" s="193">
        <v>0</v>
      </c>
      <c r="Z884" s="193">
        <f t="shared" si="692"/>
        <v>59.4</v>
      </c>
      <c r="AA884" s="194">
        <f t="shared" si="693"/>
        <v>-53.4</v>
      </c>
      <c r="AB884" s="195">
        <v>-53.86</v>
      </c>
      <c r="AC884" s="196">
        <f t="shared" si="694"/>
        <v>-0.46000000000000085</v>
      </c>
      <c r="AD884" s="197">
        <f t="shared" si="695"/>
        <v>9.7497562560939675E-4</v>
      </c>
      <c r="AE884" s="198">
        <f t="shared" si="696"/>
        <v>4.8240000000000002E-3</v>
      </c>
      <c r="AF884" s="193"/>
      <c r="AG884" s="199" t="s">
        <v>463</v>
      </c>
      <c r="AH884" s="124"/>
    </row>
    <row r="885" spans="1:34" ht="12" hidden="1" customHeight="1">
      <c r="A885" s="187">
        <v>41229</v>
      </c>
      <c r="B885" s="188" t="s">
        <v>542</v>
      </c>
      <c r="C885" s="188" t="s">
        <v>460</v>
      </c>
      <c r="D885" s="188"/>
      <c r="E885" s="188" t="str">
        <f t="shared" si="682"/>
        <v>JPASSOCIAT</v>
      </c>
      <c r="F885" s="188"/>
      <c r="G885" s="188"/>
      <c r="H885" s="188"/>
      <c r="I885" s="188" t="s">
        <v>668</v>
      </c>
      <c r="J885" s="188" t="s">
        <v>462</v>
      </c>
      <c r="K885" s="188"/>
      <c r="L885" s="188"/>
      <c r="M885" s="189">
        <v>70</v>
      </c>
      <c r="N885" s="190">
        <v>92.15</v>
      </c>
      <c r="O885" s="191">
        <v>91.25</v>
      </c>
      <c r="P885" s="192">
        <f t="shared" si="683"/>
        <v>3.5</v>
      </c>
      <c r="Q885" s="192">
        <f t="shared" si="684"/>
        <v>3.5</v>
      </c>
      <c r="R885" s="193">
        <f t="shared" si="685"/>
        <v>12838</v>
      </c>
      <c r="S885" s="193">
        <f t="shared" si="686"/>
        <v>-63.000000000000398</v>
      </c>
      <c r="T885" s="193">
        <f t="shared" si="687"/>
        <v>7</v>
      </c>
      <c r="U885" s="193">
        <f t="shared" si="698"/>
        <v>0.87</v>
      </c>
      <c r="V885" s="193">
        <f t="shared" si="689"/>
        <v>1.6</v>
      </c>
      <c r="W885" s="193">
        <f t="shared" si="699"/>
        <v>1.28</v>
      </c>
      <c r="X885" s="193">
        <f t="shared" si="697"/>
        <v>0.47</v>
      </c>
      <c r="Y885" s="193">
        <v>0</v>
      </c>
      <c r="Z885" s="193">
        <f t="shared" si="692"/>
        <v>11.22</v>
      </c>
      <c r="AA885" s="194">
        <f t="shared" si="693"/>
        <v>-74.22</v>
      </c>
      <c r="AB885" s="195">
        <v>-74.05</v>
      </c>
      <c r="AC885" s="196">
        <f t="shared" si="694"/>
        <v>0.17000000000000171</v>
      </c>
      <c r="AD885" s="197">
        <f t="shared" si="695"/>
        <v>-9.7666847531199738E-3</v>
      </c>
      <c r="AE885" s="198">
        <f t="shared" si="696"/>
        <v>8.7399999999999999E-4</v>
      </c>
      <c r="AF885" s="193"/>
      <c r="AG885" s="199" t="s">
        <v>463</v>
      </c>
      <c r="AH885" s="124"/>
    </row>
    <row r="886" spans="1:34" ht="12" hidden="1" customHeight="1">
      <c r="A886" s="187">
        <v>41229</v>
      </c>
      <c r="B886" s="188" t="s">
        <v>477</v>
      </c>
      <c r="C886" s="188" t="s">
        <v>460</v>
      </c>
      <c r="D886" s="188"/>
      <c r="E886" s="188" t="str">
        <f t="shared" si="682"/>
        <v>CROMPTON</v>
      </c>
      <c r="F886" s="188"/>
      <c r="G886" s="188"/>
      <c r="H886" s="188"/>
      <c r="I886" s="188" t="s">
        <v>668</v>
      </c>
      <c r="J886" s="188" t="s">
        <v>462</v>
      </c>
      <c r="K886" s="188"/>
      <c r="L886" s="188"/>
      <c r="M886" s="189">
        <v>25</v>
      </c>
      <c r="N886" s="190">
        <v>110.5</v>
      </c>
      <c r="O886" s="191">
        <v>112.75</v>
      </c>
      <c r="P886" s="192">
        <f t="shared" si="683"/>
        <v>1.25</v>
      </c>
      <c r="Q886" s="192">
        <f t="shared" si="684"/>
        <v>1.25</v>
      </c>
      <c r="R886" s="193">
        <f t="shared" si="685"/>
        <v>5581.25</v>
      </c>
      <c r="S886" s="193">
        <f t="shared" si="686"/>
        <v>56.25</v>
      </c>
      <c r="T886" s="193">
        <f t="shared" si="687"/>
        <v>2.5</v>
      </c>
      <c r="U886" s="193">
        <f t="shared" si="698"/>
        <v>0.31</v>
      </c>
      <c r="V886" s="193">
        <f t="shared" si="689"/>
        <v>0.7</v>
      </c>
      <c r="W886" s="193">
        <f t="shared" si="699"/>
        <v>0.56000000000000005</v>
      </c>
      <c r="X886" s="193">
        <f t="shared" si="697"/>
        <v>0.2</v>
      </c>
      <c r="Y886" s="193">
        <v>0</v>
      </c>
      <c r="Z886" s="193">
        <f t="shared" si="692"/>
        <v>4.2700000000000005</v>
      </c>
      <c r="AA886" s="194">
        <f t="shared" si="693"/>
        <v>51.98</v>
      </c>
      <c r="AB886" s="195">
        <v>51.55</v>
      </c>
      <c r="AC886" s="196">
        <f t="shared" si="694"/>
        <v>-0.42999999999999972</v>
      </c>
      <c r="AD886" s="197">
        <f t="shared" si="695"/>
        <v>2.0361990950226245E-2</v>
      </c>
      <c r="AE886" s="198">
        <f t="shared" si="696"/>
        <v>7.6499999999999995E-4</v>
      </c>
      <c r="AF886" s="193"/>
      <c r="AG886" s="199" t="s">
        <v>463</v>
      </c>
      <c r="AH886" s="124"/>
    </row>
    <row r="887" spans="1:34" ht="12" hidden="1" customHeight="1">
      <c r="A887" s="187">
        <v>41234</v>
      </c>
      <c r="B887" s="188" t="s">
        <v>677</v>
      </c>
      <c r="C887" s="188" t="s">
        <v>460</v>
      </c>
      <c r="D887" s="188"/>
      <c r="E887" s="188" t="str">
        <f t="shared" si="682"/>
        <v>AXISBANK</v>
      </c>
      <c r="F887" s="188"/>
      <c r="G887" s="188"/>
      <c r="H887" s="188"/>
      <c r="I887" s="188" t="s">
        <v>668</v>
      </c>
      <c r="J887" s="188" t="s">
        <v>462</v>
      </c>
      <c r="K887" s="188"/>
      <c r="L887" s="188"/>
      <c r="M887" s="189">
        <v>5</v>
      </c>
      <c r="N887" s="190">
        <v>1232.8499999999999</v>
      </c>
      <c r="O887" s="191">
        <v>1232</v>
      </c>
      <c r="P887" s="192">
        <f t="shared" si="683"/>
        <v>0.25</v>
      </c>
      <c r="Q887" s="192">
        <f t="shared" si="684"/>
        <v>0.25</v>
      </c>
      <c r="R887" s="193">
        <f t="shared" si="685"/>
        <v>12324.25</v>
      </c>
      <c r="S887" s="193">
        <f t="shared" si="686"/>
        <v>-4.2499999999995453</v>
      </c>
      <c r="T887" s="193">
        <f t="shared" si="687"/>
        <v>0.5</v>
      </c>
      <c r="U887" s="193">
        <f t="shared" si="698"/>
        <v>0.06</v>
      </c>
      <c r="V887" s="193">
        <f t="shared" si="689"/>
        <v>1.54</v>
      </c>
      <c r="W887" s="193">
        <f t="shared" si="699"/>
        <v>1.23</v>
      </c>
      <c r="X887" s="193">
        <f t="shared" si="697"/>
        <v>0.45</v>
      </c>
      <c r="Y887" s="193">
        <v>0</v>
      </c>
      <c r="Z887" s="193">
        <f t="shared" si="692"/>
        <v>3.7800000000000002</v>
      </c>
      <c r="AA887" s="194">
        <f t="shared" si="693"/>
        <v>-8.0299999999999994</v>
      </c>
      <c r="AB887" s="195">
        <v>-14.89</v>
      </c>
      <c r="AC887" s="196">
        <f t="shared" si="694"/>
        <v>-6.8600000000000012</v>
      </c>
      <c r="AD887" s="197">
        <f t="shared" si="695"/>
        <v>-6.8945938273099654E-4</v>
      </c>
      <c r="AE887" s="198">
        <f t="shared" si="696"/>
        <v>3.0699999999999998E-4</v>
      </c>
      <c r="AF887" s="193"/>
      <c r="AG887" s="199" t="s">
        <v>463</v>
      </c>
      <c r="AH887" s="124"/>
    </row>
    <row r="888" spans="1:34" ht="12" hidden="1" customHeight="1">
      <c r="A888" s="187">
        <v>41235</v>
      </c>
      <c r="B888" s="188" t="s">
        <v>677</v>
      </c>
      <c r="C888" s="188" t="s">
        <v>460</v>
      </c>
      <c r="D888" s="188"/>
      <c r="E888" s="188" t="str">
        <f t="shared" si="682"/>
        <v>AXISBANK</v>
      </c>
      <c r="F888" s="188"/>
      <c r="G888" s="188"/>
      <c r="H888" s="188"/>
      <c r="I888" s="188" t="s">
        <v>668</v>
      </c>
      <c r="J888" s="188" t="s">
        <v>462</v>
      </c>
      <c r="K888" s="188"/>
      <c r="L888" s="188"/>
      <c r="M888" s="189">
        <v>5</v>
      </c>
      <c r="N888" s="190">
        <v>1264.2</v>
      </c>
      <c r="O888" s="191">
        <v>1255.7</v>
      </c>
      <c r="P888" s="192">
        <f t="shared" si="683"/>
        <v>0.25</v>
      </c>
      <c r="Q888" s="192">
        <f t="shared" si="684"/>
        <v>0.25</v>
      </c>
      <c r="R888" s="193">
        <f t="shared" si="685"/>
        <v>12599.5</v>
      </c>
      <c r="S888" s="193">
        <f t="shared" si="686"/>
        <v>-42.5</v>
      </c>
      <c r="T888" s="193">
        <f t="shared" si="687"/>
        <v>0.5</v>
      </c>
      <c r="U888" s="193">
        <f t="shared" si="698"/>
        <v>0.06</v>
      </c>
      <c r="V888" s="193">
        <f t="shared" si="689"/>
        <v>1.57</v>
      </c>
      <c r="W888" s="193">
        <f t="shared" si="699"/>
        <v>1.26</v>
      </c>
      <c r="X888" s="193">
        <f t="shared" si="697"/>
        <v>0.46</v>
      </c>
      <c r="Y888" s="193">
        <v>0</v>
      </c>
      <c r="Z888" s="193">
        <f t="shared" si="692"/>
        <v>3.8499999999999996</v>
      </c>
      <c r="AA888" s="194">
        <f t="shared" si="693"/>
        <v>-46.35</v>
      </c>
      <c r="AB888" s="195">
        <v>-53.3</v>
      </c>
      <c r="AC888" s="196">
        <f t="shared" si="694"/>
        <v>-6.9499999999999957</v>
      </c>
      <c r="AD888" s="197">
        <f t="shared" si="695"/>
        <v>-6.7236196804303112E-3</v>
      </c>
      <c r="AE888" s="198">
        <f t="shared" si="696"/>
        <v>3.0600000000000001E-4</v>
      </c>
      <c r="AF888" s="193"/>
      <c r="AG888" s="199" t="s">
        <v>463</v>
      </c>
      <c r="AH888" s="124"/>
    </row>
    <row r="889" spans="1:34" ht="12" hidden="1" customHeight="1">
      <c r="A889" s="187">
        <v>43112</v>
      </c>
      <c r="B889" s="188" t="s">
        <v>482</v>
      </c>
      <c r="C889" s="188" t="s">
        <v>460</v>
      </c>
      <c r="D889" s="188"/>
      <c r="E889" s="188" t="str">
        <f t="shared" si="682"/>
        <v>CGPOWER</v>
      </c>
      <c r="F889" s="188"/>
      <c r="G889" s="188"/>
      <c r="H889" s="188"/>
      <c r="I889" s="188" t="s">
        <v>668</v>
      </c>
      <c r="J889" s="188" t="s">
        <v>483</v>
      </c>
      <c r="K889" s="188"/>
      <c r="L889" s="188"/>
      <c r="M889" s="189">
        <v>50</v>
      </c>
      <c r="N889" s="190">
        <v>97</v>
      </c>
      <c r="O889" s="191">
        <v>98.25</v>
      </c>
      <c r="P889" s="192">
        <f t="shared" ref="P889:P892" si="700">IF(N889*C$1814&lt;0.05,0.05,ROUND(N889*C$1814,2))*M889</f>
        <v>3.5000000000000004</v>
      </c>
      <c r="Q889" s="192">
        <f t="shared" ref="Q889:Q892" si="701">IF(O889*C$1814&lt;0.05,0.05,ROUND(O889*C$1814,2))*M889</f>
        <v>3.5000000000000004</v>
      </c>
      <c r="R889" s="193">
        <f t="shared" si="685"/>
        <v>9762.5</v>
      </c>
      <c r="S889" s="193">
        <f t="shared" si="686"/>
        <v>62.5</v>
      </c>
      <c r="T889" s="193">
        <f t="shared" si="687"/>
        <v>7</v>
      </c>
      <c r="U889" s="193">
        <f t="shared" ref="U889:U892" si="702">ROUND(T889*H$1816,2)</f>
        <v>1.26</v>
      </c>
      <c r="V889" s="193">
        <f t="shared" si="689"/>
        <v>1.22</v>
      </c>
      <c r="W889" s="193">
        <f t="shared" ref="W889:W892" si="703">MROUND(R889*F$1824,0.05)</f>
        <v>0.2</v>
      </c>
      <c r="X889" s="193">
        <f t="shared" ref="X889:X892" si="704">ROUND(R889*F$1820,2)</f>
        <v>0.32</v>
      </c>
      <c r="Y889" s="193">
        <v>0</v>
      </c>
      <c r="Z889" s="193">
        <f t="shared" si="692"/>
        <v>10</v>
      </c>
      <c r="AA889" s="194">
        <f t="shared" si="693"/>
        <v>52.5</v>
      </c>
      <c r="AB889" s="195">
        <v>51.86</v>
      </c>
      <c r="AC889" s="196">
        <f t="shared" si="694"/>
        <v>-0.64000000000000057</v>
      </c>
      <c r="AD889" s="197">
        <f t="shared" si="695"/>
        <v>1.2886597938144329E-2</v>
      </c>
      <c r="AE889" s="198">
        <f t="shared" si="696"/>
        <v>1.024E-3</v>
      </c>
      <c r="AF889" s="193"/>
      <c r="AG889" s="199" t="s">
        <v>463</v>
      </c>
      <c r="AH889" s="124"/>
    </row>
    <row r="890" spans="1:34" ht="12" hidden="1" customHeight="1">
      <c r="A890" s="187">
        <v>43118</v>
      </c>
      <c r="B890" s="188" t="s">
        <v>477</v>
      </c>
      <c r="C890" s="188" t="s">
        <v>460</v>
      </c>
      <c r="D890" s="188"/>
      <c r="E890" s="188" t="str">
        <f t="shared" si="682"/>
        <v>CROMPTON</v>
      </c>
      <c r="F890" s="188"/>
      <c r="G890" s="188"/>
      <c r="H890" s="188"/>
      <c r="I890" s="188" t="s">
        <v>668</v>
      </c>
      <c r="J890" s="188" t="s">
        <v>483</v>
      </c>
      <c r="K890" s="188"/>
      <c r="L890" s="188"/>
      <c r="M890" s="189">
        <v>50</v>
      </c>
      <c r="N890" s="190">
        <v>266</v>
      </c>
      <c r="O890" s="191">
        <v>265.66750000000002</v>
      </c>
      <c r="P890" s="192">
        <f t="shared" si="700"/>
        <v>10</v>
      </c>
      <c r="Q890" s="192">
        <f t="shared" si="701"/>
        <v>10</v>
      </c>
      <c r="R890" s="193">
        <f t="shared" si="685"/>
        <v>26583.38</v>
      </c>
      <c r="S890" s="193">
        <f t="shared" si="686"/>
        <v>-16.624999999999091</v>
      </c>
      <c r="T890" s="193">
        <f t="shared" si="687"/>
        <v>20</v>
      </c>
      <c r="U890" s="193">
        <f t="shared" si="702"/>
        <v>3.6</v>
      </c>
      <c r="V890" s="193">
        <f t="shared" si="689"/>
        <v>3.32</v>
      </c>
      <c r="W890" s="193">
        <f t="shared" si="703"/>
        <v>0.55000000000000004</v>
      </c>
      <c r="X890" s="193">
        <f t="shared" si="704"/>
        <v>0.86</v>
      </c>
      <c r="Y890" s="193">
        <v>0</v>
      </c>
      <c r="Z890" s="193">
        <f t="shared" si="692"/>
        <v>28.330000000000002</v>
      </c>
      <c r="AA890" s="194">
        <f t="shared" si="693"/>
        <v>-44.95</v>
      </c>
      <c r="AB890" s="195">
        <v>-45</v>
      </c>
      <c r="AC890" s="196">
        <f t="shared" si="694"/>
        <v>-4.9999999999997158E-2</v>
      </c>
      <c r="AD890" s="197">
        <f t="shared" si="695"/>
        <v>-1.2499999999999317E-3</v>
      </c>
      <c r="AE890" s="198">
        <f t="shared" si="696"/>
        <v>1.0660000000000001E-3</v>
      </c>
      <c r="AF890" s="193"/>
      <c r="AG890" s="199" t="s">
        <v>463</v>
      </c>
      <c r="AH890" s="124"/>
    </row>
    <row r="891" spans="1:34" ht="12" hidden="1" customHeight="1">
      <c r="A891" s="187">
        <v>43118</v>
      </c>
      <c r="B891" s="188" t="s">
        <v>477</v>
      </c>
      <c r="C891" s="188" t="s">
        <v>460</v>
      </c>
      <c r="D891" s="188"/>
      <c r="E891" s="188" t="str">
        <f t="shared" si="682"/>
        <v>CROMPTON</v>
      </c>
      <c r="F891" s="188"/>
      <c r="G891" s="188"/>
      <c r="H891" s="188"/>
      <c r="I891" s="188" t="s">
        <v>668</v>
      </c>
      <c r="J891" s="188" t="s">
        <v>483</v>
      </c>
      <c r="K891" s="188"/>
      <c r="L891" s="188"/>
      <c r="M891" s="189">
        <v>50</v>
      </c>
      <c r="N891" s="190">
        <v>262</v>
      </c>
      <c r="O891" s="191">
        <v>265.66750000000002</v>
      </c>
      <c r="P891" s="192">
        <f t="shared" si="700"/>
        <v>10</v>
      </c>
      <c r="Q891" s="192">
        <f t="shared" si="701"/>
        <v>10</v>
      </c>
      <c r="R891" s="193">
        <f t="shared" si="685"/>
        <v>26383.38</v>
      </c>
      <c r="S891" s="193">
        <f t="shared" si="686"/>
        <v>183.37500000000091</v>
      </c>
      <c r="T891" s="193">
        <f t="shared" si="687"/>
        <v>20</v>
      </c>
      <c r="U891" s="193">
        <f t="shared" si="702"/>
        <v>3.6</v>
      </c>
      <c r="V891" s="193">
        <f t="shared" si="689"/>
        <v>3.3</v>
      </c>
      <c r="W891" s="193">
        <f t="shared" si="703"/>
        <v>0.55000000000000004</v>
      </c>
      <c r="X891" s="193">
        <f t="shared" si="704"/>
        <v>0.86</v>
      </c>
      <c r="Y891" s="193">
        <v>0</v>
      </c>
      <c r="Z891" s="193">
        <f t="shared" si="692"/>
        <v>28.310000000000002</v>
      </c>
      <c r="AA891" s="194">
        <f t="shared" si="693"/>
        <v>155.07</v>
      </c>
      <c r="AB891" s="195">
        <f>155-1.48</f>
        <v>153.52000000000001</v>
      </c>
      <c r="AC891" s="196">
        <f t="shared" si="694"/>
        <v>-1.5499999999999829</v>
      </c>
      <c r="AD891" s="197">
        <f t="shared" si="695"/>
        <v>1.3998091603053505E-2</v>
      </c>
      <c r="AE891" s="198">
        <f t="shared" si="696"/>
        <v>1.073E-3</v>
      </c>
      <c r="AF891" s="193"/>
      <c r="AG891" s="199" t="s">
        <v>463</v>
      </c>
      <c r="AH891" s="124"/>
    </row>
    <row r="892" spans="1:34" ht="12" hidden="1" customHeight="1">
      <c r="A892" s="187">
        <v>43143</v>
      </c>
      <c r="B892" s="188" t="s">
        <v>469</v>
      </c>
      <c r="C892" s="188" t="s">
        <v>460</v>
      </c>
      <c r="D892" s="188"/>
      <c r="E892" s="188" t="str">
        <f t="shared" si="682"/>
        <v>ROLTA</v>
      </c>
      <c r="F892" s="188"/>
      <c r="G892" s="188"/>
      <c r="H892" s="188"/>
      <c r="I892" s="188" t="s">
        <v>668</v>
      </c>
      <c r="J892" s="188" t="s">
        <v>483</v>
      </c>
      <c r="K892" s="188"/>
      <c r="L892" s="188"/>
      <c r="M892" s="189">
        <v>100</v>
      </c>
      <c r="N892" s="190">
        <v>77.525000000000006</v>
      </c>
      <c r="O892" s="191">
        <v>78</v>
      </c>
      <c r="P892" s="192">
        <f t="shared" si="700"/>
        <v>6</v>
      </c>
      <c r="Q892" s="192">
        <f t="shared" si="701"/>
        <v>6</v>
      </c>
      <c r="R892" s="193">
        <f t="shared" si="685"/>
        <v>15552.5</v>
      </c>
      <c r="S892" s="193">
        <f t="shared" si="686"/>
        <v>47.499999999999432</v>
      </c>
      <c r="T892" s="193">
        <f t="shared" si="687"/>
        <v>12</v>
      </c>
      <c r="U892" s="193">
        <f t="shared" si="702"/>
        <v>2.16</v>
      </c>
      <c r="V892" s="193">
        <f t="shared" si="689"/>
        <v>1.94</v>
      </c>
      <c r="W892" s="193">
        <f t="shared" si="703"/>
        <v>0.30000000000000004</v>
      </c>
      <c r="X892" s="193">
        <f t="shared" si="704"/>
        <v>0.51</v>
      </c>
      <c r="Y892" s="193">
        <v>0</v>
      </c>
      <c r="Z892" s="193">
        <f t="shared" si="692"/>
        <v>16.910000000000004</v>
      </c>
      <c r="AA892" s="194">
        <f t="shared" si="693"/>
        <v>30.59</v>
      </c>
      <c r="AB892" s="195">
        <v>29.74</v>
      </c>
      <c r="AC892" s="196">
        <f t="shared" si="694"/>
        <v>-0.85000000000000142</v>
      </c>
      <c r="AD892" s="197">
        <f t="shared" si="695"/>
        <v>6.1270557884552631E-3</v>
      </c>
      <c r="AE892" s="198">
        <f t="shared" si="696"/>
        <v>1.0870000000000001E-3</v>
      </c>
      <c r="AF892" s="193"/>
      <c r="AG892" s="199" t="s">
        <v>463</v>
      </c>
      <c r="AH892" s="124"/>
    </row>
    <row r="893" spans="1:34" ht="12" hidden="1" customHeight="1">
      <c r="A893" s="187">
        <v>44229</v>
      </c>
      <c r="B893" s="188" t="s">
        <v>487</v>
      </c>
      <c r="C893" s="188" t="s">
        <v>485</v>
      </c>
      <c r="D893" s="188"/>
      <c r="E893" s="188" t="str">
        <f t="shared" si="682"/>
        <v>RELIANCE PP</v>
      </c>
      <c r="F893" s="188"/>
      <c r="G893" s="188"/>
      <c r="H893" s="188"/>
      <c r="I893" s="188" t="s">
        <v>668</v>
      </c>
      <c r="J893" s="188" t="s">
        <v>483</v>
      </c>
      <c r="K893" s="188"/>
      <c r="L893" s="188"/>
      <c r="M893" s="189">
        <v>9</v>
      </c>
      <c r="N893" s="190">
        <v>980.55</v>
      </c>
      <c r="O893" s="191">
        <v>982.52499999999998</v>
      </c>
      <c r="P893" s="192">
        <f t="shared" ref="P893:P1107" si="705">IF(N893*M893*G$1814&lt;20,ROUND(N893*M893*G$1814,2),20)</f>
        <v>2.65</v>
      </c>
      <c r="Q893" s="192">
        <f t="shared" ref="Q893:Q1107" si="706">IF(O893*M893*G$1814&lt;20,ROUND(O893*M893*G$1814,2),20)</f>
        <v>2.65</v>
      </c>
      <c r="R893" s="193">
        <f t="shared" si="685"/>
        <v>17667.68</v>
      </c>
      <c r="S893" s="193">
        <f t="shared" si="686"/>
        <v>17.775000000000205</v>
      </c>
      <c r="T893" s="193">
        <f t="shared" si="687"/>
        <v>5.3</v>
      </c>
      <c r="U893" s="193">
        <f t="shared" ref="U893:U1427" si="707">ROUND((T893+X893)*H$1816,2)</f>
        <v>1.06</v>
      </c>
      <c r="V893" s="193">
        <f t="shared" ref="V893:V970" si="708">ROUND((O893*M893)*F$1818,0)</f>
        <v>2</v>
      </c>
      <c r="W893" s="193">
        <f t="shared" ref="W893:W894" si="709">ROUND((N893*M893)*F$1823,0)</f>
        <v>1</v>
      </c>
      <c r="X893" s="193">
        <f>ROUND(R893*H$1820,2)</f>
        <v>0.61</v>
      </c>
      <c r="Y893" s="193">
        <v>0</v>
      </c>
      <c r="Z893" s="193">
        <f t="shared" si="692"/>
        <v>9.9699999999999989</v>
      </c>
      <c r="AA893" s="194">
        <f t="shared" si="693"/>
        <v>7.81</v>
      </c>
      <c r="AB893" s="195">
        <f>8+0.15</f>
        <v>8.15</v>
      </c>
      <c r="AC893" s="196">
        <f t="shared" si="694"/>
        <v>0.34000000000000075</v>
      </c>
      <c r="AD893" s="197">
        <f t="shared" si="695"/>
        <v>2.0141757177094721E-3</v>
      </c>
      <c r="AE893" s="198">
        <f t="shared" si="696"/>
        <v>5.6400000000000005E-4</v>
      </c>
      <c r="AF893" s="193"/>
      <c r="AG893" s="199" t="s">
        <v>463</v>
      </c>
      <c r="AH893" s="124"/>
    </row>
    <row r="894" spans="1:34" ht="12" hidden="1" customHeight="1">
      <c r="A894" s="187">
        <v>44229</v>
      </c>
      <c r="B894" s="188" t="s">
        <v>487</v>
      </c>
      <c r="C894" s="188" t="s">
        <v>485</v>
      </c>
      <c r="D894" s="188"/>
      <c r="E894" s="188" t="str">
        <f t="shared" si="682"/>
        <v>RELIANCE PP</v>
      </c>
      <c r="F894" s="188"/>
      <c r="G894" s="188"/>
      <c r="H894" s="188"/>
      <c r="I894" s="188" t="s">
        <v>668</v>
      </c>
      <c r="J894" s="188" t="s">
        <v>462</v>
      </c>
      <c r="K894" s="188"/>
      <c r="L894" s="188"/>
      <c r="M894" s="189">
        <v>9</v>
      </c>
      <c r="N894" s="190">
        <v>983.1</v>
      </c>
      <c r="O894" s="191">
        <v>994.45</v>
      </c>
      <c r="P894" s="192">
        <f t="shared" si="705"/>
        <v>2.65</v>
      </c>
      <c r="Q894" s="192">
        <f t="shared" si="706"/>
        <v>2.69</v>
      </c>
      <c r="R894" s="193">
        <f t="shared" si="685"/>
        <v>17797.95</v>
      </c>
      <c r="S894" s="193">
        <f t="shared" si="686"/>
        <v>102.1500000000002</v>
      </c>
      <c r="T894" s="193">
        <f t="shared" si="687"/>
        <v>5.34</v>
      </c>
      <c r="U894" s="193">
        <f t="shared" si="707"/>
        <v>1.06</v>
      </c>
      <c r="V894" s="193">
        <f t="shared" si="708"/>
        <v>2</v>
      </c>
      <c r="W894" s="193">
        <f t="shared" si="709"/>
        <v>1</v>
      </c>
      <c r="X894" s="193">
        <f>ROUND(R894*H$1821,2)</f>
        <v>0.53</v>
      </c>
      <c r="Y894" s="193">
        <v>0</v>
      </c>
      <c r="Z894" s="193">
        <f t="shared" si="692"/>
        <v>9.93</v>
      </c>
      <c r="AA894" s="194">
        <f t="shared" si="693"/>
        <v>92.22</v>
      </c>
      <c r="AB894" s="195">
        <v>92</v>
      </c>
      <c r="AC894" s="196">
        <f t="shared" si="694"/>
        <v>-0.21999999999999886</v>
      </c>
      <c r="AD894" s="197">
        <f t="shared" si="695"/>
        <v>1.1545112399552459E-2</v>
      </c>
      <c r="AE894" s="198">
        <f t="shared" si="696"/>
        <v>5.5800000000000001E-4</v>
      </c>
      <c r="AF894" s="193"/>
      <c r="AG894" s="199" t="s">
        <v>463</v>
      </c>
      <c r="AH894" s="124"/>
    </row>
    <row r="895" spans="1:34" ht="12" hidden="1" customHeight="1">
      <c r="A895" s="187">
        <v>44230</v>
      </c>
      <c r="B895" s="188" t="s">
        <v>678</v>
      </c>
      <c r="C895" s="188" t="s">
        <v>485</v>
      </c>
      <c r="D895" s="188"/>
      <c r="E895" s="188" t="str">
        <f t="shared" si="682"/>
        <v>INDUSINDBK</v>
      </c>
      <c r="F895" s="188"/>
      <c r="G895" s="188"/>
      <c r="H895" s="188"/>
      <c r="I895" s="188" t="s">
        <v>668</v>
      </c>
      <c r="J895" s="188" t="s">
        <v>483</v>
      </c>
      <c r="K895" s="188"/>
      <c r="L895" s="188"/>
      <c r="M895" s="189">
        <v>300</v>
      </c>
      <c r="N895" s="190">
        <v>1064.1666666666699</v>
      </c>
      <c r="O895" s="191">
        <v>1069.05</v>
      </c>
      <c r="P895" s="192">
        <f t="shared" si="705"/>
        <v>20</v>
      </c>
      <c r="Q895" s="192">
        <f t="shared" si="706"/>
        <v>20</v>
      </c>
      <c r="R895" s="193">
        <f t="shared" si="685"/>
        <v>639965</v>
      </c>
      <c r="S895" s="193">
        <f t="shared" si="686"/>
        <v>1464.9999999990087</v>
      </c>
      <c r="T895" s="193">
        <v>128.16</v>
      </c>
      <c r="U895" s="193">
        <f t="shared" si="707"/>
        <v>27.04</v>
      </c>
      <c r="V895" s="193">
        <f t="shared" si="708"/>
        <v>80</v>
      </c>
      <c r="W895" s="193">
        <f t="shared" ref="W895:W970" si="710">ROUND((N895*M895)*G$1824,0)</f>
        <v>10</v>
      </c>
      <c r="X895" s="193">
        <f t="shared" ref="X895:X897" si="711">ROUND(R895*H$1820,2)</f>
        <v>22.08</v>
      </c>
      <c r="Y895" s="193">
        <f t="shared" ref="Y895:Y906" si="712">ROUND(R895*K$1826,2)</f>
        <v>0</v>
      </c>
      <c r="Z895" s="193">
        <f t="shared" si="692"/>
        <v>267.27999999999997</v>
      </c>
      <c r="AA895" s="194">
        <f t="shared" si="693"/>
        <v>1197.72</v>
      </c>
      <c r="AB895" s="195">
        <f>1198-0.58</f>
        <v>1197.42</v>
      </c>
      <c r="AC895" s="196">
        <f t="shared" si="694"/>
        <v>-0.29999999999995453</v>
      </c>
      <c r="AD895" s="197">
        <f t="shared" si="695"/>
        <v>4.5888801879373662E-3</v>
      </c>
      <c r="AE895" s="198">
        <f t="shared" si="696"/>
        <v>4.1800000000000002E-4</v>
      </c>
      <c r="AF895" s="193"/>
      <c r="AG895" s="199" t="s">
        <v>416</v>
      </c>
      <c r="AH895" s="124"/>
    </row>
    <row r="896" spans="1:34" ht="12" hidden="1" customHeight="1">
      <c r="A896" s="187">
        <v>44230</v>
      </c>
      <c r="B896" s="188" t="s">
        <v>671</v>
      </c>
      <c r="C896" s="188" t="s">
        <v>485</v>
      </c>
      <c r="D896" s="188"/>
      <c r="E896" s="188" t="str">
        <f t="shared" si="682"/>
        <v>POWERGRID</v>
      </c>
      <c r="F896" s="188"/>
      <c r="G896" s="188"/>
      <c r="H896" s="188"/>
      <c r="I896" s="188" t="s">
        <v>668</v>
      </c>
      <c r="J896" s="188" t="s">
        <v>483</v>
      </c>
      <c r="K896" s="188"/>
      <c r="L896" s="188"/>
      <c r="M896" s="189">
        <v>500</v>
      </c>
      <c r="N896" s="190">
        <v>207.5</v>
      </c>
      <c r="O896" s="191">
        <v>207.75</v>
      </c>
      <c r="P896" s="192">
        <f t="shared" si="705"/>
        <v>20</v>
      </c>
      <c r="Q896" s="192">
        <f t="shared" si="706"/>
        <v>20</v>
      </c>
      <c r="R896" s="193">
        <f t="shared" si="685"/>
        <v>207625</v>
      </c>
      <c r="S896" s="193">
        <f t="shared" si="686"/>
        <v>125</v>
      </c>
      <c r="T896" s="193">
        <f t="shared" ref="T896:T897" si="713">ROUND(P896+Q896,2)</f>
        <v>40</v>
      </c>
      <c r="U896" s="193">
        <f t="shared" si="707"/>
        <v>8.49</v>
      </c>
      <c r="V896" s="193">
        <f t="shared" si="708"/>
        <v>26</v>
      </c>
      <c r="W896" s="193">
        <f t="shared" si="710"/>
        <v>3</v>
      </c>
      <c r="X896" s="193">
        <f t="shared" si="711"/>
        <v>7.16</v>
      </c>
      <c r="Y896" s="193">
        <f t="shared" si="712"/>
        <v>0</v>
      </c>
      <c r="Z896" s="193">
        <f t="shared" si="692"/>
        <v>84.65</v>
      </c>
      <c r="AA896" s="194">
        <f t="shared" si="693"/>
        <v>40.35</v>
      </c>
      <c r="AB896" s="195">
        <v>40</v>
      </c>
      <c r="AC896" s="196">
        <f t="shared" si="694"/>
        <v>-0.35000000000000142</v>
      </c>
      <c r="AD896" s="197">
        <f t="shared" si="695"/>
        <v>1.2048192771084338E-3</v>
      </c>
      <c r="AE896" s="198">
        <f t="shared" si="696"/>
        <v>4.08E-4</v>
      </c>
      <c r="AF896" s="193"/>
      <c r="AG896" s="199" t="s">
        <v>416</v>
      </c>
      <c r="AH896" s="124"/>
    </row>
    <row r="897" spans="1:34" ht="12" hidden="1" customHeight="1">
      <c r="A897" s="187">
        <v>44230</v>
      </c>
      <c r="B897" s="188" t="s">
        <v>474</v>
      </c>
      <c r="C897" s="188" t="s">
        <v>485</v>
      </c>
      <c r="D897" s="188"/>
      <c r="E897" s="188" t="str">
        <f t="shared" si="682"/>
        <v>RELIANCE</v>
      </c>
      <c r="F897" s="188"/>
      <c r="G897" s="188"/>
      <c r="H897" s="188"/>
      <c r="I897" s="188" t="s">
        <v>668</v>
      </c>
      <c r="J897" s="188" t="s">
        <v>483</v>
      </c>
      <c r="K897" s="188"/>
      <c r="L897" s="188"/>
      <c r="M897" s="189">
        <v>20</v>
      </c>
      <c r="N897" s="190">
        <v>1930.4075</v>
      </c>
      <c r="O897" s="191">
        <v>1937.675</v>
      </c>
      <c r="P897" s="192">
        <f t="shared" si="705"/>
        <v>11.58</v>
      </c>
      <c r="Q897" s="192">
        <f t="shared" si="706"/>
        <v>11.63</v>
      </c>
      <c r="R897" s="193">
        <f t="shared" si="685"/>
        <v>77361.649999999994</v>
      </c>
      <c r="S897" s="193">
        <f t="shared" si="686"/>
        <v>145.34999999999854</v>
      </c>
      <c r="T897" s="193">
        <f t="shared" si="713"/>
        <v>23.21</v>
      </c>
      <c r="U897" s="193">
        <f t="shared" si="707"/>
        <v>4.66</v>
      </c>
      <c r="V897" s="193">
        <f t="shared" si="708"/>
        <v>10</v>
      </c>
      <c r="W897" s="193">
        <f t="shared" si="710"/>
        <v>1</v>
      </c>
      <c r="X897" s="193">
        <f t="shared" si="711"/>
        <v>2.67</v>
      </c>
      <c r="Y897" s="193">
        <f t="shared" si="712"/>
        <v>0</v>
      </c>
      <c r="Z897" s="193">
        <f t="shared" si="692"/>
        <v>41.540000000000006</v>
      </c>
      <c r="AA897" s="194">
        <f t="shared" si="693"/>
        <v>103.81</v>
      </c>
      <c r="AB897" s="195">
        <v>104</v>
      </c>
      <c r="AC897" s="196">
        <f t="shared" si="694"/>
        <v>0.18999999999999773</v>
      </c>
      <c r="AD897" s="197">
        <f t="shared" si="695"/>
        <v>3.7647491527047668E-3</v>
      </c>
      <c r="AE897" s="198">
        <f t="shared" si="696"/>
        <v>5.3700000000000004E-4</v>
      </c>
      <c r="AF897" s="193"/>
      <c r="AG897" s="199" t="s">
        <v>416</v>
      </c>
      <c r="AH897" s="124"/>
    </row>
    <row r="898" spans="1:34" ht="12" hidden="1" customHeight="1">
      <c r="A898" s="187">
        <v>44231</v>
      </c>
      <c r="B898" s="188" t="s">
        <v>679</v>
      </c>
      <c r="C898" s="188" t="s">
        <v>485</v>
      </c>
      <c r="D898" s="188"/>
      <c r="E898" s="188" t="str">
        <f t="shared" si="682"/>
        <v>JUBLFOOD</v>
      </c>
      <c r="F898" s="188"/>
      <c r="G898" s="188"/>
      <c r="H898" s="188"/>
      <c r="I898" s="188" t="s">
        <v>668</v>
      </c>
      <c r="J898" s="188" t="s">
        <v>483</v>
      </c>
      <c r="K898" s="188"/>
      <c r="L898" s="188"/>
      <c r="M898" s="189">
        <v>550</v>
      </c>
      <c r="N898" s="190">
        <v>2842.1363999999999</v>
      </c>
      <c r="O898" s="191">
        <v>2842.8908999999999</v>
      </c>
      <c r="P898" s="192">
        <f t="shared" si="705"/>
        <v>20</v>
      </c>
      <c r="Q898" s="192">
        <f t="shared" si="706"/>
        <v>20</v>
      </c>
      <c r="R898" s="193">
        <f t="shared" si="685"/>
        <v>3126765.02</v>
      </c>
      <c r="S898" s="193">
        <f t="shared" si="686"/>
        <v>414.975000000004</v>
      </c>
      <c r="T898" s="193">
        <v>280</v>
      </c>
      <c r="U898" s="193">
        <f t="shared" si="707"/>
        <v>65.88</v>
      </c>
      <c r="V898" s="193">
        <f t="shared" si="708"/>
        <v>391</v>
      </c>
      <c r="W898" s="193">
        <f t="shared" si="710"/>
        <v>47</v>
      </c>
      <c r="X898" s="193">
        <f t="shared" ref="X898:X899" si="714">ROUND(R898*G$1820,2)</f>
        <v>85.99</v>
      </c>
      <c r="Y898" s="193">
        <f t="shared" si="712"/>
        <v>0</v>
      </c>
      <c r="Z898" s="193">
        <f t="shared" si="692"/>
        <v>869.87</v>
      </c>
      <c r="AA898" s="194">
        <f t="shared" si="693"/>
        <v>-454.89</v>
      </c>
      <c r="AB898" s="195">
        <v>-455</v>
      </c>
      <c r="AC898" s="196">
        <f t="shared" si="694"/>
        <v>-0.11000000000001364</v>
      </c>
      <c r="AD898" s="197">
        <f t="shared" si="695"/>
        <v>2.654693138584085E-4</v>
      </c>
      <c r="AE898" s="198">
        <f t="shared" si="696"/>
        <v>2.7799999999999998E-4</v>
      </c>
      <c r="AF898" s="193"/>
      <c r="AG898" s="199" t="s">
        <v>416</v>
      </c>
      <c r="AH898" s="124"/>
    </row>
    <row r="899" spans="1:34" ht="12" hidden="1" customHeight="1">
      <c r="A899" s="187">
        <v>44231</v>
      </c>
      <c r="B899" s="188" t="s">
        <v>680</v>
      </c>
      <c r="C899" s="188" t="s">
        <v>485</v>
      </c>
      <c r="D899" s="188"/>
      <c r="E899" s="188" t="str">
        <f t="shared" si="682"/>
        <v>APOLLOTYRE</v>
      </c>
      <c r="F899" s="188"/>
      <c r="G899" s="188"/>
      <c r="H899" s="188"/>
      <c r="I899" s="188" t="s">
        <v>668</v>
      </c>
      <c r="J899" s="188" t="s">
        <v>483</v>
      </c>
      <c r="K899" s="188"/>
      <c r="L899" s="188"/>
      <c r="M899" s="189">
        <v>2100</v>
      </c>
      <c r="N899" s="190">
        <v>244.92859999999999</v>
      </c>
      <c r="O899" s="191">
        <v>245.69290000000001</v>
      </c>
      <c r="P899" s="192">
        <f t="shared" si="705"/>
        <v>20</v>
      </c>
      <c r="Q899" s="192">
        <f t="shared" si="706"/>
        <v>20</v>
      </c>
      <c r="R899" s="193">
        <f t="shared" si="685"/>
        <v>1030305.15</v>
      </c>
      <c r="S899" s="193">
        <f t="shared" si="686"/>
        <v>1605.030000000042</v>
      </c>
      <c r="T899" s="193">
        <v>174.93</v>
      </c>
      <c r="U899" s="193">
        <f t="shared" si="707"/>
        <v>36.590000000000003</v>
      </c>
      <c r="V899" s="193">
        <f t="shared" si="708"/>
        <v>129</v>
      </c>
      <c r="W899" s="193">
        <f t="shared" si="710"/>
        <v>15</v>
      </c>
      <c r="X899" s="193">
        <f t="shared" si="714"/>
        <v>28.33</v>
      </c>
      <c r="Y899" s="193">
        <f t="shared" si="712"/>
        <v>0</v>
      </c>
      <c r="Z899" s="193">
        <f t="shared" si="692"/>
        <v>383.84999999999997</v>
      </c>
      <c r="AA899" s="194">
        <f t="shared" si="693"/>
        <v>1221.18</v>
      </c>
      <c r="AB899" s="195">
        <f>1221-1.79</f>
        <v>1219.21</v>
      </c>
      <c r="AC899" s="196">
        <f t="shared" si="694"/>
        <v>-1.9700000000000273</v>
      </c>
      <c r="AD899" s="197">
        <f t="shared" si="695"/>
        <v>3.1205012399532763E-3</v>
      </c>
      <c r="AE899" s="198">
        <f t="shared" si="696"/>
        <v>3.7300000000000001E-4</v>
      </c>
      <c r="AF899" s="193"/>
      <c r="AG899" s="199" t="s">
        <v>416</v>
      </c>
      <c r="AH899" s="124"/>
    </row>
    <row r="900" spans="1:34" ht="12" hidden="1" customHeight="1">
      <c r="A900" s="187">
        <v>44232</v>
      </c>
      <c r="B900" s="188" t="s">
        <v>493</v>
      </c>
      <c r="C900" s="188" t="s">
        <v>485</v>
      </c>
      <c r="D900" s="188"/>
      <c r="E900" s="188" t="str">
        <f t="shared" si="682"/>
        <v>SBIN</v>
      </c>
      <c r="F900" s="188"/>
      <c r="G900" s="188"/>
      <c r="H900" s="188"/>
      <c r="I900" s="188" t="s">
        <v>668</v>
      </c>
      <c r="J900" s="188" t="s">
        <v>483</v>
      </c>
      <c r="K900" s="188"/>
      <c r="L900" s="188"/>
      <c r="M900" s="189">
        <v>500</v>
      </c>
      <c r="N900" s="190">
        <v>388</v>
      </c>
      <c r="O900" s="191">
        <v>390.6</v>
      </c>
      <c r="P900" s="192">
        <f t="shared" si="705"/>
        <v>20</v>
      </c>
      <c r="Q900" s="192">
        <f t="shared" si="706"/>
        <v>20</v>
      </c>
      <c r="R900" s="193">
        <f t="shared" si="685"/>
        <v>389300</v>
      </c>
      <c r="S900" s="193">
        <f t="shared" si="686"/>
        <v>1300.0000000000114</v>
      </c>
      <c r="T900" s="193">
        <f>ROUND(P900+Q900,2)</f>
        <v>40</v>
      </c>
      <c r="U900" s="193">
        <f t="shared" si="707"/>
        <v>9.6199999999999992</v>
      </c>
      <c r="V900" s="193">
        <f t="shared" si="708"/>
        <v>49</v>
      </c>
      <c r="W900" s="193">
        <f t="shared" si="710"/>
        <v>6</v>
      </c>
      <c r="X900" s="193">
        <f t="shared" ref="X900:X909" si="715">ROUND(R900*H$1820,2)</f>
        <v>13.43</v>
      </c>
      <c r="Y900" s="193">
        <f t="shared" si="712"/>
        <v>0</v>
      </c>
      <c r="Z900" s="193">
        <f t="shared" si="692"/>
        <v>118.05000000000001</v>
      </c>
      <c r="AA900" s="194">
        <f t="shared" si="693"/>
        <v>1181.95</v>
      </c>
      <c r="AB900" s="195">
        <f>1182-0.11</f>
        <v>1181.8900000000001</v>
      </c>
      <c r="AC900" s="196">
        <f t="shared" si="694"/>
        <v>-5.999999999994543E-2</v>
      </c>
      <c r="AD900" s="197">
        <f t="shared" si="695"/>
        <v>6.7010309278351101E-3</v>
      </c>
      <c r="AE900" s="198">
        <f t="shared" si="696"/>
        <v>3.0299999999999999E-4</v>
      </c>
      <c r="AF900" s="193"/>
      <c r="AG900" s="199" t="s">
        <v>416</v>
      </c>
      <c r="AH900" s="124"/>
    </row>
    <row r="901" spans="1:34" ht="12" hidden="1" customHeight="1">
      <c r="A901" s="187">
        <v>44232</v>
      </c>
      <c r="B901" s="188" t="s">
        <v>678</v>
      </c>
      <c r="C901" s="188" t="s">
        <v>485</v>
      </c>
      <c r="D901" s="188"/>
      <c r="E901" s="188" t="str">
        <f t="shared" si="682"/>
        <v>INDUSINDBK</v>
      </c>
      <c r="F901" s="188"/>
      <c r="G901" s="188"/>
      <c r="H901" s="188"/>
      <c r="I901" s="188" t="s">
        <v>668</v>
      </c>
      <c r="J901" s="188" t="s">
        <v>483</v>
      </c>
      <c r="K901" s="188"/>
      <c r="L901" s="188"/>
      <c r="M901" s="189">
        <v>350</v>
      </c>
      <c r="N901" s="190">
        <v>1040.0428999999999</v>
      </c>
      <c r="O901" s="191">
        <v>1029.5085999999999</v>
      </c>
      <c r="P901" s="192">
        <f t="shared" si="705"/>
        <v>20</v>
      </c>
      <c r="Q901" s="192">
        <f t="shared" si="706"/>
        <v>20</v>
      </c>
      <c r="R901" s="193">
        <f t="shared" si="685"/>
        <v>724343.03</v>
      </c>
      <c r="S901" s="193">
        <f t="shared" si="686"/>
        <v>-3687.0050000000106</v>
      </c>
      <c r="T901" s="193">
        <v>150.87</v>
      </c>
      <c r="U901" s="193">
        <f t="shared" si="707"/>
        <v>31.65</v>
      </c>
      <c r="V901" s="193">
        <f t="shared" si="708"/>
        <v>90</v>
      </c>
      <c r="W901" s="193">
        <f t="shared" si="710"/>
        <v>11</v>
      </c>
      <c r="X901" s="193">
        <f t="shared" si="715"/>
        <v>24.99</v>
      </c>
      <c r="Y901" s="193">
        <f t="shared" si="712"/>
        <v>0</v>
      </c>
      <c r="Z901" s="193">
        <f t="shared" si="692"/>
        <v>308.51</v>
      </c>
      <c r="AA901" s="194">
        <f t="shared" si="693"/>
        <v>-3995.52</v>
      </c>
      <c r="AB901" s="195">
        <v>-3996</v>
      </c>
      <c r="AC901" s="196">
        <f t="shared" si="694"/>
        <v>-0.48000000000001819</v>
      </c>
      <c r="AD901" s="197">
        <f t="shared" si="695"/>
        <v>-1.0128716805816406E-2</v>
      </c>
      <c r="AE901" s="198">
        <f t="shared" si="696"/>
        <v>4.26E-4</v>
      </c>
      <c r="AF901" s="193"/>
      <c r="AG901" s="199" t="s">
        <v>416</v>
      </c>
      <c r="AH901" s="124"/>
    </row>
    <row r="902" spans="1:34" ht="12" hidden="1" customHeight="1">
      <c r="A902" s="187">
        <v>44235</v>
      </c>
      <c r="B902" s="188" t="s">
        <v>681</v>
      </c>
      <c r="C902" s="188" t="s">
        <v>485</v>
      </c>
      <c r="D902" s="188"/>
      <c r="E902" s="188" t="str">
        <f t="shared" si="682"/>
        <v>CONCOR</v>
      </c>
      <c r="F902" s="188"/>
      <c r="G902" s="188"/>
      <c r="H902" s="188"/>
      <c r="I902" s="188" t="s">
        <v>668</v>
      </c>
      <c r="J902" s="188" t="s">
        <v>483</v>
      </c>
      <c r="K902" s="188"/>
      <c r="L902" s="188"/>
      <c r="M902" s="189">
        <v>400</v>
      </c>
      <c r="N902" s="190">
        <v>505.5</v>
      </c>
      <c r="O902" s="191">
        <v>508.2765</v>
      </c>
      <c r="P902" s="192">
        <f t="shared" si="705"/>
        <v>20</v>
      </c>
      <c r="Q902" s="192">
        <f t="shared" si="706"/>
        <v>20</v>
      </c>
      <c r="R902" s="193">
        <f t="shared" si="685"/>
        <v>405510.6</v>
      </c>
      <c r="S902" s="193">
        <f t="shared" si="686"/>
        <v>1110.5999999999995</v>
      </c>
      <c r="T902" s="193">
        <v>60</v>
      </c>
      <c r="U902" s="193">
        <f t="shared" si="707"/>
        <v>13.32</v>
      </c>
      <c r="V902" s="193">
        <f t="shared" si="708"/>
        <v>51</v>
      </c>
      <c r="W902" s="193">
        <f t="shared" si="710"/>
        <v>6</v>
      </c>
      <c r="X902" s="193">
        <f t="shared" si="715"/>
        <v>13.99</v>
      </c>
      <c r="Y902" s="193">
        <f t="shared" si="712"/>
        <v>0</v>
      </c>
      <c r="Z902" s="193">
        <f t="shared" si="692"/>
        <v>144.31</v>
      </c>
      <c r="AA902" s="194">
        <f t="shared" si="693"/>
        <v>966.29</v>
      </c>
      <c r="AB902" s="195">
        <f>966-0.57</f>
        <v>965.43</v>
      </c>
      <c r="AC902" s="196">
        <f t="shared" si="694"/>
        <v>-0.86000000000001364</v>
      </c>
      <c r="AD902" s="197">
        <f t="shared" si="695"/>
        <v>5.4925816023738841E-3</v>
      </c>
      <c r="AE902" s="198">
        <f t="shared" si="696"/>
        <v>3.5599999999999998E-4</v>
      </c>
      <c r="AF902" s="193"/>
      <c r="AG902" s="199" t="s">
        <v>416</v>
      </c>
      <c r="AH902" s="124"/>
    </row>
    <row r="903" spans="1:34" ht="12" hidden="1" customHeight="1">
      <c r="A903" s="187">
        <v>44235</v>
      </c>
      <c r="B903" s="188" t="s">
        <v>678</v>
      </c>
      <c r="C903" s="188" t="s">
        <v>485</v>
      </c>
      <c r="D903" s="188"/>
      <c r="E903" s="188" t="str">
        <f t="shared" si="682"/>
        <v>INDUSINDBK</v>
      </c>
      <c r="F903" s="188"/>
      <c r="G903" s="188"/>
      <c r="H903" s="188"/>
      <c r="I903" s="188" t="s">
        <v>668</v>
      </c>
      <c r="J903" s="188" t="s">
        <v>483</v>
      </c>
      <c r="K903" s="188"/>
      <c r="L903" s="188"/>
      <c r="M903" s="189">
        <v>200</v>
      </c>
      <c r="N903" s="190">
        <v>1045.25</v>
      </c>
      <c r="O903" s="191">
        <v>1048.875</v>
      </c>
      <c r="P903" s="192">
        <f t="shared" si="705"/>
        <v>20</v>
      </c>
      <c r="Q903" s="192">
        <f t="shared" si="706"/>
        <v>20</v>
      </c>
      <c r="R903" s="193">
        <f t="shared" si="685"/>
        <v>418825</v>
      </c>
      <c r="S903" s="193">
        <f t="shared" si="686"/>
        <v>725</v>
      </c>
      <c r="T903" s="193">
        <v>80</v>
      </c>
      <c r="U903" s="193">
        <f t="shared" si="707"/>
        <v>17</v>
      </c>
      <c r="V903" s="193">
        <f t="shared" si="708"/>
        <v>52</v>
      </c>
      <c r="W903" s="193">
        <f t="shared" si="710"/>
        <v>6</v>
      </c>
      <c r="X903" s="193">
        <f t="shared" si="715"/>
        <v>14.45</v>
      </c>
      <c r="Y903" s="193">
        <f t="shared" si="712"/>
        <v>0</v>
      </c>
      <c r="Z903" s="193">
        <f t="shared" si="692"/>
        <v>169.45</v>
      </c>
      <c r="AA903" s="194">
        <f t="shared" si="693"/>
        <v>555.54999999999995</v>
      </c>
      <c r="AB903" s="195">
        <v>556</v>
      </c>
      <c r="AC903" s="196">
        <f t="shared" si="694"/>
        <v>0.45000000000004547</v>
      </c>
      <c r="AD903" s="197">
        <f t="shared" si="695"/>
        <v>3.4680698397512558E-3</v>
      </c>
      <c r="AE903" s="198">
        <f t="shared" si="696"/>
        <v>4.0499999999999998E-4</v>
      </c>
      <c r="AF903" s="193"/>
      <c r="AG903" s="199" t="s">
        <v>416</v>
      </c>
      <c r="AH903" s="124"/>
    </row>
    <row r="904" spans="1:34" ht="12" hidden="1" customHeight="1">
      <c r="A904" s="187">
        <v>44236</v>
      </c>
      <c r="B904" s="188" t="s">
        <v>474</v>
      </c>
      <c r="C904" s="188" t="s">
        <v>485</v>
      </c>
      <c r="D904" s="188"/>
      <c r="E904" s="188" t="str">
        <f t="shared" si="682"/>
        <v>RELIANCE</v>
      </c>
      <c r="F904" s="188"/>
      <c r="G904" s="188"/>
      <c r="H904" s="188"/>
      <c r="I904" s="188" t="s">
        <v>668</v>
      </c>
      <c r="J904" s="188" t="s">
        <v>483</v>
      </c>
      <c r="K904" s="188"/>
      <c r="L904" s="188"/>
      <c r="M904" s="189">
        <v>350</v>
      </c>
      <c r="N904" s="190">
        <v>1974.7143000000001</v>
      </c>
      <c r="O904" s="191">
        <v>1980.5714</v>
      </c>
      <c r="P904" s="192">
        <f t="shared" si="705"/>
        <v>20</v>
      </c>
      <c r="Q904" s="192">
        <f t="shared" si="706"/>
        <v>20</v>
      </c>
      <c r="R904" s="193">
        <f t="shared" si="685"/>
        <v>1384350</v>
      </c>
      <c r="S904" s="193">
        <f t="shared" si="686"/>
        <v>2049.984999999981</v>
      </c>
      <c r="T904" s="193">
        <v>160</v>
      </c>
      <c r="U904" s="193">
        <f t="shared" si="707"/>
        <v>37.4</v>
      </c>
      <c r="V904" s="193">
        <f t="shared" si="708"/>
        <v>173</v>
      </c>
      <c r="W904" s="193">
        <f t="shared" si="710"/>
        <v>21</v>
      </c>
      <c r="X904" s="193">
        <f t="shared" si="715"/>
        <v>47.76</v>
      </c>
      <c r="Y904" s="193">
        <f t="shared" si="712"/>
        <v>0</v>
      </c>
      <c r="Z904" s="193">
        <f t="shared" si="692"/>
        <v>439.15999999999997</v>
      </c>
      <c r="AA904" s="194">
        <f t="shared" si="693"/>
        <v>1610.82</v>
      </c>
      <c r="AB904" s="195">
        <v>1610.35</v>
      </c>
      <c r="AC904" s="196">
        <f t="shared" si="694"/>
        <v>-0.47000000000002728</v>
      </c>
      <c r="AD904" s="197">
        <f t="shared" si="695"/>
        <v>2.966049316602379E-3</v>
      </c>
      <c r="AE904" s="198">
        <f t="shared" si="696"/>
        <v>3.1700000000000001E-4</v>
      </c>
      <c r="AF904" s="193"/>
      <c r="AG904" s="199" t="s">
        <v>416</v>
      </c>
      <c r="AH904" s="124"/>
    </row>
    <row r="905" spans="1:34" ht="12" hidden="1" customHeight="1">
      <c r="A905" s="187">
        <v>44237</v>
      </c>
      <c r="B905" s="188" t="s">
        <v>604</v>
      </c>
      <c r="C905" s="188" t="s">
        <v>485</v>
      </c>
      <c r="D905" s="188"/>
      <c r="E905" s="188" t="str">
        <f t="shared" si="682"/>
        <v>TATASTEEL</v>
      </c>
      <c r="F905" s="188"/>
      <c r="G905" s="188"/>
      <c r="H905" s="188"/>
      <c r="I905" s="188" t="s">
        <v>668</v>
      </c>
      <c r="J905" s="188" t="s">
        <v>483</v>
      </c>
      <c r="K905" s="188"/>
      <c r="L905" s="188"/>
      <c r="M905" s="189">
        <v>500</v>
      </c>
      <c r="N905" s="190">
        <v>693.6</v>
      </c>
      <c r="O905" s="191">
        <v>694.26</v>
      </c>
      <c r="P905" s="192">
        <f t="shared" si="705"/>
        <v>20</v>
      </c>
      <c r="Q905" s="192">
        <f t="shared" si="706"/>
        <v>20</v>
      </c>
      <c r="R905" s="193">
        <f t="shared" si="685"/>
        <v>693930</v>
      </c>
      <c r="S905" s="193">
        <f t="shared" si="686"/>
        <v>329.99999999998408</v>
      </c>
      <c r="T905" s="193">
        <v>120</v>
      </c>
      <c r="U905" s="193">
        <f t="shared" si="707"/>
        <v>25.91</v>
      </c>
      <c r="V905" s="193">
        <f t="shared" si="708"/>
        <v>87</v>
      </c>
      <c r="W905" s="193">
        <f t="shared" si="710"/>
        <v>10</v>
      </c>
      <c r="X905" s="193">
        <f t="shared" si="715"/>
        <v>23.94</v>
      </c>
      <c r="Y905" s="193">
        <f t="shared" si="712"/>
        <v>0</v>
      </c>
      <c r="Z905" s="193">
        <f t="shared" si="692"/>
        <v>266.85000000000002</v>
      </c>
      <c r="AA905" s="194">
        <f t="shared" si="693"/>
        <v>63.15</v>
      </c>
      <c r="AB905" s="195">
        <v>62.8</v>
      </c>
      <c r="AC905" s="196">
        <f t="shared" si="694"/>
        <v>-0.35000000000000142</v>
      </c>
      <c r="AD905" s="197">
        <f t="shared" si="695"/>
        <v>9.5155709342555962E-4</v>
      </c>
      <c r="AE905" s="198">
        <f t="shared" si="696"/>
        <v>3.8499999999999998E-4</v>
      </c>
      <c r="AF905" s="193"/>
      <c r="AG905" s="199" t="s">
        <v>416</v>
      </c>
      <c r="AH905" s="124"/>
    </row>
    <row r="906" spans="1:34" ht="12" hidden="1" customHeight="1">
      <c r="A906" s="187">
        <v>44238</v>
      </c>
      <c r="B906" s="188" t="s">
        <v>481</v>
      </c>
      <c r="C906" s="188" t="s">
        <v>485</v>
      </c>
      <c r="D906" s="188"/>
      <c r="E906" s="188" t="str">
        <f t="shared" si="682"/>
        <v>HINDALCO</v>
      </c>
      <c r="F906" s="188"/>
      <c r="G906" s="188"/>
      <c r="H906" s="188"/>
      <c r="I906" s="188" t="s">
        <v>668</v>
      </c>
      <c r="J906" s="188" t="s">
        <v>483</v>
      </c>
      <c r="K906" s="188"/>
      <c r="L906" s="188"/>
      <c r="M906" s="189">
        <v>500</v>
      </c>
      <c r="N906" s="190">
        <v>288.14999999999998</v>
      </c>
      <c r="O906" s="191">
        <v>292</v>
      </c>
      <c r="P906" s="192">
        <f t="shared" si="705"/>
        <v>20</v>
      </c>
      <c r="Q906" s="192">
        <f t="shared" si="706"/>
        <v>20</v>
      </c>
      <c r="R906" s="193">
        <f t="shared" si="685"/>
        <v>290075</v>
      </c>
      <c r="S906" s="193">
        <f t="shared" si="686"/>
        <v>1925.0000000000114</v>
      </c>
      <c r="T906" s="193">
        <f>ROUND(P906+Q906,2)</f>
        <v>40</v>
      </c>
      <c r="U906" s="193">
        <f t="shared" si="707"/>
        <v>9</v>
      </c>
      <c r="V906" s="193">
        <f t="shared" si="708"/>
        <v>37</v>
      </c>
      <c r="W906" s="193">
        <f t="shared" si="710"/>
        <v>4</v>
      </c>
      <c r="X906" s="193">
        <f t="shared" si="715"/>
        <v>10.01</v>
      </c>
      <c r="Y906" s="193">
        <f t="shared" si="712"/>
        <v>0</v>
      </c>
      <c r="Z906" s="193">
        <f t="shared" si="692"/>
        <v>100.01</v>
      </c>
      <c r="AA906" s="194">
        <f t="shared" si="693"/>
        <v>1824.99</v>
      </c>
      <c r="AB906" s="195">
        <f>1825-0.26</f>
        <v>1824.74</v>
      </c>
      <c r="AC906" s="196">
        <f t="shared" si="694"/>
        <v>-0.25</v>
      </c>
      <c r="AD906" s="197">
        <f t="shared" si="695"/>
        <v>1.336109665104988E-2</v>
      </c>
      <c r="AE906" s="198">
        <f t="shared" si="696"/>
        <v>3.4499999999999998E-4</v>
      </c>
      <c r="AF906" s="193"/>
      <c r="AG906" s="199" t="s">
        <v>416</v>
      </c>
      <c r="AH906" s="124"/>
    </row>
    <row r="907" spans="1:34" ht="12" hidden="1" customHeight="1">
      <c r="A907" s="187">
        <v>44238</v>
      </c>
      <c r="B907" s="188" t="s">
        <v>533</v>
      </c>
      <c r="C907" s="188" t="s">
        <v>485</v>
      </c>
      <c r="D907" s="188"/>
      <c r="E907" s="188" t="str">
        <f t="shared" si="682"/>
        <v>PNB</v>
      </c>
      <c r="F907" s="188"/>
      <c r="G907" s="188"/>
      <c r="H907" s="188"/>
      <c r="I907" s="188" t="s">
        <v>668</v>
      </c>
      <c r="J907" s="188" t="s">
        <v>483</v>
      </c>
      <c r="K907" s="188"/>
      <c r="L907" s="188"/>
      <c r="M907" s="189">
        <v>4000</v>
      </c>
      <c r="N907" s="190">
        <v>38.950000000000003</v>
      </c>
      <c r="O907" s="191">
        <v>38.975000000000001</v>
      </c>
      <c r="P907" s="192">
        <f t="shared" si="705"/>
        <v>20</v>
      </c>
      <c r="Q907" s="192">
        <f t="shared" si="706"/>
        <v>20</v>
      </c>
      <c r="R907" s="193">
        <f t="shared" si="685"/>
        <v>311700</v>
      </c>
      <c r="S907" s="193">
        <f t="shared" si="686"/>
        <v>99.999999999994316</v>
      </c>
      <c r="T907" s="193">
        <v>60</v>
      </c>
      <c r="U907" s="193">
        <f t="shared" si="707"/>
        <v>12.74</v>
      </c>
      <c r="V907" s="193">
        <f t="shared" si="708"/>
        <v>39</v>
      </c>
      <c r="W907" s="193">
        <f t="shared" si="710"/>
        <v>5</v>
      </c>
      <c r="X907" s="193">
        <f t="shared" si="715"/>
        <v>10.75</v>
      </c>
      <c r="Y907" s="193">
        <f>ROUND(R907*K$1826,2)-0.01</f>
        <v>-0.01</v>
      </c>
      <c r="Z907" s="193">
        <f t="shared" si="692"/>
        <v>127.47999999999999</v>
      </c>
      <c r="AA907" s="194">
        <f t="shared" si="693"/>
        <v>-27.48</v>
      </c>
      <c r="AB907" s="195">
        <v>-27</v>
      </c>
      <c r="AC907" s="196">
        <f t="shared" si="694"/>
        <v>0.48000000000000043</v>
      </c>
      <c r="AD907" s="197">
        <f t="shared" si="695"/>
        <v>6.4184852374835879E-4</v>
      </c>
      <c r="AE907" s="198">
        <f t="shared" si="696"/>
        <v>4.0900000000000002E-4</v>
      </c>
      <c r="AF907" s="193"/>
      <c r="AG907" s="199" t="s">
        <v>416</v>
      </c>
      <c r="AH907" s="124"/>
    </row>
    <row r="908" spans="1:34" ht="12" hidden="1" customHeight="1">
      <c r="A908" s="187">
        <v>44238</v>
      </c>
      <c r="B908" s="188" t="s">
        <v>521</v>
      </c>
      <c r="C908" s="188" t="s">
        <v>485</v>
      </c>
      <c r="D908" s="188"/>
      <c r="E908" s="188" t="str">
        <f t="shared" si="682"/>
        <v>IDEA</v>
      </c>
      <c r="F908" s="188"/>
      <c r="G908" s="188"/>
      <c r="H908" s="188"/>
      <c r="I908" s="188" t="s">
        <v>668</v>
      </c>
      <c r="J908" s="188" t="s">
        <v>483</v>
      </c>
      <c r="K908" s="188"/>
      <c r="L908" s="188"/>
      <c r="M908" s="189">
        <v>2000</v>
      </c>
      <c r="N908" s="190">
        <v>12.55</v>
      </c>
      <c r="O908" s="191">
        <v>12.6</v>
      </c>
      <c r="P908" s="192">
        <f t="shared" si="705"/>
        <v>7.53</v>
      </c>
      <c r="Q908" s="192">
        <f t="shared" si="706"/>
        <v>7.56</v>
      </c>
      <c r="R908" s="193">
        <f t="shared" si="685"/>
        <v>50300</v>
      </c>
      <c r="S908" s="193">
        <f t="shared" si="686"/>
        <v>99.999999999997868</v>
      </c>
      <c r="T908" s="193">
        <f>ROUND(P908+Q908,2)</f>
        <v>15.09</v>
      </c>
      <c r="U908" s="193">
        <f t="shared" si="707"/>
        <v>3.03</v>
      </c>
      <c r="V908" s="193">
        <f t="shared" si="708"/>
        <v>6</v>
      </c>
      <c r="W908" s="193">
        <f t="shared" si="710"/>
        <v>1</v>
      </c>
      <c r="X908" s="193">
        <f t="shared" si="715"/>
        <v>1.74</v>
      </c>
      <c r="Y908" s="193">
        <f t="shared" ref="Y908:Y1012" si="716">ROUND(R908*K$1826,2)</f>
        <v>0</v>
      </c>
      <c r="Z908" s="193">
        <f t="shared" si="692"/>
        <v>26.86</v>
      </c>
      <c r="AA908" s="194">
        <f t="shared" si="693"/>
        <v>73.14</v>
      </c>
      <c r="AB908" s="195">
        <v>73</v>
      </c>
      <c r="AC908" s="196">
        <f t="shared" si="694"/>
        <v>-0.14000000000000057</v>
      </c>
      <c r="AD908" s="197">
        <f t="shared" si="695"/>
        <v>3.9840637450198352E-3</v>
      </c>
      <c r="AE908" s="198">
        <f t="shared" si="696"/>
        <v>5.3399999999999997E-4</v>
      </c>
      <c r="AF908" s="193"/>
      <c r="AG908" s="199" t="s">
        <v>416</v>
      </c>
      <c r="AH908" s="124"/>
    </row>
    <row r="909" spans="1:34" ht="12" hidden="1" customHeight="1">
      <c r="A909" s="187">
        <v>44239</v>
      </c>
      <c r="B909" s="188" t="s">
        <v>579</v>
      </c>
      <c r="C909" s="188" t="s">
        <v>485</v>
      </c>
      <c r="D909" s="188"/>
      <c r="E909" s="188" t="str">
        <f t="shared" si="682"/>
        <v>INDIGO</v>
      </c>
      <c r="F909" s="188"/>
      <c r="G909" s="188"/>
      <c r="H909" s="188"/>
      <c r="I909" s="188" t="s">
        <v>668</v>
      </c>
      <c r="J909" s="188" t="s">
        <v>483</v>
      </c>
      <c r="K909" s="188"/>
      <c r="L909" s="188"/>
      <c r="M909" s="189">
        <v>901</v>
      </c>
      <c r="N909" s="190">
        <v>1647.2425000000001</v>
      </c>
      <c r="O909" s="191">
        <v>1649.3773000000001</v>
      </c>
      <c r="P909" s="192">
        <f t="shared" si="705"/>
        <v>20</v>
      </c>
      <c r="Q909" s="192">
        <f t="shared" si="706"/>
        <v>20</v>
      </c>
      <c r="R909" s="193">
        <f t="shared" si="685"/>
        <v>2970254.44</v>
      </c>
      <c r="S909" s="193">
        <f t="shared" si="686"/>
        <v>1923.454800000037</v>
      </c>
      <c r="T909" s="193">
        <v>260.49</v>
      </c>
      <c r="U909" s="193">
        <f t="shared" si="707"/>
        <v>65.33</v>
      </c>
      <c r="V909" s="193">
        <f t="shared" si="708"/>
        <v>372</v>
      </c>
      <c r="W909" s="193">
        <f t="shared" si="710"/>
        <v>45</v>
      </c>
      <c r="X909" s="193">
        <f t="shared" si="715"/>
        <v>102.47</v>
      </c>
      <c r="Y909" s="193">
        <f t="shared" si="716"/>
        <v>0</v>
      </c>
      <c r="Z909" s="193">
        <f t="shared" si="692"/>
        <v>845.29</v>
      </c>
      <c r="AA909" s="194">
        <f t="shared" si="693"/>
        <v>1078.1600000000001</v>
      </c>
      <c r="AB909" s="195">
        <v>1077.82</v>
      </c>
      <c r="AC909" s="196">
        <f t="shared" si="694"/>
        <v>-0.34000000000014552</v>
      </c>
      <c r="AD909" s="197">
        <f t="shared" si="695"/>
        <v>1.2959840460648878E-3</v>
      </c>
      <c r="AE909" s="198">
        <f t="shared" si="696"/>
        <v>2.8499999999999999E-4</v>
      </c>
      <c r="AF909" s="193"/>
      <c r="AG909" s="199" t="s">
        <v>416</v>
      </c>
      <c r="AH909" s="124"/>
    </row>
    <row r="910" spans="1:34" ht="12" hidden="1" customHeight="1">
      <c r="A910" s="187">
        <v>44242</v>
      </c>
      <c r="B910" s="188" t="s">
        <v>580</v>
      </c>
      <c r="C910" s="188" t="s">
        <v>485</v>
      </c>
      <c r="D910" s="188"/>
      <c r="E910" s="188" t="str">
        <f t="shared" si="682"/>
        <v>IBULHSGFIN</v>
      </c>
      <c r="F910" s="188"/>
      <c r="G910" s="188"/>
      <c r="H910" s="188"/>
      <c r="I910" s="188" t="s">
        <v>668</v>
      </c>
      <c r="J910" s="188" t="s">
        <v>483</v>
      </c>
      <c r="K910" s="188"/>
      <c r="L910" s="188"/>
      <c r="M910" s="189">
        <v>400</v>
      </c>
      <c r="N910" s="190">
        <v>222.25</v>
      </c>
      <c r="O910" s="191">
        <v>229</v>
      </c>
      <c r="P910" s="192">
        <f t="shared" si="705"/>
        <v>20</v>
      </c>
      <c r="Q910" s="192">
        <f t="shared" si="706"/>
        <v>20</v>
      </c>
      <c r="R910" s="193">
        <f t="shared" si="685"/>
        <v>180500</v>
      </c>
      <c r="S910" s="193">
        <f t="shared" si="686"/>
        <v>2700</v>
      </c>
      <c r="T910" s="193">
        <v>47.48</v>
      </c>
      <c r="U910" s="193">
        <f t="shared" si="707"/>
        <v>9.44</v>
      </c>
      <c r="V910" s="193">
        <f t="shared" si="708"/>
        <v>23</v>
      </c>
      <c r="W910" s="193">
        <f t="shared" si="710"/>
        <v>3</v>
      </c>
      <c r="X910" s="193">
        <f>ROUND(R910*G$1820,2)</f>
        <v>4.96</v>
      </c>
      <c r="Y910" s="193">
        <f t="shared" si="716"/>
        <v>0</v>
      </c>
      <c r="Z910" s="193">
        <f t="shared" si="692"/>
        <v>87.879999999999981</v>
      </c>
      <c r="AA910" s="194">
        <f t="shared" si="693"/>
        <v>2612.12</v>
      </c>
      <c r="AB910" s="195">
        <v>2612.0300000000002</v>
      </c>
      <c r="AC910" s="196">
        <f t="shared" si="694"/>
        <v>-8.9999999999690772E-2</v>
      </c>
      <c r="AD910" s="197">
        <f t="shared" si="695"/>
        <v>3.0371203599550055E-2</v>
      </c>
      <c r="AE910" s="198">
        <f t="shared" si="696"/>
        <v>4.8700000000000002E-4</v>
      </c>
      <c r="AF910" s="193"/>
      <c r="AG910" s="199" t="s">
        <v>416</v>
      </c>
      <c r="AH910" s="124"/>
    </row>
    <row r="911" spans="1:34" ht="12" hidden="1" customHeight="1">
      <c r="A911" s="187">
        <v>44243</v>
      </c>
      <c r="B911" s="188" t="s">
        <v>678</v>
      </c>
      <c r="C911" s="188" t="s">
        <v>485</v>
      </c>
      <c r="D911" s="188"/>
      <c r="E911" s="188" t="str">
        <f t="shared" si="682"/>
        <v>INDUSINDBK</v>
      </c>
      <c r="F911" s="188"/>
      <c r="G911" s="188"/>
      <c r="H911" s="188"/>
      <c r="I911" s="188" t="s">
        <v>668</v>
      </c>
      <c r="J911" s="188" t="s">
        <v>483</v>
      </c>
      <c r="K911" s="188"/>
      <c r="L911" s="188"/>
      <c r="M911" s="189">
        <v>250</v>
      </c>
      <c r="N911" s="190">
        <v>1054.71</v>
      </c>
      <c r="O911" s="191">
        <v>1051.4480000000001</v>
      </c>
      <c r="P911" s="192">
        <f t="shared" si="705"/>
        <v>20</v>
      </c>
      <c r="Q911" s="192">
        <f t="shared" si="706"/>
        <v>20</v>
      </c>
      <c r="R911" s="193">
        <f t="shared" si="685"/>
        <v>526539.5</v>
      </c>
      <c r="S911" s="193">
        <f t="shared" si="686"/>
        <v>-815.4999999999859</v>
      </c>
      <c r="T911" s="193">
        <v>75.849999999999994</v>
      </c>
      <c r="U911" s="193">
        <f t="shared" si="707"/>
        <v>16.920000000000002</v>
      </c>
      <c r="V911" s="193">
        <f t="shared" si="708"/>
        <v>66</v>
      </c>
      <c r="W911" s="193">
        <f t="shared" si="710"/>
        <v>8</v>
      </c>
      <c r="X911" s="193">
        <f t="shared" ref="X911:X913" si="717">ROUND(R911*H$1820,2)</f>
        <v>18.170000000000002</v>
      </c>
      <c r="Y911" s="193">
        <f t="shared" si="716"/>
        <v>0</v>
      </c>
      <c r="Z911" s="193">
        <f t="shared" si="692"/>
        <v>184.94</v>
      </c>
      <c r="AA911" s="194">
        <f t="shared" si="693"/>
        <v>-1000.44</v>
      </c>
      <c r="AB911" s="195">
        <v>-1000.67</v>
      </c>
      <c r="AC911" s="196">
        <f t="shared" si="694"/>
        <v>-0.2299999999999045</v>
      </c>
      <c r="AD911" s="197">
        <f t="shared" si="695"/>
        <v>-3.0927932796692395E-3</v>
      </c>
      <c r="AE911" s="198">
        <f t="shared" si="696"/>
        <v>3.5100000000000002E-4</v>
      </c>
      <c r="AF911" s="193"/>
      <c r="AG911" s="199" t="s">
        <v>416</v>
      </c>
      <c r="AH911" s="124"/>
    </row>
    <row r="912" spans="1:34" ht="12" hidden="1" customHeight="1">
      <c r="A912" s="187">
        <v>44244</v>
      </c>
      <c r="B912" s="188" t="s">
        <v>533</v>
      </c>
      <c r="C912" s="188" t="s">
        <v>485</v>
      </c>
      <c r="D912" s="188"/>
      <c r="E912" s="188" t="str">
        <f t="shared" si="682"/>
        <v>PNB</v>
      </c>
      <c r="F912" s="188"/>
      <c r="G912" s="188"/>
      <c r="H912" s="188"/>
      <c r="I912" s="188" t="s">
        <v>668</v>
      </c>
      <c r="J912" s="188" t="s">
        <v>483</v>
      </c>
      <c r="K912" s="188"/>
      <c r="L912" s="188"/>
      <c r="M912" s="189">
        <v>300</v>
      </c>
      <c r="N912" s="190">
        <v>41.8</v>
      </c>
      <c r="O912" s="191">
        <v>41.833300000000001</v>
      </c>
      <c r="P912" s="192">
        <f t="shared" si="705"/>
        <v>3.76</v>
      </c>
      <c r="Q912" s="192">
        <f t="shared" si="706"/>
        <v>3.76</v>
      </c>
      <c r="R912" s="193">
        <f t="shared" si="685"/>
        <v>25089.99</v>
      </c>
      <c r="S912" s="193">
        <f t="shared" si="686"/>
        <v>9.9900000000012312</v>
      </c>
      <c r="T912" s="193">
        <f>ROUND(P912+Q912,2)</f>
        <v>7.52</v>
      </c>
      <c r="U912" s="193">
        <f t="shared" si="707"/>
        <v>1.51</v>
      </c>
      <c r="V912" s="193">
        <f t="shared" si="708"/>
        <v>3</v>
      </c>
      <c r="W912" s="193">
        <f t="shared" si="710"/>
        <v>0</v>
      </c>
      <c r="X912" s="193">
        <f t="shared" si="717"/>
        <v>0.87</v>
      </c>
      <c r="Y912" s="193">
        <f t="shared" si="716"/>
        <v>0</v>
      </c>
      <c r="Z912" s="193">
        <f t="shared" si="692"/>
        <v>12.899999999999999</v>
      </c>
      <c r="AA912" s="194">
        <f t="shared" si="693"/>
        <v>-2.91</v>
      </c>
      <c r="AB912" s="195">
        <v>-2.92</v>
      </c>
      <c r="AC912" s="196">
        <f t="shared" si="694"/>
        <v>-9.9999999999997868E-3</v>
      </c>
      <c r="AD912" s="197">
        <f t="shared" si="695"/>
        <v>7.9665071770344755E-4</v>
      </c>
      <c r="AE912" s="198">
        <f t="shared" si="696"/>
        <v>5.1400000000000003E-4</v>
      </c>
      <c r="AF912" s="193"/>
      <c r="AG912" s="199" t="s">
        <v>416</v>
      </c>
      <c r="AH912" s="124"/>
    </row>
    <row r="913" spans="1:34" ht="12" hidden="1" customHeight="1">
      <c r="A913" s="187">
        <v>44245</v>
      </c>
      <c r="B913" s="188" t="s">
        <v>612</v>
      </c>
      <c r="C913" s="188" t="s">
        <v>485</v>
      </c>
      <c r="D913" s="188"/>
      <c r="E913" s="188" t="str">
        <f t="shared" si="682"/>
        <v>GAIL</v>
      </c>
      <c r="F913" s="188"/>
      <c r="G913" s="188"/>
      <c r="H913" s="188"/>
      <c r="I913" s="188" t="s">
        <v>668</v>
      </c>
      <c r="J913" s="188" t="s">
        <v>483</v>
      </c>
      <c r="K913" s="188"/>
      <c r="L913" s="188"/>
      <c r="M913" s="189">
        <v>700</v>
      </c>
      <c r="N913" s="190">
        <v>144</v>
      </c>
      <c r="O913" s="191">
        <v>141.9</v>
      </c>
      <c r="P913" s="192">
        <f t="shared" si="705"/>
        <v>20</v>
      </c>
      <c r="Q913" s="192">
        <f t="shared" si="706"/>
        <v>20</v>
      </c>
      <c r="R913" s="193">
        <f t="shared" si="685"/>
        <v>200130</v>
      </c>
      <c r="S913" s="193">
        <f t="shared" si="686"/>
        <v>-1469.9999999999959</v>
      </c>
      <c r="T913" s="193">
        <v>48.6</v>
      </c>
      <c r="U913" s="193">
        <f t="shared" si="707"/>
        <v>9.99</v>
      </c>
      <c r="V913" s="193">
        <f t="shared" si="708"/>
        <v>25</v>
      </c>
      <c r="W913" s="193">
        <f t="shared" si="710"/>
        <v>3</v>
      </c>
      <c r="X913" s="193">
        <f t="shared" si="717"/>
        <v>6.9</v>
      </c>
      <c r="Y913" s="193">
        <f t="shared" si="716"/>
        <v>0</v>
      </c>
      <c r="Z913" s="193">
        <f t="shared" si="692"/>
        <v>93.490000000000009</v>
      </c>
      <c r="AA913" s="194">
        <f t="shared" si="693"/>
        <v>-1563.49</v>
      </c>
      <c r="AB913" s="195">
        <v>-1563.6</v>
      </c>
      <c r="AC913" s="196">
        <f t="shared" si="694"/>
        <v>-0.10999999999989996</v>
      </c>
      <c r="AD913" s="197">
        <f t="shared" si="695"/>
        <v>-1.4583333333333294E-2</v>
      </c>
      <c r="AE913" s="198">
        <f t="shared" si="696"/>
        <v>4.6700000000000002E-4</v>
      </c>
      <c r="AF913" s="193"/>
      <c r="AG913" s="199" t="s">
        <v>416</v>
      </c>
      <c r="AH913" s="124"/>
    </row>
    <row r="914" spans="1:34" ht="12" hidden="1" customHeight="1">
      <c r="A914" s="187">
        <v>44246</v>
      </c>
      <c r="B914" s="188" t="s">
        <v>480</v>
      </c>
      <c r="C914" s="188" t="s">
        <v>485</v>
      </c>
      <c r="D914" s="188"/>
      <c r="E914" s="188" t="str">
        <f t="shared" si="682"/>
        <v>ADANIENT</v>
      </c>
      <c r="F914" s="188"/>
      <c r="G914" s="188"/>
      <c r="H914" s="188"/>
      <c r="I914" s="188" t="s">
        <v>668</v>
      </c>
      <c r="J914" s="188" t="s">
        <v>483</v>
      </c>
      <c r="K914" s="188"/>
      <c r="L914" s="188"/>
      <c r="M914" s="189">
        <v>100</v>
      </c>
      <c r="N914" s="190">
        <v>826.95</v>
      </c>
      <c r="O914" s="191">
        <v>814.65700000000004</v>
      </c>
      <c r="P914" s="192">
        <f t="shared" si="705"/>
        <v>20</v>
      </c>
      <c r="Q914" s="192">
        <f t="shared" si="706"/>
        <v>20</v>
      </c>
      <c r="R914" s="193">
        <f t="shared" si="685"/>
        <v>164160.70000000001</v>
      </c>
      <c r="S914" s="193">
        <f t="shared" si="686"/>
        <v>-1229.3000000000006</v>
      </c>
      <c r="T914" s="193">
        <f t="shared" ref="T914:T915" si="718">ROUND(P914+Q914,2)</f>
        <v>40</v>
      </c>
      <c r="U914" s="193">
        <f t="shared" si="707"/>
        <v>8.01</v>
      </c>
      <c r="V914" s="193">
        <f t="shared" si="708"/>
        <v>20</v>
      </c>
      <c r="W914" s="193">
        <f t="shared" si="710"/>
        <v>2</v>
      </c>
      <c r="X914" s="193">
        <f>ROUND(R914*G$1820,2)</f>
        <v>4.51</v>
      </c>
      <c r="Y914" s="193">
        <f t="shared" si="716"/>
        <v>0</v>
      </c>
      <c r="Z914" s="193">
        <f t="shared" si="692"/>
        <v>74.52</v>
      </c>
      <c r="AA914" s="194">
        <f t="shared" si="693"/>
        <v>-1303.82</v>
      </c>
      <c r="AB914" s="195">
        <v>-1304</v>
      </c>
      <c r="AC914" s="196">
        <f t="shared" si="694"/>
        <v>-0.18000000000006366</v>
      </c>
      <c r="AD914" s="197">
        <f t="shared" si="695"/>
        <v>-1.4865469496341986E-2</v>
      </c>
      <c r="AE914" s="198">
        <f t="shared" si="696"/>
        <v>4.5399999999999998E-4</v>
      </c>
      <c r="AF914" s="193"/>
      <c r="AG914" s="199" t="s">
        <v>416</v>
      </c>
      <c r="AH914" s="124"/>
    </row>
    <row r="915" spans="1:34" ht="12" hidden="1" customHeight="1">
      <c r="A915" s="187">
        <v>44246</v>
      </c>
      <c r="B915" s="188" t="s">
        <v>533</v>
      </c>
      <c r="C915" s="188" t="s">
        <v>485</v>
      </c>
      <c r="D915" s="188"/>
      <c r="E915" s="188" t="str">
        <f t="shared" si="682"/>
        <v>PNB</v>
      </c>
      <c r="F915" s="188"/>
      <c r="G915" s="188"/>
      <c r="H915" s="188"/>
      <c r="I915" s="188" t="s">
        <v>668</v>
      </c>
      <c r="J915" s="188" t="s">
        <v>483</v>
      </c>
      <c r="K915" s="188"/>
      <c r="L915" s="188"/>
      <c r="M915" s="189">
        <v>200</v>
      </c>
      <c r="N915" s="190">
        <v>43.5</v>
      </c>
      <c r="O915" s="191">
        <v>45.024999999999999</v>
      </c>
      <c r="P915" s="192">
        <f t="shared" si="705"/>
        <v>2.61</v>
      </c>
      <c r="Q915" s="192">
        <f t="shared" si="706"/>
        <v>2.7</v>
      </c>
      <c r="R915" s="193">
        <f t="shared" si="685"/>
        <v>17705</v>
      </c>
      <c r="S915" s="193">
        <f t="shared" si="686"/>
        <v>304.99999999999972</v>
      </c>
      <c r="T915" s="193">
        <f t="shared" si="718"/>
        <v>5.31</v>
      </c>
      <c r="U915" s="193">
        <f t="shared" si="707"/>
        <v>1.07</v>
      </c>
      <c r="V915" s="193">
        <f t="shared" si="708"/>
        <v>2</v>
      </c>
      <c r="W915" s="193">
        <f t="shared" si="710"/>
        <v>0</v>
      </c>
      <c r="X915" s="193">
        <f t="shared" ref="X915:X918" si="719">ROUND(R915*H$1820,2)</f>
        <v>0.61</v>
      </c>
      <c r="Y915" s="193">
        <f t="shared" si="716"/>
        <v>0</v>
      </c>
      <c r="Z915" s="193">
        <f t="shared" si="692"/>
        <v>8.9899999999999984</v>
      </c>
      <c r="AA915" s="194">
        <f t="shared" si="693"/>
        <v>296.01</v>
      </c>
      <c r="AB915" s="195">
        <f>296-1.91</f>
        <v>294.08999999999997</v>
      </c>
      <c r="AC915" s="196">
        <f t="shared" si="694"/>
        <v>-1.9200000000000159</v>
      </c>
      <c r="AD915" s="197">
        <f t="shared" si="695"/>
        <v>3.5057471264367784E-2</v>
      </c>
      <c r="AE915" s="198">
        <f t="shared" si="696"/>
        <v>5.0799999999999999E-4</v>
      </c>
      <c r="AF915" s="193"/>
      <c r="AG915" s="199" t="s">
        <v>416</v>
      </c>
      <c r="AH915" s="124"/>
    </row>
    <row r="916" spans="1:34" ht="12" hidden="1" customHeight="1">
      <c r="A916" s="187">
        <v>44250</v>
      </c>
      <c r="B916" s="188" t="s">
        <v>553</v>
      </c>
      <c r="C916" s="188" t="s">
        <v>485</v>
      </c>
      <c r="D916" s="188"/>
      <c r="E916" s="188" t="str">
        <f t="shared" si="682"/>
        <v>NMDC</v>
      </c>
      <c r="F916" s="188"/>
      <c r="G916" s="188"/>
      <c r="H916" s="188"/>
      <c r="I916" s="188" t="s">
        <v>668</v>
      </c>
      <c r="J916" s="188" t="s">
        <v>483</v>
      </c>
      <c r="K916" s="188"/>
      <c r="L916" s="188"/>
      <c r="M916" s="189">
        <v>1200</v>
      </c>
      <c r="N916" s="190">
        <v>123.9083</v>
      </c>
      <c r="O916" s="191">
        <v>124.5167</v>
      </c>
      <c r="P916" s="192">
        <f t="shared" si="705"/>
        <v>20</v>
      </c>
      <c r="Q916" s="192">
        <f t="shared" si="706"/>
        <v>20</v>
      </c>
      <c r="R916" s="193">
        <f t="shared" si="685"/>
        <v>298110</v>
      </c>
      <c r="S916" s="193">
        <f t="shared" si="686"/>
        <v>730.08000000000379</v>
      </c>
      <c r="T916" s="193">
        <v>87.12</v>
      </c>
      <c r="U916" s="193">
        <f t="shared" si="707"/>
        <v>17.53</v>
      </c>
      <c r="V916" s="193">
        <f t="shared" si="708"/>
        <v>37</v>
      </c>
      <c r="W916" s="193">
        <f t="shared" si="710"/>
        <v>4</v>
      </c>
      <c r="X916" s="193">
        <f t="shared" si="719"/>
        <v>10.28</v>
      </c>
      <c r="Y916" s="193">
        <f t="shared" si="716"/>
        <v>0</v>
      </c>
      <c r="Z916" s="193">
        <f t="shared" si="692"/>
        <v>155.93</v>
      </c>
      <c r="AA916" s="194">
        <f t="shared" si="693"/>
        <v>574.15</v>
      </c>
      <c r="AB916" s="195">
        <v>573.91999999999996</v>
      </c>
      <c r="AC916" s="196">
        <f t="shared" si="694"/>
        <v>-0.23000000000001819</v>
      </c>
      <c r="AD916" s="197">
        <f t="shared" si="695"/>
        <v>4.910082698253492E-3</v>
      </c>
      <c r="AE916" s="198">
        <f t="shared" si="696"/>
        <v>5.2300000000000003E-4</v>
      </c>
      <c r="AF916" s="193"/>
      <c r="AG916" s="199" t="s">
        <v>416</v>
      </c>
      <c r="AH916" s="124"/>
    </row>
    <row r="917" spans="1:34" ht="12" hidden="1" customHeight="1">
      <c r="A917" s="187">
        <v>44251</v>
      </c>
      <c r="B917" s="188" t="s">
        <v>553</v>
      </c>
      <c r="C917" s="188" t="s">
        <v>485</v>
      </c>
      <c r="D917" s="188"/>
      <c r="E917" s="188" t="str">
        <f t="shared" si="682"/>
        <v>NMDC</v>
      </c>
      <c r="F917" s="188"/>
      <c r="G917" s="188"/>
      <c r="H917" s="188"/>
      <c r="I917" s="188" t="s">
        <v>668</v>
      </c>
      <c r="J917" s="188" t="s">
        <v>483</v>
      </c>
      <c r="K917" s="188"/>
      <c r="L917" s="188"/>
      <c r="M917" s="189">
        <v>300</v>
      </c>
      <c r="N917" s="190">
        <v>124.9</v>
      </c>
      <c r="O917" s="191">
        <v>124.7</v>
      </c>
      <c r="P917" s="192">
        <f t="shared" si="705"/>
        <v>11.24</v>
      </c>
      <c r="Q917" s="192">
        <f t="shared" si="706"/>
        <v>11.22</v>
      </c>
      <c r="R917" s="193">
        <f t="shared" si="685"/>
        <v>74880</v>
      </c>
      <c r="S917" s="193">
        <f t="shared" si="686"/>
        <v>-60.000000000000853</v>
      </c>
      <c r="T917" s="193">
        <f>ROUND(P917+Q917,2)</f>
        <v>22.46</v>
      </c>
      <c r="U917" s="193">
        <f t="shared" si="707"/>
        <v>4.51</v>
      </c>
      <c r="V917" s="193">
        <f t="shared" si="708"/>
        <v>9</v>
      </c>
      <c r="W917" s="193">
        <f t="shared" si="710"/>
        <v>1</v>
      </c>
      <c r="X917" s="193">
        <f t="shared" si="719"/>
        <v>2.58</v>
      </c>
      <c r="Y917" s="193">
        <f t="shared" si="716"/>
        <v>0</v>
      </c>
      <c r="Z917" s="193">
        <f t="shared" si="692"/>
        <v>39.549999999999997</v>
      </c>
      <c r="AA917" s="194">
        <f t="shared" si="693"/>
        <v>-99.55</v>
      </c>
      <c r="AB917" s="195">
        <v>-99.39</v>
      </c>
      <c r="AC917" s="196">
        <f t="shared" si="694"/>
        <v>0.15999999999999659</v>
      </c>
      <c r="AD917" s="197">
        <f t="shared" si="695"/>
        <v>-1.6012810248198785E-3</v>
      </c>
      <c r="AE917" s="198">
        <f t="shared" si="696"/>
        <v>5.2800000000000004E-4</v>
      </c>
      <c r="AF917" s="193"/>
      <c r="AG917" s="199" t="s">
        <v>416</v>
      </c>
      <c r="AH917" s="124"/>
    </row>
    <row r="918" spans="1:34" ht="12" hidden="1" customHeight="1">
      <c r="A918" s="187">
        <v>44252</v>
      </c>
      <c r="B918" s="188" t="s">
        <v>553</v>
      </c>
      <c r="C918" s="188" t="s">
        <v>485</v>
      </c>
      <c r="D918" s="188"/>
      <c r="E918" s="188" t="str">
        <f t="shared" si="682"/>
        <v>NMDC</v>
      </c>
      <c r="F918" s="188"/>
      <c r="G918" s="188"/>
      <c r="H918" s="188"/>
      <c r="I918" s="188" t="s">
        <v>668</v>
      </c>
      <c r="J918" s="188" t="s">
        <v>483</v>
      </c>
      <c r="K918" s="188"/>
      <c r="L918" s="188"/>
      <c r="M918" s="189">
        <v>1400</v>
      </c>
      <c r="N918" s="190">
        <v>128.05000000000001</v>
      </c>
      <c r="O918" s="191">
        <v>127.06789999999999</v>
      </c>
      <c r="P918" s="192">
        <f t="shared" si="705"/>
        <v>20</v>
      </c>
      <c r="Q918" s="192">
        <f t="shared" si="706"/>
        <v>20</v>
      </c>
      <c r="R918" s="193">
        <f t="shared" si="685"/>
        <v>357165.06</v>
      </c>
      <c r="S918" s="193">
        <f t="shared" si="686"/>
        <v>-1374.9400000000237</v>
      </c>
      <c r="T918" s="193">
        <v>73.38000000000001</v>
      </c>
      <c r="U918" s="193">
        <f t="shared" si="707"/>
        <v>15.43</v>
      </c>
      <c r="V918" s="193">
        <f t="shared" si="708"/>
        <v>44</v>
      </c>
      <c r="W918" s="193">
        <f t="shared" si="710"/>
        <v>5</v>
      </c>
      <c r="X918" s="193">
        <f t="shared" si="719"/>
        <v>12.32</v>
      </c>
      <c r="Y918" s="193">
        <f t="shared" si="716"/>
        <v>0</v>
      </c>
      <c r="Z918" s="193">
        <f t="shared" si="692"/>
        <v>150.13</v>
      </c>
      <c r="AA918" s="194">
        <f t="shared" si="693"/>
        <v>-1525.07</v>
      </c>
      <c r="AB918" s="195">
        <v>-1526.29</v>
      </c>
      <c r="AC918" s="196">
        <f t="shared" si="694"/>
        <v>-1.2200000000000273</v>
      </c>
      <c r="AD918" s="197">
        <f t="shared" si="695"/>
        <v>-7.66966028894976E-3</v>
      </c>
      <c r="AE918" s="198">
        <f t="shared" si="696"/>
        <v>4.2000000000000002E-4</v>
      </c>
      <c r="AF918" s="193"/>
      <c r="AG918" s="199" t="s">
        <v>416</v>
      </c>
      <c r="AH918" s="124"/>
    </row>
    <row r="919" spans="1:34" ht="12" hidden="1" customHeight="1">
      <c r="A919" s="187">
        <v>44253</v>
      </c>
      <c r="B919" s="188" t="s">
        <v>495</v>
      </c>
      <c r="C919" s="188" t="s">
        <v>485</v>
      </c>
      <c r="D919" s="188"/>
      <c r="E919" s="188" t="str">
        <f t="shared" si="682"/>
        <v>SAIL</v>
      </c>
      <c r="F919" s="188"/>
      <c r="G919" s="188"/>
      <c r="H919" s="188"/>
      <c r="I919" s="188" t="s">
        <v>668</v>
      </c>
      <c r="J919" s="188" t="s">
        <v>483</v>
      </c>
      <c r="K919" s="188"/>
      <c r="L919" s="188"/>
      <c r="M919" s="189">
        <v>3600</v>
      </c>
      <c r="N919" s="190">
        <v>74.569400000000002</v>
      </c>
      <c r="O919" s="191">
        <v>74.2</v>
      </c>
      <c r="P919" s="192">
        <f t="shared" si="705"/>
        <v>20</v>
      </c>
      <c r="Q919" s="192">
        <f t="shared" si="706"/>
        <v>20</v>
      </c>
      <c r="R919" s="193">
        <f t="shared" si="685"/>
        <v>535569.84</v>
      </c>
      <c r="S919" s="193">
        <f t="shared" si="686"/>
        <v>-1329.8399999999958</v>
      </c>
      <c r="T919" s="193">
        <v>155.69</v>
      </c>
      <c r="U919" s="193">
        <f t="shared" si="707"/>
        <v>30.68</v>
      </c>
      <c r="V919" s="193">
        <f t="shared" si="708"/>
        <v>67</v>
      </c>
      <c r="W919" s="193">
        <f t="shared" si="710"/>
        <v>8</v>
      </c>
      <c r="X919" s="193">
        <f t="shared" ref="X919:X921" si="720">ROUND(R919*G$1820,2)</f>
        <v>14.73</v>
      </c>
      <c r="Y919" s="193">
        <f t="shared" si="716"/>
        <v>0</v>
      </c>
      <c r="Z919" s="193">
        <f t="shared" si="692"/>
        <v>276.10000000000002</v>
      </c>
      <c r="AA919" s="194">
        <f t="shared" si="693"/>
        <v>-1605.94</v>
      </c>
      <c r="AB919" s="195">
        <f>-1606-0.46</f>
        <v>-1606.46</v>
      </c>
      <c r="AC919" s="196">
        <f t="shared" si="694"/>
        <v>-0.51999999999998181</v>
      </c>
      <c r="AD919" s="197">
        <f t="shared" si="695"/>
        <v>-4.9537746045965076E-3</v>
      </c>
      <c r="AE919" s="198">
        <f t="shared" si="696"/>
        <v>5.1599999999999997E-4</v>
      </c>
      <c r="AF919" s="193"/>
      <c r="AG919" s="199" t="s">
        <v>416</v>
      </c>
      <c r="AH919" s="124"/>
    </row>
    <row r="920" spans="1:34" ht="12" hidden="1" customHeight="1">
      <c r="A920" s="187">
        <v>44253</v>
      </c>
      <c r="B920" s="188" t="s">
        <v>682</v>
      </c>
      <c r="C920" s="188" t="s">
        <v>485</v>
      </c>
      <c r="D920" s="188"/>
      <c r="E920" s="188" t="str">
        <f t="shared" si="682"/>
        <v>TVSMOTOR</v>
      </c>
      <c r="F920" s="188"/>
      <c r="G920" s="188"/>
      <c r="H920" s="188"/>
      <c r="I920" s="188" t="s">
        <v>668</v>
      </c>
      <c r="J920" s="188" t="s">
        <v>483</v>
      </c>
      <c r="K920" s="188"/>
      <c r="L920" s="188"/>
      <c r="M920" s="189">
        <v>100</v>
      </c>
      <c r="N920" s="190">
        <v>595.9</v>
      </c>
      <c r="O920" s="191">
        <v>595.65</v>
      </c>
      <c r="P920" s="192">
        <f t="shared" si="705"/>
        <v>17.88</v>
      </c>
      <c r="Q920" s="192">
        <f t="shared" si="706"/>
        <v>17.87</v>
      </c>
      <c r="R920" s="193">
        <f t="shared" si="685"/>
        <v>119155</v>
      </c>
      <c r="S920" s="193">
        <f t="shared" si="686"/>
        <v>-25</v>
      </c>
      <c r="T920" s="193">
        <f>ROUND(P920+Q920,2)</f>
        <v>35.75</v>
      </c>
      <c r="U920" s="193">
        <f t="shared" si="707"/>
        <v>7.03</v>
      </c>
      <c r="V920" s="193">
        <f t="shared" si="708"/>
        <v>15</v>
      </c>
      <c r="W920" s="193">
        <f t="shared" si="710"/>
        <v>2</v>
      </c>
      <c r="X920" s="193">
        <f t="shared" si="720"/>
        <v>3.28</v>
      </c>
      <c r="Y920" s="193">
        <f t="shared" si="716"/>
        <v>0</v>
      </c>
      <c r="Z920" s="193">
        <f t="shared" si="692"/>
        <v>63.06</v>
      </c>
      <c r="AA920" s="194">
        <f t="shared" si="693"/>
        <v>-88.06</v>
      </c>
      <c r="AB920" s="195">
        <v>-88</v>
      </c>
      <c r="AC920" s="196">
        <f t="shared" si="694"/>
        <v>6.0000000000002274E-2</v>
      </c>
      <c r="AD920" s="197">
        <f t="shared" si="695"/>
        <v>-4.19533478771606E-4</v>
      </c>
      <c r="AE920" s="198">
        <f t="shared" si="696"/>
        <v>5.2899999999999996E-4</v>
      </c>
      <c r="AF920" s="193" t="s">
        <v>683</v>
      </c>
      <c r="AG920" s="199" t="s">
        <v>416</v>
      </c>
      <c r="AH920" s="124"/>
    </row>
    <row r="921" spans="1:34" ht="12" hidden="1" customHeight="1">
      <c r="A921" s="187">
        <v>44256</v>
      </c>
      <c r="B921" s="188" t="s">
        <v>495</v>
      </c>
      <c r="C921" s="188" t="s">
        <v>485</v>
      </c>
      <c r="D921" s="188"/>
      <c r="E921" s="188" t="str">
        <f t="shared" si="682"/>
        <v>SAIL</v>
      </c>
      <c r="F921" s="188"/>
      <c r="G921" s="188"/>
      <c r="H921" s="188"/>
      <c r="I921" s="188" t="s">
        <v>668</v>
      </c>
      <c r="J921" s="188" t="s">
        <v>483</v>
      </c>
      <c r="K921" s="188"/>
      <c r="L921" s="188"/>
      <c r="M921" s="189">
        <v>3000</v>
      </c>
      <c r="N921" s="190">
        <v>78.25</v>
      </c>
      <c r="O921" s="191">
        <v>78.383300000000006</v>
      </c>
      <c r="P921" s="192">
        <f t="shared" si="705"/>
        <v>20</v>
      </c>
      <c r="Q921" s="192">
        <f t="shared" si="706"/>
        <v>20</v>
      </c>
      <c r="R921" s="193">
        <f t="shared" si="685"/>
        <v>469899.9</v>
      </c>
      <c r="S921" s="193">
        <f t="shared" si="686"/>
        <v>399.90000000001658</v>
      </c>
      <c r="T921" s="193">
        <v>120</v>
      </c>
      <c r="U921" s="193">
        <f t="shared" si="707"/>
        <v>23.93</v>
      </c>
      <c r="V921" s="193">
        <f t="shared" si="708"/>
        <v>59</v>
      </c>
      <c r="W921" s="193">
        <f t="shared" si="710"/>
        <v>7</v>
      </c>
      <c r="X921" s="193">
        <f t="shared" si="720"/>
        <v>12.92</v>
      </c>
      <c r="Y921" s="193">
        <f t="shared" si="716"/>
        <v>0</v>
      </c>
      <c r="Z921" s="193">
        <f t="shared" si="692"/>
        <v>222.85</v>
      </c>
      <c r="AA921" s="194">
        <f t="shared" si="693"/>
        <v>177.05</v>
      </c>
      <c r="AB921" s="195">
        <v>177</v>
      </c>
      <c r="AC921" s="196">
        <f t="shared" si="694"/>
        <v>-5.0000000000011369E-2</v>
      </c>
      <c r="AD921" s="197">
        <f t="shared" si="695"/>
        <v>1.7035143769968757E-3</v>
      </c>
      <c r="AE921" s="198">
        <f t="shared" si="696"/>
        <v>4.7399999999999997E-4</v>
      </c>
      <c r="AF921" s="193" t="s">
        <v>683</v>
      </c>
      <c r="AG921" s="199" t="s">
        <v>416</v>
      </c>
      <c r="AH921" s="124"/>
    </row>
    <row r="922" spans="1:34" ht="12" hidden="1" customHeight="1">
      <c r="A922" s="187">
        <v>44256</v>
      </c>
      <c r="B922" s="188" t="s">
        <v>677</v>
      </c>
      <c r="C922" s="188" t="s">
        <v>485</v>
      </c>
      <c r="D922" s="188"/>
      <c r="E922" s="188" t="str">
        <f t="shared" si="682"/>
        <v>AXISBANK</v>
      </c>
      <c r="F922" s="188"/>
      <c r="G922" s="188"/>
      <c r="H922" s="188"/>
      <c r="I922" s="188" t="s">
        <v>668</v>
      </c>
      <c r="J922" s="188" t="s">
        <v>483</v>
      </c>
      <c r="K922" s="188"/>
      <c r="L922" s="188"/>
      <c r="M922" s="189">
        <v>300</v>
      </c>
      <c r="N922" s="190">
        <v>726</v>
      </c>
      <c r="O922" s="191">
        <v>729.13329999999996</v>
      </c>
      <c r="P922" s="192">
        <f t="shared" si="705"/>
        <v>20</v>
      </c>
      <c r="Q922" s="192">
        <f t="shared" si="706"/>
        <v>20</v>
      </c>
      <c r="R922" s="193">
        <f t="shared" si="685"/>
        <v>436539.99</v>
      </c>
      <c r="S922" s="193">
        <f t="shared" si="686"/>
        <v>939.98999999998887</v>
      </c>
      <c r="T922" s="193">
        <v>120</v>
      </c>
      <c r="U922" s="193">
        <f t="shared" si="707"/>
        <v>24.31</v>
      </c>
      <c r="V922" s="193">
        <f t="shared" si="708"/>
        <v>55</v>
      </c>
      <c r="W922" s="193">
        <f t="shared" si="710"/>
        <v>7</v>
      </c>
      <c r="X922" s="193">
        <f t="shared" ref="X922:X924" si="721">ROUND(R922*H$1820,2)</f>
        <v>15.06</v>
      </c>
      <c r="Y922" s="193">
        <f t="shared" si="716"/>
        <v>0</v>
      </c>
      <c r="Z922" s="193">
        <f t="shared" si="692"/>
        <v>221.37</v>
      </c>
      <c r="AA922" s="194">
        <f t="shared" si="693"/>
        <v>718.62</v>
      </c>
      <c r="AB922" s="195">
        <f>719+0.33</f>
        <v>719.33</v>
      </c>
      <c r="AC922" s="196">
        <f t="shared" si="694"/>
        <v>0.71000000000003638</v>
      </c>
      <c r="AD922" s="197">
        <f t="shared" si="695"/>
        <v>4.3158402203856234E-3</v>
      </c>
      <c r="AE922" s="198">
        <f t="shared" si="696"/>
        <v>5.0699999999999996E-4</v>
      </c>
      <c r="AF922" s="193" t="s">
        <v>683</v>
      </c>
      <c r="AG922" s="199" t="s">
        <v>416</v>
      </c>
      <c r="AH922" s="124"/>
    </row>
    <row r="923" spans="1:34" ht="12" hidden="1" customHeight="1">
      <c r="A923" s="187">
        <v>44257</v>
      </c>
      <c r="B923" s="188" t="s">
        <v>518</v>
      </c>
      <c r="C923" s="188" t="s">
        <v>485</v>
      </c>
      <c r="D923" s="188"/>
      <c r="E923" s="188" t="str">
        <f t="shared" si="682"/>
        <v>TATAMOTORS</v>
      </c>
      <c r="F923" s="188"/>
      <c r="G923" s="188"/>
      <c r="H923" s="188"/>
      <c r="I923" s="188" t="s">
        <v>668</v>
      </c>
      <c r="J923" s="188" t="s">
        <v>483</v>
      </c>
      <c r="K923" s="188"/>
      <c r="L923" s="188"/>
      <c r="M923" s="189">
        <v>50</v>
      </c>
      <c r="N923" s="190">
        <v>341.75</v>
      </c>
      <c r="O923" s="191">
        <v>342</v>
      </c>
      <c r="P923" s="192">
        <f t="shared" si="705"/>
        <v>5.13</v>
      </c>
      <c r="Q923" s="192">
        <f t="shared" si="706"/>
        <v>5.13</v>
      </c>
      <c r="R923" s="193">
        <f t="shared" si="685"/>
        <v>34187.5</v>
      </c>
      <c r="S923" s="193">
        <f t="shared" si="686"/>
        <v>12.5</v>
      </c>
      <c r="T923" s="193">
        <f>ROUND(P923+Q923,2)</f>
        <v>10.26</v>
      </c>
      <c r="U923" s="193">
        <f t="shared" si="707"/>
        <v>2.06</v>
      </c>
      <c r="V923" s="193">
        <f t="shared" si="708"/>
        <v>4</v>
      </c>
      <c r="W923" s="193">
        <f t="shared" si="710"/>
        <v>1</v>
      </c>
      <c r="X923" s="193">
        <f t="shared" si="721"/>
        <v>1.18</v>
      </c>
      <c r="Y923" s="193">
        <f t="shared" si="716"/>
        <v>0</v>
      </c>
      <c r="Z923" s="193">
        <f t="shared" si="692"/>
        <v>18.5</v>
      </c>
      <c r="AA923" s="194">
        <f t="shared" si="693"/>
        <v>-6</v>
      </c>
      <c r="AB923" s="195">
        <v>-6</v>
      </c>
      <c r="AC923" s="196">
        <f t="shared" si="694"/>
        <v>0</v>
      </c>
      <c r="AD923" s="197">
        <f t="shared" si="695"/>
        <v>7.3152889539136799E-4</v>
      </c>
      <c r="AE923" s="198">
        <f t="shared" si="696"/>
        <v>5.4100000000000003E-4</v>
      </c>
      <c r="AF923" s="193" t="s">
        <v>683</v>
      </c>
      <c r="AG923" s="199" t="s">
        <v>416</v>
      </c>
      <c r="AH923" s="124"/>
    </row>
    <row r="924" spans="1:34" ht="12" hidden="1" customHeight="1">
      <c r="A924" s="187">
        <v>44257</v>
      </c>
      <c r="B924" s="188" t="s">
        <v>529</v>
      </c>
      <c r="C924" s="188" t="s">
        <v>485</v>
      </c>
      <c r="D924" s="188"/>
      <c r="E924" s="188" t="str">
        <f t="shared" si="682"/>
        <v>M&amp;M</v>
      </c>
      <c r="F924" s="188"/>
      <c r="G924" s="188"/>
      <c r="H924" s="188"/>
      <c r="I924" s="188" t="s">
        <v>668</v>
      </c>
      <c r="J924" s="188" t="s">
        <v>483</v>
      </c>
      <c r="K924" s="188"/>
      <c r="L924" s="188"/>
      <c r="M924" s="189">
        <v>200</v>
      </c>
      <c r="N924" s="190">
        <v>836.50599999999997</v>
      </c>
      <c r="O924" s="191">
        <v>845</v>
      </c>
      <c r="P924" s="192">
        <f t="shared" si="705"/>
        <v>20</v>
      </c>
      <c r="Q924" s="192">
        <f t="shared" si="706"/>
        <v>20</v>
      </c>
      <c r="R924" s="193">
        <f t="shared" si="685"/>
        <v>336301.2</v>
      </c>
      <c r="S924" s="193">
        <f t="shared" si="686"/>
        <v>1698.8000000000056</v>
      </c>
      <c r="T924" s="193">
        <v>60</v>
      </c>
      <c r="U924" s="193">
        <f t="shared" si="707"/>
        <v>12.89</v>
      </c>
      <c r="V924" s="193">
        <f t="shared" si="708"/>
        <v>42</v>
      </c>
      <c r="W924" s="193">
        <f t="shared" si="710"/>
        <v>5</v>
      </c>
      <c r="X924" s="193">
        <f t="shared" si="721"/>
        <v>11.6</v>
      </c>
      <c r="Y924" s="193">
        <f t="shared" si="716"/>
        <v>0</v>
      </c>
      <c r="Z924" s="193">
        <f t="shared" si="692"/>
        <v>131.49</v>
      </c>
      <c r="AA924" s="194">
        <f t="shared" si="693"/>
        <v>1567.31</v>
      </c>
      <c r="AB924" s="195">
        <f>1567+0.12</f>
        <v>1567.12</v>
      </c>
      <c r="AC924" s="196">
        <f t="shared" si="694"/>
        <v>-0.19000000000005457</v>
      </c>
      <c r="AD924" s="197">
        <f t="shared" si="695"/>
        <v>1.0154141153799289E-2</v>
      </c>
      <c r="AE924" s="198">
        <f t="shared" si="696"/>
        <v>3.9100000000000002E-4</v>
      </c>
      <c r="AF924" s="193" t="s">
        <v>683</v>
      </c>
      <c r="AG924" s="199" t="s">
        <v>416</v>
      </c>
      <c r="AH924" s="124"/>
    </row>
    <row r="925" spans="1:34" ht="12" hidden="1" customHeight="1">
      <c r="A925" s="187">
        <v>44258</v>
      </c>
      <c r="B925" s="188" t="s">
        <v>684</v>
      </c>
      <c r="C925" s="188" t="s">
        <v>485</v>
      </c>
      <c r="D925" s="188"/>
      <c r="E925" s="188" t="str">
        <f t="shared" si="682"/>
        <v>ESCORTS</v>
      </c>
      <c r="F925" s="188"/>
      <c r="G925" s="188"/>
      <c r="H925" s="188"/>
      <c r="I925" s="188" t="s">
        <v>668</v>
      </c>
      <c r="J925" s="188" t="s">
        <v>483</v>
      </c>
      <c r="K925" s="188"/>
      <c r="L925" s="188"/>
      <c r="M925" s="189">
        <v>250</v>
      </c>
      <c r="N925" s="190">
        <v>1344.8484000000001</v>
      </c>
      <c r="O925" s="191">
        <v>1349.35</v>
      </c>
      <c r="P925" s="192">
        <f t="shared" si="705"/>
        <v>20</v>
      </c>
      <c r="Q925" s="192">
        <f t="shared" si="706"/>
        <v>20</v>
      </c>
      <c r="R925" s="193">
        <f t="shared" si="685"/>
        <v>673549.6</v>
      </c>
      <c r="S925" s="193">
        <f t="shared" si="686"/>
        <v>1125.3999999999564</v>
      </c>
      <c r="T925" s="193">
        <v>139.98000000000002</v>
      </c>
      <c r="U925" s="193">
        <f t="shared" si="707"/>
        <v>28.53</v>
      </c>
      <c r="V925" s="193">
        <f t="shared" si="708"/>
        <v>84</v>
      </c>
      <c r="W925" s="193">
        <f t="shared" si="710"/>
        <v>10</v>
      </c>
      <c r="X925" s="193">
        <f>ROUND(R925*G$1820,2)</f>
        <v>18.52</v>
      </c>
      <c r="Y925" s="193">
        <f t="shared" si="716"/>
        <v>0</v>
      </c>
      <c r="Z925" s="193">
        <f t="shared" si="692"/>
        <v>281.02999999999997</v>
      </c>
      <c r="AA925" s="194">
        <f t="shared" si="693"/>
        <v>844.37</v>
      </c>
      <c r="AB925" s="195">
        <v>844.03</v>
      </c>
      <c r="AC925" s="196">
        <f t="shared" si="694"/>
        <v>-0.34000000000003183</v>
      </c>
      <c r="AD925" s="197">
        <f t="shared" si="695"/>
        <v>3.3472917839660033E-3</v>
      </c>
      <c r="AE925" s="198">
        <f t="shared" si="696"/>
        <v>4.17E-4</v>
      </c>
      <c r="AF925" s="193" t="s">
        <v>683</v>
      </c>
      <c r="AG925" s="199" t="s">
        <v>416</v>
      </c>
      <c r="AH925" s="124"/>
    </row>
    <row r="926" spans="1:34" ht="12" hidden="1" customHeight="1">
      <c r="A926" s="187">
        <v>44259</v>
      </c>
      <c r="B926" s="188" t="s">
        <v>579</v>
      </c>
      <c r="C926" s="188" t="s">
        <v>485</v>
      </c>
      <c r="D926" s="188"/>
      <c r="E926" s="188" t="str">
        <f t="shared" si="682"/>
        <v>INDIGO</v>
      </c>
      <c r="F926" s="188"/>
      <c r="G926" s="188"/>
      <c r="H926" s="188"/>
      <c r="I926" s="188" t="s">
        <v>668</v>
      </c>
      <c r="J926" s="188" t="s">
        <v>483</v>
      </c>
      <c r="K926" s="188"/>
      <c r="L926" s="188"/>
      <c r="M926" s="189">
        <v>550</v>
      </c>
      <c r="N926" s="190">
        <v>1799.0835999999999</v>
      </c>
      <c r="O926" s="191">
        <v>1806.1364000000001</v>
      </c>
      <c r="P926" s="192">
        <f t="shared" si="705"/>
        <v>20</v>
      </c>
      <c r="Q926" s="192">
        <f t="shared" si="706"/>
        <v>20</v>
      </c>
      <c r="R926" s="193">
        <f t="shared" si="685"/>
        <v>1982871</v>
      </c>
      <c r="S926" s="193">
        <f t="shared" si="686"/>
        <v>3879.0400000000886</v>
      </c>
      <c r="T926" s="193">
        <v>140</v>
      </c>
      <c r="U926" s="193">
        <f t="shared" si="707"/>
        <v>37.51</v>
      </c>
      <c r="V926" s="193">
        <f t="shared" si="708"/>
        <v>248</v>
      </c>
      <c r="W926" s="193">
        <f t="shared" si="710"/>
        <v>30</v>
      </c>
      <c r="X926" s="193">
        <f>ROUND(R926*H$1820,2)</f>
        <v>68.41</v>
      </c>
      <c r="Y926" s="193">
        <f t="shared" si="716"/>
        <v>0</v>
      </c>
      <c r="Z926" s="193">
        <f t="shared" si="692"/>
        <v>523.91999999999996</v>
      </c>
      <c r="AA926" s="194">
        <f t="shared" si="693"/>
        <v>3355.12</v>
      </c>
      <c r="AB926" s="195">
        <v>3353.54</v>
      </c>
      <c r="AC926" s="196">
        <f t="shared" si="694"/>
        <v>-1.5799999999999272</v>
      </c>
      <c r="AD926" s="197">
        <f t="shared" si="695"/>
        <v>3.9202180487889282E-3</v>
      </c>
      <c r="AE926" s="198">
        <f t="shared" si="696"/>
        <v>2.6400000000000002E-4</v>
      </c>
      <c r="AF926" s="193" t="s">
        <v>683</v>
      </c>
      <c r="AG926" s="199" t="s">
        <v>416</v>
      </c>
      <c r="AH926" s="124"/>
    </row>
    <row r="927" spans="1:34" ht="12" hidden="1" customHeight="1">
      <c r="A927" s="187">
        <v>44260</v>
      </c>
      <c r="B927" s="188" t="s">
        <v>685</v>
      </c>
      <c r="C927" s="188" t="s">
        <v>485</v>
      </c>
      <c r="D927" s="188"/>
      <c r="E927" s="188" t="str">
        <f t="shared" si="682"/>
        <v>COROMANDEL</v>
      </c>
      <c r="F927" s="188"/>
      <c r="G927" s="188"/>
      <c r="H927" s="188"/>
      <c r="I927" s="188" t="s">
        <v>668</v>
      </c>
      <c r="J927" s="188" t="s">
        <v>483</v>
      </c>
      <c r="K927" s="188"/>
      <c r="L927" s="188"/>
      <c r="M927" s="189">
        <v>100</v>
      </c>
      <c r="N927" s="190">
        <v>792</v>
      </c>
      <c r="O927" s="191">
        <v>787.15</v>
      </c>
      <c r="P927" s="192">
        <f t="shared" si="705"/>
        <v>20</v>
      </c>
      <c r="Q927" s="192">
        <f t="shared" si="706"/>
        <v>20</v>
      </c>
      <c r="R927" s="193">
        <f t="shared" si="685"/>
        <v>157915</v>
      </c>
      <c r="S927" s="193">
        <f t="shared" si="686"/>
        <v>-485.00000000000227</v>
      </c>
      <c r="T927" s="193">
        <v>47.39</v>
      </c>
      <c r="U927" s="193">
        <f t="shared" si="707"/>
        <v>9.31</v>
      </c>
      <c r="V927" s="193">
        <f t="shared" si="708"/>
        <v>20</v>
      </c>
      <c r="W927" s="193">
        <f t="shared" si="710"/>
        <v>2</v>
      </c>
      <c r="X927" s="193">
        <f t="shared" ref="X927:X930" si="722">ROUND(R927*G$1820,2)</f>
        <v>4.34</v>
      </c>
      <c r="Y927" s="193">
        <f t="shared" si="716"/>
        <v>0</v>
      </c>
      <c r="Z927" s="193">
        <f t="shared" si="692"/>
        <v>83.04</v>
      </c>
      <c r="AA927" s="194">
        <f t="shared" si="693"/>
        <v>-568.04</v>
      </c>
      <c r="AB927" s="195">
        <v>-568</v>
      </c>
      <c r="AC927" s="196">
        <f t="shared" si="694"/>
        <v>3.999999999996362E-2</v>
      </c>
      <c r="AD927" s="197">
        <f t="shared" si="695"/>
        <v>-6.1237373737374028E-3</v>
      </c>
      <c r="AE927" s="198">
        <f t="shared" si="696"/>
        <v>5.2599999999999999E-4</v>
      </c>
      <c r="AF927" s="193"/>
      <c r="AG927" s="199" t="s">
        <v>416</v>
      </c>
      <c r="AH927" s="124"/>
    </row>
    <row r="928" spans="1:34" ht="12" hidden="1" customHeight="1">
      <c r="A928" s="187">
        <v>44260</v>
      </c>
      <c r="B928" s="188" t="s">
        <v>686</v>
      </c>
      <c r="C928" s="188" t="s">
        <v>485</v>
      </c>
      <c r="D928" s="188"/>
      <c r="E928" s="188" t="str">
        <f t="shared" si="682"/>
        <v>PVR</v>
      </c>
      <c r="F928" s="188"/>
      <c r="G928" s="188"/>
      <c r="H928" s="188"/>
      <c r="I928" s="188" t="s">
        <v>668</v>
      </c>
      <c r="J928" s="188" t="s">
        <v>483</v>
      </c>
      <c r="K928" s="188"/>
      <c r="L928" s="188"/>
      <c r="M928" s="189">
        <v>150</v>
      </c>
      <c r="N928" s="190">
        <v>1453.5</v>
      </c>
      <c r="O928" s="191">
        <v>1445.1</v>
      </c>
      <c r="P928" s="192">
        <f t="shared" si="705"/>
        <v>20</v>
      </c>
      <c r="Q928" s="192">
        <f t="shared" si="706"/>
        <v>20</v>
      </c>
      <c r="R928" s="193">
        <f t="shared" si="685"/>
        <v>434790</v>
      </c>
      <c r="S928" s="193">
        <f t="shared" si="686"/>
        <v>-1260.0000000000136</v>
      </c>
      <c r="T928" s="193">
        <f>ROUND(P928+Q928,2)</f>
        <v>40</v>
      </c>
      <c r="U928" s="193">
        <f t="shared" si="707"/>
        <v>9.35</v>
      </c>
      <c r="V928" s="193">
        <f t="shared" si="708"/>
        <v>54</v>
      </c>
      <c r="W928" s="193">
        <f t="shared" si="710"/>
        <v>7</v>
      </c>
      <c r="X928" s="193">
        <f t="shared" si="722"/>
        <v>11.96</v>
      </c>
      <c r="Y928" s="193">
        <f t="shared" si="716"/>
        <v>0</v>
      </c>
      <c r="Z928" s="193">
        <f t="shared" si="692"/>
        <v>122.31</v>
      </c>
      <c r="AA928" s="194">
        <f t="shared" si="693"/>
        <v>-1382.31</v>
      </c>
      <c r="AB928" s="195">
        <f>-1382-0.63</f>
        <v>-1382.63</v>
      </c>
      <c r="AC928" s="196">
        <f t="shared" si="694"/>
        <v>-0.32000000000016371</v>
      </c>
      <c r="AD928" s="197">
        <f t="shared" si="695"/>
        <v>-5.7791537667699283E-3</v>
      </c>
      <c r="AE928" s="198">
        <f t="shared" si="696"/>
        <v>2.81E-4</v>
      </c>
      <c r="AF928" s="193" t="s">
        <v>683</v>
      </c>
      <c r="AG928" s="199" t="s">
        <v>416</v>
      </c>
      <c r="AH928" s="124"/>
    </row>
    <row r="929" spans="1:34" ht="12" hidden="1" customHeight="1">
      <c r="A929" s="187">
        <v>44265</v>
      </c>
      <c r="B929" s="188" t="s">
        <v>687</v>
      </c>
      <c r="C929" s="188" t="s">
        <v>485</v>
      </c>
      <c r="D929" s="188"/>
      <c r="E929" s="188" t="str">
        <f t="shared" si="682"/>
        <v>MGL</v>
      </c>
      <c r="F929" s="188"/>
      <c r="G929" s="188"/>
      <c r="H929" s="188"/>
      <c r="I929" s="188" t="s">
        <v>668</v>
      </c>
      <c r="J929" s="188" t="s">
        <v>483</v>
      </c>
      <c r="K929" s="188"/>
      <c r="L929" s="188"/>
      <c r="M929" s="189">
        <v>850</v>
      </c>
      <c r="N929" s="190">
        <v>1172.8176000000001</v>
      </c>
      <c r="O929" s="191">
        <v>1174.9922999999999</v>
      </c>
      <c r="P929" s="192">
        <f t="shared" si="705"/>
        <v>20</v>
      </c>
      <c r="Q929" s="192">
        <f t="shared" si="706"/>
        <v>20</v>
      </c>
      <c r="R929" s="193">
        <f t="shared" si="685"/>
        <v>1995638.42</v>
      </c>
      <c r="S929" s="193">
        <f t="shared" si="686"/>
        <v>1848.4949999998321</v>
      </c>
      <c r="T929" s="193">
        <v>257.85000000000002</v>
      </c>
      <c r="U929" s="193">
        <f t="shared" si="707"/>
        <v>56.29</v>
      </c>
      <c r="V929" s="193">
        <f t="shared" si="708"/>
        <v>250</v>
      </c>
      <c r="W929" s="193">
        <f t="shared" si="710"/>
        <v>30</v>
      </c>
      <c r="X929" s="193">
        <f t="shared" si="722"/>
        <v>54.88</v>
      </c>
      <c r="Y929" s="193">
        <f t="shared" si="716"/>
        <v>0</v>
      </c>
      <c r="Z929" s="193">
        <f t="shared" si="692"/>
        <v>649.0200000000001</v>
      </c>
      <c r="AA929" s="194">
        <f t="shared" si="693"/>
        <v>1199.47</v>
      </c>
      <c r="AB929" s="195">
        <v>1199.44</v>
      </c>
      <c r="AC929" s="196">
        <f t="shared" si="694"/>
        <v>-2.9999999999972715E-2</v>
      </c>
      <c r="AD929" s="197">
        <f t="shared" si="695"/>
        <v>1.8542525282702121E-3</v>
      </c>
      <c r="AE929" s="198">
        <f t="shared" si="696"/>
        <v>3.2499999999999999E-4</v>
      </c>
      <c r="AF929" s="193" t="s">
        <v>683</v>
      </c>
      <c r="AG929" s="199" t="s">
        <v>416</v>
      </c>
      <c r="AH929" s="124"/>
    </row>
    <row r="930" spans="1:34" ht="12" hidden="1" customHeight="1">
      <c r="A930" s="187">
        <v>44267</v>
      </c>
      <c r="B930" s="188" t="s">
        <v>687</v>
      </c>
      <c r="C930" s="188" t="s">
        <v>485</v>
      </c>
      <c r="D930" s="188"/>
      <c r="E930" s="188" t="str">
        <f t="shared" si="682"/>
        <v>MGL</v>
      </c>
      <c r="F930" s="188"/>
      <c r="G930" s="188"/>
      <c r="H930" s="188"/>
      <c r="I930" s="188" t="s">
        <v>668</v>
      </c>
      <c r="J930" s="188" t="s">
        <v>483</v>
      </c>
      <c r="K930" s="188"/>
      <c r="L930" s="188"/>
      <c r="M930" s="189">
        <v>200</v>
      </c>
      <c r="N930" s="190">
        <v>1201</v>
      </c>
      <c r="O930" s="191">
        <v>1197.075</v>
      </c>
      <c r="P930" s="192">
        <f t="shared" si="705"/>
        <v>20</v>
      </c>
      <c r="Q930" s="192">
        <f t="shared" si="706"/>
        <v>20</v>
      </c>
      <c r="R930" s="193">
        <f t="shared" si="685"/>
        <v>479615</v>
      </c>
      <c r="S930" s="193">
        <f t="shared" si="686"/>
        <v>-784.99999999999091</v>
      </c>
      <c r="T930" s="193">
        <v>60</v>
      </c>
      <c r="U930" s="193">
        <f t="shared" si="707"/>
        <v>13.17</v>
      </c>
      <c r="V930" s="193">
        <f t="shared" si="708"/>
        <v>60</v>
      </c>
      <c r="W930" s="193">
        <f t="shared" si="710"/>
        <v>7</v>
      </c>
      <c r="X930" s="193">
        <f t="shared" si="722"/>
        <v>13.19</v>
      </c>
      <c r="Y930" s="193">
        <f t="shared" si="716"/>
        <v>0</v>
      </c>
      <c r="Z930" s="193">
        <f t="shared" si="692"/>
        <v>153.36000000000001</v>
      </c>
      <c r="AA930" s="194">
        <f t="shared" si="693"/>
        <v>-938.36</v>
      </c>
      <c r="AB930" s="195">
        <v>-938</v>
      </c>
      <c r="AC930" s="196">
        <f t="shared" si="694"/>
        <v>0.36000000000001364</v>
      </c>
      <c r="AD930" s="197">
        <f t="shared" si="695"/>
        <v>-3.2681099084096209E-3</v>
      </c>
      <c r="AE930" s="198">
        <f t="shared" si="696"/>
        <v>3.2000000000000003E-4</v>
      </c>
      <c r="AF930" s="193"/>
      <c r="AG930" s="199" t="s">
        <v>416</v>
      </c>
      <c r="AH930" s="124"/>
    </row>
    <row r="931" spans="1:34" ht="12" hidden="1" customHeight="1">
      <c r="A931" s="187">
        <v>44267</v>
      </c>
      <c r="B931" s="188" t="s">
        <v>673</v>
      </c>
      <c r="C931" s="188" t="s">
        <v>485</v>
      </c>
      <c r="D931" s="188"/>
      <c r="E931" s="188" t="str">
        <f t="shared" si="682"/>
        <v>JSWSTEEL</v>
      </c>
      <c r="F931" s="188"/>
      <c r="G931" s="188"/>
      <c r="H931" s="188"/>
      <c r="I931" s="188" t="s">
        <v>668</v>
      </c>
      <c r="J931" s="188" t="s">
        <v>483</v>
      </c>
      <c r="K931" s="188"/>
      <c r="L931" s="188"/>
      <c r="M931" s="189">
        <v>1000</v>
      </c>
      <c r="N931" s="190">
        <v>421.5</v>
      </c>
      <c r="O931" s="191">
        <v>425.27319999999997</v>
      </c>
      <c r="P931" s="192">
        <f t="shared" si="705"/>
        <v>20</v>
      </c>
      <c r="Q931" s="192">
        <f t="shared" si="706"/>
        <v>20</v>
      </c>
      <c r="R931" s="193">
        <f t="shared" si="685"/>
        <v>846773.2</v>
      </c>
      <c r="S931" s="193">
        <f t="shared" si="686"/>
        <v>3773.1999999999744</v>
      </c>
      <c r="T931" s="193">
        <v>60</v>
      </c>
      <c r="U931" s="193">
        <f t="shared" si="707"/>
        <v>16.059999999999999</v>
      </c>
      <c r="V931" s="193">
        <f t="shared" si="708"/>
        <v>106</v>
      </c>
      <c r="W931" s="193">
        <f t="shared" si="710"/>
        <v>13</v>
      </c>
      <c r="X931" s="193">
        <f t="shared" ref="X931:X933" si="723">ROUND(R931*H$1820,2)</f>
        <v>29.21</v>
      </c>
      <c r="Y931" s="193">
        <f t="shared" si="716"/>
        <v>0</v>
      </c>
      <c r="Z931" s="193">
        <f t="shared" si="692"/>
        <v>224.27</v>
      </c>
      <c r="AA931" s="194">
        <f t="shared" si="693"/>
        <v>3548.93</v>
      </c>
      <c r="AB931" s="195">
        <f>3549-1.1</f>
        <v>3547.9</v>
      </c>
      <c r="AC931" s="196">
        <f t="shared" si="694"/>
        <v>-1.0299999999997453</v>
      </c>
      <c r="AD931" s="197">
        <f t="shared" si="695"/>
        <v>8.9518386714115637E-3</v>
      </c>
      <c r="AE931" s="198">
        <f t="shared" si="696"/>
        <v>2.6499999999999999E-4</v>
      </c>
      <c r="AF931" s="193" t="s">
        <v>683</v>
      </c>
      <c r="AG931" s="199" t="s">
        <v>416</v>
      </c>
      <c r="AH931" s="124"/>
    </row>
    <row r="932" spans="1:34" ht="12" hidden="1" customHeight="1">
      <c r="A932" s="187">
        <v>44270</v>
      </c>
      <c r="B932" s="188" t="s">
        <v>677</v>
      </c>
      <c r="C932" s="188" t="s">
        <v>485</v>
      </c>
      <c r="D932" s="188"/>
      <c r="E932" s="188" t="str">
        <f t="shared" si="682"/>
        <v>AXISBANK</v>
      </c>
      <c r="F932" s="188"/>
      <c r="G932" s="188"/>
      <c r="H932" s="188"/>
      <c r="I932" s="188" t="s">
        <v>668</v>
      </c>
      <c r="J932" s="188" t="s">
        <v>483</v>
      </c>
      <c r="K932" s="188"/>
      <c r="L932" s="188"/>
      <c r="M932" s="189">
        <v>400</v>
      </c>
      <c r="N932" s="190">
        <v>725.13750000000005</v>
      </c>
      <c r="O932" s="191">
        <v>727</v>
      </c>
      <c r="P932" s="192">
        <f t="shared" si="705"/>
        <v>20</v>
      </c>
      <c r="Q932" s="192">
        <f t="shared" si="706"/>
        <v>20</v>
      </c>
      <c r="R932" s="193">
        <f t="shared" si="685"/>
        <v>580855</v>
      </c>
      <c r="S932" s="193">
        <f t="shared" si="686"/>
        <v>744.99999999998181</v>
      </c>
      <c r="T932" s="193">
        <v>100</v>
      </c>
      <c r="U932" s="193">
        <f t="shared" si="707"/>
        <v>21.61</v>
      </c>
      <c r="V932" s="193">
        <f t="shared" si="708"/>
        <v>73</v>
      </c>
      <c r="W932" s="193">
        <f t="shared" si="710"/>
        <v>9</v>
      </c>
      <c r="X932" s="193">
        <f t="shared" si="723"/>
        <v>20.04</v>
      </c>
      <c r="Y932" s="193">
        <f t="shared" si="716"/>
        <v>0</v>
      </c>
      <c r="Z932" s="193">
        <f t="shared" si="692"/>
        <v>223.65</v>
      </c>
      <c r="AA932" s="194">
        <f t="shared" si="693"/>
        <v>521.35</v>
      </c>
      <c r="AB932" s="195">
        <v>521.05999999999995</v>
      </c>
      <c r="AC932" s="196">
        <f t="shared" si="694"/>
        <v>-0.29000000000007731</v>
      </c>
      <c r="AD932" s="197">
        <f t="shared" si="695"/>
        <v>2.568478392029035E-3</v>
      </c>
      <c r="AE932" s="198">
        <f t="shared" si="696"/>
        <v>3.8499999999999998E-4</v>
      </c>
      <c r="AF932" s="193" t="s">
        <v>683</v>
      </c>
      <c r="AG932" s="199" t="s">
        <v>416</v>
      </c>
      <c r="AH932" s="124"/>
    </row>
    <row r="933" spans="1:34" ht="12" hidden="1" customHeight="1">
      <c r="A933" s="187">
        <v>44271</v>
      </c>
      <c r="B933" s="188" t="s">
        <v>687</v>
      </c>
      <c r="C933" s="188" t="s">
        <v>485</v>
      </c>
      <c r="D933" s="188"/>
      <c r="E933" s="188" t="str">
        <f t="shared" si="682"/>
        <v>MGL</v>
      </c>
      <c r="F933" s="188"/>
      <c r="G933" s="188"/>
      <c r="H933" s="188"/>
      <c r="I933" s="188" t="s">
        <v>668</v>
      </c>
      <c r="J933" s="188" t="s">
        <v>483</v>
      </c>
      <c r="K933" s="188"/>
      <c r="L933" s="188"/>
      <c r="M933" s="189">
        <v>600</v>
      </c>
      <c r="N933" s="190">
        <v>1194.2583</v>
      </c>
      <c r="O933" s="191">
        <v>1200.5001</v>
      </c>
      <c r="P933" s="192">
        <f t="shared" si="705"/>
        <v>20</v>
      </c>
      <c r="Q933" s="192">
        <f t="shared" si="706"/>
        <v>20</v>
      </c>
      <c r="R933" s="193">
        <f t="shared" si="685"/>
        <v>1436855.04</v>
      </c>
      <c r="S933" s="193">
        <f t="shared" si="686"/>
        <v>3745.0800000000072</v>
      </c>
      <c r="T933" s="193">
        <v>80.36</v>
      </c>
      <c r="U933" s="193">
        <f t="shared" si="707"/>
        <v>23.39</v>
      </c>
      <c r="V933" s="193">
        <f t="shared" si="708"/>
        <v>180</v>
      </c>
      <c r="W933" s="193">
        <f t="shared" si="710"/>
        <v>21</v>
      </c>
      <c r="X933" s="193">
        <f t="shared" si="723"/>
        <v>49.57</v>
      </c>
      <c r="Y933" s="193">
        <f t="shared" si="716"/>
        <v>0</v>
      </c>
      <c r="Z933" s="193">
        <f t="shared" si="692"/>
        <v>354.32</v>
      </c>
      <c r="AA933" s="194">
        <f t="shared" si="693"/>
        <v>3390.76</v>
      </c>
      <c r="AB933" s="195">
        <v>3389.01</v>
      </c>
      <c r="AC933" s="196">
        <f t="shared" si="694"/>
        <v>-1.75</v>
      </c>
      <c r="AD933" s="197">
        <f t="shared" si="695"/>
        <v>5.2265075319133329E-3</v>
      </c>
      <c r="AE933" s="198">
        <f t="shared" si="696"/>
        <v>2.4699999999999999E-4</v>
      </c>
      <c r="AF933" s="193" t="s">
        <v>683</v>
      </c>
      <c r="AG933" s="199" t="s">
        <v>416</v>
      </c>
      <c r="AH933" s="124"/>
    </row>
    <row r="934" spans="1:34" ht="12" hidden="1" customHeight="1">
      <c r="A934" s="187">
        <v>44272</v>
      </c>
      <c r="B934" s="188" t="s">
        <v>687</v>
      </c>
      <c r="C934" s="188" t="s">
        <v>485</v>
      </c>
      <c r="D934" s="188"/>
      <c r="E934" s="188" t="str">
        <f t="shared" si="682"/>
        <v>MGL</v>
      </c>
      <c r="F934" s="188"/>
      <c r="G934" s="188"/>
      <c r="H934" s="188"/>
      <c r="I934" s="188" t="s">
        <v>668</v>
      </c>
      <c r="J934" s="188" t="s">
        <v>483</v>
      </c>
      <c r="K934" s="188"/>
      <c r="L934" s="188"/>
      <c r="M934" s="189">
        <v>800</v>
      </c>
      <c r="N934" s="190">
        <v>1175.9688000000001</v>
      </c>
      <c r="O934" s="191">
        <v>1180.145</v>
      </c>
      <c r="P934" s="192">
        <f t="shared" si="705"/>
        <v>20</v>
      </c>
      <c r="Q934" s="192">
        <f t="shared" si="706"/>
        <v>20</v>
      </c>
      <c r="R934" s="193">
        <f t="shared" si="685"/>
        <v>1884891.04</v>
      </c>
      <c r="S934" s="193">
        <f t="shared" si="686"/>
        <v>3340.9599999999045</v>
      </c>
      <c r="T934" s="193">
        <v>160</v>
      </c>
      <c r="U934" s="193">
        <f t="shared" si="707"/>
        <v>38.130000000000003</v>
      </c>
      <c r="V934" s="193">
        <f t="shared" si="708"/>
        <v>236</v>
      </c>
      <c r="W934" s="193">
        <f t="shared" si="710"/>
        <v>28</v>
      </c>
      <c r="X934" s="193">
        <f t="shared" ref="X934:X935" si="724">ROUND(R934*G$1820,2)</f>
        <v>51.83</v>
      </c>
      <c r="Y934" s="193">
        <f t="shared" si="716"/>
        <v>0</v>
      </c>
      <c r="Z934" s="193">
        <f t="shared" si="692"/>
        <v>513.96</v>
      </c>
      <c r="AA934" s="194">
        <f t="shared" si="693"/>
        <v>2827</v>
      </c>
      <c r="AB934" s="195">
        <v>2826.09</v>
      </c>
      <c r="AC934" s="196">
        <f t="shared" si="694"/>
        <v>-0.90999999999985448</v>
      </c>
      <c r="AD934" s="197">
        <f t="shared" si="695"/>
        <v>3.5512846939475609E-3</v>
      </c>
      <c r="AE934" s="198">
        <f t="shared" si="696"/>
        <v>2.7300000000000002E-4</v>
      </c>
      <c r="AF934" s="193" t="s">
        <v>683</v>
      </c>
      <c r="AG934" s="199" t="s">
        <v>416</v>
      </c>
      <c r="AH934" s="124"/>
    </row>
    <row r="935" spans="1:34" ht="12" hidden="1" customHeight="1">
      <c r="A935" s="187">
        <v>44273</v>
      </c>
      <c r="B935" s="188" t="s">
        <v>687</v>
      </c>
      <c r="C935" s="188" t="s">
        <v>485</v>
      </c>
      <c r="D935" s="188"/>
      <c r="E935" s="188" t="str">
        <f t="shared" si="682"/>
        <v>MGL</v>
      </c>
      <c r="F935" s="188"/>
      <c r="G935" s="188"/>
      <c r="H935" s="188"/>
      <c r="I935" s="188" t="s">
        <v>668</v>
      </c>
      <c r="J935" s="188" t="s">
        <v>483</v>
      </c>
      <c r="K935" s="188"/>
      <c r="L935" s="188"/>
      <c r="M935" s="189">
        <v>700</v>
      </c>
      <c r="N935" s="190">
        <v>1153</v>
      </c>
      <c r="O935" s="191">
        <v>1163.0224000000001</v>
      </c>
      <c r="P935" s="192">
        <f t="shared" si="705"/>
        <v>20</v>
      </c>
      <c r="Q935" s="192">
        <f t="shared" si="706"/>
        <v>20</v>
      </c>
      <c r="R935" s="193">
        <f t="shared" si="685"/>
        <v>1621215.68</v>
      </c>
      <c r="S935" s="193">
        <f t="shared" si="686"/>
        <v>7015.680000000043</v>
      </c>
      <c r="T935" s="193">
        <v>80</v>
      </c>
      <c r="U935" s="193">
        <f t="shared" si="707"/>
        <v>22.42</v>
      </c>
      <c r="V935" s="193">
        <f t="shared" si="708"/>
        <v>204</v>
      </c>
      <c r="W935" s="193">
        <f t="shared" si="710"/>
        <v>24</v>
      </c>
      <c r="X935" s="193">
        <f t="shared" si="724"/>
        <v>44.58</v>
      </c>
      <c r="Y935" s="193">
        <f t="shared" si="716"/>
        <v>0</v>
      </c>
      <c r="Z935" s="193">
        <f t="shared" si="692"/>
        <v>375</v>
      </c>
      <c r="AA935" s="194">
        <f t="shared" si="693"/>
        <v>6640.68</v>
      </c>
      <c r="AB935" s="195">
        <v>6640.88</v>
      </c>
      <c r="AC935" s="196">
        <f t="shared" si="694"/>
        <v>0.1999999999998181</v>
      </c>
      <c r="AD935" s="197">
        <f t="shared" si="695"/>
        <v>8.6924544666088996E-3</v>
      </c>
      <c r="AE935" s="198">
        <f t="shared" si="696"/>
        <v>2.31E-4</v>
      </c>
      <c r="AF935" s="193" t="s">
        <v>683</v>
      </c>
      <c r="AG935" s="199" t="s">
        <v>416</v>
      </c>
      <c r="AH935" s="124"/>
    </row>
    <row r="936" spans="1:34" ht="12" hidden="1" customHeight="1">
      <c r="A936" s="187">
        <v>44274</v>
      </c>
      <c r="B936" s="188" t="s">
        <v>688</v>
      </c>
      <c r="C936" s="188" t="s">
        <v>485</v>
      </c>
      <c r="D936" s="188"/>
      <c r="E936" s="188" t="str">
        <f t="shared" si="682"/>
        <v>IGL</v>
      </c>
      <c r="F936" s="188"/>
      <c r="G936" s="188"/>
      <c r="H936" s="188"/>
      <c r="I936" s="188" t="s">
        <v>668</v>
      </c>
      <c r="J936" s="188" t="s">
        <v>483</v>
      </c>
      <c r="K936" s="188"/>
      <c r="L936" s="188"/>
      <c r="M936" s="189">
        <v>1600</v>
      </c>
      <c r="N936" s="190">
        <v>507.83530000000002</v>
      </c>
      <c r="O936" s="191">
        <v>494.80630000000002</v>
      </c>
      <c r="P936" s="192">
        <f t="shared" si="705"/>
        <v>20</v>
      </c>
      <c r="Q936" s="192">
        <f t="shared" si="706"/>
        <v>20</v>
      </c>
      <c r="R936" s="193">
        <f t="shared" si="685"/>
        <v>1604226.56</v>
      </c>
      <c r="S936" s="193">
        <f t="shared" si="686"/>
        <v>-20846.399999999994</v>
      </c>
      <c r="T936" s="193">
        <f>139.49+3</f>
        <v>142.49</v>
      </c>
      <c r="U936" s="193">
        <f t="shared" si="707"/>
        <v>35.61</v>
      </c>
      <c r="V936" s="193">
        <f t="shared" si="708"/>
        <v>198</v>
      </c>
      <c r="W936" s="193">
        <f t="shared" si="710"/>
        <v>24</v>
      </c>
      <c r="X936" s="193">
        <f t="shared" ref="X936:X938" si="725">ROUND(R936*H$1820,2)</f>
        <v>55.35</v>
      </c>
      <c r="Y936" s="193">
        <f t="shared" si="716"/>
        <v>0</v>
      </c>
      <c r="Z936" s="193">
        <f t="shared" si="692"/>
        <v>455.45000000000005</v>
      </c>
      <c r="AA936" s="194">
        <f t="shared" si="693"/>
        <v>-21301.85</v>
      </c>
      <c r="AB936" s="195">
        <v>-21302.2</v>
      </c>
      <c r="AC936" s="196">
        <f t="shared" si="694"/>
        <v>-0.35000000000218279</v>
      </c>
      <c r="AD936" s="197">
        <f t="shared" si="695"/>
        <v>-2.5655955779363891E-2</v>
      </c>
      <c r="AE936" s="198">
        <f t="shared" si="696"/>
        <v>2.8400000000000002E-4</v>
      </c>
      <c r="AF936" s="193" t="s">
        <v>683</v>
      </c>
      <c r="AG936" s="199" t="s">
        <v>416</v>
      </c>
      <c r="AH936" s="124"/>
    </row>
    <row r="937" spans="1:34" ht="12" hidden="1" customHeight="1">
      <c r="A937" s="187">
        <v>44277</v>
      </c>
      <c r="B937" s="188" t="s">
        <v>607</v>
      </c>
      <c r="C937" s="188" t="s">
        <v>485</v>
      </c>
      <c r="D937" s="188"/>
      <c r="E937" s="188" t="str">
        <f t="shared" si="682"/>
        <v>AUROPHARMA</v>
      </c>
      <c r="F937" s="188"/>
      <c r="G937" s="188"/>
      <c r="H937" s="188"/>
      <c r="I937" s="188" t="s">
        <v>668</v>
      </c>
      <c r="J937" s="188" t="s">
        <v>483</v>
      </c>
      <c r="K937" s="188"/>
      <c r="L937" s="188"/>
      <c r="M937" s="189">
        <v>1250</v>
      </c>
      <c r="N937" s="190">
        <v>843.37444000000005</v>
      </c>
      <c r="O937" s="191">
        <v>834.6</v>
      </c>
      <c r="P937" s="192">
        <f t="shared" si="705"/>
        <v>20</v>
      </c>
      <c r="Q937" s="192">
        <f t="shared" si="706"/>
        <v>20</v>
      </c>
      <c r="R937" s="193">
        <f t="shared" si="685"/>
        <v>2097468.0499999998</v>
      </c>
      <c r="S937" s="193">
        <f t="shared" si="686"/>
        <v>-10968.050000000034</v>
      </c>
      <c r="T937" s="193">
        <v>215.12</v>
      </c>
      <c r="U937" s="193">
        <f t="shared" si="707"/>
        <v>51.75</v>
      </c>
      <c r="V937" s="193">
        <f t="shared" si="708"/>
        <v>261</v>
      </c>
      <c r="W937" s="193">
        <f t="shared" si="710"/>
        <v>32</v>
      </c>
      <c r="X937" s="193">
        <f t="shared" si="725"/>
        <v>72.36</v>
      </c>
      <c r="Y937" s="193">
        <f t="shared" si="716"/>
        <v>0</v>
      </c>
      <c r="Z937" s="193">
        <f t="shared" si="692"/>
        <v>632.23</v>
      </c>
      <c r="AA937" s="194">
        <f t="shared" si="693"/>
        <v>-11600.28</v>
      </c>
      <c r="AB937" s="195">
        <f>-11600-1.89</f>
        <v>-11601.89</v>
      </c>
      <c r="AC937" s="196">
        <f t="shared" si="694"/>
        <v>-1.6099999999987631</v>
      </c>
      <c r="AD937" s="197">
        <f t="shared" si="695"/>
        <v>-1.0403967186864267E-2</v>
      </c>
      <c r="AE937" s="198">
        <f t="shared" si="696"/>
        <v>3.01E-4</v>
      </c>
      <c r="AF937" s="193" t="s">
        <v>683</v>
      </c>
      <c r="AG937" s="199" t="s">
        <v>416</v>
      </c>
      <c r="AH937" s="124"/>
    </row>
    <row r="938" spans="1:34" ht="12" hidden="1" customHeight="1">
      <c r="A938" s="187">
        <v>44277</v>
      </c>
      <c r="B938" s="188" t="s">
        <v>579</v>
      </c>
      <c r="C938" s="188" t="s">
        <v>485</v>
      </c>
      <c r="D938" s="188"/>
      <c r="E938" s="188" t="str">
        <f t="shared" si="682"/>
        <v>INDIGO</v>
      </c>
      <c r="F938" s="188"/>
      <c r="G938" s="188"/>
      <c r="H938" s="188"/>
      <c r="I938" s="188" t="s">
        <v>668</v>
      </c>
      <c r="J938" s="188" t="s">
        <v>483</v>
      </c>
      <c r="K938" s="188"/>
      <c r="L938" s="188"/>
      <c r="M938" s="189">
        <v>500</v>
      </c>
      <c r="N938" s="190">
        <v>1714.6</v>
      </c>
      <c r="O938" s="191">
        <v>1719.2</v>
      </c>
      <c r="P938" s="192">
        <f t="shared" si="705"/>
        <v>20</v>
      </c>
      <c r="Q938" s="192">
        <f t="shared" si="706"/>
        <v>20</v>
      </c>
      <c r="R938" s="193">
        <f t="shared" si="685"/>
        <v>1716900</v>
      </c>
      <c r="S938" s="193">
        <f t="shared" si="686"/>
        <v>2300.0000000000682</v>
      </c>
      <c r="T938" s="193">
        <v>160</v>
      </c>
      <c r="U938" s="193">
        <f t="shared" si="707"/>
        <v>39.46</v>
      </c>
      <c r="V938" s="193">
        <f t="shared" si="708"/>
        <v>215</v>
      </c>
      <c r="W938" s="193">
        <f t="shared" si="710"/>
        <v>26</v>
      </c>
      <c r="X938" s="193">
        <f t="shared" si="725"/>
        <v>59.23</v>
      </c>
      <c r="Y938" s="193">
        <f t="shared" si="716"/>
        <v>0</v>
      </c>
      <c r="Z938" s="193">
        <f t="shared" si="692"/>
        <v>499.69000000000005</v>
      </c>
      <c r="AA938" s="194">
        <f t="shared" si="693"/>
        <v>1800.31</v>
      </c>
      <c r="AB938" s="195">
        <v>1800</v>
      </c>
      <c r="AC938" s="196">
        <f t="shared" si="694"/>
        <v>-0.30999999999994543</v>
      </c>
      <c r="AD938" s="197">
        <f t="shared" si="695"/>
        <v>2.6828414790622517E-3</v>
      </c>
      <c r="AE938" s="198">
        <f t="shared" si="696"/>
        <v>2.9100000000000003E-4</v>
      </c>
      <c r="AF938" s="193" t="s">
        <v>683</v>
      </c>
      <c r="AG938" s="199" t="s">
        <v>416</v>
      </c>
      <c r="AH938" s="124"/>
    </row>
    <row r="939" spans="1:34" ht="12" hidden="1" customHeight="1">
      <c r="A939" s="187">
        <v>44278</v>
      </c>
      <c r="B939" s="188" t="s">
        <v>687</v>
      </c>
      <c r="C939" s="188" t="s">
        <v>485</v>
      </c>
      <c r="D939" s="188"/>
      <c r="E939" s="188" t="str">
        <f t="shared" si="682"/>
        <v>MGL</v>
      </c>
      <c r="F939" s="188"/>
      <c r="G939" s="188"/>
      <c r="H939" s="188"/>
      <c r="I939" s="188" t="s">
        <v>668</v>
      </c>
      <c r="J939" s="188" t="s">
        <v>483</v>
      </c>
      <c r="K939" s="188"/>
      <c r="L939" s="188"/>
      <c r="M939" s="189">
        <v>350</v>
      </c>
      <c r="N939" s="190">
        <v>1145.8571999999999</v>
      </c>
      <c r="O939" s="191">
        <v>1148.0596</v>
      </c>
      <c r="P939" s="192">
        <f t="shared" si="705"/>
        <v>20</v>
      </c>
      <c r="Q939" s="192">
        <f t="shared" si="706"/>
        <v>20</v>
      </c>
      <c r="R939" s="193">
        <f t="shared" si="685"/>
        <v>802870.88</v>
      </c>
      <c r="S939" s="193">
        <f t="shared" si="686"/>
        <v>770.8400000000438</v>
      </c>
      <c r="T939" s="193">
        <v>117.18</v>
      </c>
      <c r="U939" s="193">
        <f t="shared" si="707"/>
        <v>25.07</v>
      </c>
      <c r="V939" s="193">
        <f t="shared" si="708"/>
        <v>100</v>
      </c>
      <c r="W939" s="193">
        <f t="shared" si="710"/>
        <v>12</v>
      </c>
      <c r="X939" s="193">
        <f>ROUND(R939*G$1820,2)</f>
        <v>22.08</v>
      </c>
      <c r="Y939" s="193">
        <f t="shared" si="716"/>
        <v>0</v>
      </c>
      <c r="Z939" s="193">
        <f t="shared" si="692"/>
        <v>276.33</v>
      </c>
      <c r="AA939" s="194">
        <f t="shared" si="693"/>
        <v>494.51</v>
      </c>
      <c r="AB939" s="195">
        <f>495-1.11</f>
        <v>493.89</v>
      </c>
      <c r="AC939" s="196">
        <f t="shared" si="694"/>
        <v>-0.62000000000000455</v>
      </c>
      <c r="AD939" s="197">
        <f t="shared" si="695"/>
        <v>1.922054510806517E-3</v>
      </c>
      <c r="AE939" s="198">
        <f t="shared" si="696"/>
        <v>3.4400000000000001E-4</v>
      </c>
      <c r="AF939" s="193" t="s">
        <v>683</v>
      </c>
      <c r="AG939" s="199" t="s">
        <v>416</v>
      </c>
      <c r="AH939" s="124"/>
    </row>
    <row r="940" spans="1:34" ht="12" hidden="1" customHeight="1">
      <c r="A940" s="187">
        <v>44278</v>
      </c>
      <c r="B940" s="188" t="s">
        <v>632</v>
      </c>
      <c r="C940" s="188" t="s">
        <v>485</v>
      </c>
      <c r="D940" s="188"/>
      <c r="E940" s="188" t="str">
        <f t="shared" si="682"/>
        <v>LT</v>
      </c>
      <c r="F940" s="188"/>
      <c r="G940" s="188"/>
      <c r="H940" s="188"/>
      <c r="I940" s="188" t="s">
        <v>668</v>
      </c>
      <c r="J940" s="188" t="s">
        <v>483</v>
      </c>
      <c r="K940" s="188"/>
      <c r="L940" s="188"/>
      <c r="M940" s="189">
        <v>400</v>
      </c>
      <c r="N940" s="190">
        <v>1408.7813000000001</v>
      </c>
      <c r="O940" s="191">
        <v>1408.7438</v>
      </c>
      <c r="P940" s="192">
        <f t="shared" si="705"/>
        <v>20</v>
      </c>
      <c r="Q940" s="192">
        <f t="shared" si="706"/>
        <v>20</v>
      </c>
      <c r="R940" s="193">
        <f t="shared" si="685"/>
        <v>1127010.04</v>
      </c>
      <c r="S940" s="193">
        <f t="shared" si="686"/>
        <v>-15.00000000005457</v>
      </c>
      <c r="T940" s="193">
        <v>160</v>
      </c>
      <c r="U940" s="193">
        <f t="shared" si="707"/>
        <v>35.799999999999997</v>
      </c>
      <c r="V940" s="193">
        <f t="shared" si="708"/>
        <v>141</v>
      </c>
      <c r="W940" s="193">
        <f t="shared" si="710"/>
        <v>17</v>
      </c>
      <c r="X940" s="193">
        <f>ROUND(R940*H$1820,2)</f>
        <v>38.880000000000003</v>
      </c>
      <c r="Y940" s="193">
        <f t="shared" si="716"/>
        <v>0</v>
      </c>
      <c r="Z940" s="193">
        <f t="shared" si="692"/>
        <v>392.68</v>
      </c>
      <c r="AA940" s="194">
        <f t="shared" si="693"/>
        <v>-407.68</v>
      </c>
      <c r="AB940" s="195">
        <v>-408</v>
      </c>
      <c r="AC940" s="196">
        <f t="shared" si="694"/>
        <v>-0.31999999999999318</v>
      </c>
      <c r="AD940" s="197">
        <f t="shared" si="695"/>
        <v>-2.661875196677896E-5</v>
      </c>
      <c r="AE940" s="198">
        <f t="shared" si="696"/>
        <v>3.48E-4</v>
      </c>
      <c r="AF940" s="193" t="s">
        <v>683</v>
      </c>
      <c r="AG940" s="199" t="s">
        <v>416</v>
      </c>
      <c r="AH940" s="124"/>
    </row>
    <row r="941" spans="1:34" ht="12" hidden="1" customHeight="1">
      <c r="A941" s="187">
        <v>44279</v>
      </c>
      <c r="B941" s="188" t="s">
        <v>687</v>
      </c>
      <c r="C941" s="188" t="s">
        <v>485</v>
      </c>
      <c r="D941" s="188"/>
      <c r="E941" s="188" t="str">
        <f t="shared" si="682"/>
        <v>MGL</v>
      </c>
      <c r="F941" s="188"/>
      <c r="G941" s="188"/>
      <c r="H941" s="188"/>
      <c r="I941" s="188" t="s">
        <v>668</v>
      </c>
      <c r="J941" s="188" t="s">
        <v>483</v>
      </c>
      <c r="K941" s="188"/>
      <c r="L941" s="188"/>
      <c r="M941" s="189">
        <v>800</v>
      </c>
      <c r="N941" s="190">
        <v>1158.3499999999999</v>
      </c>
      <c r="O941" s="191">
        <v>1161.2156</v>
      </c>
      <c r="P941" s="192">
        <f t="shared" si="705"/>
        <v>20</v>
      </c>
      <c r="Q941" s="192">
        <f t="shared" si="706"/>
        <v>20</v>
      </c>
      <c r="R941" s="193">
        <f t="shared" si="685"/>
        <v>1855652.48</v>
      </c>
      <c r="S941" s="193">
        <f t="shared" si="686"/>
        <v>2292.4800000000687</v>
      </c>
      <c r="T941" s="193">
        <v>280</v>
      </c>
      <c r="U941" s="193">
        <f t="shared" si="707"/>
        <v>59.59</v>
      </c>
      <c r="V941" s="193">
        <f t="shared" si="708"/>
        <v>232</v>
      </c>
      <c r="W941" s="193">
        <f t="shared" si="710"/>
        <v>28</v>
      </c>
      <c r="X941" s="193">
        <f>ROUND(R941*G$1820,2)</f>
        <v>51.03</v>
      </c>
      <c r="Y941" s="193">
        <f t="shared" si="716"/>
        <v>0</v>
      </c>
      <c r="Z941" s="193">
        <f t="shared" si="692"/>
        <v>650.62</v>
      </c>
      <c r="AA941" s="194">
        <f t="shared" si="693"/>
        <v>1641.86</v>
      </c>
      <c r="AB941" s="195">
        <v>1640.95</v>
      </c>
      <c r="AC941" s="196">
        <f t="shared" si="694"/>
        <v>-0.90999999999985448</v>
      </c>
      <c r="AD941" s="197">
        <f t="shared" si="695"/>
        <v>2.4738636854146727E-3</v>
      </c>
      <c r="AE941" s="198">
        <f t="shared" si="696"/>
        <v>3.5100000000000002E-4</v>
      </c>
      <c r="AF941" s="193" t="s">
        <v>683</v>
      </c>
      <c r="AG941" s="199" t="s">
        <v>416</v>
      </c>
      <c r="AH941" s="124"/>
    </row>
    <row r="942" spans="1:34" ht="12" hidden="1" customHeight="1">
      <c r="A942" s="187">
        <v>44280</v>
      </c>
      <c r="B942" s="188" t="s">
        <v>678</v>
      </c>
      <c r="C942" s="188" t="s">
        <v>485</v>
      </c>
      <c r="D942" s="188"/>
      <c r="E942" s="188" t="str">
        <f t="shared" si="682"/>
        <v>INDUSINDBK</v>
      </c>
      <c r="F942" s="188"/>
      <c r="G942" s="188"/>
      <c r="H942" s="188"/>
      <c r="I942" s="188" t="s">
        <v>668</v>
      </c>
      <c r="J942" s="188" t="s">
        <v>483</v>
      </c>
      <c r="K942" s="188"/>
      <c r="L942" s="188"/>
      <c r="M942" s="189">
        <v>200</v>
      </c>
      <c r="N942" s="190">
        <v>940.07500000000005</v>
      </c>
      <c r="O942" s="191">
        <v>946.65</v>
      </c>
      <c r="P942" s="192">
        <f t="shared" si="705"/>
        <v>20</v>
      </c>
      <c r="Q942" s="192">
        <f t="shared" si="706"/>
        <v>20</v>
      </c>
      <c r="R942" s="193">
        <f t="shared" si="685"/>
        <v>377345</v>
      </c>
      <c r="S942" s="193">
        <f t="shared" si="686"/>
        <v>1314.9999999999864</v>
      </c>
      <c r="T942" s="193">
        <v>80</v>
      </c>
      <c r="U942" s="193">
        <f t="shared" si="707"/>
        <v>16.739999999999998</v>
      </c>
      <c r="V942" s="193">
        <f t="shared" si="708"/>
        <v>47</v>
      </c>
      <c r="W942" s="193">
        <f t="shared" si="710"/>
        <v>6</v>
      </c>
      <c r="X942" s="193">
        <f t="shared" ref="X942:X943" si="726">ROUND(R942*H$1820,2)</f>
        <v>13.02</v>
      </c>
      <c r="Y942" s="193">
        <f t="shared" si="716"/>
        <v>0</v>
      </c>
      <c r="Z942" s="193">
        <f t="shared" si="692"/>
        <v>162.76000000000002</v>
      </c>
      <c r="AA942" s="194">
        <f t="shared" si="693"/>
        <v>1152.24</v>
      </c>
      <c r="AB942" s="195">
        <f>1152+0.06</f>
        <v>1152.06</v>
      </c>
      <c r="AC942" s="196">
        <f t="shared" si="694"/>
        <v>-0.18000000000006366</v>
      </c>
      <c r="AD942" s="197">
        <f t="shared" si="695"/>
        <v>6.994122809350245E-3</v>
      </c>
      <c r="AE942" s="198">
        <f t="shared" si="696"/>
        <v>4.3100000000000001E-4</v>
      </c>
      <c r="AF942" s="193" t="s">
        <v>683</v>
      </c>
      <c r="AG942" s="199" t="s">
        <v>416</v>
      </c>
      <c r="AH942" s="124"/>
    </row>
    <row r="943" spans="1:34" ht="12" hidden="1" customHeight="1">
      <c r="A943" s="187">
        <v>44280</v>
      </c>
      <c r="B943" s="188" t="s">
        <v>579</v>
      </c>
      <c r="C943" s="188" t="s">
        <v>485</v>
      </c>
      <c r="D943" s="188"/>
      <c r="E943" s="188" t="str">
        <f t="shared" si="682"/>
        <v>INDIGO</v>
      </c>
      <c r="F943" s="188"/>
      <c r="G943" s="188"/>
      <c r="H943" s="188"/>
      <c r="I943" s="188" t="s">
        <v>668</v>
      </c>
      <c r="J943" s="188" t="s">
        <v>483</v>
      </c>
      <c r="K943" s="188"/>
      <c r="L943" s="188"/>
      <c r="M943" s="189">
        <v>100</v>
      </c>
      <c r="N943" s="190">
        <v>1667</v>
      </c>
      <c r="O943" s="191">
        <v>1677.4</v>
      </c>
      <c r="P943" s="192">
        <f t="shared" si="705"/>
        <v>20</v>
      </c>
      <c r="Q943" s="192">
        <f t="shared" si="706"/>
        <v>20</v>
      </c>
      <c r="R943" s="193">
        <f t="shared" si="685"/>
        <v>334440</v>
      </c>
      <c r="S943" s="193">
        <f t="shared" si="686"/>
        <v>1040.0000000000091</v>
      </c>
      <c r="T943" s="193">
        <f>ROUND(P943+Q943,2)</f>
        <v>40</v>
      </c>
      <c r="U943" s="193">
        <f t="shared" si="707"/>
        <v>9.2799999999999994</v>
      </c>
      <c r="V943" s="193">
        <f t="shared" si="708"/>
        <v>42</v>
      </c>
      <c r="W943" s="193">
        <f t="shared" si="710"/>
        <v>5</v>
      </c>
      <c r="X943" s="193">
        <f t="shared" si="726"/>
        <v>11.54</v>
      </c>
      <c r="Y943" s="193">
        <f t="shared" si="716"/>
        <v>0</v>
      </c>
      <c r="Z943" s="193">
        <f t="shared" si="692"/>
        <v>107.82</v>
      </c>
      <c r="AA943" s="194">
        <f t="shared" si="693"/>
        <v>932.18</v>
      </c>
      <c r="AB943" s="195">
        <v>932</v>
      </c>
      <c r="AC943" s="196">
        <f t="shared" si="694"/>
        <v>-0.17999999999994998</v>
      </c>
      <c r="AD943" s="197">
        <f t="shared" si="695"/>
        <v>6.2387522495501446E-3</v>
      </c>
      <c r="AE943" s="198">
        <f t="shared" si="696"/>
        <v>3.2200000000000002E-4</v>
      </c>
      <c r="AF943" s="193" t="s">
        <v>683</v>
      </c>
      <c r="AG943" s="199" t="s">
        <v>416</v>
      </c>
      <c r="AH943" s="124"/>
    </row>
    <row r="944" spans="1:34" ht="12" hidden="1" customHeight="1">
      <c r="A944" s="187">
        <v>44281</v>
      </c>
      <c r="B944" s="188" t="s">
        <v>687</v>
      </c>
      <c r="C944" s="188" t="s">
        <v>485</v>
      </c>
      <c r="D944" s="188"/>
      <c r="E944" s="188" t="str">
        <f t="shared" si="682"/>
        <v>MGL</v>
      </c>
      <c r="F944" s="188"/>
      <c r="G944" s="188"/>
      <c r="H944" s="188"/>
      <c r="I944" s="188" t="s">
        <v>668</v>
      </c>
      <c r="J944" s="188" t="s">
        <v>483</v>
      </c>
      <c r="K944" s="188"/>
      <c r="L944" s="188"/>
      <c r="M944" s="189">
        <v>500</v>
      </c>
      <c r="N944" s="190">
        <v>1133.28</v>
      </c>
      <c r="O944" s="191">
        <v>1139.5119999999999</v>
      </c>
      <c r="P944" s="192">
        <f t="shared" si="705"/>
        <v>20</v>
      </c>
      <c r="Q944" s="192">
        <f t="shared" si="706"/>
        <v>20</v>
      </c>
      <c r="R944" s="193">
        <f t="shared" si="685"/>
        <v>1136396</v>
      </c>
      <c r="S944" s="193">
        <f t="shared" si="686"/>
        <v>3115.9999999999854</v>
      </c>
      <c r="T944" s="193">
        <v>160</v>
      </c>
      <c r="U944" s="193">
        <f t="shared" si="707"/>
        <v>34.43</v>
      </c>
      <c r="V944" s="193">
        <f t="shared" si="708"/>
        <v>142</v>
      </c>
      <c r="W944" s="193">
        <f t="shared" si="710"/>
        <v>17</v>
      </c>
      <c r="X944" s="193">
        <f>ROUND(R944*G$1820,2)</f>
        <v>31.25</v>
      </c>
      <c r="Y944" s="193">
        <f t="shared" si="716"/>
        <v>0</v>
      </c>
      <c r="Z944" s="193">
        <f t="shared" si="692"/>
        <v>384.68</v>
      </c>
      <c r="AA944" s="194">
        <f t="shared" si="693"/>
        <v>2731.32</v>
      </c>
      <c r="AB944" s="195">
        <f>2731-0.58</f>
        <v>2730.42</v>
      </c>
      <c r="AC944" s="196">
        <f t="shared" si="694"/>
        <v>-0.90000000000009095</v>
      </c>
      <c r="AD944" s="197">
        <f t="shared" si="695"/>
        <v>5.4990823097557278E-3</v>
      </c>
      <c r="AE944" s="198">
        <f t="shared" si="696"/>
        <v>3.39E-4</v>
      </c>
      <c r="AF944" s="193" t="s">
        <v>683</v>
      </c>
      <c r="AG944" s="199" t="s">
        <v>416</v>
      </c>
      <c r="AH944" s="124"/>
    </row>
    <row r="945" spans="1:34" ht="12" hidden="1" customHeight="1">
      <c r="A945" s="187">
        <v>44281</v>
      </c>
      <c r="B945" s="188" t="s">
        <v>689</v>
      </c>
      <c r="C945" s="188" t="s">
        <v>485</v>
      </c>
      <c r="D945" s="188"/>
      <c r="E945" s="188" t="str">
        <f t="shared" si="682"/>
        <v>HINDPETRO</v>
      </c>
      <c r="F945" s="188"/>
      <c r="G945" s="188"/>
      <c r="H945" s="188"/>
      <c r="I945" s="188" t="s">
        <v>668</v>
      </c>
      <c r="J945" s="188" t="s">
        <v>483</v>
      </c>
      <c r="K945" s="188"/>
      <c r="L945" s="188"/>
      <c r="M945" s="189">
        <v>100</v>
      </c>
      <c r="N945" s="190">
        <v>230.4</v>
      </c>
      <c r="O945" s="191">
        <v>231</v>
      </c>
      <c r="P945" s="192">
        <f t="shared" si="705"/>
        <v>6.91</v>
      </c>
      <c r="Q945" s="192">
        <f t="shared" si="706"/>
        <v>6.93</v>
      </c>
      <c r="R945" s="193">
        <f t="shared" si="685"/>
        <v>46140</v>
      </c>
      <c r="S945" s="193">
        <f t="shared" si="686"/>
        <v>59.999999999999432</v>
      </c>
      <c r="T945" s="193">
        <f>ROUND(P945+Q945,2)-2</f>
        <v>11.84</v>
      </c>
      <c r="U945" s="193">
        <f t="shared" si="707"/>
        <v>2.42</v>
      </c>
      <c r="V945" s="193">
        <f t="shared" si="708"/>
        <v>6</v>
      </c>
      <c r="W945" s="193">
        <f t="shared" si="710"/>
        <v>1</v>
      </c>
      <c r="X945" s="193">
        <f t="shared" ref="X945:X946" si="727">ROUND(R945*H$1820,2)</f>
        <v>1.59</v>
      </c>
      <c r="Y945" s="193">
        <f t="shared" si="716"/>
        <v>0</v>
      </c>
      <c r="Z945" s="193">
        <f t="shared" si="692"/>
        <v>22.849999999999998</v>
      </c>
      <c r="AA945" s="194">
        <f t="shared" si="693"/>
        <v>37.15</v>
      </c>
      <c r="AB945" s="195">
        <v>37</v>
      </c>
      <c r="AC945" s="196">
        <f t="shared" si="694"/>
        <v>-0.14999999999999858</v>
      </c>
      <c r="AD945" s="197">
        <f t="shared" si="695"/>
        <v>2.6041666666666418E-3</v>
      </c>
      <c r="AE945" s="198">
        <f t="shared" si="696"/>
        <v>4.95E-4</v>
      </c>
      <c r="AF945" s="193" t="s">
        <v>683</v>
      </c>
      <c r="AG945" s="199" t="s">
        <v>416</v>
      </c>
      <c r="AH945" s="124"/>
    </row>
    <row r="946" spans="1:34" ht="12" hidden="1" customHeight="1">
      <c r="A946" s="187">
        <v>44281</v>
      </c>
      <c r="B946" s="188" t="s">
        <v>513</v>
      </c>
      <c r="C946" s="188" t="s">
        <v>485</v>
      </c>
      <c r="D946" s="188"/>
      <c r="E946" s="188" t="str">
        <f t="shared" si="682"/>
        <v>HDFCBANK</v>
      </c>
      <c r="F946" s="188"/>
      <c r="G946" s="188"/>
      <c r="H946" s="188"/>
      <c r="I946" s="188" t="s">
        <v>668</v>
      </c>
      <c r="J946" s="188" t="s">
        <v>483</v>
      </c>
      <c r="K946" s="188"/>
      <c r="L946" s="188"/>
      <c r="M946" s="189">
        <v>50</v>
      </c>
      <c r="N946" s="190">
        <v>2522</v>
      </c>
      <c r="O946" s="191">
        <v>2523.85</v>
      </c>
      <c r="P946" s="192">
        <f t="shared" si="705"/>
        <v>20</v>
      </c>
      <c r="Q946" s="192">
        <f t="shared" si="706"/>
        <v>20</v>
      </c>
      <c r="R946" s="193">
        <f t="shared" si="685"/>
        <v>252292.5</v>
      </c>
      <c r="S946" s="193">
        <f t="shared" si="686"/>
        <v>92.499999999995453</v>
      </c>
      <c r="T946" s="193">
        <f t="shared" ref="T946:T948" si="728">ROUND(P946+Q946,2)</f>
        <v>40</v>
      </c>
      <c r="U946" s="193">
        <f t="shared" si="707"/>
        <v>8.77</v>
      </c>
      <c r="V946" s="193">
        <f t="shared" si="708"/>
        <v>32</v>
      </c>
      <c r="W946" s="193">
        <f t="shared" si="710"/>
        <v>4</v>
      </c>
      <c r="X946" s="193">
        <f t="shared" si="727"/>
        <v>8.6999999999999993</v>
      </c>
      <c r="Y946" s="193">
        <f t="shared" si="716"/>
        <v>0</v>
      </c>
      <c r="Z946" s="193">
        <f t="shared" si="692"/>
        <v>93.47</v>
      </c>
      <c r="AA946" s="194">
        <f t="shared" si="693"/>
        <v>-0.97</v>
      </c>
      <c r="AB946" s="195">
        <v>-1</v>
      </c>
      <c r="AC946" s="196">
        <f t="shared" si="694"/>
        <v>-3.0000000000000027E-2</v>
      </c>
      <c r="AD946" s="197">
        <f t="shared" si="695"/>
        <v>7.3354480570971806E-4</v>
      </c>
      <c r="AE946" s="198">
        <f t="shared" si="696"/>
        <v>3.6999999999999999E-4</v>
      </c>
      <c r="AF946" s="193" t="s">
        <v>683</v>
      </c>
      <c r="AG946" s="199" t="s">
        <v>416</v>
      </c>
      <c r="AH946" s="124"/>
    </row>
    <row r="947" spans="1:34" ht="12" hidden="1" customHeight="1">
      <c r="A947" s="187">
        <v>44285</v>
      </c>
      <c r="B947" s="188" t="s">
        <v>495</v>
      </c>
      <c r="C947" s="188" t="s">
        <v>485</v>
      </c>
      <c r="D947" s="188"/>
      <c r="E947" s="188" t="str">
        <f t="shared" si="682"/>
        <v>SAIL</v>
      </c>
      <c r="F947" s="188"/>
      <c r="G947" s="188"/>
      <c r="H947" s="188"/>
      <c r="I947" s="188" t="s">
        <v>668</v>
      </c>
      <c r="J947" s="188" t="s">
        <v>483</v>
      </c>
      <c r="K947" s="188"/>
      <c r="L947" s="188"/>
      <c r="M947" s="189">
        <v>100</v>
      </c>
      <c r="N947" s="190">
        <v>79.05</v>
      </c>
      <c r="O947" s="191">
        <v>80.05</v>
      </c>
      <c r="P947" s="192">
        <f t="shared" si="705"/>
        <v>2.37</v>
      </c>
      <c r="Q947" s="192">
        <f t="shared" si="706"/>
        <v>2.4</v>
      </c>
      <c r="R947" s="193">
        <f t="shared" si="685"/>
        <v>15910</v>
      </c>
      <c r="S947" s="193">
        <f t="shared" si="686"/>
        <v>100</v>
      </c>
      <c r="T947" s="193">
        <f t="shared" si="728"/>
        <v>4.7699999999999996</v>
      </c>
      <c r="U947" s="193">
        <f t="shared" si="707"/>
        <v>0.94</v>
      </c>
      <c r="V947" s="193">
        <f t="shared" si="708"/>
        <v>2</v>
      </c>
      <c r="W947" s="193">
        <f t="shared" si="710"/>
        <v>0</v>
      </c>
      <c r="X947" s="193">
        <f t="shared" ref="X947:X949" si="729">ROUND(R947*G$1820,2)</f>
        <v>0.44</v>
      </c>
      <c r="Y947" s="193">
        <f t="shared" si="716"/>
        <v>0</v>
      </c>
      <c r="Z947" s="193">
        <f t="shared" si="692"/>
        <v>8.1499999999999986</v>
      </c>
      <c r="AA947" s="194">
        <f t="shared" si="693"/>
        <v>91.85</v>
      </c>
      <c r="AB947" s="195">
        <f>92-0.92</f>
        <v>91.08</v>
      </c>
      <c r="AC947" s="196">
        <f t="shared" si="694"/>
        <v>-0.76999999999999602</v>
      </c>
      <c r="AD947" s="197">
        <f t="shared" si="695"/>
        <v>1.2650221378874131E-2</v>
      </c>
      <c r="AE947" s="198">
        <f t="shared" si="696"/>
        <v>5.1199999999999998E-4</v>
      </c>
      <c r="AF947" s="193"/>
      <c r="AG947" s="199" t="s">
        <v>416</v>
      </c>
      <c r="AH947" s="124"/>
    </row>
    <row r="948" spans="1:34" ht="12" hidden="1" customHeight="1">
      <c r="A948" s="187">
        <v>44285</v>
      </c>
      <c r="B948" s="188" t="s">
        <v>690</v>
      </c>
      <c r="C948" s="188" t="s">
        <v>485</v>
      </c>
      <c r="D948" s="188"/>
      <c r="E948" s="188" t="str">
        <f t="shared" si="682"/>
        <v>ASHOKLEY</v>
      </c>
      <c r="F948" s="188"/>
      <c r="G948" s="188"/>
      <c r="H948" s="188"/>
      <c r="I948" s="188" t="s">
        <v>668</v>
      </c>
      <c r="J948" s="188" t="s">
        <v>483</v>
      </c>
      <c r="K948" s="188"/>
      <c r="L948" s="188"/>
      <c r="M948" s="189">
        <v>100</v>
      </c>
      <c r="N948" s="190">
        <v>113.7</v>
      </c>
      <c r="O948" s="191">
        <v>113</v>
      </c>
      <c r="P948" s="192">
        <f t="shared" si="705"/>
        <v>3.41</v>
      </c>
      <c r="Q948" s="192">
        <f t="shared" si="706"/>
        <v>3.39</v>
      </c>
      <c r="R948" s="193">
        <f t="shared" si="685"/>
        <v>22670</v>
      </c>
      <c r="S948" s="193">
        <f t="shared" si="686"/>
        <v>-70.000000000000284</v>
      </c>
      <c r="T948" s="193">
        <f t="shared" si="728"/>
        <v>6.8</v>
      </c>
      <c r="U948" s="193">
        <f t="shared" si="707"/>
        <v>1.34</v>
      </c>
      <c r="V948" s="193">
        <f t="shared" si="708"/>
        <v>3</v>
      </c>
      <c r="W948" s="193">
        <f t="shared" si="710"/>
        <v>0</v>
      </c>
      <c r="X948" s="193">
        <f t="shared" si="729"/>
        <v>0.62</v>
      </c>
      <c r="Y948" s="193">
        <f t="shared" si="716"/>
        <v>0</v>
      </c>
      <c r="Z948" s="193">
        <f t="shared" si="692"/>
        <v>11.76</v>
      </c>
      <c r="AA948" s="194">
        <f t="shared" si="693"/>
        <v>-81.760000000000005</v>
      </c>
      <c r="AB948" s="195">
        <v>-82</v>
      </c>
      <c r="AC948" s="196">
        <f t="shared" si="694"/>
        <v>-0.23999999999999488</v>
      </c>
      <c r="AD948" s="197">
        <f t="shared" si="695"/>
        <v>-6.1565523306948361E-3</v>
      </c>
      <c r="AE948" s="198">
        <f t="shared" si="696"/>
        <v>5.1900000000000004E-4</v>
      </c>
      <c r="AF948" s="193"/>
      <c r="AG948" s="199" t="s">
        <v>416</v>
      </c>
      <c r="AH948" s="124"/>
    </row>
    <row r="949" spans="1:34" ht="12" hidden="1" customHeight="1">
      <c r="A949" s="187">
        <v>44286</v>
      </c>
      <c r="B949" s="188" t="s">
        <v>687</v>
      </c>
      <c r="C949" s="188" t="s">
        <v>485</v>
      </c>
      <c r="D949" s="188"/>
      <c r="E949" s="188" t="str">
        <f t="shared" si="682"/>
        <v>MGL</v>
      </c>
      <c r="F949" s="188"/>
      <c r="G949" s="188"/>
      <c r="H949" s="188"/>
      <c r="I949" s="188" t="s">
        <v>668</v>
      </c>
      <c r="J949" s="188" t="s">
        <v>483</v>
      </c>
      <c r="K949" s="188"/>
      <c r="L949" s="188"/>
      <c r="M949" s="189">
        <v>150</v>
      </c>
      <c r="N949" s="190">
        <v>1188.6666700000001</v>
      </c>
      <c r="O949" s="191">
        <v>1171</v>
      </c>
      <c r="P949" s="192">
        <f t="shared" si="705"/>
        <v>20</v>
      </c>
      <c r="Q949" s="192">
        <f t="shared" si="706"/>
        <v>20</v>
      </c>
      <c r="R949" s="193">
        <f t="shared" si="685"/>
        <v>353950</v>
      </c>
      <c r="S949" s="193">
        <f t="shared" si="686"/>
        <v>-2650.0005000000101</v>
      </c>
      <c r="T949" s="193">
        <v>57.67</v>
      </c>
      <c r="U949" s="193">
        <f t="shared" si="707"/>
        <v>12.13</v>
      </c>
      <c r="V949" s="193">
        <f t="shared" si="708"/>
        <v>44</v>
      </c>
      <c r="W949" s="193">
        <f t="shared" si="710"/>
        <v>5</v>
      </c>
      <c r="X949" s="193">
        <f t="shared" si="729"/>
        <v>9.73</v>
      </c>
      <c r="Y949" s="193">
        <f t="shared" si="716"/>
        <v>0</v>
      </c>
      <c r="Z949" s="193">
        <f t="shared" si="692"/>
        <v>128.53</v>
      </c>
      <c r="AA949" s="194">
        <f t="shared" si="693"/>
        <v>-2778.53</v>
      </c>
      <c r="AB949" s="195">
        <f>-2779-0.65</f>
        <v>-2779.65</v>
      </c>
      <c r="AC949" s="196">
        <f t="shared" si="694"/>
        <v>-1.1199999999998909</v>
      </c>
      <c r="AD949" s="197">
        <f t="shared" si="695"/>
        <v>-1.4862593901114487E-2</v>
      </c>
      <c r="AE949" s="198">
        <f t="shared" si="696"/>
        <v>3.6299999999999999E-4</v>
      </c>
      <c r="AF949" s="193" t="s">
        <v>683</v>
      </c>
      <c r="AG949" s="199" t="s">
        <v>416</v>
      </c>
      <c r="AH949" s="124"/>
    </row>
    <row r="950" spans="1:34" ht="12" hidden="1" customHeight="1">
      <c r="A950" s="187">
        <v>44286</v>
      </c>
      <c r="B950" s="188" t="s">
        <v>579</v>
      </c>
      <c r="C950" s="188" t="s">
        <v>485</v>
      </c>
      <c r="D950" s="188"/>
      <c r="E950" s="188" t="str">
        <f t="shared" si="682"/>
        <v>INDIGO</v>
      </c>
      <c r="F950" s="188"/>
      <c r="G950" s="188"/>
      <c r="H950" s="188"/>
      <c r="I950" s="188" t="s">
        <v>668</v>
      </c>
      <c r="J950" s="188" t="s">
        <v>483</v>
      </c>
      <c r="K950" s="188"/>
      <c r="L950" s="188"/>
      <c r="M950" s="189">
        <v>500</v>
      </c>
      <c r="N950" s="190">
        <v>1641.2</v>
      </c>
      <c r="O950" s="191">
        <v>1647.3</v>
      </c>
      <c r="P950" s="192">
        <f t="shared" si="705"/>
        <v>20</v>
      </c>
      <c r="Q950" s="192">
        <f t="shared" si="706"/>
        <v>20</v>
      </c>
      <c r="R950" s="193">
        <f t="shared" si="685"/>
        <v>1644250</v>
      </c>
      <c r="S950" s="193">
        <f t="shared" si="686"/>
        <v>3049.9999999999545</v>
      </c>
      <c r="T950" s="193">
        <v>200</v>
      </c>
      <c r="U950" s="193">
        <f t="shared" si="707"/>
        <v>46.21</v>
      </c>
      <c r="V950" s="193">
        <f t="shared" si="708"/>
        <v>206</v>
      </c>
      <c r="W950" s="193">
        <f t="shared" si="710"/>
        <v>25</v>
      </c>
      <c r="X950" s="193">
        <f>ROUND(R950*H$1820,2)</f>
        <v>56.73</v>
      </c>
      <c r="Y950" s="193">
        <f t="shared" si="716"/>
        <v>0</v>
      </c>
      <c r="Z950" s="193">
        <f t="shared" si="692"/>
        <v>533.94000000000005</v>
      </c>
      <c r="AA950" s="194">
        <f t="shared" si="693"/>
        <v>2516.06</v>
      </c>
      <c r="AB950" s="195">
        <v>2516</v>
      </c>
      <c r="AC950" s="196">
        <f t="shared" si="694"/>
        <v>-5.999999999994543E-2</v>
      </c>
      <c r="AD950" s="197">
        <f t="shared" si="695"/>
        <v>3.7167925907871735E-3</v>
      </c>
      <c r="AE950" s="198">
        <f t="shared" si="696"/>
        <v>3.2499999999999999E-4</v>
      </c>
      <c r="AF950" s="193" t="s">
        <v>683</v>
      </c>
      <c r="AG950" s="199" t="s">
        <v>416</v>
      </c>
      <c r="AH950" s="124"/>
    </row>
    <row r="951" spans="1:34" ht="12" hidden="1" customHeight="1">
      <c r="A951" s="187">
        <v>44286</v>
      </c>
      <c r="B951" s="188" t="s">
        <v>691</v>
      </c>
      <c r="C951" s="188" t="s">
        <v>485</v>
      </c>
      <c r="D951" s="188"/>
      <c r="E951" s="188" t="str">
        <f t="shared" si="682"/>
        <v>TATACHEM</v>
      </c>
      <c r="F951" s="188"/>
      <c r="G951" s="188"/>
      <c r="H951" s="188"/>
      <c r="I951" s="188" t="s">
        <v>668</v>
      </c>
      <c r="J951" s="188" t="s">
        <v>483</v>
      </c>
      <c r="K951" s="188"/>
      <c r="L951" s="188"/>
      <c r="M951" s="189">
        <v>100</v>
      </c>
      <c r="N951" s="190">
        <v>754.05</v>
      </c>
      <c r="O951" s="191">
        <v>756.95</v>
      </c>
      <c r="P951" s="192">
        <f t="shared" si="705"/>
        <v>20</v>
      </c>
      <c r="Q951" s="192">
        <f t="shared" si="706"/>
        <v>20</v>
      </c>
      <c r="R951" s="193">
        <f t="shared" si="685"/>
        <v>151100</v>
      </c>
      <c r="S951" s="193">
        <f t="shared" si="686"/>
        <v>290.00000000000909</v>
      </c>
      <c r="T951" s="193">
        <f>ROUND(P951+Q951,2)</f>
        <v>40</v>
      </c>
      <c r="U951" s="193">
        <f t="shared" si="707"/>
        <v>7.95</v>
      </c>
      <c r="V951" s="193">
        <f t="shared" si="708"/>
        <v>19</v>
      </c>
      <c r="W951" s="193">
        <f t="shared" si="710"/>
        <v>2</v>
      </c>
      <c r="X951" s="193">
        <f>ROUND(R951*G$1820,2)</f>
        <v>4.16</v>
      </c>
      <c r="Y951" s="193">
        <f t="shared" si="716"/>
        <v>0</v>
      </c>
      <c r="Z951" s="193">
        <f t="shared" si="692"/>
        <v>73.11</v>
      </c>
      <c r="AA951" s="194">
        <f t="shared" si="693"/>
        <v>216.89</v>
      </c>
      <c r="AB951" s="195">
        <v>217</v>
      </c>
      <c r="AC951" s="196">
        <f t="shared" si="694"/>
        <v>0.11000000000001364</v>
      </c>
      <c r="AD951" s="197">
        <f t="shared" si="695"/>
        <v>3.8458988130761766E-3</v>
      </c>
      <c r="AE951" s="198">
        <f t="shared" si="696"/>
        <v>4.84E-4</v>
      </c>
      <c r="AF951" s="193" t="s">
        <v>683</v>
      </c>
      <c r="AG951" s="199" t="s">
        <v>416</v>
      </c>
      <c r="AH951" s="124"/>
    </row>
    <row r="952" spans="1:34" ht="12" hidden="1" customHeight="1">
      <c r="A952" s="187">
        <v>44287</v>
      </c>
      <c r="B952" s="188" t="s">
        <v>692</v>
      </c>
      <c r="C952" s="188" t="s">
        <v>485</v>
      </c>
      <c r="D952" s="188"/>
      <c r="E952" s="188" t="str">
        <f t="shared" si="682"/>
        <v>TITAN</v>
      </c>
      <c r="F952" s="188"/>
      <c r="G952" s="188"/>
      <c r="H952" s="188"/>
      <c r="I952" s="188" t="s">
        <v>668</v>
      </c>
      <c r="J952" s="188" t="s">
        <v>483</v>
      </c>
      <c r="K952" s="188"/>
      <c r="L952" s="188"/>
      <c r="M952" s="189">
        <v>200</v>
      </c>
      <c r="N952" s="190">
        <v>1580.05</v>
      </c>
      <c r="O952" s="191">
        <v>1569</v>
      </c>
      <c r="P952" s="192">
        <f t="shared" si="705"/>
        <v>20</v>
      </c>
      <c r="Q952" s="192">
        <f t="shared" si="706"/>
        <v>20</v>
      </c>
      <c r="R952" s="193">
        <f t="shared" si="685"/>
        <v>629810</v>
      </c>
      <c r="S952" s="193">
        <f t="shared" si="686"/>
        <v>-2209.9999999999909</v>
      </c>
      <c r="T952" s="193">
        <v>60</v>
      </c>
      <c r="U952" s="193">
        <f t="shared" si="707"/>
        <v>14.71</v>
      </c>
      <c r="V952" s="193">
        <f t="shared" si="708"/>
        <v>78</v>
      </c>
      <c r="W952" s="193">
        <f t="shared" si="710"/>
        <v>9</v>
      </c>
      <c r="X952" s="193">
        <f>ROUND(R952*H$1820,2)</f>
        <v>21.73</v>
      </c>
      <c r="Y952" s="193">
        <f t="shared" si="716"/>
        <v>0</v>
      </c>
      <c r="Z952" s="193">
        <f t="shared" si="692"/>
        <v>183.44</v>
      </c>
      <c r="AA952" s="194">
        <f t="shared" si="693"/>
        <v>-2393.44</v>
      </c>
      <c r="AB952" s="195">
        <f>-2393-2.24</f>
        <v>-2395.2399999999998</v>
      </c>
      <c r="AC952" s="196">
        <f t="shared" si="694"/>
        <v>-1.7999999999997272</v>
      </c>
      <c r="AD952" s="197">
        <f t="shared" si="695"/>
        <v>-6.9934495743805289E-3</v>
      </c>
      <c r="AE952" s="198">
        <f t="shared" si="696"/>
        <v>2.9100000000000003E-4</v>
      </c>
      <c r="AF952" s="193" t="s">
        <v>683</v>
      </c>
      <c r="AG952" s="199" t="s">
        <v>416</v>
      </c>
      <c r="AH952" s="124"/>
    </row>
    <row r="953" spans="1:34" ht="12" hidden="1" customHeight="1">
      <c r="A953" s="187">
        <v>44287</v>
      </c>
      <c r="B953" s="188" t="s">
        <v>687</v>
      </c>
      <c r="C953" s="188" t="s">
        <v>485</v>
      </c>
      <c r="D953" s="188"/>
      <c r="E953" s="188" t="str">
        <f t="shared" si="682"/>
        <v>MGL</v>
      </c>
      <c r="F953" s="188"/>
      <c r="G953" s="188"/>
      <c r="H953" s="188"/>
      <c r="I953" s="188" t="s">
        <v>668</v>
      </c>
      <c r="J953" s="188" t="s">
        <v>483</v>
      </c>
      <c r="K953" s="188"/>
      <c r="L953" s="188"/>
      <c r="M953" s="189">
        <v>650</v>
      </c>
      <c r="N953" s="190">
        <v>1173.9077199999999</v>
      </c>
      <c r="O953" s="191">
        <v>1175.4231</v>
      </c>
      <c r="P953" s="192">
        <f t="shared" si="705"/>
        <v>20</v>
      </c>
      <c r="Q953" s="192">
        <f t="shared" si="706"/>
        <v>20</v>
      </c>
      <c r="R953" s="193">
        <f t="shared" si="685"/>
        <v>1527065.03</v>
      </c>
      <c r="S953" s="193">
        <f t="shared" si="686"/>
        <v>984.99700000003259</v>
      </c>
      <c r="T953" s="193">
        <f>217.39+1</f>
        <v>218.39</v>
      </c>
      <c r="U953" s="193">
        <f t="shared" si="707"/>
        <v>46.87</v>
      </c>
      <c r="V953" s="193">
        <f t="shared" si="708"/>
        <v>191</v>
      </c>
      <c r="W953" s="193">
        <f t="shared" si="710"/>
        <v>23</v>
      </c>
      <c r="X953" s="193">
        <f>ROUND(R953*G$1820,2)</f>
        <v>41.99</v>
      </c>
      <c r="Y953" s="193">
        <f t="shared" si="716"/>
        <v>0</v>
      </c>
      <c r="Z953" s="193">
        <f t="shared" si="692"/>
        <v>521.25</v>
      </c>
      <c r="AA953" s="194">
        <f t="shared" si="693"/>
        <v>463.75</v>
      </c>
      <c r="AB953" s="195">
        <v>464</v>
      </c>
      <c r="AC953" s="196">
        <f t="shared" si="694"/>
        <v>0.25</v>
      </c>
      <c r="AD953" s="197">
        <f t="shared" si="695"/>
        <v>1.2908851131842375E-3</v>
      </c>
      <c r="AE953" s="198">
        <f t="shared" si="696"/>
        <v>3.4099999999999999E-4</v>
      </c>
      <c r="AF953" s="193"/>
      <c r="AG953" s="199" t="s">
        <v>416</v>
      </c>
      <c r="AH953" s="124"/>
    </row>
    <row r="954" spans="1:34" ht="12" hidden="1" customHeight="1">
      <c r="A954" s="187">
        <v>44287</v>
      </c>
      <c r="B954" s="188" t="s">
        <v>604</v>
      </c>
      <c r="C954" s="188" t="s">
        <v>485</v>
      </c>
      <c r="D954" s="188"/>
      <c r="E954" s="188" t="str">
        <f t="shared" si="682"/>
        <v>TATASTEEL</v>
      </c>
      <c r="F954" s="188"/>
      <c r="G954" s="188"/>
      <c r="H954" s="188"/>
      <c r="I954" s="188" t="s">
        <v>668</v>
      </c>
      <c r="J954" s="188" t="s">
        <v>483</v>
      </c>
      <c r="K954" s="188"/>
      <c r="L954" s="188"/>
      <c r="M954" s="189">
        <v>200</v>
      </c>
      <c r="N954" s="190">
        <v>840.97500000000002</v>
      </c>
      <c r="O954" s="191">
        <v>845.97500000000002</v>
      </c>
      <c r="P954" s="192">
        <f t="shared" si="705"/>
        <v>20</v>
      </c>
      <c r="Q954" s="192">
        <f t="shared" si="706"/>
        <v>20</v>
      </c>
      <c r="R954" s="193">
        <f t="shared" si="685"/>
        <v>337390</v>
      </c>
      <c r="S954" s="193">
        <f t="shared" si="686"/>
        <v>1000</v>
      </c>
      <c r="T954" s="193">
        <v>80</v>
      </c>
      <c r="U954" s="193">
        <f t="shared" si="707"/>
        <v>16.5</v>
      </c>
      <c r="V954" s="193">
        <f t="shared" si="708"/>
        <v>42</v>
      </c>
      <c r="W954" s="193">
        <f t="shared" si="710"/>
        <v>5</v>
      </c>
      <c r="X954" s="193">
        <f t="shared" ref="X954:X955" si="730">ROUND(R954*H$1820,2)</f>
        <v>11.64</v>
      </c>
      <c r="Y954" s="193">
        <f t="shared" si="716"/>
        <v>0</v>
      </c>
      <c r="Z954" s="193">
        <f t="shared" si="692"/>
        <v>155.13999999999999</v>
      </c>
      <c r="AA954" s="194">
        <f t="shared" si="693"/>
        <v>844.86</v>
      </c>
      <c r="AB954" s="195">
        <v>845</v>
      </c>
      <c r="AC954" s="196">
        <f t="shared" si="694"/>
        <v>0.13999999999998636</v>
      </c>
      <c r="AD954" s="197">
        <f t="shared" si="695"/>
        <v>5.9454799488688724E-3</v>
      </c>
      <c r="AE954" s="198">
        <f t="shared" si="696"/>
        <v>4.6000000000000001E-4</v>
      </c>
      <c r="AF954" s="193" t="s">
        <v>683</v>
      </c>
      <c r="AG954" s="199" t="s">
        <v>416</v>
      </c>
      <c r="AH954" s="124"/>
    </row>
    <row r="955" spans="1:34" ht="12" hidden="1" customHeight="1">
      <c r="A955" s="187">
        <v>44291</v>
      </c>
      <c r="B955" s="188" t="s">
        <v>518</v>
      </c>
      <c r="C955" s="188" t="s">
        <v>485</v>
      </c>
      <c r="D955" s="188"/>
      <c r="E955" s="188" t="str">
        <f t="shared" si="682"/>
        <v>TATAMOTORS</v>
      </c>
      <c r="F955" s="188"/>
      <c r="G955" s="188"/>
      <c r="H955" s="188"/>
      <c r="I955" s="188" t="s">
        <v>668</v>
      </c>
      <c r="J955" s="188" t="s">
        <v>483</v>
      </c>
      <c r="K955" s="188"/>
      <c r="L955" s="188"/>
      <c r="M955" s="189">
        <v>150</v>
      </c>
      <c r="N955" s="190">
        <v>306.8</v>
      </c>
      <c r="O955" s="191">
        <v>300.05</v>
      </c>
      <c r="P955" s="192">
        <f t="shared" si="705"/>
        <v>13.81</v>
      </c>
      <c r="Q955" s="192">
        <f t="shared" si="706"/>
        <v>13.5</v>
      </c>
      <c r="R955" s="193">
        <f t="shared" si="685"/>
        <v>91027.5</v>
      </c>
      <c r="S955" s="193">
        <f t="shared" si="686"/>
        <v>-1012.5</v>
      </c>
      <c r="T955" s="193">
        <f>ROUND(P955+Q955,2)</f>
        <v>27.31</v>
      </c>
      <c r="U955" s="193">
        <f t="shared" si="707"/>
        <v>5.48</v>
      </c>
      <c r="V955" s="193">
        <f t="shared" si="708"/>
        <v>11</v>
      </c>
      <c r="W955" s="193">
        <f t="shared" si="710"/>
        <v>1</v>
      </c>
      <c r="X955" s="193">
        <f t="shared" si="730"/>
        <v>3.14</v>
      </c>
      <c r="Y955" s="193">
        <f t="shared" si="716"/>
        <v>0</v>
      </c>
      <c r="Z955" s="193">
        <f t="shared" si="692"/>
        <v>47.93</v>
      </c>
      <c r="AA955" s="194">
        <f t="shared" si="693"/>
        <v>-1060.43</v>
      </c>
      <c r="AB955" s="195">
        <f>-1060-1.49</f>
        <v>-1061.49</v>
      </c>
      <c r="AC955" s="196">
        <f t="shared" si="694"/>
        <v>-1.0599999999999454</v>
      </c>
      <c r="AD955" s="197">
        <f t="shared" si="695"/>
        <v>-2.2001303780964796E-2</v>
      </c>
      <c r="AE955" s="198">
        <f t="shared" si="696"/>
        <v>5.2700000000000002E-4</v>
      </c>
      <c r="AF955" s="193"/>
      <c r="AG955" s="199" t="s">
        <v>416</v>
      </c>
      <c r="AH955" s="124"/>
    </row>
    <row r="956" spans="1:34" ht="12" hidden="1" customHeight="1">
      <c r="A956" s="187">
        <v>44291</v>
      </c>
      <c r="B956" s="188" t="s">
        <v>693</v>
      </c>
      <c r="C956" s="188" t="s">
        <v>485</v>
      </c>
      <c r="D956" s="188"/>
      <c r="E956" s="188" t="str">
        <f t="shared" si="682"/>
        <v>GRAPHITE</v>
      </c>
      <c r="F956" s="188"/>
      <c r="G956" s="188"/>
      <c r="H956" s="188"/>
      <c r="I956" s="188" t="s">
        <v>668</v>
      </c>
      <c r="J956" s="188" t="s">
        <v>483</v>
      </c>
      <c r="K956" s="188"/>
      <c r="L956" s="188"/>
      <c r="M956" s="189">
        <v>750</v>
      </c>
      <c r="N956" s="190">
        <v>543.15</v>
      </c>
      <c r="O956" s="191">
        <v>545.12666999999999</v>
      </c>
      <c r="P956" s="192">
        <f t="shared" si="705"/>
        <v>20</v>
      </c>
      <c r="Q956" s="192">
        <f t="shared" si="706"/>
        <v>20</v>
      </c>
      <c r="R956" s="193">
        <f t="shared" si="685"/>
        <v>816207.5</v>
      </c>
      <c r="S956" s="193">
        <f t="shared" si="686"/>
        <v>1482.5025000000096</v>
      </c>
      <c r="T956" s="193">
        <v>182.74</v>
      </c>
      <c r="U956" s="193">
        <f t="shared" si="707"/>
        <v>36.93</v>
      </c>
      <c r="V956" s="193">
        <f t="shared" si="708"/>
        <v>102</v>
      </c>
      <c r="W956" s="193">
        <f t="shared" si="710"/>
        <v>12</v>
      </c>
      <c r="X956" s="193">
        <f>ROUND(R956*G$1820,2)</f>
        <v>22.45</v>
      </c>
      <c r="Y956" s="193">
        <f t="shared" si="716"/>
        <v>0</v>
      </c>
      <c r="Z956" s="193">
        <f t="shared" si="692"/>
        <v>356.12</v>
      </c>
      <c r="AA956" s="194">
        <f t="shared" si="693"/>
        <v>1126.3800000000001</v>
      </c>
      <c r="AB956" s="195">
        <v>1126</v>
      </c>
      <c r="AC956" s="196">
        <f t="shared" si="694"/>
        <v>-0.38000000000010914</v>
      </c>
      <c r="AD956" s="197">
        <f t="shared" si="695"/>
        <v>3.6392709196354837E-3</v>
      </c>
      <c r="AE956" s="198">
        <f t="shared" si="696"/>
        <v>4.3600000000000003E-4</v>
      </c>
      <c r="AF956" s="193" t="s">
        <v>683</v>
      </c>
      <c r="AG956" s="199" t="s">
        <v>416</v>
      </c>
      <c r="AH956" s="124"/>
    </row>
    <row r="957" spans="1:34" ht="12" hidden="1" customHeight="1">
      <c r="A957" s="187">
        <v>44292</v>
      </c>
      <c r="B957" s="188" t="s">
        <v>692</v>
      </c>
      <c r="C957" s="188" t="s">
        <v>485</v>
      </c>
      <c r="D957" s="188"/>
      <c r="E957" s="188" t="str">
        <f t="shared" si="682"/>
        <v>TITAN</v>
      </c>
      <c r="F957" s="188"/>
      <c r="G957" s="188"/>
      <c r="H957" s="188"/>
      <c r="I957" s="188" t="s">
        <v>668</v>
      </c>
      <c r="J957" s="188" t="s">
        <v>483</v>
      </c>
      <c r="K957" s="188"/>
      <c r="L957" s="188"/>
      <c r="M957" s="189">
        <v>100</v>
      </c>
      <c r="N957" s="190">
        <v>1521</v>
      </c>
      <c r="O957" s="191">
        <v>1528.4</v>
      </c>
      <c r="P957" s="192">
        <f t="shared" si="705"/>
        <v>20</v>
      </c>
      <c r="Q957" s="192">
        <f t="shared" si="706"/>
        <v>20</v>
      </c>
      <c r="R957" s="193">
        <f t="shared" si="685"/>
        <v>304940</v>
      </c>
      <c r="S957" s="193">
        <f t="shared" si="686"/>
        <v>740.00000000000909</v>
      </c>
      <c r="T957" s="193">
        <f>ROUND(P957+Q957,2)</f>
        <v>40</v>
      </c>
      <c r="U957" s="193">
        <f t="shared" si="707"/>
        <v>9.09</v>
      </c>
      <c r="V957" s="193">
        <f t="shared" si="708"/>
        <v>38</v>
      </c>
      <c r="W957" s="193">
        <f t="shared" si="710"/>
        <v>5</v>
      </c>
      <c r="X957" s="193">
        <f>ROUND(R957*H$1820,2)</f>
        <v>10.52</v>
      </c>
      <c r="Y957" s="193">
        <f t="shared" si="716"/>
        <v>0</v>
      </c>
      <c r="Z957" s="193">
        <f t="shared" si="692"/>
        <v>102.61</v>
      </c>
      <c r="AA957" s="194">
        <f t="shared" si="693"/>
        <v>637.39</v>
      </c>
      <c r="AB957" s="195">
        <v>637.24</v>
      </c>
      <c r="AC957" s="196">
        <f t="shared" si="694"/>
        <v>-0.14999999999997726</v>
      </c>
      <c r="AD957" s="197">
        <f t="shared" si="695"/>
        <v>4.8652202498356946E-3</v>
      </c>
      <c r="AE957" s="198">
        <f t="shared" si="696"/>
        <v>3.3599999999999998E-4</v>
      </c>
      <c r="AF957" s="193" t="s">
        <v>683</v>
      </c>
      <c r="AG957" s="199" t="s">
        <v>416</v>
      </c>
      <c r="AH957" s="124"/>
    </row>
    <row r="958" spans="1:34" ht="12" hidden="1" customHeight="1">
      <c r="A958" s="187">
        <v>44293</v>
      </c>
      <c r="B958" s="188" t="s">
        <v>691</v>
      </c>
      <c r="C958" s="188" t="s">
        <v>485</v>
      </c>
      <c r="D958" s="188"/>
      <c r="E958" s="188" t="str">
        <f t="shared" si="682"/>
        <v>TATACHEM</v>
      </c>
      <c r="F958" s="188"/>
      <c r="G958" s="188"/>
      <c r="H958" s="188"/>
      <c r="I958" s="188" t="s">
        <v>668</v>
      </c>
      <c r="J958" s="188" t="s">
        <v>483</v>
      </c>
      <c r="K958" s="188"/>
      <c r="L958" s="188"/>
      <c r="M958" s="189">
        <v>200</v>
      </c>
      <c r="N958" s="190">
        <v>815.22500000000002</v>
      </c>
      <c r="O958" s="191">
        <v>812</v>
      </c>
      <c r="P958" s="192">
        <f t="shared" si="705"/>
        <v>20</v>
      </c>
      <c r="Q958" s="192">
        <f t="shared" si="706"/>
        <v>20</v>
      </c>
      <c r="R958" s="193">
        <f t="shared" si="685"/>
        <v>325445</v>
      </c>
      <c r="S958" s="193">
        <f t="shared" si="686"/>
        <v>-645.00000000000455</v>
      </c>
      <c r="T958" s="193">
        <v>80</v>
      </c>
      <c r="U958" s="193">
        <f t="shared" si="707"/>
        <v>16.010000000000002</v>
      </c>
      <c r="V958" s="193">
        <f t="shared" si="708"/>
        <v>41</v>
      </c>
      <c r="W958" s="193">
        <f t="shared" si="710"/>
        <v>5</v>
      </c>
      <c r="X958" s="193">
        <f>ROUND(R958*G$1820,2)</f>
        <v>8.9499999999999993</v>
      </c>
      <c r="Y958" s="193">
        <f t="shared" si="716"/>
        <v>0</v>
      </c>
      <c r="Z958" s="193">
        <f t="shared" si="692"/>
        <v>150.95999999999998</v>
      </c>
      <c r="AA958" s="194">
        <f t="shared" si="693"/>
        <v>-795.96</v>
      </c>
      <c r="AB958" s="195">
        <f>-796-0.41</f>
        <v>-796.41</v>
      </c>
      <c r="AC958" s="196">
        <f t="shared" si="694"/>
        <v>-0.44999999999993179</v>
      </c>
      <c r="AD958" s="197">
        <f t="shared" si="695"/>
        <v>-3.9559630776779698E-3</v>
      </c>
      <c r="AE958" s="198">
        <f t="shared" si="696"/>
        <v>4.64E-4</v>
      </c>
      <c r="AF958" s="193" t="s">
        <v>683</v>
      </c>
      <c r="AG958" s="199" t="s">
        <v>416</v>
      </c>
      <c r="AH958" s="124"/>
    </row>
    <row r="959" spans="1:34" ht="12" hidden="1" customHeight="1">
      <c r="A959" s="187">
        <v>44293</v>
      </c>
      <c r="B959" s="188" t="s">
        <v>579</v>
      </c>
      <c r="C959" s="188" t="s">
        <v>485</v>
      </c>
      <c r="D959" s="188"/>
      <c r="E959" s="188" t="str">
        <f t="shared" si="682"/>
        <v>INDIGO</v>
      </c>
      <c r="F959" s="188"/>
      <c r="G959" s="188"/>
      <c r="H959" s="188"/>
      <c r="I959" s="188" t="s">
        <v>668</v>
      </c>
      <c r="J959" s="188" t="s">
        <v>483</v>
      </c>
      <c r="K959" s="188"/>
      <c r="L959" s="188"/>
      <c r="M959" s="189">
        <v>300</v>
      </c>
      <c r="N959" s="190">
        <v>1604.53332</v>
      </c>
      <c r="O959" s="191">
        <v>1606.4</v>
      </c>
      <c r="P959" s="192">
        <f t="shared" si="705"/>
        <v>20</v>
      </c>
      <c r="Q959" s="192">
        <f t="shared" si="706"/>
        <v>20</v>
      </c>
      <c r="R959" s="193">
        <f t="shared" si="685"/>
        <v>963280</v>
      </c>
      <c r="S959" s="193">
        <f t="shared" si="686"/>
        <v>560.00400000002628</v>
      </c>
      <c r="T959" s="193">
        <v>120</v>
      </c>
      <c r="U959" s="193">
        <f t="shared" si="707"/>
        <v>27.58</v>
      </c>
      <c r="V959" s="193">
        <f t="shared" si="708"/>
        <v>120</v>
      </c>
      <c r="W959" s="193">
        <f t="shared" si="710"/>
        <v>14</v>
      </c>
      <c r="X959" s="193">
        <f t="shared" ref="X959:X968" si="731">ROUND(R959*H$1820,2)</f>
        <v>33.229999999999997</v>
      </c>
      <c r="Y959" s="193">
        <f t="shared" si="716"/>
        <v>0</v>
      </c>
      <c r="Z959" s="193">
        <f t="shared" si="692"/>
        <v>314.81</v>
      </c>
      <c r="AA959" s="194">
        <f t="shared" si="693"/>
        <v>245.19</v>
      </c>
      <c r="AB959" s="195">
        <v>245</v>
      </c>
      <c r="AC959" s="196">
        <f t="shared" si="694"/>
        <v>-0.18999999999999773</v>
      </c>
      <c r="AD959" s="197">
        <f t="shared" si="695"/>
        <v>1.1633787698469781E-3</v>
      </c>
      <c r="AE959" s="198">
        <f t="shared" si="696"/>
        <v>3.2699999999999998E-4</v>
      </c>
      <c r="AF959" s="193" t="s">
        <v>683</v>
      </c>
      <c r="AG959" s="199" t="s">
        <v>416</v>
      </c>
      <c r="AH959" s="124"/>
    </row>
    <row r="960" spans="1:34" ht="12" hidden="1" customHeight="1">
      <c r="A960" s="187">
        <v>44294</v>
      </c>
      <c r="B960" s="188" t="s">
        <v>694</v>
      </c>
      <c r="C960" s="188" t="s">
        <v>485</v>
      </c>
      <c r="D960" s="188"/>
      <c r="E960" s="188" t="str">
        <f t="shared" si="682"/>
        <v>GRASIM</v>
      </c>
      <c r="F960" s="188"/>
      <c r="G960" s="188"/>
      <c r="H960" s="188"/>
      <c r="I960" s="188" t="s">
        <v>668</v>
      </c>
      <c r="J960" s="188" t="s">
        <v>483</v>
      </c>
      <c r="K960" s="188"/>
      <c r="L960" s="188"/>
      <c r="M960" s="189">
        <v>200</v>
      </c>
      <c r="N960" s="190">
        <v>1454.5</v>
      </c>
      <c r="O960" s="191">
        <v>1440</v>
      </c>
      <c r="P960" s="192">
        <f t="shared" si="705"/>
        <v>20</v>
      </c>
      <c r="Q960" s="192">
        <f t="shared" si="706"/>
        <v>20</v>
      </c>
      <c r="R960" s="193">
        <f t="shared" si="685"/>
        <v>578900</v>
      </c>
      <c r="S960" s="193">
        <f t="shared" si="686"/>
        <v>-2900</v>
      </c>
      <c r="T960" s="193">
        <v>60</v>
      </c>
      <c r="U960" s="193">
        <f t="shared" si="707"/>
        <v>14.39</v>
      </c>
      <c r="V960" s="193">
        <f t="shared" si="708"/>
        <v>72</v>
      </c>
      <c r="W960" s="193">
        <f t="shared" si="710"/>
        <v>9</v>
      </c>
      <c r="X960" s="193">
        <f t="shared" si="731"/>
        <v>19.97</v>
      </c>
      <c r="Y960" s="193">
        <f t="shared" si="716"/>
        <v>0</v>
      </c>
      <c r="Z960" s="193">
        <f t="shared" si="692"/>
        <v>175.35999999999999</v>
      </c>
      <c r="AA960" s="194">
        <f t="shared" si="693"/>
        <v>-3075.36</v>
      </c>
      <c r="AB960" s="195">
        <f>-3075-0.9</f>
        <v>-3075.9</v>
      </c>
      <c r="AC960" s="196">
        <f t="shared" si="694"/>
        <v>-0.53999999999996362</v>
      </c>
      <c r="AD960" s="197">
        <f t="shared" si="695"/>
        <v>-9.9690615331729116E-3</v>
      </c>
      <c r="AE960" s="198">
        <f t="shared" si="696"/>
        <v>3.0299999999999999E-4</v>
      </c>
      <c r="AF960" s="193" t="s">
        <v>683</v>
      </c>
      <c r="AG960" s="199" t="s">
        <v>416</v>
      </c>
      <c r="AH960" s="124"/>
    </row>
    <row r="961" spans="1:34" ht="12" hidden="1" customHeight="1">
      <c r="A961" s="187">
        <v>44294</v>
      </c>
      <c r="B961" s="188" t="s">
        <v>673</v>
      </c>
      <c r="C961" s="188" t="s">
        <v>485</v>
      </c>
      <c r="D961" s="188"/>
      <c r="E961" s="188" t="str">
        <f t="shared" si="682"/>
        <v>JSWSTEEL</v>
      </c>
      <c r="F961" s="188"/>
      <c r="G961" s="188"/>
      <c r="H961" s="188"/>
      <c r="I961" s="188" t="s">
        <v>668</v>
      </c>
      <c r="J961" s="188" t="s">
        <v>483</v>
      </c>
      <c r="K961" s="188"/>
      <c r="L961" s="188"/>
      <c r="M961" s="189">
        <v>400</v>
      </c>
      <c r="N961" s="190">
        <v>621.75</v>
      </c>
      <c r="O961" s="191">
        <v>625.97500000000002</v>
      </c>
      <c r="P961" s="192">
        <f t="shared" si="705"/>
        <v>20</v>
      </c>
      <c r="Q961" s="192">
        <f t="shared" si="706"/>
        <v>20</v>
      </c>
      <c r="R961" s="193">
        <f t="shared" si="685"/>
        <v>499090</v>
      </c>
      <c r="S961" s="193">
        <f t="shared" si="686"/>
        <v>1690.0000000000091</v>
      </c>
      <c r="T961" s="193">
        <v>149.72</v>
      </c>
      <c r="U961" s="193">
        <f t="shared" si="707"/>
        <v>30.05</v>
      </c>
      <c r="V961" s="193">
        <f t="shared" si="708"/>
        <v>63</v>
      </c>
      <c r="W961" s="193">
        <f t="shared" si="710"/>
        <v>7</v>
      </c>
      <c r="X961" s="193">
        <f t="shared" si="731"/>
        <v>17.22</v>
      </c>
      <c r="Y961" s="193">
        <f t="shared" si="716"/>
        <v>0</v>
      </c>
      <c r="Z961" s="193">
        <f t="shared" si="692"/>
        <v>266.99</v>
      </c>
      <c r="AA961" s="194">
        <f t="shared" si="693"/>
        <v>1423.01</v>
      </c>
      <c r="AB961" s="195">
        <v>1423</v>
      </c>
      <c r="AC961" s="196">
        <f t="shared" si="694"/>
        <v>-9.9999999999909051E-3</v>
      </c>
      <c r="AD961" s="197">
        <f t="shared" si="695"/>
        <v>6.795335745878605E-3</v>
      </c>
      <c r="AE961" s="198">
        <f t="shared" si="696"/>
        <v>5.3499999999999999E-4</v>
      </c>
      <c r="AF961" s="193" t="s">
        <v>683</v>
      </c>
      <c r="AG961" s="199" t="s">
        <v>416</v>
      </c>
      <c r="AH961" s="124"/>
    </row>
    <row r="962" spans="1:34" ht="12" hidden="1" customHeight="1">
      <c r="A962" s="187">
        <v>44295</v>
      </c>
      <c r="B962" s="188" t="s">
        <v>673</v>
      </c>
      <c r="C962" s="188" t="s">
        <v>485</v>
      </c>
      <c r="D962" s="188"/>
      <c r="E962" s="188" t="str">
        <f t="shared" si="682"/>
        <v>JSWSTEEL</v>
      </c>
      <c r="F962" s="188"/>
      <c r="G962" s="188"/>
      <c r="H962" s="188"/>
      <c r="I962" s="188" t="s">
        <v>668</v>
      </c>
      <c r="J962" s="188" t="s">
        <v>483</v>
      </c>
      <c r="K962" s="188"/>
      <c r="L962" s="188"/>
      <c r="M962" s="189">
        <v>600</v>
      </c>
      <c r="N962" s="190">
        <v>606.16669999999999</v>
      </c>
      <c r="O962" s="191">
        <v>607.68820000000005</v>
      </c>
      <c r="P962" s="192">
        <f t="shared" si="705"/>
        <v>20</v>
      </c>
      <c r="Q962" s="192">
        <f t="shared" si="706"/>
        <v>20</v>
      </c>
      <c r="R962" s="193">
        <f t="shared" si="685"/>
        <v>728312.94</v>
      </c>
      <c r="S962" s="193">
        <f t="shared" si="686"/>
        <v>912.90000000003602</v>
      </c>
      <c r="T962" s="193">
        <v>202.32</v>
      </c>
      <c r="U962" s="193">
        <f t="shared" si="707"/>
        <v>40.94</v>
      </c>
      <c r="V962" s="193">
        <f t="shared" si="708"/>
        <v>91</v>
      </c>
      <c r="W962" s="193">
        <f t="shared" si="710"/>
        <v>11</v>
      </c>
      <c r="X962" s="193">
        <f t="shared" si="731"/>
        <v>25.13</v>
      </c>
      <c r="Y962" s="193">
        <f t="shared" si="716"/>
        <v>0</v>
      </c>
      <c r="Z962" s="193">
        <f t="shared" si="692"/>
        <v>370.39</v>
      </c>
      <c r="AA962" s="194">
        <f t="shared" si="693"/>
        <v>542.51</v>
      </c>
      <c r="AB962" s="195">
        <v>542.16</v>
      </c>
      <c r="AC962" s="196">
        <f t="shared" si="694"/>
        <v>-0.35000000000002274</v>
      </c>
      <c r="AD962" s="197">
        <f t="shared" si="695"/>
        <v>2.5100356057171404E-3</v>
      </c>
      <c r="AE962" s="198">
        <f t="shared" si="696"/>
        <v>5.0900000000000001E-4</v>
      </c>
      <c r="AF962" s="193"/>
      <c r="AG962" s="199" t="s">
        <v>416</v>
      </c>
      <c r="AH962" s="124"/>
    </row>
    <row r="963" spans="1:34" ht="12" hidden="1" customHeight="1">
      <c r="A963" s="187">
        <v>44298</v>
      </c>
      <c r="B963" s="188" t="s">
        <v>695</v>
      </c>
      <c r="C963" s="188" t="s">
        <v>485</v>
      </c>
      <c r="D963" s="188"/>
      <c r="E963" s="188" t="str">
        <f t="shared" si="682"/>
        <v>CADILAHC</v>
      </c>
      <c r="F963" s="188"/>
      <c r="G963" s="188"/>
      <c r="H963" s="188"/>
      <c r="I963" s="188" t="s">
        <v>668</v>
      </c>
      <c r="J963" s="188" t="s">
        <v>483</v>
      </c>
      <c r="K963" s="188"/>
      <c r="L963" s="188"/>
      <c r="M963" s="189">
        <v>400</v>
      </c>
      <c r="N963" s="190">
        <v>514.70000000000005</v>
      </c>
      <c r="O963" s="191">
        <v>508.25</v>
      </c>
      <c r="P963" s="192">
        <f t="shared" si="705"/>
        <v>20</v>
      </c>
      <c r="Q963" s="192">
        <f t="shared" si="706"/>
        <v>20</v>
      </c>
      <c r="R963" s="193">
        <f t="shared" si="685"/>
        <v>409180</v>
      </c>
      <c r="S963" s="193">
        <f t="shared" si="686"/>
        <v>-2580.0000000000182</v>
      </c>
      <c r="T963" s="193">
        <v>112.4</v>
      </c>
      <c r="U963" s="193">
        <f t="shared" si="707"/>
        <v>22.77</v>
      </c>
      <c r="V963" s="193">
        <f t="shared" si="708"/>
        <v>51</v>
      </c>
      <c r="W963" s="193">
        <f t="shared" si="710"/>
        <v>6</v>
      </c>
      <c r="X963" s="193">
        <f t="shared" si="731"/>
        <v>14.12</v>
      </c>
      <c r="Y963" s="193">
        <f t="shared" si="716"/>
        <v>0</v>
      </c>
      <c r="Z963" s="193">
        <f t="shared" si="692"/>
        <v>206.29000000000002</v>
      </c>
      <c r="AA963" s="194">
        <f t="shared" si="693"/>
        <v>-2786.29</v>
      </c>
      <c r="AB963" s="195">
        <f>-2786-1.67</f>
        <v>-2787.67</v>
      </c>
      <c r="AC963" s="196">
        <f t="shared" si="694"/>
        <v>-1.3800000000001091</v>
      </c>
      <c r="AD963" s="197">
        <f t="shared" si="695"/>
        <v>-1.2531571789391967E-2</v>
      </c>
      <c r="AE963" s="198">
        <f t="shared" si="696"/>
        <v>5.04E-4</v>
      </c>
      <c r="AF963" s="193"/>
      <c r="AG963" s="199" t="s">
        <v>416</v>
      </c>
      <c r="AH963" s="124"/>
    </row>
    <row r="964" spans="1:34" ht="12" hidden="1" customHeight="1">
      <c r="A964" s="187">
        <v>44298</v>
      </c>
      <c r="B964" s="188" t="s">
        <v>696</v>
      </c>
      <c r="C964" s="188" t="s">
        <v>485</v>
      </c>
      <c r="D964" s="188"/>
      <c r="E964" s="188" t="str">
        <f t="shared" si="682"/>
        <v>TORNTPHARM</v>
      </c>
      <c r="F964" s="188"/>
      <c r="G964" s="188"/>
      <c r="H964" s="188"/>
      <c r="I964" s="188" t="s">
        <v>668</v>
      </c>
      <c r="J964" s="188" t="s">
        <v>483</v>
      </c>
      <c r="K964" s="188"/>
      <c r="L964" s="188"/>
      <c r="M964" s="189">
        <v>150</v>
      </c>
      <c r="N964" s="190">
        <v>2612.7613000000001</v>
      </c>
      <c r="O964" s="191">
        <v>2599.0416500000001</v>
      </c>
      <c r="P964" s="192">
        <f t="shared" si="705"/>
        <v>20</v>
      </c>
      <c r="Q964" s="192">
        <f t="shared" si="706"/>
        <v>20</v>
      </c>
      <c r="R964" s="193">
        <f t="shared" si="685"/>
        <v>781770.44</v>
      </c>
      <c r="S964" s="193">
        <f t="shared" si="686"/>
        <v>-2057.9475000000002</v>
      </c>
      <c r="T964" s="193">
        <v>196.70999999999998</v>
      </c>
      <c r="U964" s="193">
        <f t="shared" si="707"/>
        <v>40.26</v>
      </c>
      <c r="V964" s="193">
        <f t="shared" si="708"/>
        <v>97</v>
      </c>
      <c r="W964" s="193">
        <f t="shared" si="710"/>
        <v>12</v>
      </c>
      <c r="X964" s="193">
        <f t="shared" si="731"/>
        <v>26.97</v>
      </c>
      <c r="Y964" s="193">
        <f t="shared" si="716"/>
        <v>0</v>
      </c>
      <c r="Z964" s="193">
        <f t="shared" si="692"/>
        <v>372.93999999999994</v>
      </c>
      <c r="AA964" s="194">
        <f t="shared" si="693"/>
        <v>-2430.89</v>
      </c>
      <c r="AB964" s="195">
        <v>-2431</v>
      </c>
      <c r="AC964" s="196">
        <f t="shared" si="694"/>
        <v>-0.11000000000012733</v>
      </c>
      <c r="AD964" s="197">
        <f t="shared" si="695"/>
        <v>-5.2510154678117749E-3</v>
      </c>
      <c r="AE964" s="198">
        <f t="shared" si="696"/>
        <v>4.7699999999999999E-4</v>
      </c>
      <c r="AF964" s="193"/>
      <c r="AG964" s="199" t="s">
        <v>416</v>
      </c>
      <c r="AH964" s="124"/>
    </row>
    <row r="965" spans="1:34" ht="12" hidden="1" customHeight="1">
      <c r="A965" s="187">
        <v>44298</v>
      </c>
      <c r="B965" s="188" t="s">
        <v>473</v>
      </c>
      <c r="C965" s="188" t="s">
        <v>485</v>
      </c>
      <c r="D965" s="188"/>
      <c r="E965" s="188" t="str">
        <f t="shared" si="682"/>
        <v>CIPLA</v>
      </c>
      <c r="F965" s="188"/>
      <c r="G965" s="188"/>
      <c r="H965" s="188"/>
      <c r="I965" s="188" t="s">
        <v>668</v>
      </c>
      <c r="J965" s="188" t="s">
        <v>483</v>
      </c>
      <c r="K965" s="188"/>
      <c r="L965" s="188"/>
      <c r="M965" s="189">
        <v>200</v>
      </c>
      <c r="N965" s="190">
        <v>923.5</v>
      </c>
      <c r="O965" s="191">
        <v>924.2</v>
      </c>
      <c r="P965" s="192">
        <f t="shared" si="705"/>
        <v>20</v>
      </c>
      <c r="Q965" s="192">
        <f t="shared" si="706"/>
        <v>20</v>
      </c>
      <c r="R965" s="193">
        <f t="shared" si="685"/>
        <v>369540</v>
      </c>
      <c r="S965" s="193">
        <f t="shared" si="686"/>
        <v>140.00000000000909</v>
      </c>
      <c r="T965" s="193">
        <v>80</v>
      </c>
      <c r="U965" s="193">
        <f t="shared" si="707"/>
        <v>16.7</v>
      </c>
      <c r="V965" s="193">
        <f t="shared" si="708"/>
        <v>46</v>
      </c>
      <c r="W965" s="193">
        <f t="shared" si="710"/>
        <v>6</v>
      </c>
      <c r="X965" s="193">
        <f t="shared" si="731"/>
        <v>12.75</v>
      </c>
      <c r="Y965" s="193">
        <f t="shared" si="716"/>
        <v>0</v>
      </c>
      <c r="Z965" s="193">
        <f t="shared" si="692"/>
        <v>161.44999999999999</v>
      </c>
      <c r="AA965" s="194">
        <f t="shared" si="693"/>
        <v>-21.45</v>
      </c>
      <c r="AB965" s="195">
        <v>-21</v>
      </c>
      <c r="AC965" s="196">
        <f t="shared" si="694"/>
        <v>0.44999999999999929</v>
      </c>
      <c r="AD965" s="197">
        <f t="shared" si="695"/>
        <v>7.5798592311861993E-4</v>
      </c>
      <c r="AE965" s="198">
        <f t="shared" si="696"/>
        <v>4.37E-4</v>
      </c>
      <c r="AF965" s="193"/>
      <c r="AG965" s="199" t="s">
        <v>416</v>
      </c>
      <c r="AH965" s="124"/>
    </row>
    <row r="966" spans="1:34" ht="12" hidden="1" customHeight="1">
      <c r="A966" s="187">
        <v>44299</v>
      </c>
      <c r="B966" s="188" t="s">
        <v>697</v>
      </c>
      <c r="C966" s="188" t="s">
        <v>485</v>
      </c>
      <c r="D966" s="188"/>
      <c r="E966" s="188" t="str">
        <f t="shared" si="682"/>
        <v>BAJAJCON</v>
      </c>
      <c r="F966" s="188"/>
      <c r="G966" s="188"/>
      <c r="H966" s="188"/>
      <c r="I966" s="188" t="s">
        <v>668</v>
      </c>
      <c r="J966" s="188" t="s">
        <v>483</v>
      </c>
      <c r="K966" s="188"/>
      <c r="L966" s="188"/>
      <c r="M966" s="189">
        <v>40</v>
      </c>
      <c r="N966" s="190">
        <v>291.7</v>
      </c>
      <c r="O966" s="191">
        <v>289</v>
      </c>
      <c r="P966" s="192">
        <f t="shared" si="705"/>
        <v>3.5</v>
      </c>
      <c r="Q966" s="192">
        <f t="shared" si="706"/>
        <v>3.47</v>
      </c>
      <c r="R966" s="193">
        <f t="shared" si="685"/>
        <v>23228</v>
      </c>
      <c r="S966" s="193">
        <f t="shared" si="686"/>
        <v>-107.99999999999955</v>
      </c>
      <c r="T966" s="193">
        <f t="shared" ref="T966:T996" si="732">ROUND(P966+Q966,2)</f>
        <v>6.97</v>
      </c>
      <c r="U966" s="193">
        <f t="shared" si="707"/>
        <v>1.4</v>
      </c>
      <c r="V966" s="193">
        <f t="shared" si="708"/>
        <v>3</v>
      </c>
      <c r="W966" s="193">
        <f t="shared" si="710"/>
        <v>0</v>
      </c>
      <c r="X966" s="193">
        <f t="shared" si="731"/>
        <v>0.8</v>
      </c>
      <c r="Y966" s="193">
        <f t="shared" si="716"/>
        <v>0</v>
      </c>
      <c r="Z966" s="193">
        <f t="shared" si="692"/>
        <v>12.17</v>
      </c>
      <c r="AA966" s="194">
        <f t="shared" si="693"/>
        <v>-120.17</v>
      </c>
      <c r="AB966" s="195">
        <f>-120+0.32</f>
        <v>-119.68</v>
      </c>
      <c r="AC966" s="196">
        <f t="shared" si="694"/>
        <v>0.48999999999999488</v>
      </c>
      <c r="AD966" s="197">
        <f t="shared" si="695"/>
        <v>-9.2560850188549496E-3</v>
      </c>
      <c r="AE966" s="198">
        <f t="shared" si="696"/>
        <v>5.2400000000000005E-4</v>
      </c>
      <c r="AF966" s="193"/>
      <c r="AG966" s="199" t="s">
        <v>416</v>
      </c>
      <c r="AH966" s="124"/>
    </row>
    <row r="967" spans="1:34" ht="12" hidden="1" customHeight="1">
      <c r="A967" s="187">
        <v>44299</v>
      </c>
      <c r="B967" s="188" t="s">
        <v>690</v>
      </c>
      <c r="C967" s="188" t="s">
        <v>485</v>
      </c>
      <c r="D967" s="188"/>
      <c r="E967" s="188" t="str">
        <f t="shared" si="682"/>
        <v>ASHOKLEY</v>
      </c>
      <c r="F967" s="188"/>
      <c r="G967" s="188"/>
      <c r="H967" s="188"/>
      <c r="I967" s="188" t="s">
        <v>668</v>
      </c>
      <c r="J967" s="188" t="s">
        <v>483</v>
      </c>
      <c r="K967" s="188"/>
      <c r="L967" s="188"/>
      <c r="M967" s="189">
        <v>100</v>
      </c>
      <c r="N967" s="190">
        <v>113.4</v>
      </c>
      <c r="O967" s="191">
        <v>115.05</v>
      </c>
      <c r="P967" s="192">
        <f t="shared" si="705"/>
        <v>3.4</v>
      </c>
      <c r="Q967" s="192">
        <f t="shared" si="706"/>
        <v>3.45</v>
      </c>
      <c r="R967" s="193">
        <f t="shared" si="685"/>
        <v>22845</v>
      </c>
      <c r="S967" s="193">
        <f t="shared" si="686"/>
        <v>164.99999999999915</v>
      </c>
      <c r="T967" s="193">
        <f t="shared" si="732"/>
        <v>6.85</v>
      </c>
      <c r="U967" s="193">
        <f t="shared" si="707"/>
        <v>1.38</v>
      </c>
      <c r="V967" s="193">
        <f t="shared" si="708"/>
        <v>3</v>
      </c>
      <c r="W967" s="193">
        <f t="shared" si="710"/>
        <v>0</v>
      </c>
      <c r="X967" s="193">
        <f t="shared" si="731"/>
        <v>0.79</v>
      </c>
      <c r="Y967" s="193">
        <f t="shared" si="716"/>
        <v>0</v>
      </c>
      <c r="Z967" s="193">
        <f t="shared" si="692"/>
        <v>12.02</v>
      </c>
      <c r="AA967" s="194">
        <f t="shared" si="693"/>
        <v>152.97999999999999</v>
      </c>
      <c r="AB967" s="195">
        <v>153</v>
      </c>
      <c r="AC967" s="196">
        <f t="shared" si="694"/>
        <v>2.0000000000010232E-2</v>
      </c>
      <c r="AD967" s="197">
        <f t="shared" si="695"/>
        <v>1.4550264550264475E-2</v>
      </c>
      <c r="AE967" s="198">
        <f t="shared" si="696"/>
        <v>5.2599999999999999E-4</v>
      </c>
      <c r="AF967" s="193"/>
      <c r="AG967" s="199" t="s">
        <v>416</v>
      </c>
      <c r="AH967" s="124"/>
    </row>
    <row r="968" spans="1:34" ht="12" hidden="1" customHeight="1">
      <c r="A968" s="187">
        <v>44299</v>
      </c>
      <c r="B968" s="188" t="s">
        <v>499</v>
      </c>
      <c r="C968" s="188" t="s">
        <v>485</v>
      </c>
      <c r="D968" s="188"/>
      <c r="E968" s="188" t="str">
        <f t="shared" si="682"/>
        <v>BSOFT</v>
      </c>
      <c r="F968" s="188"/>
      <c r="G968" s="188"/>
      <c r="H968" s="188"/>
      <c r="I968" s="188" t="s">
        <v>668</v>
      </c>
      <c r="J968" s="188" t="s">
        <v>483</v>
      </c>
      <c r="K968" s="188"/>
      <c r="L968" s="188"/>
      <c r="M968" s="189">
        <v>25</v>
      </c>
      <c r="N968" s="190">
        <v>255</v>
      </c>
      <c r="O968" s="191">
        <v>257</v>
      </c>
      <c r="P968" s="192">
        <f t="shared" si="705"/>
        <v>1.91</v>
      </c>
      <c r="Q968" s="192">
        <f t="shared" si="706"/>
        <v>1.93</v>
      </c>
      <c r="R968" s="193">
        <f t="shared" si="685"/>
        <v>12800</v>
      </c>
      <c r="S968" s="193">
        <f t="shared" si="686"/>
        <v>50</v>
      </c>
      <c r="T968" s="193">
        <f t="shared" si="732"/>
        <v>3.84</v>
      </c>
      <c r="U968" s="193">
        <f t="shared" si="707"/>
        <v>0.77</v>
      </c>
      <c r="V968" s="193">
        <f t="shared" si="708"/>
        <v>2</v>
      </c>
      <c r="W968" s="193">
        <f t="shared" si="710"/>
        <v>0</v>
      </c>
      <c r="X968" s="193">
        <f t="shared" si="731"/>
        <v>0.44</v>
      </c>
      <c r="Y968" s="193">
        <f t="shared" si="716"/>
        <v>0</v>
      </c>
      <c r="Z968" s="193">
        <f t="shared" si="692"/>
        <v>7.05</v>
      </c>
      <c r="AA968" s="194">
        <f t="shared" si="693"/>
        <v>42.95</v>
      </c>
      <c r="AB968" s="195">
        <v>43</v>
      </c>
      <c r="AC968" s="196">
        <f t="shared" si="694"/>
        <v>4.9999999999997158E-2</v>
      </c>
      <c r="AD968" s="197">
        <f t="shared" si="695"/>
        <v>7.8431372549019607E-3</v>
      </c>
      <c r="AE968" s="198">
        <f t="shared" si="696"/>
        <v>5.5099999999999995E-4</v>
      </c>
      <c r="AF968" s="193"/>
      <c r="AG968" s="199" t="s">
        <v>416</v>
      </c>
      <c r="AH968" s="124"/>
    </row>
    <row r="969" spans="1:34" ht="12" hidden="1" customHeight="1">
      <c r="A969" s="187">
        <v>44301</v>
      </c>
      <c r="B969" s="188" t="s">
        <v>698</v>
      </c>
      <c r="C969" s="188" t="s">
        <v>485</v>
      </c>
      <c r="D969" s="188"/>
      <c r="E969" s="188" t="str">
        <f t="shared" si="682"/>
        <v>HEG</v>
      </c>
      <c r="F969" s="188"/>
      <c r="G969" s="188"/>
      <c r="H969" s="188"/>
      <c r="I969" s="188" t="s">
        <v>668</v>
      </c>
      <c r="J969" s="188" t="s">
        <v>483</v>
      </c>
      <c r="K969" s="188"/>
      <c r="L969" s="188"/>
      <c r="M969" s="189">
        <v>10</v>
      </c>
      <c r="N969" s="190">
        <v>2136</v>
      </c>
      <c r="O969" s="191">
        <v>2142</v>
      </c>
      <c r="P969" s="192">
        <f t="shared" si="705"/>
        <v>6.41</v>
      </c>
      <c r="Q969" s="192">
        <f t="shared" si="706"/>
        <v>6.43</v>
      </c>
      <c r="R969" s="193">
        <f t="shared" si="685"/>
        <v>42780</v>
      </c>
      <c r="S969" s="193">
        <f t="shared" si="686"/>
        <v>60</v>
      </c>
      <c r="T969" s="193">
        <f t="shared" si="732"/>
        <v>12.84</v>
      </c>
      <c r="U969" s="193">
        <f t="shared" si="707"/>
        <v>2.52</v>
      </c>
      <c r="V969" s="193">
        <f t="shared" si="708"/>
        <v>5</v>
      </c>
      <c r="W969" s="193">
        <f t="shared" si="710"/>
        <v>1</v>
      </c>
      <c r="X969" s="193">
        <f t="shared" ref="X969:X972" si="733">ROUND(R969*G$1820,2)</f>
        <v>1.18</v>
      </c>
      <c r="Y969" s="193">
        <f t="shared" si="716"/>
        <v>0</v>
      </c>
      <c r="Z969" s="193">
        <f t="shared" si="692"/>
        <v>22.54</v>
      </c>
      <c r="AA969" s="194">
        <f t="shared" si="693"/>
        <v>37.46</v>
      </c>
      <c r="AB969" s="195">
        <v>37.18</v>
      </c>
      <c r="AC969" s="196">
        <f t="shared" si="694"/>
        <v>-0.28000000000000114</v>
      </c>
      <c r="AD969" s="197">
        <f t="shared" si="695"/>
        <v>2.8089887640449437E-3</v>
      </c>
      <c r="AE969" s="198">
        <f t="shared" si="696"/>
        <v>5.2700000000000002E-4</v>
      </c>
      <c r="AF969" s="193"/>
      <c r="AG969" s="199" t="s">
        <v>416</v>
      </c>
      <c r="AH969" s="124"/>
    </row>
    <row r="970" spans="1:34" ht="12" hidden="1" customHeight="1">
      <c r="A970" s="187">
        <v>44302</v>
      </c>
      <c r="B970" s="188" t="s">
        <v>699</v>
      </c>
      <c r="C970" s="188" t="s">
        <v>485</v>
      </c>
      <c r="D970" s="188"/>
      <c r="E970" s="188" t="str">
        <f t="shared" si="682"/>
        <v>PRAJIND</v>
      </c>
      <c r="F970" s="188"/>
      <c r="G970" s="188"/>
      <c r="H970" s="188"/>
      <c r="I970" s="188" t="s">
        <v>668</v>
      </c>
      <c r="J970" s="188" t="s">
        <v>483</v>
      </c>
      <c r="K970" s="188"/>
      <c r="L970" s="188"/>
      <c r="M970" s="189">
        <v>50</v>
      </c>
      <c r="N970" s="190">
        <v>221.5</v>
      </c>
      <c r="O970" s="191">
        <v>221.3</v>
      </c>
      <c r="P970" s="192">
        <f t="shared" si="705"/>
        <v>3.32</v>
      </c>
      <c r="Q970" s="192">
        <f t="shared" si="706"/>
        <v>3.32</v>
      </c>
      <c r="R970" s="193">
        <f t="shared" si="685"/>
        <v>22140</v>
      </c>
      <c r="S970" s="193">
        <f t="shared" si="686"/>
        <v>-9.9999999999994316</v>
      </c>
      <c r="T970" s="193">
        <f t="shared" si="732"/>
        <v>6.64</v>
      </c>
      <c r="U970" s="193">
        <f t="shared" si="707"/>
        <v>1.31</v>
      </c>
      <c r="V970" s="193">
        <f t="shared" si="708"/>
        <v>3</v>
      </c>
      <c r="W970" s="193">
        <f t="shared" si="710"/>
        <v>0</v>
      </c>
      <c r="X970" s="193">
        <f t="shared" si="733"/>
        <v>0.61</v>
      </c>
      <c r="Y970" s="193">
        <f t="shared" si="716"/>
        <v>0</v>
      </c>
      <c r="Z970" s="193">
        <f t="shared" si="692"/>
        <v>11.559999999999999</v>
      </c>
      <c r="AA970" s="194">
        <f t="shared" si="693"/>
        <v>-21.56</v>
      </c>
      <c r="AB970" s="195">
        <v>-21.35</v>
      </c>
      <c r="AC970" s="196">
        <f t="shared" si="694"/>
        <v>0.2099999999999973</v>
      </c>
      <c r="AD970" s="197">
        <f t="shared" si="695"/>
        <v>-9.0293453724599832E-4</v>
      </c>
      <c r="AE970" s="198">
        <f t="shared" si="696"/>
        <v>5.22E-4</v>
      </c>
      <c r="AF970" s="193"/>
      <c r="AG970" s="199" t="s">
        <v>416</v>
      </c>
      <c r="AH970" s="124"/>
    </row>
    <row r="971" spans="1:34" ht="12" hidden="1" customHeight="1">
      <c r="A971" s="187">
        <v>44306</v>
      </c>
      <c r="B971" s="188" t="s">
        <v>512</v>
      </c>
      <c r="C971" s="188" t="s">
        <v>485</v>
      </c>
      <c r="D971" s="188"/>
      <c r="E971" s="188" t="str">
        <f t="shared" si="682"/>
        <v>IRFC</v>
      </c>
      <c r="F971" s="188"/>
      <c r="G971" s="188"/>
      <c r="H971" s="188"/>
      <c r="I971" s="188" t="s">
        <v>668</v>
      </c>
      <c r="J971" s="188" t="s">
        <v>483</v>
      </c>
      <c r="K971" s="188"/>
      <c r="L971" s="188"/>
      <c r="M971" s="189">
        <v>575</v>
      </c>
      <c r="N971" s="190">
        <v>21.45</v>
      </c>
      <c r="O971" s="191">
        <v>21.5</v>
      </c>
      <c r="P971" s="192">
        <f t="shared" si="705"/>
        <v>3.7</v>
      </c>
      <c r="Q971" s="192">
        <f t="shared" si="706"/>
        <v>3.71</v>
      </c>
      <c r="R971" s="193">
        <f t="shared" si="685"/>
        <v>24696.25</v>
      </c>
      <c r="S971" s="193">
        <f t="shared" si="686"/>
        <v>28.750000000000409</v>
      </c>
      <c r="T971" s="193">
        <f t="shared" si="732"/>
        <v>7.41</v>
      </c>
      <c r="U971" s="193">
        <f t="shared" si="707"/>
        <v>1.46</v>
      </c>
      <c r="V971" s="193">
        <f t="shared" ref="V971:V1152" si="734">ROUND((O971*M971)*F$1818,2)</f>
        <v>3.09</v>
      </c>
      <c r="W971" s="193">
        <f t="shared" ref="W971:W1284" si="735">ROUND((N971*M971)*G$1824,2)</f>
        <v>0.37</v>
      </c>
      <c r="X971" s="193">
        <f t="shared" si="733"/>
        <v>0.68</v>
      </c>
      <c r="Y971" s="193">
        <f t="shared" si="716"/>
        <v>0</v>
      </c>
      <c r="Z971" s="193">
        <f t="shared" si="692"/>
        <v>13.01</v>
      </c>
      <c r="AA971" s="194">
        <f t="shared" si="693"/>
        <v>15.74</v>
      </c>
      <c r="AB971" s="195">
        <v>16</v>
      </c>
      <c r="AC971" s="196">
        <f t="shared" si="694"/>
        <v>0.25999999999999979</v>
      </c>
      <c r="AD971" s="197">
        <f t="shared" si="695"/>
        <v>2.3310023310023644E-3</v>
      </c>
      <c r="AE971" s="198">
        <f t="shared" si="696"/>
        <v>5.2700000000000002E-4</v>
      </c>
      <c r="AF971" s="193"/>
      <c r="AG971" s="199" t="s">
        <v>416</v>
      </c>
      <c r="AH971" s="124"/>
    </row>
    <row r="972" spans="1:34" ht="12" hidden="1" customHeight="1">
      <c r="A972" s="187">
        <v>44306</v>
      </c>
      <c r="B972" s="188" t="s">
        <v>500</v>
      </c>
      <c r="C972" s="188" t="s">
        <v>485</v>
      </c>
      <c r="D972" s="188"/>
      <c r="E972" s="188" t="str">
        <f t="shared" si="682"/>
        <v>CHOLAFIN</v>
      </c>
      <c r="F972" s="188"/>
      <c r="G972" s="188"/>
      <c r="H972" s="188"/>
      <c r="I972" s="188" t="s">
        <v>668</v>
      </c>
      <c r="J972" s="188" t="s">
        <v>483</v>
      </c>
      <c r="K972" s="188"/>
      <c r="L972" s="188"/>
      <c r="M972" s="189">
        <v>25</v>
      </c>
      <c r="N972" s="190">
        <v>545</v>
      </c>
      <c r="O972" s="191">
        <v>555</v>
      </c>
      <c r="P972" s="192">
        <f t="shared" si="705"/>
        <v>4.09</v>
      </c>
      <c r="Q972" s="192">
        <f t="shared" si="706"/>
        <v>4.16</v>
      </c>
      <c r="R972" s="193">
        <f t="shared" si="685"/>
        <v>27500</v>
      </c>
      <c r="S972" s="193">
        <f t="shared" si="686"/>
        <v>250</v>
      </c>
      <c r="T972" s="193">
        <f t="shared" si="732"/>
        <v>8.25</v>
      </c>
      <c r="U972" s="193">
        <f t="shared" si="707"/>
        <v>1.62</v>
      </c>
      <c r="V972" s="193">
        <f t="shared" si="734"/>
        <v>3.47</v>
      </c>
      <c r="W972" s="193">
        <f t="shared" si="735"/>
        <v>0.41</v>
      </c>
      <c r="X972" s="193">
        <f t="shared" si="733"/>
        <v>0.76</v>
      </c>
      <c r="Y972" s="193">
        <f t="shared" si="716"/>
        <v>0</v>
      </c>
      <c r="Z972" s="193">
        <f t="shared" si="692"/>
        <v>14.510000000000002</v>
      </c>
      <c r="AA972" s="194">
        <f t="shared" si="693"/>
        <v>235.49</v>
      </c>
      <c r="AB972" s="195">
        <f>235-0.46</f>
        <v>234.54</v>
      </c>
      <c r="AC972" s="196">
        <f t="shared" si="694"/>
        <v>-0.95000000000001705</v>
      </c>
      <c r="AD972" s="197">
        <f t="shared" si="695"/>
        <v>1.834862385321101E-2</v>
      </c>
      <c r="AE972" s="198">
        <f t="shared" si="696"/>
        <v>5.2800000000000004E-4</v>
      </c>
      <c r="AF972" s="193"/>
      <c r="AG972" s="199" t="s">
        <v>416</v>
      </c>
      <c r="AH972" s="124"/>
    </row>
    <row r="973" spans="1:34" ht="12" hidden="1" customHeight="1">
      <c r="A973" s="187">
        <v>44308</v>
      </c>
      <c r="B973" s="188" t="s">
        <v>700</v>
      </c>
      <c r="C973" s="188" t="s">
        <v>485</v>
      </c>
      <c r="D973" s="188"/>
      <c r="E973" s="188" t="str">
        <f t="shared" si="682"/>
        <v>DLF</v>
      </c>
      <c r="F973" s="188"/>
      <c r="G973" s="188"/>
      <c r="H973" s="188"/>
      <c r="I973" s="188" t="s">
        <v>668</v>
      </c>
      <c r="J973" s="188" t="s">
        <v>483</v>
      </c>
      <c r="K973" s="188"/>
      <c r="L973" s="188"/>
      <c r="M973" s="189">
        <v>50</v>
      </c>
      <c r="N973" s="190">
        <v>240.15</v>
      </c>
      <c r="O973" s="191">
        <v>245.25</v>
      </c>
      <c r="P973" s="192">
        <f t="shared" si="705"/>
        <v>3.6</v>
      </c>
      <c r="Q973" s="192">
        <f t="shared" si="706"/>
        <v>3.68</v>
      </c>
      <c r="R973" s="193">
        <f t="shared" si="685"/>
        <v>24270</v>
      </c>
      <c r="S973" s="193">
        <f t="shared" si="686"/>
        <v>254.99999999999972</v>
      </c>
      <c r="T973" s="193">
        <f t="shared" si="732"/>
        <v>7.28</v>
      </c>
      <c r="U973" s="193">
        <f t="shared" si="707"/>
        <v>1.46</v>
      </c>
      <c r="V973" s="193">
        <f t="shared" si="734"/>
        <v>3.07</v>
      </c>
      <c r="W973" s="193">
        <f t="shared" si="735"/>
        <v>0.36</v>
      </c>
      <c r="X973" s="193">
        <f t="shared" ref="X973:X974" si="736">ROUND(R973*H$1820,2)</f>
        <v>0.84</v>
      </c>
      <c r="Y973" s="193">
        <f t="shared" si="716"/>
        <v>0</v>
      </c>
      <c r="Z973" s="193">
        <f t="shared" si="692"/>
        <v>13.01</v>
      </c>
      <c r="AA973" s="194">
        <f t="shared" si="693"/>
        <v>241.99</v>
      </c>
      <c r="AB973" s="195">
        <v>242.51</v>
      </c>
      <c r="AC973" s="196">
        <f t="shared" si="694"/>
        <v>0.51999999999998181</v>
      </c>
      <c r="AD973" s="197">
        <f t="shared" si="695"/>
        <v>2.1236727045596478E-2</v>
      </c>
      <c r="AE973" s="198">
        <f t="shared" si="696"/>
        <v>5.3600000000000002E-4</v>
      </c>
      <c r="AF973" s="193"/>
      <c r="AG973" s="199" t="s">
        <v>416</v>
      </c>
      <c r="AH973" s="124"/>
    </row>
    <row r="974" spans="1:34" ht="12" hidden="1" customHeight="1">
      <c r="A974" s="187">
        <v>44309</v>
      </c>
      <c r="B974" s="188" t="s">
        <v>701</v>
      </c>
      <c r="C974" s="188" t="s">
        <v>485</v>
      </c>
      <c r="D974" s="188"/>
      <c r="E974" s="188" t="str">
        <f t="shared" si="682"/>
        <v>MPHASIS</v>
      </c>
      <c r="F974" s="188"/>
      <c r="G974" s="188"/>
      <c r="H974" s="188"/>
      <c r="I974" s="188" t="s">
        <v>668</v>
      </c>
      <c r="J974" s="188" t="s">
        <v>483</v>
      </c>
      <c r="K974" s="188"/>
      <c r="L974" s="188"/>
      <c r="M974" s="189">
        <v>20</v>
      </c>
      <c r="N974" s="190">
        <v>1693.25</v>
      </c>
      <c r="O974" s="191">
        <v>1686.4</v>
      </c>
      <c r="P974" s="192">
        <f t="shared" si="705"/>
        <v>10.16</v>
      </c>
      <c r="Q974" s="192">
        <f t="shared" si="706"/>
        <v>10.119999999999999</v>
      </c>
      <c r="R974" s="193">
        <f t="shared" si="685"/>
        <v>67593</v>
      </c>
      <c r="S974" s="193">
        <f t="shared" si="686"/>
        <v>-136.99999999999818</v>
      </c>
      <c r="T974" s="193">
        <f t="shared" si="732"/>
        <v>20.28</v>
      </c>
      <c r="U974" s="193">
        <f t="shared" si="707"/>
        <v>4.07</v>
      </c>
      <c r="V974" s="193">
        <f t="shared" si="734"/>
        <v>8.43</v>
      </c>
      <c r="W974" s="193">
        <f t="shared" si="735"/>
        <v>1.02</v>
      </c>
      <c r="X974" s="193">
        <f t="shared" si="736"/>
        <v>2.33</v>
      </c>
      <c r="Y974" s="193">
        <f t="shared" si="716"/>
        <v>0</v>
      </c>
      <c r="Z974" s="193">
        <f t="shared" si="692"/>
        <v>36.130000000000003</v>
      </c>
      <c r="AA974" s="194">
        <f t="shared" si="693"/>
        <v>-173.13</v>
      </c>
      <c r="AB974" s="195">
        <f>-173+0.16</f>
        <v>-172.84</v>
      </c>
      <c r="AC974" s="196">
        <f t="shared" si="694"/>
        <v>0.28999999999999204</v>
      </c>
      <c r="AD974" s="197">
        <f t="shared" si="695"/>
        <v>-4.0454746788719381E-3</v>
      </c>
      <c r="AE974" s="198">
        <f t="shared" si="696"/>
        <v>5.3499999999999999E-4</v>
      </c>
      <c r="AF974" s="193"/>
      <c r="AG974" s="199" t="s">
        <v>416</v>
      </c>
      <c r="AH974" s="124"/>
    </row>
    <row r="975" spans="1:34" ht="12" hidden="1" customHeight="1">
      <c r="A975" s="187">
        <v>44309</v>
      </c>
      <c r="B975" s="188" t="s">
        <v>512</v>
      </c>
      <c r="C975" s="188" t="s">
        <v>485</v>
      </c>
      <c r="D975" s="188"/>
      <c r="E975" s="188" t="str">
        <f t="shared" si="682"/>
        <v>IRFC</v>
      </c>
      <c r="F975" s="188"/>
      <c r="G975" s="188"/>
      <c r="H975" s="188"/>
      <c r="I975" s="188" t="s">
        <v>668</v>
      </c>
      <c r="J975" s="188" t="s">
        <v>483</v>
      </c>
      <c r="K975" s="188"/>
      <c r="L975" s="188"/>
      <c r="M975" s="189">
        <v>575</v>
      </c>
      <c r="N975" s="190">
        <v>21.1</v>
      </c>
      <c r="O975" s="191">
        <v>21.5</v>
      </c>
      <c r="P975" s="192">
        <f t="shared" si="705"/>
        <v>3.64</v>
      </c>
      <c r="Q975" s="192">
        <f t="shared" si="706"/>
        <v>3.71</v>
      </c>
      <c r="R975" s="193">
        <f t="shared" si="685"/>
        <v>24495</v>
      </c>
      <c r="S975" s="193">
        <f t="shared" si="686"/>
        <v>229.99999999999918</v>
      </c>
      <c r="T975" s="193">
        <f t="shared" si="732"/>
        <v>7.35</v>
      </c>
      <c r="U975" s="193">
        <f t="shared" si="707"/>
        <v>1.44</v>
      </c>
      <c r="V975" s="193">
        <f t="shared" si="734"/>
        <v>3.09</v>
      </c>
      <c r="W975" s="193">
        <f t="shared" si="735"/>
        <v>0.36</v>
      </c>
      <c r="X975" s="193">
        <f>ROUND(R975*G$1820,2)</f>
        <v>0.67</v>
      </c>
      <c r="Y975" s="193">
        <f t="shared" si="716"/>
        <v>0</v>
      </c>
      <c r="Z975" s="193">
        <f t="shared" si="692"/>
        <v>12.909999999999998</v>
      </c>
      <c r="AA975" s="194">
        <f t="shared" si="693"/>
        <v>217.09</v>
      </c>
      <c r="AB975" s="195">
        <v>217</v>
      </c>
      <c r="AC975" s="196">
        <f t="shared" si="694"/>
        <v>-9.0000000000003411E-2</v>
      </c>
      <c r="AD975" s="197">
        <f t="shared" si="695"/>
        <v>1.8957345971563913E-2</v>
      </c>
      <c r="AE975" s="198">
        <f t="shared" si="696"/>
        <v>5.2700000000000002E-4</v>
      </c>
      <c r="AF975" s="193"/>
      <c r="AG975" s="199" t="s">
        <v>416</v>
      </c>
      <c r="AH975" s="124"/>
    </row>
    <row r="976" spans="1:34" ht="12" hidden="1" customHeight="1">
      <c r="A976" s="187">
        <v>44312</v>
      </c>
      <c r="B976" s="188" t="s">
        <v>498</v>
      </c>
      <c r="C976" s="188" t="s">
        <v>485</v>
      </c>
      <c r="D976" s="188"/>
      <c r="E976" s="188" t="str">
        <f t="shared" si="682"/>
        <v>BAJFINANCE</v>
      </c>
      <c r="F976" s="188"/>
      <c r="G976" s="188"/>
      <c r="H976" s="188"/>
      <c r="I976" s="188" t="s">
        <v>668</v>
      </c>
      <c r="J976" s="188" t="s">
        <v>483</v>
      </c>
      <c r="K976" s="188"/>
      <c r="L976" s="188"/>
      <c r="M976" s="189">
        <v>7</v>
      </c>
      <c r="N976" s="190">
        <v>4780</v>
      </c>
      <c r="O976" s="191">
        <v>4794.2857000000004</v>
      </c>
      <c r="P976" s="192">
        <f t="shared" si="705"/>
        <v>10.039999999999999</v>
      </c>
      <c r="Q976" s="192">
        <f t="shared" si="706"/>
        <v>10.07</v>
      </c>
      <c r="R976" s="193">
        <f t="shared" si="685"/>
        <v>67020</v>
      </c>
      <c r="S976" s="193">
        <f t="shared" si="686"/>
        <v>99.999900000002526</v>
      </c>
      <c r="T976" s="193">
        <f t="shared" si="732"/>
        <v>20.11</v>
      </c>
      <c r="U976" s="193">
        <f t="shared" si="707"/>
        <v>4.04</v>
      </c>
      <c r="V976" s="193">
        <f t="shared" si="734"/>
        <v>8.39</v>
      </c>
      <c r="W976" s="193">
        <f t="shared" si="735"/>
        <v>1</v>
      </c>
      <c r="X976" s="193">
        <f t="shared" ref="X976:X980" si="737">ROUND(R976*H$1820,2)</f>
        <v>2.31</v>
      </c>
      <c r="Y976" s="193">
        <f t="shared" si="716"/>
        <v>0</v>
      </c>
      <c r="Z976" s="193">
        <f t="shared" si="692"/>
        <v>35.85</v>
      </c>
      <c r="AA976" s="194">
        <f t="shared" si="693"/>
        <v>64.150000000000006</v>
      </c>
      <c r="AB976" s="195">
        <f>64+0.42</f>
        <v>64.42</v>
      </c>
      <c r="AC976" s="196">
        <f t="shared" si="694"/>
        <v>0.26999999999999602</v>
      </c>
      <c r="AD976" s="197">
        <f t="shared" si="695"/>
        <v>2.9886401673640921E-3</v>
      </c>
      <c r="AE976" s="198">
        <f t="shared" si="696"/>
        <v>5.3499999999999999E-4</v>
      </c>
      <c r="AF976" s="193"/>
      <c r="AG976" s="199" t="s">
        <v>416</v>
      </c>
      <c r="AH976" s="124"/>
    </row>
    <row r="977" spans="1:34" ht="12" hidden="1" customHeight="1">
      <c r="A977" s="187">
        <v>44312</v>
      </c>
      <c r="B977" s="188" t="s">
        <v>499</v>
      </c>
      <c r="C977" s="188" t="s">
        <v>485</v>
      </c>
      <c r="D977" s="188"/>
      <c r="E977" s="188" t="str">
        <f t="shared" si="682"/>
        <v>BSOFT</v>
      </c>
      <c r="F977" s="188"/>
      <c r="G977" s="188"/>
      <c r="H977" s="188"/>
      <c r="I977" s="188" t="s">
        <v>668</v>
      </c>
      <c r="J977" s="188" t="s">
        <v>483</v>
      </c>
      <c r="K977" s="188"/>
      <c r="L977" s="188"/>
      <c r="M977" s="189">
        <v>25</v>
      </c>
      <c r="N977" s="190">
        <v>256.10000000000002</v>
      </c>
      <c r="O977" s="191">
        <v>259.3</v>
      </c>
      <c r="P977" s="192">
        <f t="shared" si="705"/>
        <v>1.92</v>
      </c>
      <c r="Q977" s="192">
        <f t="shared" si="706"/>
        <v>1.94</v>
      </c>
      <c r="R977" s="193">
        <f t="shared" si="685"/>
        <v>12885</v>
      </c>
      <c r="S977" s="193">
        <f t="shared" si="686"/>
        <v>79.999999999999716</v>
      </c>
      <c r="T977" s="193">
        <f t="shared" si="732"/>
        <v>3.86</v>
      </c>
      <c r="U977" s="193">
        <f t="shared" si="707"/>
        <v>0.77</v>
      </c>
      <c r="V977" s="193">
        <f t="shared" si="734"/>
        <v>1.62</v>
      </c>
      <c r="W977" s="193">
        <f t="shared" si="735"/>
        <v>0.19</v>
      </c>
      <c r="X977" s="193">
        <f t="shared" si="737"/>
        <v>0.44</v>
      </c>
      <c r="Y977" s="193">
        <f t="shared" si="716"/>
        <v>0</v>
      </c>
      <c r="Z977" s="193">
        <f t="shared" si="692"/>
        <v>6.8800000000000008</v>
      </c>
      <c r="AA977" s="194">
        <f t="shared" si="693"/>
        <v>73.12</v>
      </c>
      <c r="AB977" s="195">
        <v>73</v>
      </c>
      <c r="AC977" s="196">
        <f t="shared" si="694"/>
        <v>-0.12000000000000455</v>
      </c>
      <c r="AD977" s="197">
        <f t="shared" si="695"/>
        <v>1.2495119094103821E-2</v>
      </c>
      <c r="AE977" s="198">
        <f t="shared" si="696"/>
        <v>5.3399999999999997E-4</v>
      </c>
      <c r="AF977" s="193"/>
      <c r="AG977" s="199" t="s">
        <v>416</v>
      </c>
      <c r="AH977" s="124"/>
    </row>
    <row r="978" spans="1:34" ht="12" hidden="1" customHeight="1">
      <c r="A978" s="187">
        <v>44313</v>
      </c>
      <c r="B978" s="188" t="s">
        <v>512</v>
      </c>
      <c r="C978" s="188" t="s">
        <v>485</v>
      </c>
      <c r="D978" s="188"/>
      <c r="E978" s="188" t="str">
        <f t="shared" si="682"/>
        <v>IRFC</v>
      </c>
      <c r="F978" s="188"/>
      <c r="G978" s="188"/>
      <c r="H978" s="188"/>
      <c r="I978" s="188" t="s">
        <v>668</v>
      </c>
      <c r="J978" s="188" t="s">
        <v>483</v>
      </c>
      <c r="K978" s="188"/>
      <c r="L978" s="188"/>
      <c r="M978" s="189">
        <v>575</v>
      </c>
      <c r="N978" s="190">
        <v>21.2</v>
      </c>
      <c r="O978" s="191">
        <v>21.25</v>
      </c>
      <c r="P978" s="192">
        <f t="shared" si="705"/>
        <v>3.66</v>
      </c>
      <c r="Q978" s="192">
        <f t="shared" si="706"/>
        <v>3.67</v>
      </c>
      <c r="R978" s="193">
        <f t="shared" si="685"/>
        <v>24408.75</v>
      </c>
      <c r="S978" s="193">
        <f t="shared" si="686"/>
        <v>28.750000000000409</v>
      </c>
      <c r="T978" s="193">
        <f t="shared" si="732"/>
        <v>7.33</v>
      </c>
      <c r="U978" s="193">
        <f t="shared" si="707"/>
        <v>1.47</v>
      </c>
      <c r="V978" s="193">
        <f t="shared" si="734"/>
        <v>3.05</v>
      </c>
      <c r="W978" s="193">
        <f t="shared" si="735"/>
        <v>0.37</v>
      </c>
      <c r="X978" s="193">
        <f t="shared" si="737"/>
        <v>0.84</v>
      </c>
      <c r="Y978" s="193">
        <f t="shared" si="716"/>
        <v>0</v>
      </c>
      <c r="Z978" s="193">
        <f t="shared" si="692"/>
        <v>13.06</v>
      </c>
      <c r="AA978" s="194">
        <f t="shared" si="693"/>
        <v>15.69</v>
      </c>
      <c r="AB978" s="195">
        <f>16-1.39</f>
        <v>14.61</v>
      </c>
      <c r="AC978" s="196">
        <f t="shared" si="694"/>
        <v>-1.08</v>
      </c>
      <c r="AD978" s="197">
        <f t="shared" si="695"/>
        <v>2.3584905660377696E-3</v>
      </c>
      <c r="AE978" s="198">
        <f t="shared" si="696"/>
        <v>5.3499999999999999E-4</v>
      </c>
      <c r="AF978" s="193"/>
      <c r="AG978" s="199" t="s">
        <v>416</v>
      </c>
      <c r="AH978" s="124"/>
    </row>
    <row r="979" spans="1:34" ht="12" hidden="1" customHeight="1">
      <c r="A979" s="187">
        <v>44313</v>
      </c>
      <c r="B979" s="188" t="s">
        <v>702</v>
      </c>
      <c r="C979" s="188" t="s">
        <v>485</v>
      </c>
      <c r="D979" s="188"/>
      <c r="E979" s="188" t="str">
        <f t="shared" si="682"/>
        <v>PIDILITIND</v>
      </c>
      <c r="F979" s="188"/>
      <c r="G979" s="188"/>
      <c r="H979" s="188"/>
      <c r="I979" s="188" t="s">
        <v>668</v>
      </c>
      <c r="J979" s="188" t="s">
        <v>483</v>
      </c>
      <c r="K979" s="188"/>
      <c r="L979" s="188"/>
      <c r="M979" s="189">
        <v>25</v>
      </c>
      <c r="N979" s="190">
        <v>1845</v>
      </c>
      <c r="O979" s="191">
        <v>1851</v>
      </c>
      <c r="P979" s="192">
        <f t="shared" si="705"/>
        <v>13.84</v>
      </c>
      <c r="Q979" s="192">
        <f t="shared" si="706"/>
        <v>13.88</v>
      </c>
      <c r="R979" s="193">
        <f t="shared" si="685"/>
        <v>92400</v>
      </c>
      <c r="S979" s="193">
        <f t="shared" si="686"/>
        <v>150</v>
      </c>
      <c r="T979" s="193">
        <f t="shared" si="732"/>
        <v>27.72</v>
      </c>
      <c r="U979" s="193">
        <f t="shared" si="707"/>
        <v>5.56</v>
      </c>
      <c r="V979" s="193">
        <f t="shared" si="734"/>
        <v>11.57</v>
      </c>
      <c r="W979" s="193">
        <f t="shared" si="735"/>
        <v>1.38</v>
      </c>
      <c r="X979" s="193">
        <f t="shared" si="737"/>
        <v>3.19</v>
      </c>
      <c r="Y979" s="193">
        <f t="shared" si="716"/>
        <v>0</v>
      </c>
      <c r="Z979" s="193">
        <f t="shared" si="692"/>
        <v>49.42</v>
      </c>
      <c r="AA979" s="194">
        <f t="shared" si="693"/>
        <v>100.58</v>
      </c>
      <c r="AB979" s="195">
        <v>101</v>
      </c>
      <c r="AC979" s="196">
        <f t="shared" si="694"/>
        <v>0.42000000000000171</v>
      </c>
      <c r="AD979" s="197">
        <f t="shared" si="695"/>
        <v>3.2520325203252032E-3</v>
      </c>
      <c r="AE979" s="198">
        <f t="shared" si="696"/>
        <v>5.3499999999999999E-4</v>
      </c>
      <c r="AF979" s="193"/>
      <c r="AG979" s="199" t="s">
        <v>416</v>
      </c>
      <c r="AH979" s="124"/>
    </row>
    <row r="980" spans="1:34" ht="12" hidden="1" customHeight="1">
      <c r="A980" s="187">
        <v>44313</v>
      </c>
      <c r="B980" s="188" t="s">
        <v>496</v>
      </c>
      <c r="C980" s="188" t="s">
        <v>485</v>
      </c>
      <c r="D980" s="188"/>
      <c r="E980" s="188" t="str">
        <f t="shared" si="682"/>
        <v>NATIONALUM</v>
      </c>
      <c r="F980" s="188"/>
      <c r="G980" s="188"/>
      <c r="H980" s="188"/>
      <c r="I980" s="188" t="s">
        <v>668</v>
      </c>
      <c r="J980" s="188" t="s">
        <v>483</v>
      </c>
      <c r="K980" s="188"/>
      <c r="L980" s="188"/>
      <c r="M980" s="189">
        <v>150</v>
      </c>
      <c r="N980" s="190">
        <v>61</v>
      </c>
      <c r="O980" s="191">
        <v>60.95</v>
      </c>
      <c r="P980" s="192">
        <f t="shared" si="705"/>
        <v>2.75</v>
      </c>
      <c r="Q980" s="192">
        <f t="shared" si="706"/>
        <v>2.74</v>
      </c>
      <c r="R980" s="193">
        <f t="shared" si="685"/>
        <v>18292.5</v>
      </c>
      <c r="S980" s="193">
        <f t="shared" si="686"/>
        <v>-7.4999999999995737</v>
      </c>
      <c r="T980" s="193">
        <f t="shared" si="732"/>
        <v>5.49</v>
      </c>
      <c r="U980" s="193">
        <f t="shared" si="707"/>
        <v>1.1000000000000001</v>
      </c>
      <c r="V980" s="193">
        <f t="shared" si="734"/>
        <v>2.29</v>
      </c>
      <c r="W980" s="193">
        <f t="shared" si="735"/>
        <v>0.27</v>
      </c>
      <c r="X980" s="193">
        <f t="shared" si="737"/>
        <v>0.63</v>
      </c>
      <c r="Y980" s="193">
        <f t="shared" si="716"/>
        <v>0</v>
      </c>
      <c r="Z980" s="193">
        <f t="shared" si="692"/>
        <v>9.7799999999999994</v>
      </c>
      <c r="AA980" s="194">
        <f t="shared" si="693"/>
        <v>-17.28</v>
      </c>
      <c r="AB980" s="195">
        <v>-17</v>
      </c>
      <c r="AC980" s="196">
        <f t="shared" si="694"/>
        <v>0.28000000000000114</v>
      </c>
      <c r="AD980" s="197">
        <f t="shared" si="695"/>
        <v>-8.1967213114749436E-4</v>
      </c>
      <c r="AE980" s="198">
        <f t="shared" si="696"/>
        <v>5.3499999999999999E-4</v>
      </c>
      <c r="AF980" s="193"/>
      <c r="AG980" s="199" t="s">
        <v>416</v>
      </c>
      <c r="AH980" s="124"/>
    </row>
    <row r="981" spans="1:34" ht="12" hidden="1" customHeight="1">
      <c r="A981" s="187">
        <v>44314</v>
      </c>
      <c r="B981" s="188" t="s">
        <v>512</v>
      </c>
      <c r="C981" s="188" t="s">
        <v>485</v>
      </c>
      <c r="D981" s="188"/>
      <c r="E981" s="188" t="str">
        <f t="shared" si="682"/>
        <v>IRFC</v>
      </c>
      <c r="F981" s="188"/>
      <c r="G981" s="188"/>
      <c r="H981" s="188"/>
      <c r="I981" s="188" t="s">
        <v>668</v>
      </c>
      <c r="J981" s="188" t="s">
        <v>483</v>
      </c>
      <c r="K981" s="188"/>
      <c r="L981" s="188"/>
      <c r="M981" s="189">
        <v>575</v>
      </c>
      <c r="N981" s="190">
        <v>21.2</v>
      </c>
      <c r="O981" s="191">
        <v>21.25</v>
      </c>
      <c r="P981" s="192">
        <f t="shared" si="705"/>
        <v>3.66</v>
      </c>
      <c r="Q981" s="192">
        <f t="shared" si="706"/>
        <v>3.67</v>
      </c>
      <c r="R981" s="193">
        <f t="shared" si="685"/>
        <v>24408.75</v>
      </c>
      <c r="S981" s="193">
        <f t="shared" si="686"/>
        <v>28.750000000000409</v>
      </c>
      <c r="T981" s="193">
        <f t="shared" si="732"/>
        <v>7.33</v>
      </c>
      <c r="U981" s="193">
        <f t="shared" si="707"/>
        <v>1.44</v>
      </c>
      <c r="V981" s="193">
        <f t="shared" si="734"/>
        <v>3.05</v>
      </c>
      <c r="W981" s="193">
        <f t="shared" si="735"/>
        <v>0.37</v>
      </c>
      <c r="X981" s="193">
        <f t="shared" ref="X981:X982" si="738">ROUND(R981*G$1820,2)</f>
        <v>0.67</v>
      </c>
      <c r="Y981" s="193">
        <f t="shared" si="716"/>
        <v>0</v>
      </c>
      <c r="Z981" s="193">
        <f t="shared" si="692"/>
        <v>12.86</v>
      </c>
      <c r="AA981" s="194">
        <f t="shared" si="693"/>
        <v>15.89</v>
      </c>
      <c r="AB981" s="195">
        <f>16+0.84</f>
        <v>16.84</v>
      </c>
      <c r="AC981" s="196">
        <f t="shared" si="694"/>
        <v>0.94999999999999929</v>
      </c>
      <c r="AD981" s="197">
        <f t="shared" si="695"/>
        <v>2.3584905660377696E-3</v>
      </c>
      <c r="AE981" s="198">
        <f t="shared" si="696"/>
        <v>5.2700000000000002E-4</v>
      </c>
      <c r="AF981" s="193"/>
      <c r="AG981" s="199" t="s">
        <v>416</v>
      </c>
      <c r="AH981" s="124"/>
    </row>
    <row r="982" spans="1:34" ht="12" hidden="1" customHeight="1">
      <c r="A982" s="187">
        <v>44314</v>
      </c>
      <c r="B982" s="188" t="s">
        <v>703</v>
      </c>
      <c r="C982" s="188" t="s">
        <v>485</v>
      </c>
      <c r="D982" s="188"/>
      <c r="E982" s="188" t="str">
        <f t="shared" si="682"/>
        <v>TINPLATE</v>
      </c>
      <c r="F982" s="188"/>
      <c r="G982" s="188"/>
      <c r="H982" s="188"/>
      <c r="I982" s="188" t="s">
        <v>668</v>
      </c>
      <c r="J982" s="188" t="s">
        <v>483</v>
      </c>
      <c r="K982" s="188"/>
      <c r="L982" s="188"/>
      <c r="M982" s="189">
        <v>50</v>
      </c>
      <c r="N982" s="190">
        <v>199.1</v>
      </c>
      <c r="O982" s="191">
        <v>201.9</v>
      </c>
      <c r="P982" s="192">
        <f t="shared" si="705"/>
        <v>2.99</v>
      </c>
      <c r="Q982" s="192">
        <f t="shared" si="706"/>
        <v>3.03</v>
      </c>
      <c r="R982" s="193">
        <f t="shared" si="685"/>
        <v>20050</v>
      </c>
      <c r="S982" s="193">
        <f t="shared" si="686"/>
        <v>140.00000000000057</v>
      </c>
      <c r="T982" s="193">
        <f t="shared" si="732"/>
        <v>6.02</v>
      </c>
      <c r="U982" s="193">
        <f t="shared" si="707"/>
        <v>1.18</v>
      </c>
      <c r="V982" s="193">
        <f t="shared" si="734"/>
        <v>2.52</v>
      </c>
      <c r="W982" s="193">
        <f t="shared" si="735"/>
        <v>0.3</v>
      </c>
      <c r="X982" s="193">
        <f t="shared" si="738"/>
        <v>0.55000000000000004</v>
      </c>
      <c r="Y982" s="193">
        <f t="shared" si="716"/>
        <v>0</v>
      </c>
      <c r="Z982" s="193">
        <f t="shared" si="692"/>
        <v>10.57</v>
      </c>
      <c r="AA982" s="194">
        <f t="shared" si="693"/>
        <v>129.43</v>
      </c>
      <c r="AB982" s="195">
        <v>129</v>
      </c>
      <c r="AC982" s="196">
        <f t="shared" si="694"/>
        <v>-0.43000000000000682</v>
      </c>
      <c r="AD982" s="197">
        <f t="shared" si="695"/>
        <v>1.4063284781516883E-2</v>
      </c>
      <c r="AE982" s="198">
        <f t="shared" si="696"/>
        <v>5.2700000000000002E-4</v>
      </c>
      <c r="AF982" s="193"/>
      <c r="AG982" s="199" t="s">
        <v>416</v>
      </c>
      <c r="AH982" s="124"/>
    </row>
    <row r="983" spans="1:34" ht="12" hidden="1" customHeight="1">
      <c r="A983" s="187">
        <v>44315</v>
      </c>
      <c r="B983" s="188" t="s">
        <v>498</v>
      </c>
      <c r="C983" s="188" t="s">
        <v>485</v>
      </c>
      <c r="D983" s="188"/>
      <c r="E983" s="188" t="str">
        <f t="shared" si="682"/>
        <v>BAJFINANCE</v>
      </c>
      <c r="F983" s="188"/>
      <c r="G983" s="188"/>
      <c r="H983" s="188"/>
      <c r="I983" s="188" t="s">
        <v>668</v>
      </c>
      <c r="J983" s="188" t="s">
        <v>483</v>
      </c>
      <c r="K983" s="188"/>
      <c r="L983" s="188"/>
      <c r="M983" s="189">
        <v>2</v>
      </c>
      <c r="N983" s="190">
        <v>5470</v>
      </c>
      <c r="O983" s="191">
        <v>5510</v>
      </c>
      <c r="P983" s="192">
        <f t="shared" si="705"/>
        <v>3.28</v>
      </c>
      <c r="Q983" s="192">
        <f t="shared" si="706"/>
        <v>3.31</v>
      </c>
      <c r="R983" s="193">
        <f t="shared" si="685"/>
        <v>21960</v>
      </c>
      <c r="S983" s="193">
        <f t="shared" si="686"/>
        <v>80</v>
      </c>
      <c r="T983" s="193">
        <f t="shared" si="732"/>
        <v>6.59</v>
      </c>
      <c r="U983" s="193">
        <f t="shared" si="707"/>
        <v>1.32</v>
      </c>
      <c r="V983" s="193">
        <f t="shared" si="734"/>
        <v>2.76</v>
      </c>
      <c r="W983" s="193">
        <f t="shared" si="735"/>
        <v>0.33</v>
      </c>
      <c r="X983" s="193">
        <f t="shared" ref="X983:X984" si="739">ROUND(R983*H$1820,2)</f>
        <v>0.76</v>
      </c>
      <c r="Y983" s="193">
        <f t="shared" si="716"/>
        <v>0</v>
      </c>
      <c r="Z983" s="193">
        <f t="shared" si="692"/>
        <v>11.76</v>
      </c>
      <c r="AA983" s="194">
        <f t="shared" si="693"/>
        <v>68.239999999999995</v>
      </c>
      <c r="AB983" s="195">
        <f>68+0.46</f>
        <v>68.459999999999994</v>
      </c>
      <c r="AC983" s="196">
        <f t="shared" si="694"/>
        <v>0.21999999999999886</v>
      </c>
      <c r="AD983" s="197">
        <f t="shared" si="695"/>
        <v>7.3126142595978062E-3</v>
      </c>
      <c r="AE983" s="198">
        <f t="shared" si="696"/>
        <v>5.3600000000000002E-4</v>
      </c>
      <c r="AF983" s="193"/>
      <c r="AG983" s="199" t="s">
        <v>416</v>
      </c>
      <c r="AH983" s="124"/>
    </row>
    <row r="984" spans="1:34" ht="12" hidden="1" customHeight="1">
      <c r="A984" s="187">
        <v>44315</v>
      </c>
      <c r="B984" s="188" t="s">
        <v>504</v>
      </c>
      <c r="C984" s="188" t="s">
        <v>485</v>
      </c>
      <c r="D984" s="188"/>
      <c r="E984" s="188" t="str">
        <f t="shared" si="682"/>
        <v>HINDUNILVR</v>
      </c>
      <c r="F984" s="188"/>
      <c r="G984" s="188"/>
      <c r="H984" s="188"/>
      <c r="I984" s="188" t="s">
        <v>668</v>
      </c>
      <c r="J984" s="188" t="s">
        <v>483</v>
      </c>
      <c r="K984" s="188"/>
      <c r="L984" s="188"/>
      <c r="M984" s="189">
        <v>5</v>
      </c>
      <c r="N984" s="190">
        <v>2416</v>
      </c>
      <c r="O984" s="191">
        <v>2440</v>
      </c>
      <c r="P984" s="192">
        <f t="shared" si="705"/>
        <v>3.62</v>
      </c>
      <c r="Q984" s="192">
        <f t="shared" si="706"/>
        <v>3.66</v>
      </c>
      <c r="R984" s="193">
        <f t="shared" si="685"/>
        <v>24280</v>
      </c>
      <c r="S984" s="193">
        <f t="shared" si="686"/>
        <v>120</v>
      </c>
      <c r="T984" s="193">
        <f t="shared" si="732"/>
        <v>7.28</v>
      </c>
      <c r="U984" s="193">
        <f t="shared" si="707"/>
        <v>1.46</v>
      </c>
      <c r="V984" s="193">
        <f t="shared" si="734"/>
        <v>3.05</v>
      </c>
      <c r="W984" s="193">
        <f t="shared" si="735"/>
        <v>0.36</v>
      </c>
      <c r="X984" s="193">
        <f t="shared" si="739"/>
        <v>0.84</v>
      </c>
      <c r="Y984" s="193">
        <f t="shared" si="716"/>
        <v>0</v>
      </c>
      <c r="Z984" s="193">
        <f t="shared" si="692"/>
        <v>12.989999999999998</v>
      </c>
      <c r="AA984" s="194">
        <f t="shared" si="693"/>
        <v>107.01</v>
      </c>
      <c r="AB984" s="195">
        <v>107</v>
      </c>
      <c r="AC984" s="196">
        <f t="shared" si="694"/>
        <v>-1.0000000000005116E-2</v>
      </c>
      <c r="AD984" s="197">
        <f t="shared" si="695"/>
        <v>9.9337748344370865E-3</v>
      </c>
      <c r="AE984" s="198">
        <f t="shared" si="696"/>
        <v>5.3499999999999999E-4</v>
      </c>
      <c r="AF984" s="193"/>
      <c r="AG984" s="199" t="s">
        <v>416</v>
      </c>
      <c r="AH984" s="124"/>
    </row>
    <row r="985" spans="1:34" ht="12" hidden="1" customHeight="1">
      <c r="A985" s="187">
        <v>44315</v>
      </c>
      <c r="B985" s="188" t="s">
        <v>553</v>
      </c>
      <c r="C985" s="188" t="s">
        <v>485</v>
      </c>
      <c r="D985" s="188"/>
      <c r="E985" s="188" t="str">
        <f t="shared" si="682"/>
        <v>NMDC</v>
      </c>
      <c r="F985" s="188"/>
      <c r="G985" s="188"/>
      <c r="H985" s="188"/>
      <c r="I985" s="188" t="s">
        <v>668</v>
      </c>
      <c r="J985" s="188" t="s">
        <v>483</v>
      </c>
      <c r="K985" s="188"/>
      <c r="L985" s="188"/>
      <c r="M985" s="189">
        <v>50</v>
      </c>
      <c r="N985" s="190">
        <v>150.69999999999999</v>
      </c>
      <c r="O985" s="191">
        <v>149.80000000000001</v>
      </c>
      <c r="P985" s="192">
        <f t="shared" si="705"/>
        <v>2.2599999999999998</v>
      </c>
      <c r="Q985" s="192">
        <f t="shared" si="706"/>
        <v>2.25</v>
      </c>
      <c r="R985" s="193">
        <f t="shared" si="685"/>
        <v>15025</v>
      </c>
      <c r="S985" s="193">
        <f t="shared" si="686"/>
        <v>-44.999999999998863</v>
      </c>
      <c r="T985" s="193">
        <f t="shared" si="732"/>
        <v>4.51</v>
      </c>
      <c r="U985" s="193">
        <f t="shared" si="707"/>
        <v>0.89</v>
      </c>
      <c r="V985" s="193">
        <f t="shared" si="734"/>
        <v>1.87</v>
      </c>
      <c r="W985" s="193">
        <f t="shared" si="735"/>
        <v>0.23</v>
      </c>
      <c r="X985" s="193">
        <f t="shared" ref="X985:X987" si="740">ROUND(R985*G$1820,2)</f>
        <v>0.41</v>
      </c>
      <c r="Y985" s="193">
        <f t="shared" si="716"/>
        <v>0</v>
      </c>
      <c r="Z985" s="193">
        <f t="shared" si="692"/>
        <v>7.91</v>
      </c>
      <c r="AA985" s="194">
        <f t="shared" si="693"/>
        <v>-52.91</v>
      </c>
      <c r="AB985" s="195">
        <v>-53</v>
      </c>
      <c r="AC985" s="196">
        <f t="shared" si="694"/>
        <v>-9.0000000000003411E-2</v>
      </c>
      <c r="AD985" s="197">
        <f t="shared" si="695"/>
        <v>-5.9721300597211499E-3</v>
      </c>
      <c r="AE985" s="198">
        <f t="shared" si="696"/>
        <v>5.2599999999999999E-4</v>
      </c>
      <c r="AF985" s="193"/>
      <c r="AG985" s="199" t="s">
        <v>416</v>
      </c>
      <c r="AH985" s="124"/>
    </row>
    <row r="986" spans="1:34" ht="12" hidden="1" customHeight="1">
      <c r="A986" s="187">
        <v>44316</v>
      </c>
      <c r="B986" s="188" t="s">
        <v>512</v>
      </c>
      <c r="C986" s="188" t="s">
        <v>485</v>
      </c>
      <c r="D986" s="188"/>
      <c r="E986" s="188" t="str">
        <f t="shared" si="682"/>
        <v>IRFC</v>
      </c>
      <c r="F986" s="188"/>
      <c r="G986" s="188"/>
      <c r="H986" s="188"/>
      <c r="I986" s="188" t="s">
        <v>668</v>
      </c>
      <c r="J986" s="188" t="s">
        <v>483</v>
      </c>
      <c r="K986" s="188"/>
      <c r="L986" s="188"/>
      <c r="M986" s="189">
        <v>1000</v>
      </c>
      <c r="N986" s="190">
        <v>21.25</v>
      </c>
      <c r="O986" s="191">
        <v>21.3</v>
      </c>
      <c r="P986" s="192">
        <f t="shared" si="705"/>
        <v>6.38</v>
      </c>
      <c r="Q986" s="192">
        <f t="shared" si="706"/>
        <v>6.39</v>
      </c>
      <c r="R986" s="193">
        <f t="shared" si="685"/>
        <v>42550</v>
      </c>
      <c r="S986" s="193">
        <f t="shared" si="686"/>
        <v>50.000000000000711</v>
      </c>
      <c r="T986" s="193">
        <f t="shared" si="732"/>
        <v>12.77</v>
      </c>
      <c r="U986" s="193">
        <f t="shared" si="707"/>
        <v>2.5099999999999998</v>
      </c>
      <c r="V986" s="193">
        <f t="shared" si="734"/>
        <v>5.33</v>
      </c>
      <c r="W986" s="193">
        <f t="shared" si="735"/>
        <v>0.64</v>
      </c>
      <c r="X986" s="193">
        <f t="shared" si="740"/>
        <v>1.17</v>
      </c>
      <c r="Y986" s="193">
        <f t="shared" si="716"/>
        <v>0</v>
      </c>
      <c r="Z986" s="193">
        <f t="shared" si="692"/>
        <v>22.42</v>
      </c>
      <c r="AA986" s="194">
        <f t="shared" si="693"/>
        <v>27.58</v>
      </c>
      <c r="AB986" s="195">
        <f>28+0.18</f>
        <v>28.18</v>
      </c>
      <c r="AC986" s="196">
        <f t="shared" si="694"/>
        <v>0.60000000000000142</v>
      </c>
      <c r="AD986" s="197">
        <f t="shared" si="695"/>
        <v>2.3529411764706219E-3</v>
      </c>
      <c r="AE986" s="198">
        <f t="shared" si="696"/>
        <v>5.2700000000000002E-4</v>
      </c>
      <c r="AF986" s="193"/>
      <c r="AG986" s="199" t="s">
        <v>416</v>
      </c>
      <c r="AH986" s="124"/>
    </row>
    <row r="987" spans="1:34" ht="12" hidden="1" customHeight="1">
      <c r="A987" s="187">
        <v>44316</v>
      </c>
      <c r="B987" s="188" t="s">
        <v>494</v>
      </c>
      <c r="C987" s="188" t="s">
        <v>485</v>
      </c>
      <c r="D987" s="188"/>
      <c r="E987" s="188" t="str">
        <f t="shared" si="682"/>
        <v>BEL</v>
      </c>
      <c r="F987" s="188"/>
      <c r="G987" s="188"/>
      <c r="H987" s="188"/>
      <c r="I987" s="188" t="s">
        <v>668</v>
      </c>
      <c r="J987" s="188" t="s">
        <v>483</v>
      </c>
      <c r="K987" s="188"/>
      <c r="L987" s="188"/>
      <c r="M987" s="189">
        <v>200</v>
      </c>
      <c r="N987" s="190">
        <v>132.80000000000001</v>
      </c>
      <c r="O987" s="191">
        <v>132.97499999999999</v>
      </c>
      <c r="P987" s="192">
        <f t="shared" si="705"/>
        <v>7.97</v>
      </c>
      <c r="Q987" s="192">
        <f t="shared" si="706"/>
        <v>7.98</v>
      </c>
      <c r="R987" s="193">
        <f t="shared" si="685"/>
        <v>53155</v>
      </c>
      <c r="S987" s="193">
        <f t="shared" si="686"/>
        <v>34.999999999996589</v>
      </c>
      <c r="T987" s="193">
        <f t="shared" si="732"/>
        <v>15.95</v>
      </c>
      <c r="U987" s="193">
        <f t="shared" si="707"/>
        <v>3.13</v>
      </c>
      <c r="V987" s="193">
        <f t="shared" si="734"/>
        <v>6.65</v>
      </c>
      <c r="W987" s="193">
        <f t="shared" si="735"/>
        <v>0.8</v>
      </c>
      <c r="X987" s="193">
        <f t="shared" si="740"/>
        <v>1.46</v>
      </c>
      <c r="Y987" s="193">
        <f t="shared" si="716"/>
        <v>0</v>
      </c>
      <c r="Z987" s="193">
        <f t="shared" si="692"/>
        <v>27.99</v>
      </c>
      <c r="AA987" s="194">
        <f t="shared" si="693"/>
        <v>7.01</v>
      </c>
      <c r="AB987" s="195">
        <v>7</v>
      </c>
      <c r="AC987" s="196">
        <f t="shared" si="694"/>
        <v>-9.9999999999997868E-3</v>
      </c>
      <c r="AD987" s="197">
        <f t="shared" si="695"/>
        <v>1.3177710843372209E-3</v>
      </c>
      <c r="AE987" s="198">
        <f t="shared" si="696"/>
        <v>5.2700000000000002E-4</v>
      </c>
      <c r="AF987" s="193"/>
      <c r="AG987" s="199" t="s">
        <v>416</v>
      </c>
      <c r="AH987" s="124"/>
    </row>
    <row r="988" spans="1:34" ht="12" hidden="1" customHeight="1">
      <c r="A988" s="187">
        <v>44316</v>
      </c>
      <c r="B988" s="188" t="s">
        <v>495</v>
      </c>
      <c r="C988" s="188" t="s">
        <v>485</v>
      </c>
      <c r="D988" s="188"/>
      <c r="E988" s="188" t="str">
        <f t="shared" si="682"/>
        <v>SAIL</v>
      </c>
      <c r="F988" s="188"/>
      <c r="G988" s="188"/>
      <c r="H988" s="188"/>
      <c r="I988" s="188" t="s">
        <v>668</v>
      </c>
      <c r="J988" s="188" t="s">
        <v>483</v>
      </c>
      <c r="K988" s="188"/>
      <c r="L988" s="188"/>
      <c r="M988" s="189">
        <v>100</v>
      </c>
      <c r="N988" s="190">
        <v>117</v>
      </c>
      <c r="O988" s="191">
        <v>117.25</v>
      </c>
      <c r="P988" s="192">
        <f t="shared" si="705"/>
        <v>3.51</v>
      </c>
      <c r="Q988" s="192">
        <f t="shared" si="706"/>
        <v>3.52</v>
      </c>
      <c r="R988" s="193">
        <f t="shared" si="685"/>
        <v>23425</v>
      </c>
      <c r="S988" s="193">
        <f t="shared" si="686"/>
        <v>25</v>
      </c>
      <c r="T988" s="193">
        <f t="shared" si="732"/>
        <v>7.03</v>
      </c>
      <c r="U988" s="193">
        <f t="shared" si="707"/>
        <v>1.41</v>
      </c>
      <c r="V988" s="193">
        <f t="shared" si="734"/>
        <v>2.93</v>
      </c>
      <c r="W988" s="193">
        <f t="shared" si="735"/>
        <v>0.35</v>
      </c>
      <c r="X988" s="193">
        <f>ROUND(R988*H$1820,2)</f>
        <v>0.81</v>
      </c>
      <c r="Y988" s="193">
        <f t="shared" si="716"/>
        <v>0</v>
      </c>
      <c r="Z988" s="193">
        <f t="shared" si="692"/>
        <v>12.53</v>
      </c>
      <c r="AA988" s="194">
        <f t="shared" si="693"/>
        <v>12.47</v>
      </c>
      <c r="AB988" s="195">
        <v>12</v>
      </c>
      <c r="AC988" s="196">
        <f t="shared" si="694"/>
        <v>-0.47000000000000064</v>
      </c>
      <c r="AD988" s="197">
        <f t="shared" si="695"/>
        <v>2.136752136752137E-3</v>
      </c>
      <c r="AE988" s="198">
        <f t="shared" si="696"/>
        <v>5.3499999999999999E-4</v>
      </c>
      <c r="AF988" s="193"/>
      <c r="AG988" s="199" t="s">
        <v>416</v>
      </c>
      <c r="AH988" s="124"/>
    </row>
    <row r="989" spans="1:34" ht="12" hidden="1" customHeight="1">
      <c r="A989" s="187">
        <v>44319</v>
      </c>
      <c r="B989" s="188" t="s">
        <v>505</v>
      </c>
      <c r="C989" s="188" t="s">
        <v>485</v>
      </c>
      <c r="D989" s="188"/>
      <c r="E989" s="188" t="str">
        <f t="shared" si="682"/>
        <v>CARBORUNIV</v>
      </c>
      <c r="F989" s="188"/>
      <c r="G989" s="188"/>
      <c r="H989" s="188"/>
      <c r="I989" s="188" t="s">
        <v>668</v>
      </c>
      <c r="J989" s="188" t="s">
        <v>483</v>
      </c>
      <c r="K989" s="188"/>
      <c r="L989" s="188"/>
      <c r="M989" s="189">
        <v>40</v>
      </c>
      <c r="N989" s="190">
        <v>571</v>
      </c>
      <c r="O989" s="191">
        <v>578</v>
      </c>
      <c r="P989" s="192">
        <f t="shared" si="705"/>
        <v>6.85</v>
      </c>
      <c r="Q989" s="192">
        <f t="shared" si="706"/>
        <v>6.94</v>
      </c>
      <c r="R989" s="193">
        <f t="shared" si="685"/>
        <v>45960</v>
      </c>
      <c r="S989" s="193">
        <f t="shared" si="686"/>
        <v>280</v>
      </c>
      <c r="T989" s="193">
        <f t="shared" si="732"/>
        <v>13.79</v>
      </c>
      <c r="U989" s="193">
        <f t="shared" si="707"/>
        <v>2.71</v>
      </c>
      <c r="V989" s="193">
        <f t="shared" si="734"/>
        <v>5.78</v>
      </c>
      <c r="W989" s="193">
        <f t="shared" si="735"/>
        <v>0.69</v>
      </c>
      <c r="X989" s="193">
        <f t="shared" ref="X989:X994" si="741">ROUND(R989*G$1820,2)</f>
        <v>1.26</v>
      </c>
      <c r="Y989" s="193">
        <f t="shared" si="716"/>
        <v>0</v>
      </c>
      <c r="Z989" s="193">
        <f t="shared" si="692"/>
        <v>24.230000000000004</v>
      </c>
      <c r="AA989" s="194">
        <f t="shared" si="693"/>
        <v>255.77</v>
      </c>
      <c r="AB989" s="195">
        <f>256-0.94</f>
        <v>255.06</v>
      </c>
      <c r="AC989" s="196">
        <f t="shared" si="694"/>
        <v>-0.71000000000000796</v>
      </c>
      <c r="AD989" s="197">
        <f t="shared" si="695"/>
        <v>1.2259194395796848E-2</v>
      </c>
      <c r="AE989" s="198">
        <f t="shared" si="696"/>
        <v>5.2700000000000002E-4</v>
      </c>
      <c r="AF989" s="193"/>
      <c r="AG989" s="199" t="s">
        <v>416</v>
      </c>
      <c r="AH989" s="124"/>
    </row>
    <row r="990" spans="1:34" ht="12" hidden="1" customHeight="1">
      <c r="A990" s="187">
        <v>44319</v>
      </c>
      <c r="B990" s="188" t="s">
        <v>704</v>
      </c>
      <c r="C990" s="188" t="s">
        <v>485</v>
      </c>
      <c r="D990" s="188"/>
      <c r="E990" s="188" t="str">
        <f t="shared" si="682"/>
        <v>JINDALSTEL</v>
      </c>
      <c r="F990" s="188"/>
      <c r="G990" s="188"/>
      <c r="H990" s="188"/>
      <c r="I990" s="188" t="s">
        <v>668</v>
      </c>
      <c r="J990" s="188" t="s">
        <v>483</v>
      </c>
      <c r="K990" s="188"/>
      <c r="L990" s="188"/>
      <c r="M990" s="189">
        <v>100</v>
      </c>
      <c r="N990" s="190">
        <v>439</v>
      </c>
      <c r="O990" s="191">
        <v>440.4</v>
      </c>
      <c r="P990" s="192">
        <f t="shared" si="705"/>
        <v>13.17</v>
      </c>
      <c r="Q990" s="192">
        <f t="shared" si="706"/>
        <v>13.21</v>
      </c>
      <c r="R990" s="193">
        <f t="shared" si="685"/>
        <v>87940</v>
      </c>
      <c r="S990" s="193">
        <f t="shared" si="686"/>
        <v>139.99999999999773</v>
      </c>
      <c r="T990" s="193">
        <f t="shared" si="732"/>
        <v>26.38</v>
      </c>
      <c r="U990" s="193">
        <f t="shared" si="707"/>
        <v>5.18</v>
      </c>
      <c r="V990" s="193">
        <f t="shared" si="734"/>
        <v>11.01</v>
      </c>
      <c r="W990" s="193">
        <f t="shared" si="735"/>
        <v>1.32</v>
      </c>
      <c r="X990" s="193">
        <f t="shared" si="741"/>
        <v>2.42</v>
      </c>
      <c r="Y990" s="193">
        <f t="shared" si="716"/>
        <v>0</v>
      </c>
      <c r="Z990" s="193">
        <f t="shared" si="692"/>
        <v>46.31</v>
      </c>
      <c r="AA990" s="194">
        <f t="shared" si="693"/>
        <v>93.69</v>
      </c>
      <c r="AB990" s="195">
        <v>94</v>
      </c>
      <c r="AC990" s="196">
        <f t="shared" si="694"/>
        <v>0.31000000000000227</v>
      </c>
      <c r="AD990" s="197">
        <f t="shared" si="695"/>
        <v>3.1890660592254609E-3</v>
      </c>
      <c r="AE990" s="198">
        <f t="shared" si="696"/>
        <v>5.2700000000000002E-4</v>
      </c>
      <c r="AF990" s="193"/>
      <c r="AG990" s="199" t="s">
        <v>416</v>
      </c>
      <c r="AH990" s="124"/>
    </row>
    <row r="991" spans="1:34" ht="12" hidden="1" customHeight="1">
      <c r="A991" s="187">
        <v>44319</v>
      </c>
      <c r="B991" s="188" t="s">
        <v>512</v>
      </c>
      <c r="C991" s="188" t="s">
        <v>485</v>
      </c>
      <c r="D991" s="188"/>
      <c r="E991" s="188" t="str">
        <f t="shared" si="682"/>
        <v>IRFC</v>
      </c>
      <c r="F991" s="188"/>
      <c r="G991" s="188"/>
      <c r="H991" s="188"/>
      <c r="I991" s="188" t="s">
        <v>668</v>
      </c>
      <c r="J991" s="188" t="s">
        <v>483</v>
      </c>
      <c r="K991" s="188"/>
      <c r="L991" s="188"/>
      <c r="M991" s="189">
        <v>1000</v>
      </c>
      <c r="N991" s="190">
        <v>21.05</v>
      </c>
      <c r="O991" s="191">
        <v>21.05</v>
      </c>
      <c r="P991" s="192">
        <f t="shared" si="705"/>
        <v>6.32</v>
      </c>
      <c r="Q991" s="192">
        <f t="shared" si="706"/>
        <v>6.32</v>
      </c>
      <c r="R991" s="193">
        <f t="shared" si="685"/>
        <v>42100</v>
      </c>
      <c r="S991" s="193">
        <f t="shared" si="686"/>
        <v>0</v>
      </c>
      <c r="T991" s="193">
        <f t="shared" si="732"/>
        <v>12.64</v>
      </c>
      <c r="U991" s="193">
        <f t="shared" si="707"/>
        <v>2.48</v>
      </c>
      <c r="V991" s="193">
        <f t="shared" si="734"/>
        <v>5.26</v>
      </c>
      <c r="W991" s="193">
        <f t="shared" si="735"/>
        <v>0.63</v>
      </c>
      <c r="X991" s="193">
        <f t="shared" si="741"/>
        <v>1.1599999999999999</v>
      </c>
      <c r="Y991" s="193">
        <f t="shared" si="716"/>
        <v>0</v>
      </c>
      <c r="Z991" s="193">
        <f t="shared" si="692"/>
        <v>22.17</v>
      </c>
      <c r="AA991" s="194">
        <f t="shared" si="693"/>
        <v>-22.17</v>
      </c>
      <c r="AB991" s="195">
        <v>-22</v>
      </c>
      <c r="AC991" s="196">
        <f t="shared" si="694"/>
        <v>0.17000000000000171</v>
      </c>
      <c r="AD991" s="197">
        <f t="shared" si="695"/>
        <v>0</v>
      </c>
      <c r="AE991" s="198">
        <f t="shared" si="696"/>
        <v>5.2700000000000002E-4</v>
      </c>
      <c r="AF991" s="193"/>
      <c r="AG991" s="199" t="s">
        <v>416</v>
      </c>
      <c r="AH991" s="124"/>
    </row>
    <row r="992" spans="1:34" ht="12" hidden="1" customHeight="1">
      <c r="A992" s="187">
        <v>44319</v>
      </c>
      <c r="B992" s="188" t="s">
        <v>497</v>
      </c>
      <c r="C992" s="188" t="s">
        <v>485</v>
      </c>
      <c r="D992" s="188"/>
      <c r="E992" s="188" t="str">
        <f t="shared" si="682"/>
        <v>GHCL</v>
      </c>
      <c r="F992" s="188"/>
      <c r="G992" s="188"/>
      <c r="H992" s="188"/>
      <c r="I992" s="188" t="s">
        <v>668</v>
      </c>
      <c r="J992" s="188" t="s">
        <v>483</v>
      </c>
      <c r="K992" s="188"/>
      <c r="L992" s="188"/>
      <c r="M992" s="189">
        <v>100</v>
      </c>
      <c r="N992" s="190">
        <v>241</v>
      </c>
      <c r="O992" s="191">
        <v>242.5</v>
      </c>
      <c r="P992" s="192">
        <f t="shared" si="705"/>
        <v>7.23</v>
      </c>
      <c r="Q992" s="192">
        <f t="shared" si="706"/>
        <v>7.28</v>
      </c>
      <c r="R992" s="193">
        <f t="shared" si="685"/>
        <v>48350</v>
      </c>
      <c r="S992" s="193">
        <f t="shared" si="686"/>
        <v>150</v>
      </c>
      <c r="T992" s="193">
        <f t="shared" si="732"/>
        <v>14.51</v>
      </c>
      <c r="U992" s="193">
        <f t="shared" si="707"/>
        <v>2.85</v>
      </c>
      <c r="V992" s="193">
        <f t="shared" si="734"/>
        <v>6.06</v>
      </c>
      <c r="W992" s="193">
        <f t="shared" si="735"/>
        <v>0.72</v>
      </c>
      <c r="X992" s="193">
        <f t="shared" si="741"/>
        <v>1.33</v>
      </c>
      <c r="Y992" s="193">
        <f t="shared" si="716"/>
        <v>0</v>
      </c>
      <c r="Z992" s="193">
        <f t="shared" si="692"/>
        <v>25.47</v>
      </c>
      <c r="AA992" s="194">
        <f t="shared" si="693"/>
        <v>124.53</v>
      </c>
      <c r="AB992" s="195">
        <v>125</v>
      </c>
      <c r="AC992" s="196">
        <f t="shared" si="694"/>
        <v>0.46999999999999886</v>
      </c>
      <c r="AD992" s="197">
        <f t="shared" si="695"/>
        <v>6.2240663900414933E-3</v>
      </c>
      <c r="AE992" s="198">
        <f t="shared" si="696"/>
        <v>5.2700000000000002E-4</v>
      </c>
      <c r="AF992" s="193"/>
      <c r="AG992" s="199" t="s">
        <v>416</v>
      </c>
      <c r="AH992" s="124"/>
    </row>
    <row r="993" spans="1:34" ht="12" hidden="1" customHeight="1">
      <c r="A993" s="187">
        <v>44319</v>
      </c>
      <c r="B993" s="188" t="s">
        <v>705</v>
      </c>
      <c r="C993" s="188" t="s">
        <v>485</v>
      </c>
      <c r="D993" s="188"/>
      <c r="E993" s="188" t="str">
        <f t="shared" si="682"/>
        <v>ASIANPAINT</v>
      </c>
      <c r="F993" s="188"/>
      <c r="G993" s="188"/>
      <c r="H993" s="188"/>
      <c r="I993" s="188" t="s">
        <v>668</v>
      </c>
      <c r="J993" s="188" t="s">
        <v>483</v>
      </c>
      <c r="K993" s="188"/>
      <c r="L993" s="188"/>
      <c r="M993" s="189">
        <v>5</v>
      </c>
      <c r="N993" s="190">
        <v>2570</v>
      </c>
      <c r="O993" s="191">
        <v>2565</v>
      </c>
      <c r="P993" s="192">
        <f t="shared" si="705"/>
        <v>3.86</v>
      </c>
      <c r="Q993" s="192">
        <f t="shared" si="706"/>
        <v>3.85</v>
      </c>
      <c r="R993" s="193">
        <f t="shared" si="685"/>
        <v>25675</v>
      </c>
      <c r="S993" s="193">
        <f t="shared" si="686"/>
        <v>-25</v>
      </c>
      <c r="T993" s="193">
        <f t="shared" si="732"/>
        <v>7.71</v>
      </c>
      <c r="U993" s="193">
        <f t="shared" si="707"/>
        <v>1.52</v>
      </c>
      <c r="V993" s="193">
        <f t="shared" si="734"/>
        <v>3.21</v>
      </c>
      <c r="W993" s="193">
        <f t="shared" si="735"/>
        <v>0.39</v>
      </c>
      <c r="X993" s="193">
        <f t="shared" si="741"/>
        <v>0.71</v>
      </c>
      <c r="Y993" s="193">
        <f t="shared" si="716"/>
        <v>0</v>
      </c>
      <c r="Z993" s="193">
        <f t="shared" si="692"/>
        <v>13.540000000000003</v>
      </c>
      <c r="AA993" s="194">
        <f t="shared" si="693"/>
        <v>-38.54</v>
      </c>
      <c r="AB993" s="195">
        <v>-39</v>
      </c>
      <c r="AC993" s="196">
        <f t="shared" si="694"/>
        <v>-0.46000000000000085</v>
      </c>
      <c r="AD993" s="197">
        <f t="shared" si="695"/>
        <v>-1.9455252918287938E-3</v>
      </c>
      <c r="AE993" s="198">
        <f t="shared" si="696"/>
        <v>5.2700000000000002E-4</v>
      </c>
      <c r="AF993" s="193"/>
      <c r="AG993" s="199" t="s">
        <v>416</v>
      </c>
      <c r="AH993" s="124"/>
    </row>
    <row r="994" spans="1:34" ht="12" hidden="1" customHeight="1">
      <c r="A994" s="187">
        <v>44319</v>
      </c>
      <c r="B994" s="188" t="s">
        <v>706</v>
      </c>
      <c r="C994" s="188" t="s">
        <v>485</v>
      </c>
      <c r="D994" s="188"/>
      <c r="E994" s="188" t="str">
        <f t="shared" si="682"/>
        <v>BAJAJFINSV</v>
      </c>
      <c r="F994" s="188"/>
      <c r="G994" s="188"/>
      <c r="H994" s="188"/>
      <c r="I994" s="188" t="s">
        <v>668</v>
      </c>
      <c r="J994" s="188" t="s">
        <v>483</v>
      </c>
      <c r="K994" s="188"/>
      <c r="L994" s="188"/>
      <c r="M994" s="189">
        <v>1</v>
      </c>
      <c r="N994" s="190">
        <v>10910</v>
      </c>
      <c r="O994" s="191">
        <v>11035</v>
      </c>
      <c r="P994" s="192">
        <f t="shared" si="705"/>
        <v>3.27</v>
      </c>
      <c r="Q994" s="192">
        <f t="shared" si="706"/>
        <v>3.31</v>
      </c>
      <c r="R994" s="193">
        <f t="shared" si="685"/>
        <v>21945</v>
      </c>
      <c r="S994" s="193">
        <f t="shared" si="686"/>
        <v>125</v>
      </c>
      <c r="T994" s="193">
        <f t="shared" si="732"/>
        <v>6.58</v>
      </c>
      <c r="U994" s="193">
        <f t="shared" si="707"/>
        <v>1.29</v>
      </c>
      <c r="V994" s="193">
        <f t="shared" si="734"/>
        <v>2.76</v>
      </c>
      <c r="W994" s="193">
        <f t="shared" si="735"/>
        <v>0.33</v>
      </c>
      <c r="X994" s="193">
        <f t="shared" si="741"/>
        <v>0.6</v>
      </c>
      <c r="Y994" s="193">
        <f t="shared" si="716"/>
        <v>0</v>
      </c>
      <c r="Z994" s="193">
        <f t="shared" si="692"/>
        <v>11.559999999999999</v>
      </c>
      <c r="AA994" s="194">
        <f t="shared" si="693"/>
        <v>113.44</v>
      </c>
      <c r="AB994" s="195">
        <v>113</v>
      </c>
      <c r="AC994" s="196">
        <f t="shared" si="694"/>
        <v>-0.43999999999999773</v>
      </c>
      <c r="AD994" s="197">
        <f t="shared" si="695"/>
        <v>1.1457378551787351E-2</v>
      </c>
      <c r="AE994" s="198">
        <f t="shared" si="696"/>
        <v>5.2700000000000002E-4</v>
      </c>
      <c r="AF994" s="193"/>
      <c r="AG994" s="199" t="s">
        <v>416</v>
      </c>
      <c r="AH994" s="124"/>
    </row>
    <row r="995" spans="1:34" ht="12" hidden="1" customHeight="1">
      <c r="A995" s="187">
        <v>44319</v>
      </c>
      <c r="B995" s="188" t="s">
        <v>707</v>
      </c>
      <c r="C995" s="188" t="s">
        <v>485</v>
      </c>
      <c r="D995" s="188"/>
      <c r="E995" s="188" t="str">
        <f t="shared" si="682"/>
        <v>GDL</v>
      </c>
      <c r="F995" s="188"/>
      <c r="G995" s="188"/>
      <c r="H995" s="188"/>
      <c r="I995" s="188" t="s">
        <v>668</v>
      </c>
      <c r="J995" s="188" t="s">
        <v>483</v>
      </c>
      <c r="K995" s="188"/>
      <c r="L995" s="188"/>
      <c r="M995" s="189">
        <v>100</v>
      </c>
      <c r="N995" s="190">
        <v>226</v>
      </c>
      <c r="O995" s="191">
        <v>234.125</v>
      </c>
      <c r="P995" s="192">
        <f t="shared" si="705"/>
        <v>6.78</v>
      </c>
      <c r="Q995" s="192">
        <f t="shared" si="706"/>
        <v>7.02</v>
      </c>
      <c r="R995" s="193">
        <f t="shared" si="685"/>
        <v>46012.5</v>
      </c>
      <c r="S995" s="193">
        <f t="shared" si="686"/>
        <v>812.5</v>
      </c>
      <c r="T995" s="193">
        <f t="shared" si="732"/>
        <v>13.8</v>
      </c>
      <c r="U995" s="193">
        <f t="shared" si="707"/>
        <v>2.77</v>
      </c>
      <c r="V995" s="193">
        <f t="shared" si="734"/>
        <v>5.85</v>
      </c>
      <c r="W995" s="193">
        <f t="shared" si="735"/>
        <v>0.68</v>
      </c>
      <c r="X995" s="193">
        <f>ROUND(R995*H$1820,2)</f>
        <v>1.59</v>
      </c>
      <c r="Y995" s="193">
        <f t="shared" si="716"/>
        <v>0</v>
      </c>
      <c r="Z995" s="193">
        <f t="shared" si="692"/>
        <v>24.69</v>
      </c>
      <c r="AA995" s="194">
        <f t="shared" si="693"/>
        <v>787.81</v>
      </c>
      <c r="AB995" s="195">
        <v>788</v>
      </c>
      <c r="AC995" s="196">
        <f t="shared" si="694"/>
        <v>0.19000000000005457</v>
      </c>
      <c r="AD995" s="197">
        <f t="shared" si="695"/>
        <v>3.5951327433628319E-2</v>
      </c>
      <c r="AE995" s="198">
        <f t="shared" si="696"/>
        <v>5.3700000000000004E-4</v>
      </c>
      <c r="AF995" s="193"/>
      <c r="AG995" s="199" t="s">
        <v>416</v>
      </c>
      <c r="AH995" s="124"/>
    </row>
    <row r="996" spans="1:34" ht="12" hidden="1" customHeight="1">
      <c r="A996" s="187">
        <v>44320</v>
      </c>
      <c r="B996" s="188" t="s">
        <v>505</v>
      </c>
      <c r="C996" s="188" t="s">
        <v>485</v>
      </c>
      <c r="D996" s="188"/>
      <c r="E996" s="188" t="str">
        <f t="shared" si="682"/>
        <v>CARBORUNIV</v>
      </c>
      <c r="F996" s="188"/>
      <c r="G996" s="188"/>
      <c r="H996" s="188"/>
      <c r="I996" s="188" t="s">
        <v>668</v>
      </c>
      <c r="J996" s="188" t="s">
        <v>483</v>
      </c>
      <c r="K996" s="188"/>
      <c r="L996" s="188"/>
      <c r="M996" s="189">
        <v>10</v>
      </c>
      <c r="N996" s="190">
        <v>600</v>
      </c>
      <c r="O996" s="191">
        <v>600.15</v>
      </c>
      <c r="P996" s="192">
        <f t="shared" si="705"/>
        <v>1.8</v>
      </c>
      <c r="Q996" s="192">
        <f t="shared" si="706"/>
        <v>1.8</v>
      </c>
      <c r="R996" s="193">
        <f t="shared" si="685"/>
        <v>12001.5</v>
      </c>
      <c r="S996" s="193">
        <f t="shared" si="686"/>
        <v>1.4999999999997726</v>
      </c>
      <c r="T996" s="193">
        <f t="shared" si="732"/>
        <v>3.6</v>
      </c>
      <c r="U996" s="193">
        <f t="shared" si="707"/>
        <v>0.71</v>
      </c>
      <c r="V996" s="193">
        <f t="shared" si="734"/>
        <v>1.5</v>
      </c>
      <c r="W996" s="193">
        <f t="shared" si="735"/>
        <v>0.18</v>
      </c>
      <c r="X996" s="193">
        <f t="shared" ref="X996:X1000" si="742">ROUND(R996*G$1820,2)</f>
        <v>0.33</v>
      </c>
      <c r="Y996" s="193">
        <f t="shared" si="716"/>
        <v>0</v>
      </c>
      <c r="Z996" s="193">
        <f t="shared" si="692"/>
        <v>6.32</v>
      </c>
      <c r="AA996" s="194">
        <f t="shared" si="693"/>
        <v>-4.82</v>
      </c>
      <c r="AB996" s="195">
        <f>-5+1.08</f>
        <v>-3.92</v>
      </c>
      <c r="AC996" s="196">
        <f t="shared" si="694"/>
        <v>0.90000000000000036</v>
      </c>
      <c r="AD996" s="197">
        <f t="shared" si="695"/>
        <v>2.4999999999996211E-4</v>
      </c>
      <c r="AE996" s="198">
        <f t="shared" si="696"/>
        <v>5.2700000000000002E-4</v>
      </c>
      <c r="AF996" s="193"/>
      <c r="AG996" s="199" t="s">
        <v>416</v>
      </c>
      <c r="AH996" s="124"/>
    </row>
    <row r="997" spans="1:34" ht="12" hidden="1" customHeight="1">
      <c r="A997" s="187">
        <v>44320</v>
      </c>
      <c r="B997" s="188" t="s">
        <v>494</v>
      </c>
      <c r="C997" s="188" t="s">
        <v>485</v>
      </c>
      <c r="D997" s="188"/>
      <c r="E997" s="188" t="str">
        <f t="shared" si="682"/>
        <v>BEL</v>
      </c>
      <c r="F997" s="188"/>
      <c r="G997" s="188"/>
      <c r="H997" s="188"/>
      <c r="I997" s="188" t="s">
        <v>668</v>
      </c>
      <c r="J997" s="188" t="s">
        <v>483</v>
      </c>
      <c r="K997" s="188"/>
      <c r="L997" s="188"/>
      <c r="M997" s="189">
        <v>100</v>
      </c>
      <c r="N997" s="190">
        <v>132</v>
      </c>
      <c r="O997" s="191">
        <v>136</v>
      </c>
      <c r="P997" s="192">
        <f t="shared" si="705"/>
        <v>3.96</v>
      </c>
      <c r="Q997" s="192">
        <f t="shared" si="706"/>
        <v>4.08</v>
      </c>
      <c r="R997" s="193">
        <f t="shared" si="685"/>
        <v>26800</v>
      </c>
      <c r="S997" s="193">
        <f t="shared" si="686"/>
        <v>400</v>
      </c>
      <c r="T997" s="193">
        <f>ROUND(P997+Q997,2)+2</f>
        <v>10.039999999999999</v>
      </c>
      <c r="U997" s="193">
        <f t="shared" si="707"/>
        <v>1.94</v>
      </c>
      <c r="V997" s="193">
        <f t="shared" si="734"/>
        <v>3.4</v>
      </c>
      <c r="W997" s="193">
        <f t="shared" si="735"/>
        <v>0.4</v>
      </c>
      <c r="X997" s="193">
        <f t="shared" si="742"/>
        <v>0.74</v>
      </c>
      <c r="Y997" s="193">
        <f t="shared" si="716"/>
        <v>0</v>
      </c>
      <c r="Z997" s="193">
        <f t="shared" si="692"/>
        <v>16.52</v>
      </c>
      <c r="AA997" s="194">
        <f t="shared" si="693"/>
        <v>383.48</v>
      </c>
      <c r="AB997" s="195">
        <v>383</v>
      </c>
      <c r="AC997" s="196">
        <f t="shared" si="694"/>
        <v>-0.48000000000001819</v>
      </c>
      <c r="AD997" s="197">
        <f t="shared" si="695"/>
        <v>3.0303030303030304E-2</v>
      </c>
      <c r="AE997" s="198">
        <f t="shared" si="696"/>
        <v>6.1600000000000001E-4</v>
      </c>
      <c r="AF997" s="193"/>
      <c r="AG997" s="199" t="s">
        <v>416</v>
      </c>
      <c r="AH997" s="124"/>
    </row>
    <row r="998" spans="1:34" ht="12" hidden="1" customHeight="1">
      <c r="A998" s="187">
        <v>44320</v>
      </c>
      <c r="B998" s="188" t="s">
        <v>499</v>
      </c>
      <c r="C998" s="188" t="s">
        <v>485</v>
      </c>
      <c r="D998" s="188"/>
      <c r="E998" s="188" t="str">
        <f t="shared" si="682"/>
        <v>BSOFT</v>
      </c>
      <c r="F998" s="188"/>
      <c r="G998" s="188"/>
      <c r="H998" s="188"/>
      <c r="I998" s="188" t="s">
        <v>668</v>
      </c>
      <c r="J998" s="188" t="s">
        <v>483</v>
      </c>
      <c r="K998" s="188"/>
      <c r="L998" s="188"/>
      <c r="M998" s="189">
        <v>25</v>
      </c>
      <c r="N998" s="190">
        <v>242</v>
      </c>
      <c r="O998" s="191">
        <v>248.5</v>
      </c>
      <c r="P998" s="192">
        <f t="shared" si="705"/>
        <v>1.82</v>
      </c>
      <c r="Q998" s="192">
        <f t="shared" si="706"/>
        <v>1.86</v>
      </c>
      <c r="R998" s="193">
        <f t="shared" si="685"/>
        <v>12262.5</v>
      </c>
      <c r="S998" s="193">
        <f t="shared" si="686"/>
        <v>162.5</v>
      </c>
      <c r="T998" s="193">
        <f t="shared" ref="T998:T1000" si="743">ROUND(P998+Q998,2)</f>
        <v>3.68</v>
      </c>
      <c r="U998" s="193">
        <f t="shared" si="707"/>
        <v>0.72</v>
      </c>
      <c r="V998" s="193">
        <f t="shared" si="734"/>
        <v>1.55</v>
      </c>
      <c r="W998" s="193">
        <f t="shared" si="735"/>
        <v>0.18</v>
      </c>
      <c r="X998" s="193">
        <f t="shared" si="742"/>
        <v>0.34</v>
      </c>
      <c r="Y998" s="193">
        <f t="shared" si="716"/>
        <v>0</v>
      </c>
      <c r="Z998" s="193">
        <f t="shared" si="692"/>
        <v>6.47</v>
      </c>
      <c r="AA998" s="194">
        <f t="shared" si="693"/>
        <v>156.03</v>
      </c>
      <c r="AB998" s="195">
        <v>156</v>
      </c>
      <c r="AC998" s="196">
        <f t="shared" si="694"/>
        <v>-3.0000000000001137E-2</v>
      </c>
      <c r="AD998" s="197">
        <f t="shared" si="695"/>
        <v>2.6859504132231406E-2</v>
      </c>
      <c r="AE998" s="198">
        <f t="shared" si="696"/>
        <v>5.2800000000000004E-4</v>
      </c>
      <c r="AF998" s="193"/>
      <c r="AG998" s="199" t="s">
        <v>416</v>
      </c>
      <c r="AH998" s="124"/>
    </row>
    <row r="999" spans="1:34" ht="12" hidden="1" customHeight="1">
      <c r="A999" s="187">
        <v>44321</v>
      </c>
      <c r="B999" s="188" t="s">
        <v>494</v>
      </c>
      <c r="C999" s="188" t="s">
        <v>485</v>
      </c>
      <c r="D999" s="188"/>
      <c r="E999" s="188" t="str">
        <f t="shared" si="682"/>
        <v>BEL</v>
      </c>
      <c r="F999" s="188"/>
      <c r="G999" s="188"/>
      <c r="H999" s="188"/>
      <c r="I999" s="188" t="s">
        <v>668</v>
      </c>
      <c r="J999" s="188" t="s">
        <v>483</v>
      </c>
      <c r="K999" s="188"/>
      <c r="L999" s="188"/>
      <c r="M999" s="189">
        <v>100</v>
      </c>
      <c r="N999" s="190">
        <v>138.30000000000001</v>
      </c>
      <c r="O999" s="191">
        <v>135.35</v>
      </c>
      <c r="P999" s="192">
        <f t="shared" si="705"/>
        <v>4.1500000000000004</v>
      </c>
      <c r="Q999" s="192">
        <f t="shared" si="706"/>
        <v>4.0599999999999996</v>
      </c>
      <c r="R999" s="193">
        <f t="shared" si="685"/>
        <v>27365</v>
      </c>
      <c r="S999" s="193">
        <f t="shared" si="686"/>
        <v>-295.00000000000171</v>
      </c>
      <c r="T999" s="193">
        <f t="shared" si="743"/>
        <v>8.2100000000000009</v>
      </c>
      <c r="U999" s="193">
        <f t="shared" si="707"/>
        <v>1.61</v>
      </c>
      <c r="V999" s="193">
        <f t="shared" si="734"/>
        <v>3.38</v>
      </c>
      <c r="W999" s="193">
        <f t="shared" si="735"/>
        <v>0.41</v>
      </c>
      <c r="X999" s="193">
        <f t="shared" si="742"/>
        <v>0.75</v>
      </c>
      <c r="Y999" s="193">
        <f t="shared" si="716"/>
        <v>0</v>
      </c>
      <c r="Z999" s="193">
        <f t="shared" si="692"/>
        <v>14.36</v>
      </c>
      <c r="AA999" s="194">
        <f t="shared" si="693"/>
        <v>-309.36</v>
      </c>
      <c r="AB999" s="195">
        <f>-309-0.81</f>
        <v>-309.81</v>
      </c>
      <c r="AC999" s="196">
        <f t="shared" si="694"/>
        <v>-0.44999999999998863</v>
      </c>
      <c r="AD999" s="197">
        <f t="shared" si="695"/>
        <v>-2.1330441070137506E-2</v>
      </c>
      <c r="AE999" s="198">
        <f t="shared" si="696"/>
        <v>5.2499999999999997E-4</v>
      </c>
      <c r="AF999" s="193"/>
      <c r="AG999" s="199" t="s">
        <v>416</v>
      </c>
      <c r="AH999" s="124"/>
    </row>
    <row r="1000" spans="1:34" ht="12" hidden="1" customHeight="1">
      <c r="A1000" s="187">
        <v>44321</v>
      </c>
      <c r="B1000" s="188" t="s">
        <v>512</v>
      </c>
      <c r="C1000" s="188" t="s">
        <v>485</v>
      </c>
      <c r="D1000" s="188"/>
      <c r="E1000" s="188" t="str">
        <f t="shared" si="682"/>
        <v>IRFC</v>
      </c>
      <c r="F1000" s="188"/>
      <c r="G1000" s="188"/>
      <c r="H1000" s="188"/>
      <c r="I1000" s="188" t="s">
        <v>668</v>
      </c>
      <c r="J1000" s="188" t="s">
        <v>483</v>
      </c>
      <c r="K1000" s="188"/>
      <c r="L1000" s="188"/>
      <c r="M1000" s="189">
        <v>1000</v>
      </c>
      <c r="N1000" s="190">
        <v>21.05</v>
      </c>
      <c r="O1000" s="191">
        <v>21.1</v>
      </c>
      <c r="P1000" s="192">
        <f t="shared" si="705"/>
        <v>6.32</v>
      </c>
      <c r="Q1000" s="192">
        <f t="shared" si="706"/>
        <v>6.33</v>
      </c>
      <c r="R1000" s="193">
        <f t="shared" si="685"/>
        <v>42150</v>
      </c>
      <c r="S1000" s="193">
        <f t="shared" si="686"/>
        <v>50.000000000000711</v>
      </c>
      <c r="T1000" s="193">
        <f t="shared" si="743"/>
        <v>12.65</v>
      </c>
      <c r="U1000" s="193">
        <f t="shared" si="707"/>
        <v>2.4900000000000002</v>
      </c>
      <c r="V1000" s="193">
        <f t="shared" si="734"/>
        <v>5.28</v>
      </c>
      <c r="W1000" s="193">
        <f t="shared" si="735"/>
        <v>0.63</v>
      </c>
      <c r="X1000" s="193">
        <f t="shared" si="742"/>
        <v>1.1599999999999999</v>
      </c>
      <c r="Y1000" s="193">
        <f t="shared" si="716"/>
        <v>0</v>
      </c>
      <c r="Z1000" s="193">
        <f t="shared" si="692"/>
        <v>22.21</v>
      </c>
      <c r="AA1000" s="194">
        <f t="shared" si="693"/>
        <v>27.79</v>
      </c>
      <c r="AB1000" s="195">
        <v>28</v>
      </c>
      <c r="AC1000" s="196">
        <f t="shared" si="694"/>
        <v>0.21000000000000085</v>
      </c>
      <c r="AD1000" s="197">
        <f t="shared" si="695"/>
        <v>2.3752969121140478E-3</v>
      </c>
      <c r="AE1000" s="198">
        <f t="shared" si="696"/>
        <v>5.2700000000000002E-4</v>
      </c>
      <c r="AF1000" s="193"/>
      <c r="AG1000" s="199" t="s">
        <v>416</v>
      </c>
      <c r="AH1000" s="124"/>
    </row>
    <row r="1001" spans="1:34" ht="12" hidden="1" customHeight="1">
      <c r="A1001" s="187">
        <v>44321</v>
      </c>
      <c r="B1001" s="188" t="s">
        <v>493</v>
      </c>
      <c r="C1001" s="188" t="s">
        <v>485</v>
      </c>
      <c r="D1001" s="188"/>
      <c r="E1001" s="188" t="str">
        <f t="shared" si="682"/>
        <v>SBIN</v>
      </c>
      <c r="F1001" s="188"/>
      <c r="G1001" s="188"/>
      <c r="H1001" s="188"/>
      <c r="I1001" s="188" t="s">
        <v>668</v>
      </c>
      <c r="J1001" s="188" t="s">
        <v>483</v>
      </c>
      <c r="K1001" s="188"/>
      <c r="L1001" s="188"/>
      <c r="M1001" s="189">
        <v>300</v>
      </c>
      <c r="N1001" s="190">
        <v>355.18335000000002</v>
      </c>
      <c r="O1001" s="191">
        <v>354.9667</v>
      </c>
      <c r="P1001" s="192">
        <f t="shared" si="705"/>
        <v>20</v>
      </c>
      <c r="Q1001" s="192">
        <f t="shared" si="706"/>
        <v>20</v>
      </c>
      <c r="R1001" s="193">
        <f t="shared" si="685"/>
        <v>213045.02</v>
      </c>
      <c r="S1001" s="193">
        <f t="shared" si="686"/>
        <v>-64.995000000004666</v>
      </c>
      <c r="T1001" s="193">
        <v>63.92</v>
      </c>
      <c r="U1001" s="193">
        <f t="shared" si="707"/>
        <v>12.83</v>
      </c>
      <c r="V1001" s="193">
        <f t="shared" si="734"/>
        <v>26.62</v>
      </c>
      <c r="W1001" s="193">
        <f t="shared" si="735"/>
        <v>3.2</v>
      </c>
      <c r="X1001" s="193">
        <f>ROUND(R1001*H$1820,2)</f>
        <v>7.35</v>
      </c>
      <c r="Y1001" s="193">
        <f t="shared" si="716"/>
        <v>0</v>
      </c>
      <c r="Z1001" s="193">
        <f t="shared" si="692"/>
        <v>113.92</v>
      </c>
      <c r="AA1001" s="194">
        <f t="shared" si="693"/>
        <v>-178.92</v>
      </c>
      <c r="AB1001" s="195">
        <v>-179</v>
      </c>
      <c r="AC1001" s="196">
        <f t="shared" si="694"/>
        <v>-8.0000000000012506E-2</v>
      </c>
      <c r="AD1001" s="197">
        <f t="shared" si="695"/>
        <v>-6.0996665525007163E-4</v>
      </c>
      <c r="AE1001" s="198">
        <f t="shared" si="696"/>
        <v>5.3499999999999999E-4</v>
      </c>
      <c r="AF1001" s="193"/>
      <c r="AG1001" s="199" t="s">
        <v>416</v>
      </c>
      <c r="AH1001" s="124"/>
    </row>
    <row r="1002" spans="1:34" ht="12" hidden="1" customHeight="1">
      <c r="A1002" s="187">
        <v>44321</v>
      </c>
      <c r="B1002" s="188" t="s">
        <v>708</v>
      </c>
      <c r="C1002" s="188" t="s">
        <v>485</v>
      </c>
      <c r="D1002" s="188"/>
      <c r="E1002" s="188" t="str">
        <f t="shared" si="682"/>
        <v>FINEORG</v>
      </c>
      <c r="F1002" s="188"/>
      <c r="G1002" s="188"/>
      <c r="H1002" s="188"/>
      <c r="I1002" s="188" t="s">
        <v>668</v>
      </c>
      <c r="J1002" s="188" t="s">
        <v>483</v>
      </c>
      <c r="K1002" s="188"/>
      <c r="L1002" s="188"/>
      <c r="M1002" s="189">
        <v>15</v>
      </c>
      <c r="N1002" s="190">
        <v>2949.6667000000002</v>
      </c>
      <c r="O1002" s="191">
        <v>2920</v>
      </c>
      <c r="P1002" s="192">
        <f t="shared" si="705"/>
        <v>13.27</v>
      </c>
      <c r="Q1002" s="192">
        <f t="shared" si="706"/>
        <v>13.14</v>
      </c>
      <c r="R1002" s="193">
        <f t="shared" si="685"/>
        <v>88045</v>
      </c>
      <c r="S1002" s="193">
        <f t="shared" si="686"/>
        <v>-445.00050000000329</v>
      </c>
      <c r="T1002" s="193">
        <f t="shared" ref="T1002:T1017" si="744">ROUND(P1002+Q1002,2)</f>
        <v>26.41</v>
      </c>
      <c r="U1002" s="193">
        <f t="shared" si="707"/>
        <v>5.19</v>
      </c>
      <c r="V1002" s="193">
        <f t="shared" si="734"/>
        <v>10.95</v>
      </c>
      <c r="W1002" s="193">
        <f t="shared" si="735"/>
        <v>1.33</v>
      </c>
      <c r="X1002" s="193">
        <f>ROUND(R1002*G$1820,2)</f>
        <v>2.42</v>
      </c>
      <c r="Y1002" s="193">
        <f t="shared" si="716"/>
        <v>0</v>
      </c>
      <c r="Z1002" s="193">
        <f t="shared" si="692"/>
        <v>46.3</v>
      </c>
      <c r="AA1002" s="194">
        <f t="shared" si="693"/>
        <v>-491.3</v>
      </c>
      <c r="AB1002" s="195">
        <v>-491</v>
      </c>
      <c r="AC1002" s="196">
        <f t="shared" si="694"/>
        <v>0.30000000000001137</v>
      </c>
      <c r="AD1002" s="197">
        <f t="shared" si="695"/>
        <v>-1.0057644817972219E-2</v>
      </c>
      <c r="AE1002" s="198">
        <f t="shared" si="696"/>
        <v>5.2599999999999999E-4</v>
      </c>
      <c r="AF1002" s="193"/>
      <c r="AG1002" s="199" t="s">
        <v>416</v>
      </c>
      <c r="AH1002" s="124"/>
    </row>
    <row r="1003" spans="1:34" ht="12" hidden="1" customHeight="1">
      <c r="A1003" s="187">
        <v>44321</v>
      </c>
      <c r="B1003" s="188" t="s">
        <v>525</v>
      </c>
      <c r="C1003" s="188" t="s">
        <v>485</v>
      </c>
      <c r="D1003" s="188"/>
      <c r="E1003" s="188" t="str">
        <f t="shared" si="682"/>
        <v>NATCOPHARM</v>
      </c>
      <c r="F1003" s="188"/>
      <c r="G1003" s="188"/>
      <c r="H1003" s="188"/>
      <c r="I1003" s="188" t="s">
        <v>668</v>
      </c>
      <c r="J1003" s="188" t="s">
        <v>483</v>
      </c>
      <c r="K1003" s="188"/>
      <c r="L1003" s="188"/>
      <c r="M1003" s="189">
        <v>10</v>
      </c>
      <c r="N1003" s="190">
        <v>939.85</v>
      </c>
      <c r="O1003" s="191">
        <v>938.6</v>
      </c>
      <c r="P1003" s="192">
        <f t="shared" si="705"/>
        <v>2.82</v>
      </c>
      <c r="Q1003" s="192">
        <f t="shared" si="706"/>
        <v>2.82</v>
      </c>
      <c r="R1003" s="193">
        <f t="shared" si="685"/>
        <v>18784.5</v>
      </c>
      <c r="S1003" s="193">
        <f t="shared" si="686"/>
        <v>-12.5</v>
      </c>
      <c r="T1003" s="193">
        <f t="shared" si="744"/>
        <v>5.64</v>
      </c>
      <c r="U1003" s="193">
        <f t="shared" si="707"/>
        <v>1.1299999999999999</v>
      </c>
      <c r="V1003" s="193">
        <f t="shared" si="734"/>
        <v>2.35</v>
      </c>
      <c r="W1003" s="193">
        <f t="shared" si="735"/>
        <v>0.28000000000000003</v>
      </c>
      <c r="X1003" s="193">
        <f t="shared" ref="X1003:X1005" si="745">ROUND(R1003*H$1820,2)</f>
        <v>0.65</v>
      </c>
      <c r="Y1003" s="193">
        <f t="shared" si="716"/>
        <v>0</v>
      </c>
      <c r="Z1003" s="193">
        <f t="shared" si="692"/>
        <v>10.049999999999999</v>
      </c>
      <c r="AA1003" s="194">
        <f t="shared" si="693"/>
        <v>-22.55</v>
      </c>
      <c r="AB1003" s="195">
        <v>-23</v>
      </c>
      <c r="AC1003" s="196">
        <f t="shared" si="694"/>
        <v>-0.44999999999999929</v>
      </c>
      <c r="AD1003" s="197">
        <f t="shared" si="695"/>
        <v>-1.3299994680002127E-3</v>
      </c>
      <c r="AE1003" s="198">
        <f t="shared" si="696"/>
        <v>5.3499999999999999E-4</v>
      </c>
      <c r="AF1003" s="193"/>
      <c r="AG1003" s="199" t="s">
        <v>416</v>
      </c>
      <c r="AH1003" s="124"/>
    </row>
    <row r="1004" spans="1:34" ht="12" hidden="1" customHeight="1">
      <c r="A1004" s="187">
        <v>44321</v>
      </c>
      <c r="B1004" s="188" t="s">
        <v>709</v>
      </c>
      <c r="C1004" s="188" t="s">
        <v>485</v>
      </c>
      <c r="D1004" s="188"/>
      <c r="E1004" s="188" t="str">
        <f t="shared" si="682"/>
        <v>WOCKPHARMA</v>
      </c>
      <c r="F1004" s="188"/>
      <c r="G1004" s="188"/>
      <c r="H1004" s="188"/>
      <c r="I1004" s="188" t="s">
        <v>668</v>
      </c>
      <c r="J1004" s="188" t="s">
        <v>483</v>
      </c>
      <c r="K1004" s="188"/>
      <c r="L1004" s="188"/>
      <c r="M1004" s="189">
        <v>25</v>
      </c>
      <c r="N1004" s="190">
        <v>541</v>
      </c>
      <c r="O1004" s="191">
        <v>548</v>
      </c>
      <c r="P1004" s="192">
        <f t="shared" si="705"/>
        <v>4.0599999999999996</v>
      </c>
      <c r="Q1004" s="192">
        <f t="shared" si="706"/>
        <v>4.1100000000000003</v>
      </c>
      <c r="R1004" s="193">
        <f t="shared" si="685"/>
        <v>27225</v>
      </c>
      <c r="S1004" s="193">
        <f t="shared" si="686"/>
        <v>175</v>
      </c>
      <c r="T1004" s="193">
        <f t="shared" si="744"/>
        <v>8.17</v>
      </c>
      <c r="U1004" s="193">
        <f t="shared" si="707"/>
        <v>1.64</v>
      </c>
      <c r="V1004" s="193">
        <f t="shared" si="734"/>
        <v>3.43</v>
      </c>
      <c r="W1004" s="193">
        <f t="shared" si="735"/>
        <v>0.41</v>
      </c>
      <c r="X1004" s="193">
        <f t="shared" si="745"/>
        <v>0.94</v>
      </c>
      <c r="Y1004" s="193">
        <f t="shared" si="716"/>
        <v>0</v>
      </c>
      <c r="Z1004" s="193">
        <f t="shared" si="692"/>
        <v>14.59</v>
      </c>
      <c r="AA1004" s="194">
        <f t="shared" si="693"/>
        <v>160.41</v>
      </c>
      <c r="AB1004" s="195">
        <v>160</v>
      </c>
      <c r="AC1004" s="196">
        <f t="shared" si="694"/>
        <v>-0.40999999999999659</v>
      </c>
      <c r="AD1004" s="197">
        <f t="shared" si="695"/>
        <v>1.2939001848428836E-2</v>
      </c>
      <c r="AE1004" s="198">
        <f t="shared" si="696"/>
        <v>5.3600000000000002E-4</v>
      </c>
      <c r="AF1004" s="193"/>
      <c r="AG1004" s="199" t="s">
        <v>416</v>
      </c>
      <c r="AH1004" s="124"/>
    </row>
    <row r="1005" spans="1:34" ht="12" hidden="1" customHeight="1">
      <c r="A1005" s="187">
        <v>44322</v>
      </c>
      <c r="B1005" s="188" t="s">
        <v>710</v>
      </c>
      <c r="C1005" s="188" t="s">
        <v>485</v>
      </c>
      <c r="D1005" s="188"/>
      <c r="E1005" s="188" t="str">
        <f t="shared" si="682"/>
        <v>IOLCP</v>
      </c>
      <c r="F1005" s="188"/>
      <c r="G1005" s="188"/>
      <c r="H1005" s="188"/>
      <c r="I1005" s="188" t="s">
        <v>668</v>
      </c>
      <c r="J1005" s="188" t="s">
        <v>483</v>
      </c>
      <c r="K1005" s="188"/>
      <c r="L1005" s="188"/>
      <c r="M1005" s="189">
        <v>50</v>
      </c>
      <c r="N1005" s="190">
        <v>651.54999999999995</v>
      </c>
      <c r="O1005" s="191">
        <v>647.20000000000005</v>
      </c>
      <c r="P1005" s="192">
        <f t="shared" si="705"/>
        <v>9.77</v>
      </c>
      <c r="Q1005" s="192">
        <f t="shared" si="706"/>
        <v>9.7100000000000009</v>
      </c>
      <c r="R1005" s="193">
        <f t="shared" si="685"/>
        <v>64937.5</v>
      </c>
      <c r="S1005" s="193">
        <f t="shared" si="686"/>
        <v>-217.49999999999545</v>
      </c>
      <c r="T1005" s="193">
        <f t="shared" si="744"/>
        <v>19.48</v>
      </c>
      <c r="U1005" s="193">
        <f t="shared" si="707"/>
        <v>3.91</v>
      </c>
      <c r="V1005" s="193">
        <f t="shared" si="734"/>
        <v>8.09</v>
      </c>
      <c r="W1005" s="193">
        <f t="shared" si="735"/>
        <v>0.98</v>
      </c>
      <c r="X1005" s="193">
        <f t="shared" si="745"/>
        <v>2.2400000000000002</v>
      </c>
      <c r="Y1005" s="193">
        <f t="shared" si="716"/>
        <v>0</v>
      </c>
      <c r="Z1005" s="193">
        <f t="shared" si="692"/>
        <v>34.700000000000003</v>
      </c>
      <c r="AA1005" s="194">
        <f t="shared" si="693"/>
        <v>-252.2</v>
      </c>
      <c r="AB1005" s="195">
        <f>-252+0.65</f>
        <v>-251.35</v>
      </c>
      <c r="AC1005" s="196">
        <f t="shared" si="694"/>
        <v>0.84999999999999432</v>
      </c>
      <c r="AD1005" s="197">
        <f t="shared" si="695"/>
        <v>-6.6763870769701627E-3</v>
      </c>
      <c r="AE1005" s="198">
        <f t="shared" si="696"/>
        <v>5.3399999999999997E-4</v>
      </c>
      <c r="AF1005" s="193"/>
      <c r="AG1005" s="199" t="s">
        <v>416</v>
      </c>
      <c r="AH1005" s="124"/>
    </row>
    <row r="1006" spans="1:34" ht="12" hidden="1" customHeight="1">
      <c r="A1006" s="187">
        <v>44322</v>
      </c>
      <c r="B1006" s="188" t="s">
        <v>512</v>
      </c>
      <c r="C1006" s="188" t="s">
        <v>485</v>
      </c>
      <c r="D1006" s="188"/>
      <c r="E1006" s="188" t="str">
        <f t="shared" si="682"/>
        <v>IRFC</v>
      </c>
      <c r="F1006" s="188"/>
      <c r="G1006" s="188"/>
      <c r="H1006" s="188"/>
      <c r="I1006" s="188" t="s">
        <v>668</v>
      </c>
      <c r="J1006" s="188" t="s">
        <v>483</v>
      </c>
      <c r="K1006" s="188"/>
      <c r="L1006" s="188"/>
      <c r="M1006" s="189">
        <v>1075</v>
      </c>
      <c r="N1006" s="190">
        <v>21.1</v>
      </c>
      <c r="O1006" s="191">
        <v>21.15</v>
      </c>
      <c r="P1006" s="192">
        <f t="shared" si="705"/>
        <v>6.8</v>
      </c>
      <c r="Q1006" s="192">
        <f t="shared" si="706"/>
        <v>6.82</v>
      </c>
      <c r="R1006" s="193">
        <f t="shared" si="685"/>
        <v>45418.75</v>
      </c>
      <c r="S1006" s="193">
        <f t="shared" si="686"/>
        <v>53.749999999996945</v>
      </c>
      <c r="T1006" s="193">
        <f t="shared" si="744"/>
        <v>13.62</v>
      </c>
      <c r="U1006" s="193">
        <f t="shared" si="707"/>
        <v>2.68</v>
      </c>
      <c r="V1006" s="193">
        <f t="shared" si="734"/>
        <v>5.68</v>
      </c>
      <c r="W1006" s="193">
        <f t="shared" si="735"/>
        <v>0.68</v>
      </c>
      <c r="X1006" s="193">
        <f t="shared" ref="X1006:X1010" si="746">ROUND(R1006*G$1820,2)</f>
        <v>1.25</v>
      </c>
      <c r="Y1006" s="193">
        <f t="shared" si="716"/>
        <v>0</v>
      </c>
      <c r="Z1006" s="193">
        <f t="shared" si="692"/>
        <v>23.91</v>
      </c>
      <c r="AA1006" s="194">
        <f t="shared" si="693"/>
        <v>29.84</v>
      </c>
      <c r="AB1006" s="195">
        <v>30</v>
      </c>
      <c r="AC1006" s="196">
        <f t="shared" si="694"/>
        <v>0.16000000000000014</v>
      </c>
      <c r="AD1006" s="197">
        <f t="shared" si="695"/>
        <v>2.3696682464453629E-3</v>
      </c>
      <c r="AE1006" s="198">
        <f t="shared" si="696"/>
        <v>5.2599999999999999E-4</v>
      </c>
      <c r="AF1006" s="193"/>
      <c r="AG1006" s="199" t="s">
        <v>416</v>
      </c>
      <c r="AH1006" s="124"/>
    </row>
    <row r="1007" spans="1:34" ht="12" hidden="1" customHeight="1">
      <c r="A1007" s="187">
        <v>44322</v>
      </c>
      <c r="B1007" s="188" t="s">
        <v>506</v>
      </c>
      <c r="C1007" s="188" t="s">
        <v>485</v>
      </c>
      <c r="D1007" s="188"/>
      <c r="E1007" s="188" t="str">
        <f t="shared" si="682"/>
        <v>HDFC</v>
      </c>
      <c r="F1007" s="188"/>
      <c r="G1007" s="188"/>
      <c r="H1007" s="188"/>
      <c r="I1007" s="188" t="s">
        <v>668</v>
      </c>
      <c r="J1007" s="188" t="s">
        <v>483</v>
      </c>
      <c r="K1007" s="188"/>
      <c r="L1007" s="188"/>
      <c r="M1007" s="189">
        <v>5</v>
      </c>
      <c r="N1007" s="190">
        <v>2417</v>
      </c>
      <c r="O1007" s="191">
        <v>2421</v>
      </c>
      <c r="P1007" s="192">
        <f t="shared" si="705"/>
        <v>3.63</v>
      </c>
      <c r="Q1007" s="192">
        <f t="shared" si="706"/>
        <v>3.63</v>
      </c>
      <c r="R1007" s="193">
        <f t="shared" si="685"/>
        <v>24190</v>
      </c>
      <c r="S1007" s="193">
        <f t="shared" si="686"/>
        <v>20</v>
      </c>
      <c r="T1007" s="193">
        <f t="shared" si="744"/>
        <v>7.26</v>
      </c>
      <c r="U1007" s="193">
        <f t="shared" si="707"/>
        <v>1.43</v>
      </c>
      <c r="V1007" s="193">
        <f t="shared" si="734"/>
        <v>3.03</v>
      </c>
      <c r="W1007" s="193">
        <f t="shared" si="735"/>
        <v>0.36</v>
      </c>
      <c r="X1007" s="193">
        <f t="shared" si="746"/>
        <v>0.67</v>
      </c>
      <c r="Y1007" s="193">
        <f t="shared" si="716"/>
        <v>0</v>
      </c>
      <c r="Z1007" s="193">
        <f t="shared" si="692"/>
        <v>12.749999999999998</v>
      </c>
      <c r="AA1007" s="194">
        <f t="shared" si="693"/>
        <v>7.25</v>
      </c>
      <c r="AB1007" s="195">
        <v>7</v>
      </c>
      <c r="AC1007" s="196">
        <f t="shared" si="694"/>
        <v>-0.25</v>
      </c>
      <c r="AD1007" s="197">
        <f t="shared" si="695"/>
        <v>1.6549441456350847E-3</v>
      </c>
      <c r="AE1007" s="198">
        <f t="shared" si="696"/>
        <v>5.2700000000000002E-4</v>
      </c>
      <c r="AF1007" s="193"/>
      <c r="AG1007" s="199" t="s">
        <v>416</v>
      </c>
      <c r="AH1007" s="124"/>
    </row>
    <row r="1008" spans="1:34" ht="12" hidden="1" customHeight="1">
      <c r="A1008" s="187">
        <v>44323</v>
      </c>
      <c r="B1008" s="188" t="s">
        <v>495</v>
      </c>
      <c r="C1008" s="188" t="s">
        <v>485</v>
      </c>
      <c r="D1008" s="188"/>
      <c r="E1008" s="188" t="str">
        <f t="shared" si="682"/>
        <v>SAIL</v>
      </c>
      <c r="F1008" s="188"/>
      <c r="G1008" s="188"/>
      <c r="H1008" s="188"/>
      <c r="I1008" s="188" t="s">
        <v>668</v>
      </c>
      <c r="J1008" s="188" t="s">
        <v>483</v>
      </c>
      <c r="K1008" s="188"/>
      <c r="L1008" s="188"/>
      <c r="M1008" s="189">
        <v>150</v>
      </c>
      <c r="N1008" s="190">
        <v>143.63329999999999</v>
      </c>
      <c r="O1008" s="191">
        <v>138.69999999999999</v>
      </c>
      <c r="P1008" s="192">
        <f t="shared" si="705"/>
        <v>6.46</v>
      </c>
      <c r="Q1008" s="192">
        <f t="shared" si="706"/>
        <v>6.24</v>
      </c>
      <c r="R1008" s="193">
        <f t="shared" si="685"/>
        <v>42350</v>
      </c>
      <c r="S1008" s="193">
        <f t="shared" si="686"/>
        <v>-739.99500000000035</v>
      </c>
      <c r="T1008" s="193">
        <f t="shared" si="744"/>
        <v>12.7</v>
      </c>
      <c r="U1008" s="193">
        <f t="shared" si="707"/>
        <v>2.4900000000000002</v>
      </c>
      <c r="V1008" s="193">
        <f t="shared" si="734"/>
        <v>5.2</v>
      </c>
      <c r="W1008" s="193">
        <f t="shared" si="735"/>
        <v>0.65</v>
      </c>
      <c r="X1008" s="193">
        <f t="shared" si="746"/>
        <v>1.1599999999999999</v>
      </c>
      <c r="Y1008" s="193">
        <f t="shared" si="716"/>
        <v>0</v>
      </c>
      <c r="Z1008" s="193">
        <f t="shared" si="692"/>
        <v>22.2</v>
      </c>
      <c r="AA1008" s="194">
        <f t="shared" si="693"/>
        <v>-762.2</v>
      </c>
      <c r="AB1008" s="195">
        <f>-762-0.06</f>
        <v>-762.06</v>
      </c>
      <c r="AC1008" s="196">
        <f t="shared" si="694"/>
        <v>0.14000000000010004</v>
      </c>
      <c r="AD1008" s="197">
        <f t="shared" si="695"/>
        <v>-3.4346492073913243E-2</v>
      </c>
      <c r="AE1008" s="198">
        <f t="shared" si="696"/>
        <v>5.2400000000000005E-4</v>
      </c>
      <c r="AF1008" s="193"/>
      <c r="AG1008" s="199" t="s">
        <v>416</v>
      </c>
      <c r="AH1008" s="124"/>
    </row>
    <row r="1009" spans="1:34" ht="12" hidden="1" customHeight="1">
      <c r="A1009" s="187">
        <v>44323</v>
      </c>
      <c r="B1009" s="188" t="s">
        <v>504</v>
      </c>
      <c r="C1009" s="188" t="s">
        <v>485</v>
      </c>
      <c r="D1009" s="188"/>
      <c r="E1009" s="188" t="str">
        <f t="shared" si="682"/>
        <v>HINDUNILVR</v>
      </c>
      <c r="F1009" s="188"/>
      <c r="G1009" s="188"/>
      <c r="H1009" s="188"/>
      <c r="I1009" s="188" t="s">
        <v>668</v>
      </c>
      <c r="J1009" s="188" t="s">
        <v>483</v>
      </c>
      <c r="K1009" s="188"/>
      <c r="L1009" s="188"/>
      <c r="M1009" s="189">
        <v>5</v>
      </c>
      <c r="N1009" s="190">
        <v>2400</v>
      </c>
      <c r="O1009" s="191">
        <v>2415</v>
      </c>
      <c r="P1009" s="192">
        <f t="shared" si="705"/>
        <v>3.6</v>
      </c>
      <c r="Q1009" s="192">
        <f t="shared" si="706"/>
        <v>3.62</v>
      </c>
      <c r="R1009" s="193">
        <f t="shared" si="685"/>
        <v>24075</v>
      </c>
      <c r="S1009" s="193">
        <f t="shared" si="686"/>
        <v>75</v>
      </c>
      <c r="T1009" s="193">
        <f t="shared" si="744"/>
        <v>7.22</v>
      </c>
      <c r="U1009" s="193">
        <f t="shared" si="707"/>
        <v>1.42</v>
      </c>
      <c r="V1009" s="193">
        <f t="shared" si="734"/>
        <v>3.02</v>
      </c>
      <c r="W1009" s="193">
        <f t="shared" si="735"/>
        <v>0.36</v>
      </c>
      <c r="X1009" s="193">
        <f t="shared" si="746"/>
        <v>0.66</v>
      </c>
      <c r="Y1009" s="193">
        <f t="shared" si="716"/>
        <v>0</v>
      </c>
      <c r="Z1009" s="193">
        <f t="shared" si="692"/>
        <v>12.68</v>
      </c>
      <c r="AA1009" s="194">
        <f t="shared" si="693"/>
        <v>62.32</v>
      </c>
      <c r="AB1009" s="195">
        <v>62</v>
      </c>
      <c r="AC1009" s="196">
        <f t="shared" si="694"/>
        <v>-0.32000000000000028</v>
      </c>
      <c r="AD1009" s="197">
        <f t="shared" si="695"/>
        <v>6.2500000000000003E-3</v>
      </c>
      <c r="AE1009" s="198">
        <f t="shared" si="696"/>
        <v>5.2700000000000002E-4</v>
      </c>
      <c r="AF1009" s="193"/>
      <c r="AG1009" s="199" t="s">
        <v>416</v>
      </c>
      <c r="AH1009" s="124"/>
    </row>
    <row r="1010" spans="1:34" ht="12" hidden="1" customHeight="1">
      <c r="A1010" s="187">
        <v>44323</v>
      </c>
      <c r="B1010" s="188" t="s">
        <v>509</v>
      </c>
      <c r="C1010" s="188" t="s">
        <v>485</v>
      </c>
      <c r="D1010" s="188"/>
      <c r="E1010" s="188" t="str">
        <f t="shared" si="682"/>
        <v>DWARKESH</v>
      </c>
      <c r="F1010" s="188"/>
      <c r="G1010" s="188"/>
      <c r="H1010" s="188"/>
      <c r="I1010" s="188" t="s">
        <v>668</v>
      </c>
      <c r="J1010" s="188" t="s">
        <v>483</v>
      </c>
      <c r="K1010" s="188"/>
      <c r="L1010" s="188"/>
      <c r="M1010" s="189">
        <v>100</v>
      </c>
      <c r="N1010" s="190">
        <v>50.6</v>
      </c>
      <c r="O1010" s="191">
        <v>51.5</v>
      </c>
      <c r="P1010" s="192">
        <f t="shared" si="705"/>
        <v>1.52</v>
      </c>
      <c r="Q1010" s="192">
        <f t="shared" si="706"/>
        <v>1.55</v>
      </c>
      <c r="R1010" s="193">
        <f t="shared" si="685"/>
        <v>10210</v>
      </c>
      <c r="S1010" s="193">
        <f t="shared" si="686"/>
        <v>89.999999999999858</v>
      </c>
      <c r="T1010" s="193">
        <f t="shared" si="744"/>
        <v>3.07</v>
      </c>
      <c r="U1010" s="193">
        <f t="shared" si="707"/>
        <v>0.6</v>
      </c>
      <c r="V1010" s="193">
        <f t="shared" si="734"/>
        <v>1.29</v>
      </c>
      <c r="W1010" s="193">
        <f t="shared" si="735"/>
        <v>0.15</v>
      </c>
      <c r="X1010" s="193">
        <f t="shared" si="746"/>
        <v>0.28000000000000003</v>
      </c>
      <c r="Y1010" s="193">
        <f t="shared" si="716"/>
        <v>0</v>
      </c>
      <c r="Z1010" s="193">
        <f t="shared" si="692"/>
        <v>5.3900000000000006</v>
      </c>
      <c r="AA1010" s="194">
        <f t="shared" si="693"/>
        <v>84.61</v>
      </c>
      <c r="AB1010" s="195">
        <v>85</v>
      </c>
      <c r="AC1010" s="196">
        <f t="shared" si="694"/>
        <v>0.39000000000000057</v>
      </c>
      <c r="AD1010" s="197">
        <f t="shared" si="695"/>
        <v>1.7786561264822105E-2</v>
      </c>
      <c r="AE1010" s="198">
        <f t="shared" si="696"/>
        <v>5.2800000000000004E-4</v>
      </c>
      <c r="AF1010" s="193"/>
      <c r="AG1010" s="199" t="s">
        <v>416</v>
      </c>
      <c r="AH1010" s="124"/>
    </row>
    <row r="1011" spans="1:34" ht="12" hidden="1" customHeight="1">
      <c r="A1011" s="187">
        <v>44326</v>
      </c>
      <c r="B1011" s="188" t="s">
        <v>512</v>
      </c>
      <c r="C1011" s="188" t="s">
        <v>485</v>
      </c>
      <c r="D1011" s="188"/>
      <c r="E1011" s="188" t="str">
        <f t="shared" si="682"/>
        <v>IRFC</v>
      </c>
      <c r="F1011" s="188"/>
      <c r="G1011" s="188"/>
      <c r="H1011" s="188"/>
      <c r="I1011" s="188" t="s">
        <v>668</v>
      </c>
      <c r="J1011" s="188" t="s">
        <v>483</v>
      </c>
      <c r="K1011" s="188"/>
      <c r="L1011" s="188"/>
      <c r="M1011" s="189">
        <v>1075</v>
      </c>
      <c r="N1011" s="190">
        <v>21.2</v>
      </c>
      <c r="O1011" s="191">
        <v>21.25</v>
      </c>
      <c r="P1011" s="192">
        <f t="shared" si="705"/>
        <v>6.84</v>
      </c>
      <c r="Q1011" s="192">
        <f t="shared" si="706"/>
        <v>6.85</v>
      </c>
      <c r="R1011" s="193">
        <f t="shared" si="685"/>
        <v>45633.75</v>
      </c>
      <c r="S1011" s="193">
        <f t="shared" si="686"/>
        <v>53.750000000000767</v>
      </c>
      <c r="T1011" s="193">
        <f t="shared" si="744"/>
        <v>13.69</v>
      </c>
      <c r="U1011" s="193">
        <f t="shared" si="707"/>
        <v>2.75</v>
      </c>
      <c r="V1011" s="193">
        <f t="shared" si="734"/>
        <v>5.71</v>
      </c>
      <c r="W1011" s="193">
        <f t="shared" si="735"/>
        <v>0.68</v>
      </c>
      <c r="X1011" s="193">
        <f>ROUND(R1011*H$1820,2)</f>
        <v>1.57</v>
      </c>
      <c r="Y1011" s="193">
        <f t="shared" si="716"/>
        <v>0</v>
      </c>
      <c r="Z1011" s="193">
        <f t="shared" si="692"/>
        <v>24.4</v>
      </c>
      <c r="AA1011" s="194">
        <f t="shared" si="693"/>
        <v>29.35</v>
      </c>
      <c r="AB1011" s="195">
        <f>29+0.43</f>
        <v>29.43</v>
      </c>
      <c r="AC1011" s="196">
        <f t="shared" si="694"/>
        <v>7.9999999999998295E-2</v>
      </c>
      <c r="AD1011" s="197">
        <f t="shared" si="695"/>
        <v>2.3584905660377696E-3</v>
      </c>
      <c r="AE1011" s="198">
        <f t="shared" si="696"/>
        <v>5.3499999999999999E-4</v>
      </c>
      <c r="AF1011" s="193"/>
      <c r="AG1011" s="199" t="s">
        <v>416</v>
      </c>
      <c r="AH1011" s="124"/>
    </row>
    <row r="1012" spans="1:34" ht="12" hidden="1" customHeight="1">
      <c r="A1012" s="187">
        <v>44326</v>
      </c>
      <c r="B1012" s="188" t="s">
        <v>711</v>
      </c>
      <c r="C1012" s="188" t="s">
        <v>485</v>
      </c>
      <c r="D1012" s="188"/>
      <c r="E1012" s="188" t="str">
        <f t="shared" si="682"/>
        <v>ADVENZYMES</v>
      </c>
      <c r="F1012" s="188"/>
      <c r="G1012" s="188"/>
      <c r="H1012" s="188"/>
      <c r="I1012" s="188" t="s">
        <v>668</v>
      </c>
      <c r="J1012" s="188" t="s">
        <v>483</v>
      </c>
      <c r="K1012" s="188"/>
      <c r="L1012" s="188"/>
      <c r="M1012" s="189">
        <v>75</v>
      </c>
      <c r="N1012" s="190">
        <v>465.68329999999997</v>
      </c>
      <c r="O1012" s="191">
        <v>465.15</v>
      </c>
      <c r="P1012" s="192">
        <f t="shared" si="705"/>
        <v>10.48</v>
      </c>
      <c r="Q1012" s="192">
        <f t="shared" si="706"/>
        <v>10.47</v>
      </c>
      <c r="R1012" s="193">
        <f t="shared" si="685"/>
        <v>69812.5</v>
      </c>
      <c r="S1012" s="193">
        <f t="shared" si="686"/>
        <v>-39.997499999999775</v>
      </c>
      <c r="T1012" s="193">
        <f t="shared" si="744"/>
        <v>20.95</v>
      </c>
      <c r="U1012" s="193">
        <f t="shared" si="707"/>
        <v>4.12</v>
      </c>
      <c r="V1012" s="193">
        <f t="shared" si="734"/>
        <v>8.7200000000000006</v>
      </c>
      <c r="W1012" s="193">
        <f t="shared" si="735"/>
        <v>1.05</v>
      </c>
      <c r="X1012" s="193">
        <f t="shared" ref="X1012:X1015" si="747">ROUND(R1012*G$1820,2)</f>
        <v>1.92</v>
      </c>
      <c r="Y1012" s="193">
        <f t="shared" si="716"/>
        <v>0</v>
      </c>
      <c r="Z1012" s="193">
        <f t="shared" si="692"/>
        <v>36.76</v>
      </c>
      <c r="AA1012" s="194">
        <f t="shared" si="693"/>
        <v>-76.760000000000005</v>
      </c>
      <c r="AB1012" s="195">
        <v>-77</v>
      </c>
      <c r="AC1012" s="196">
        <f t="shared" si="694"/>
        <v>-0.23999999999999488</v>
      </c>
      <c r="AD1012" s="197">
        <f t="shared" si="695"/>
        <v>-1.1451988937546118E-3</v>
      </c>
      <c r="AE1012" s="198">
        <f t="shared" si="696"/>
        <v>5.2700000000000002E-4</v>
      </c>
      <c r="AF1012" s="193"/>
      <c r="AG1012" s="199" t="s">
        <v>416</v>
      </c>
      <c r="AH1012" s="124"/>
    </row>
    <row r="1013" spans="1:34" ht="12" hidden="1" customHeight="1">
      <c r="A1013" s="187">
        <v>44330</v>
      </c>
      <c r="B1013" s="188" t="s">
        <v>509</v>
      </c>
      <c r="C1013" s="188" t="s">
        <v>485</v>
      </c>
      <c r="D1013" s="188"/>
      <c r="E1013" s="188" t="str">
        <f t="shared" si="682"/>
        <v>DWARKESH</v>
      </c>
      <c r="F1013" s="188"/>
      <c r="G1013" s="188"/>
      <c r="H1013" s="188"/>
      <c r="I1013" s="188" t="s">
        <v>668</v>
      </c>
      <c r="J1013" s="188" t="s">
        <v>483</v>
      </c>
      <c r="K1013" s="188"/>
      <c r="L1013" s="188"/>
      <c r="M1013" s="189">
        <v>100</v>
      </c>
      <c r="N1013" s="190">
        <v>51</v>
      </c>
      <c r="O1013" s="191">
        <v>51.8</v>
      </c>
      <c r="P1013" s="192">
        <f t="shared" si="705"/>
        <v>1.53</v>
      </c>
      <c r="Q1013" s="192">
        <f t="shared" si="706"/>
        <v>1.55</v>
      </c>
      <c r="R1013" s="193">
        <f t="shared" si="685"/>
        <v>10280</v>
      </c>
      <c r="S1013" s="193">
        <f t="shared" si="686"/>
        <v>79.999999999999716</v>
      </c>
      <c r="T1013" s="193">
        <f t="shared" si="744"/>
        <v>3.08</v>
      </c>
      <c r="U1013" s="193">
        <f t="shared" si="707"/>
        <v>0.6</v>
      </c>
      <c r="V1013" s="193">
        <f t="shared" si="734"/>
        <v>1.3</v>
      </c>
      <c r="W1013" s="193">
        <f t="shared" si="735"/>
        <v>0.15</v>
      </c>
      <c r="X1013" s="193">
        <f t="shared" si="747"/>
        <v>0.28000000000000003</v>
      </c>
      <c r="Y1013" s="193">
        <f t="shared" ref="Y1013:Y1014" si="748">ROUND(R1013*C$1826,2)</f>
        <v>0.01</v>
      </c>
      <c r="Z1013" s="193">
        <f t="shared" si="692"/>
        <v>5.4200000000000008</v>
      </c>
      <c r="AA1013" s="194">
        <f t="shared" si="693"/>
        <v>74.58</v>
      </c>
      <c r="AB1013" s="195">
        <f>75-0.99</f>
        <v>74.010000000000005</v>
      </c>
      <c r="AC1013" s="196">
        <f t="shared" si="694"/>
        <v>-0.56999999999999318</v>
      </c>
      <c r="AD1013" s="197">
        <f t="shared" si="695"/>
        <v>1.5686274509803866E-2</v>
      </c>
      <c r="AE1013" s="198">
        <f t="shared" si="696"/>
        <v>5.2700000000000002E-4</v>
      </c>
      <c r="AF1013" s="193"/>
      <c r="AG1013" s="199" t="s">
        <v>416</v>
      </c>
      <c r="AH1013" s="124"/>
    </row>
    <row r="1014" spans="1:34" ht="12" hidden="1" customHeight="1">
      <c r="A1014" s="187">
        <v>44330</v>
      </c>
      <c r="B1014" s="188" t="s">
        <v>495</v>
      </c>
      <c r="C1014" s="188" t="s">
        <v>485</v>
      </c>
      <c r="D1014" s="188"/>
      <c r="E1014" s="188" t="str">
        <f t="shared" si="682"/>
        <v>SAIL</v>
      </c>
      <c r="F1014" s="188"/>
      <c r="G1014" s="188"/>
      <c r="H1014" s="188"/>
      <c r="I1014" s="188" t="s">
        <v>668</v>
      </c>
      <c r="J1014" s="188" t="s">
        <v>483</v>
      </c>
      <c r="K1014" s="188"/>
      <c r="L1014" s="188"/>
      <c r="M1014" s="189">
        <v>50</v>
      </c>
      <c r="N1014" s="190">
        <v>125</v>
      </c>
      <c r="O1014" s="191">
        <v>129</v>
      </c>
      <c r="P1014" s="192">
        <f t="shared" si="705"/>
        <v>1.88</v>
      </c>
      <c r="Q1014" s="192">
        <f t="shared" si="706"/>
        <v>1.94</v>
      </c>
      <c r="R1014" s="193">
        <f t="shared" si="685"/>
        <v>12700</v>
      </c>
      <c r="S1014" s="193">
        <f t="shared" si="686"/>
        <v>200</v>
      </c>
      <c r="T1014" s="193">
        <f t="shared" si="744"/>
        <v>3.82</v>
      </c>
      <c r="U1014" s="193">
        <f t="shared" si="707"/>
        <v>0.75</v>
      </c>
      <c r="V1014" s="193">
        <f t="shared" si="734"/>
        <v>1.61</v>
      </c>
      <c r="W1014" s="193">
        <f t="shared" si="735"/>
        <v>0.19</v>
      </c>
      <c r="X1014" s="193">
        <f t="shared" si="747"/>
        <v>0.35</v>
      </c>
      <c r="Y1014" s="193">
        <f t="shared" si="748"/>
        <v>0.01</v>
      </c>
      <c r="Z1014" s="193">
        <f t="shared" si="692"/>
        <v>6.73</v>
      </c>
      <c r="AA1014" s="194">
        <f t="shared" si="693"/>
        <v>193.27</v>
      </c>
      <c r="AB1014" s="195">
        <v>193</v>
      </c>
      <c r="AC1014" s="196">
        <f t="shared" si="694"/>
        <v>-0.27000000000001023</v>
      </c>
      <c r="AD1014" s="197">
        <f t="shared" si="695"/>
        <v>3.2000000000000001E-2</v>
      </c>
      <c r="AE1014" s="198">
        <f t="shared" si="696"/>
        <v>5.2999999999999998E-4</v>
      </c>
      <c r="AF1014" s="193"/>
      <c r="AG1014" s="199" t="s">
        <v>416</v>
      </c>
      <c r="AH1014" s="124"/>
    </row>
    <row r="1015" spans="1:34" ht="12" hidden="1" customHeight="1">
      <c r="A1015" s="187">
        <v>44333</v>
      </c>
      <c r="B1015" s="188" t="s">
        <v>471</v>
      </c>
      <c r="C1015" s="188" t="s">
        <v>485</v>
      </c>
      <c r="D1015" s="188"/>
      <c r="E1015" s="188" t="str">
        <f t="shared" si="682"/>
        <v>BHEL</v>
      </c>
      <c r="F1015" s="188"/>
      <c r="G1015" s="188"/>
      <c r="H1015" s="188"/>
      <c r="I1015" s="188" t="s">
        <v>668</v>
      </c>
      <c r="J1015" s="188" t="s">
        <v>483</v>
      </c>
      <c r="K1015" s="188"/>
      <c r="L1015" s="188"/>
      <c r="M1015" s="189">
        <v>100</v>
      </c>
      <c r="N1015" s="190">
        <v>67</v>
      </c>
      <c r="O1015" s="191">
        <v>69.650000000000006</v>
      </c>
      <c r="P1015" s="192">
        <f t="shared" si="705"/>
        <v>2.0099999999999998</v>
      </c>
      <c r="Q1015" s="192">
        <f t="shared" si="706"/>
        <v>2.09</v>
      </c>
      <c r="R1015" s="193">
        <f t="shared" si="685"/>
        <v>13665</v>
      </c>
      <c r="S1015" s="193">
        <f t="shared" si="686"/>
        <v>265.00000000000057</v>
      </c>
      <c r="T1015" s="193">
        <f t="shared" si="744"/>
        <v>4.0999999999999996</v>
      </c>
      <c r="U1015" s="193">
        <f t="shared" si="707"/>
        <v>0.81</v>
      </c>
      <c r="V1015" s="193">
        <f t="shared" si="734"/>
        <v>1.74</v>
      </c>
      <c r="W1015" s="193">
        <f t="shared" si="735"/>
        <v>0.2</v>
      </c>
      <c r="X1015" s="193">
        <f t="shared" si="747"/>
        <v>0.38</v>
      </c>
      <c r="Y1015" s="193">
        <f>ROUND(R1015*K$1826,2)</f>
        <v>0</v>
      </c>
      <c r="Z1015" s="193">
        <f t="shared" si="692"/>
        <v>7.23</v>
      </c>
      <c r="AA1015" s="194">
        <f t="shared" si="693"/>
        <v>257.77</v>
      </c>
      <c r="AB1015" s="195">
        <v>257.89999999999998</v>
      </c>
      <c r="AC1015" s="196">
        <f t="shared" si="694"/>
        <v>0.12999999999999545</v>
      </c>
      <c r="AD1015" s="197">
        <f t="shared" si="695"/>
        <v>3.9552238805970232E-2</v>
      </c>
      <c r="AE1015" s="198">
        <f t="shared" si="696"/>
        <v>5.2899999999999996E-4</v>
      </c>
      <c r="AF1015" s="193"/>
      <c r="AG1015" s="199" t="s">
        <v>416</v>
      </c>
      <c r="AH1015" s="124"/>
    </row>
    <row r="1016" spans="1:34" ht="12" hidden="1" customHeight="1">
      <c r="A1016" s="187">
        <v>44335</v>
      </c>
      <c r="B1016" s="188" t="s">
        <v>712</v>
      </c>
      <c r="C1016" s="188" t="s">
        <v>485</v>
      </c>
      <c r="D1016" s="188"/>
      <c r="E1016" s="188" t="str">
        <f t="shared" si="682"/>
        <v>ANGELBRKG</v>
      </c>
      <c r="F1016" s="188"/>
      <c r="G1016" s="188"/>
      <c r="H1016" s="188"/>
      <c r="I1016" s="188" t="s">
        <v>668</v>
      </c>
      <c r="J1016" s="188" t="s">
        <v>483</v>
      </c>
      <c r="K1016" s="188"/>
      <c r="L1016" s="188"/>
      <c r="M1016" s="189">
        <v>15</v>
      </c>
      <c r="N1016" s="190">
        <v>667</v>
      </c>
      <c r="O1016" s="191">
        <v>685.05</v>
      </c>
      <c r="P1016" s="192">
        <f t="shared" si="705"/>
        <v>3</v>
      </c>
      <c r="Q1016" s="192">
        <f t="shared" si="706"/>
        <v>3.08</v>
      </c>
      <c r="R1016" s="193">
        <f t="shared" si="685"/>
        <v>20280.75</v>
      </c>
      <c r="S1016" s="193">
        <f t="shared" si="686"/>
        <v>270.74999999999932</v>
      </c>
      <c r="T1016" s="193">
        <f t="shared" si="744"/>
        <v>6.08</v>
      </c>
      <c r="U1016" s="193">
        <f t="shared" si="707"/>
        <v>1.22</v>
      </c>
      <c r="V1016" s="193">
        <f t="shared" si="734"/>
        <v>2.57</v>
      </c>
      <c r="W1016" s="193">
        <f t="shared" si="735"/>
        <v>0.3</v>
      </c>
      <c r="X1016" s="193">
        <f>ROUND(R1016*H$1820,2)</f>
        <v>0.7</v>
      </c>
      <c r="Y1016" s="193">
        <f>ROUND(R1016*C$1826,2)</f>
        <v>0.02</v>
      </c>
      <c r="Z1016" s="193">
        <f t="shared" si="692"/>
        <v>10.889999999999999</v>
      </c>
      <c r="AA1016" s="194">
        <f t="shared" si="693"/>
        <v>259.86</v>
      </c>
      <c r="AB1016" s="195">
        <f>259.86+0.66</f>
        <v>260.52000000000004</v>
      </c>
      <c r="AC1016" s="196">
        <f t="shared" si="694"/>
        <v>0.66000000000002501</v>
      </c>
      <c r="AD1016" s="197">
        <f t="shared" si="695"/>
        <v>2.7061469265367247E-2</v>
      </c>
      <c r="AE1016" s="198">
        <f t="shared" si="696"/>
        <v>5.3700000000000004E-4</v>
      </c>
      <c r="AF1016" s="193"/>
      <c r="AG1016" s="199" t="s">
        <v>416</v>
      </c>
      <c r="AH1016" s="124"/>
    </row>
    <row r="1017" spans="1:34" ht="12" hidden="1" customHeight="1">
      <c r="A1017" s="187">
        <v>44336</v>
      </c>
      <c r="B1017" s="188" t="s">
        <v>713</v>
      </c>
      <c r="C1017" s="188" t="s">
        <v>485</v>
      </c>
      <c r="D1017" s="188"/>
      <c r="E1017" s="188" t="str">
        <f t="shared" si="682"/>
        <v>PRSMJOHNSN</v>
      </c>
      <c r="F1017" s="188"/>
      <c r="G1017" s="188"/>
      <c r="H1017" s="188"/>
      <c r="I1017" s="188" t="s">
        <v>668</v>
      </c>
      <c r="J1017" s="188" t="s">
        <v>483</v>
      </c>
      <c r="K1017" s="188"/>
      <c r="L1017" s="188"/>
      <c r="M1017" s="189">
        <v>100</v>
      </c>
      <c r="N1017" s="190">
        <v>140</v>
      </c>
      <c r="O1017" s="191">
        <v>140.94999999999999</v>
      </c>
      <c r="P1017" s="192">
        <f t="shared" si="705"/>
        <v>4.2</v>
      </c>
      <c r="Q1017" s="192">
        <f t="shared" si="706"/>
        <v>4.2300000000000004</v>
      </c>
      <c r="R1017" s="193">
        <f t="shared" si="685"/>
        <v>28095</v>
      </c>
      <c r="S1017" s="193">
        <f t="shared" si="686"/>
        <v>94.999999999998863</v>
      </c>
      <c r="T1017" s="193">
        <f t="shared" si="744"/>
        <v>8.43</v>
      </c>
      <c r="U1017" s="193">
        <f t="shared" si="707"/>
        <v>1.66</v>
      </c>
      <c r="V1017" s="193">
        <f t="shared" si="734"/>
        <v>3.52</v>
      </c>
      <c r="W1017" s="193">
        <f t="shared" si="735"/>
        <v>0.42</v>
      </c>
      <c r="X1017" s="193">
        <f t="shared" ref="X1017:X1021" si="749">ROUND(R1017*G$1820,2)</f>
        <v>0.77</v>
      </c>
      <c r="Y1017" s="193">
        <f t="shared" ref="Y1017:Y1054" si="750">ROUND(R1017*K$1826,2)</f>
        <v>0</v>
      </c>
      <c r="Z1017" s="193">
        <f t="shared" si="692"/>
        <v>14.799999999999999</v>
      </c>
      <c r="AA1017" s="194">
        <f t="shared" si="693"/>
        <v>80.2</v>
      </c>
      <c r="AB1017" s="195">
        <f>80-0.06</f>
        <v>79.94</v>
      </c>
      <c r="AC1017" s="196">
        <f t="shared" si="694"/>
        <v>-0.26000000000000512</v>
      </c>
      <c r="AD1017" s="197">
        <f t="shared" si="695"/>
        <v>6.7857142857142049E-3</v>
      </c>
      <c r="AE1017" s="198">
        <f t="shared" si="696"/>
        <v>5.2700000000000002E-4</v>
      </c>
      <c r="AF1017" s="193"/>
      <c r="AG1017" s="199" t="s">
        <v>416</v>
      </c>
      <c r="AH1017" s="124"/>
    </row>
    <row r="1018" spans="1:34" ht="12" hidden="1" customHeight="1">
      <c r="A1018" s="187">
        <v>44336</v>
      </c>
      <c r="B1018" s="188" t="s">
        <v>500</v>
      </c>
      <c r="C1018" s="188" t="s">
        <v>485</v>
      </c>
      <c r="D1018" s="188"/>
      <c r="E1018" s="188" t="str">
        <f t="shared" si="682"/>
        <v>CHOLAFIN</v>
      </c>
      <c r="F1018" s="188"/>
      <c r="G1018" s="188"/>
      <c r="H1018" s="188"/>
      <c r="I1018" s="188" t="s">
        <v>668</v>
      </c>
      <c r="J1018" s="188" t="s">
        <v>483</v>
      </c>
      <c r="K1018" s="188"/>
      <c r="L1018" s="188"/>
      <c r="M1018" s="189">
        <v>250</v>
      </c>
      <c r="N1018" s="190">
        <v>568.39739999999995</v>
      </c>
      <c r="O1018" s="191">
        <v>566.79999999999995</v>
      </c>
      <c r="P1018" s="192">
        <f t="shared" si="705"/>
        <v>20</v>
      </c>
      <c r="Q1018" s="192">
        <f t="shared" si="706"/>
        <v>20</v>
      </c>
      <c r="R1018" s="193">
        <f t="shared" si="685"/>
        <v>283799.34999999998</v>
      </c>
      <c r="S1018" s="193">
        <f t="shared" si="686"/>
        <v>-399.34999999999832</v>
      </c>
      <c r="T1018" s="193">
        <v>81</v>
      </c>
      <c r="U1018" s="193">
        <f t="shared" si="707"/>
        <v>15.98</v>
      </c>
      <c r="V1018" s="193">
        <f t="shared" si="734"/>
        <v>35.43</v>
      </c>
      <c r="W1018" s="193">
        <f t="shared" si="735"/>
        <v>4.26</v>
      </c>
      <c r="X1018" s="193">
        <f t="shared" si="749"/>
        <v>7.8</v>
      </c>
      <c r="Y1018" s="193">
        <f t="shared" si="750"/>
        <v>0</v>
      </c>
      <c r="Z1018" s="193">
        <f t="shared" si="692"/>
        <v>144.47</v>
      </c>
      <c r="AA1018" s="194">
        <f t="shared" si="693"/>
        <v>-543.82000000000005</v>
      </c>
      <c r="AB1018" s="195">
        <v>-544</v>
      </c>
      <c r="AC1018" s="196">
        <f t="shared" si="694"/>
        <v>-0.17999999999994998</v>
      </c>
      <c r="AD1018" s="197">
        <f t="shared" si="695"/>
        <v>-2.8103576828465322E-3</v>
      </c>
      <c r="AE1018" s="198">
        <f t="shared" si="696"/>
        <v>5.0900000000000001E-4</v>
      </c>
      <c r="AF1018" s="193"/>
      <c r="AG1018" s="199" t="s">
        <v>416</v>
      </c>
      <c r="AH1018" s="124"/>
    </row>
    <row r="1019" spans="1:34" ht="12" hidden="1" customHeight="1">
      <c r="A1019" s="187">
        <v>44336</v>
      </c>
      <c r="B1019" s="188" t="s">
        <v>714</v>
      </c>
      <c r="C1019" s="188" t="s">
        <v>485</v>
      </c>
      <c r="D1019" s="188"/>
      <c r="E1019" s="188" t="str">
        <f t="shared" si="682"/>
        <v>APOLLOHOSP</v>
      </c>
      <c r="F1019" s="188"/>
      <c r="G1019" s="188"/>
      <c r="H1019" s="188"/>
      <c r="I1019" s="188" t="s">
        <v>668</v>
      </c>
      <c r="J1019" s="188" t="s">
        <v>483</v>
      </c>
      <c r="K1019" s="188"/>
      <c r="L1019" s="188"/>
      <c r="M1019" s="189">
        <v>10</v>
      </c>
      <c r="N1019" s="190">
        <v>3220</v>
      </c>
      <c r="O1019" s="191">
        <v>3245</v>
      </c>
      <c r="P1019" s="192">
        <f t="shared" si="705"/>
        <v>9.66</v>
      </c>
      <c r="Q1019" s="192">
        <f t="shared" si="706"/>
        <v>9.74</v>
      </c>
      <c r="R1019" s="193">
        <f t="shared" si="685"/>
        <v>64650</v>
      </c>
      <c r="S1019" s="193">
        <f t="shared" si="686"/>
        <v>250</v>
      </c>
      <c r="T1019" s="193">
        <f t="shared" ref="T1019:T1020" si="751">ROUND(P1019+Q1019,2)</f>
        <v>19.399999999999999</v>
      </c>
      <c r="U1019" s="193">
        <f t="shared" si="707"/>
        <v>3.81</v>
      </c>
      <c r="V1019" s="193">
        <f t="shared" si="734"/>
        <v>8.11</v>
      </c>
      <c r="W1019" s="193">
        <f t="shared" si="735"/>
        <v>0.97</v>
      </c>
      <c r="X1019" s="193">
        <f t="shared" si="749"/>
        <v>1.78</v>
      </c>
      <c r="Y1019" s="193">
        <f t="shared" si="750"/>
        <v>0</v>
      </c>
      <c r="Z1019" s="193">
        <f t="shared" si="692"/>
        <v>34.07</v>
      </c>
      <c r="AA1019" s="194">
        <f t="shared" si="693"/>
        <v>215.93</v>
      </c>
      <c r="AB1019" s="195">
        <v>216</v>
      </c>
      <c r="AC1019" s="196">
        <f t="shared" si="694"/>
        <v>6.9999999999993179E-2</v>
      </c>
      <c r="AD1019" s="197">
        <f t="shared" si="695"/>
        <v>7.763975155279503E-3</v>
      </c>
      <c r="AE1019" s="198">
        <f t="shared" si="696"/>
        <v>5.2700000000000002E-4</v>
      </c>
      <c r="AF1019" s="193"/>
      <c r="AG1019" s="199" t="s">
        <v>416</v>
      </c>
      <c r="AH1019" s="124"/>
    </row>
    <row r="1020" spans="1:34" ht="12" hidden="1" customHeight="1">
      <c r="A1020" s="187">
        <v>44337</v>
      </c>
      <c r="B1020" s="188" t="s">
        <v>714</v>
      </c>
      <c r="C1020" s="188" t="s">
        <v>485</v>
      </c>
      <c r="D1020" s="188"/>
      <c r="E1020" s="188" t="str">
        <f t="shared" si="682"/>
        <v>APOLLOHOSP</v>
      </c>
      <c r="F1020" s="188"/>
      <c r="G1020" s="188"/>
      <c r="H1020" s="188"/>
      <c r="I1020" s="188" t="s">
        <v>668</v>
      </c>
      <c r="J1020" s="188" t="s">
        <v>483</v>
      </c>
      <c r="K1020" s="188"/>
      <c r="L1020" s="188"/>
      <c r="M1020" s="189">
        <v>10</v>
      </c>
      <c r="N1020" s="190">
        <v>3230</v>
      </c>
      <c r="O1020" s="191">
        <v>3236</v>
      </c>
      <c r="P1020" s="192">
        <f t="shared" si="705"/>
        <v>9.69</v>
      </c>
      <c r="Q1020" s="192">
        <f t="shared" si="706"/>
        <v>9.7100000000000009</v>
      </c>
      <c r="R1020" s="193">
        <f t="shared" si="685"/>
        <v>64660</v>
      </c>
      <c r="S1020" s="193">
        <f t="shared" si="686"/>
        <v>60</v>
      </c>
      <c r="T1020" s="193">
        <f t="shared" si="751"/>
        <v>19.399999999999999</v>
      </c>
      <c r="U1020" s="193">
        <f t="shared" si="707"/>
        <v>3.81</v>
      </c>
      <c r="V1020" s="193">
        <f t="shared" si="734"/>
        <v>8.09</v>
      </c>
      <c r="W1020" s="193">
        <f t="shared" si="735"/>
        <v>0.97</v>
      </c>
      <c r="X1020" s="193">
        <f t="shared" si="749"/>
        <v>1.78</v>
      </c>
      <c r="Y1020" s="193">
        <f t="shared" si="750"/>
        <v>0</v>
      </c>
      <c r="Z1020" s="193">
        <f t="shared" si="692"/>
        <v>34.049999999999997</v>
      </c>
      <c r="AA1020" s="194">
        <f t="shared" si="693"/>
        <v>25.95</v>
      </c>
      <c r="AB1020" s="195">
        <f>26+0.4</f>
        <v>26.4</v>
      </c>
      <c r="AC1020" s="196">
        <f t="shared" si="694"/>
        <v>0.44999999999999929</v>
      </c>
      <c r="AD1020" s="197">
        <f t="shared" si="695"/>
        <v>1.8575851393188853E-3</v>
      </c>
      <c r="AE1020" s="198">
        <f t="shared" si="696"/>
        <v>5.2700000000000002E-4</v>
      </c>
      <c r="AF1020" s="193"/>
      <c r="AG1020" s="199" t="s">
        <v>416</v>
      </c>
      <c r="AH1020" s="124"/>
    </row>
    <row r="1021" spans="1:34" ht="12" hidden="1" customHeight="1">
      <c r="A1021" s="187">
        <v>44337</v>
      </c>
      <c r="B1021" s="188" t="s">
        <v>715</v>
      </c>
      <c r="C1021" s="188" t="s">
        <v>485</v>
      </c>
      <c r="D1021" s="188"/>
      <c r="E1021" s="188" t="str">
        <f t="shared" si="682"/>
        <v>IRCTC</v>
      </c>
      <c r="F1021" s="188"/>
      <c r="G1021" s="188"/>
      <c r="H1021" s="188"/>
      <c r="I1021" s="188" t="s">
        <v>668</v>
      </c>
      <c r="J1021" s="188" t="s">
        <v>483</v>
      </c>
      <c r="K1021" s="188"/>
      <c r="L1021" s="188"/>
      <c r="M1021" s="189">
        <v>10</v>
      </c>
      <c r="N1021" s="190">
        <v>1870</v>
      </c>
      <c r="O1021" s="191">
        <v>1876</v>
      </c>
      <c r="P1021" s="192">
        <f t="shared" si="705"/>
        <v>5.61</v>
      </c>
      <c r="Q1021" s="192">
        <f t="shared" si="706"/>
        <v>5.63</v>
      </c>
      <c r="R1021" s="193">
        <f t="shared" si="685"/>
        <v>37460</v>
      </c>
      <c r="S1021" s="193">
        <f t="shared" si="686"/>
        <v>60</v>
      </c>
      <c r="T1021" s="193">
        <f>ROUND(P1021+Q1021,2)+2</f>
        <v>13.24</v>
      </c>
      <c r="U1021" s="193">
        <f t="shared" si="707"/>
        <v>2.57</v>
      </c>
      <c r="V1021" s="193">
        <f t="shared" si="734"/>
        <v>4.6900000000000004</v>
      </c>
      <c r="W1021" s="193">
        <f t="shared" si="735"/>
        <v>0.56000000000000005</v>
      </c>
      <c r="X1021" s="193">
        <f t="shared" si="749"/>
        <v>1.03</v>
      </c>
      <c r="Y1021" s="193">
        <f t="shared" si="750"/>
        <v>0</v>
      </c>
      <c r="Z1021" s="193">
        <f t="shared" si="692"/>
        <v>22.09</v>
      </c>
      <c r="AA1021" s="194">
        <f t="shared" si="693"/>
        <v>37.909999999999997</v>
      </c>
      <c r="AB1021" s="195">
        <v>38</v>
      </c>
      <c r="AC1021" s="196">
        <f t="shared" si="694"/>
        <v>9.0000000000003411E-2</v>
      </c>
      <c r="AD1021" s="197">
        <f t="shared" si="695"/>
        <v>3.2085561497326204E-3</v>
      </c>
      <c r="AE1021" s="198">
        <f t="shared" si="696"/>
        <v>5.9000000000000003E-4</v>
      </c>
      <c r="AF1021" s="193"/>
      <c r="AG1021" s="199" t="s">
        <v>416</v>
      </c>
      <c r="AH1021" s="124"/>
    </row>
    <row r="1022" spans="1:34" ht="12" hidden="1" customHeight="1">
      <c r="A1022" s="187">
        <v>44337</v>
      </c>
      <c r="B1022" s="188" t="s">
        <v>514</v>
      </c>
      <c r="C1022" s="188" t="s">
        <v>485</v>
      </c>
      <c r="D1022" s="188"/>
      <c r="E1022" s="188" t="str">
        <f t="shared" si="682"/>
        <v>PFC</v>
      </c>
      <c r="F1022" s="188"/>
      <c r="G1022" s="188"/>
      <c r="H1022" s="188"/>
      <c r="I1022" s="188" t="s">
        <v>668</v>
      </c>
      <c r="J1022" s="188" t="s">
        <v>483</v>
      </c>
      <c r="K1022" s="188"/>
      <c r="L1022" s="188"/>
      <c r="M1022" s="189">
        <v>1000</v>
      </c>
      <c r="N1022" s="190">
        <v>119.125</v>
      </c>
      <c r="O1022" s="191">
        <v>119.325</v>
      </c>
      <c r="P1022" s="192">
        <f t="shared" si="705"/>
        <v>20</v>
      </c>
      <c r="Q1022" s="192">
        <f t="shared" si="706"/>
        <v>20</v>
      </c>
      <c r="R1022" s="193">
        <f t="shared" si="685"/>
        <v>238450</v>
      </c>
      <c r="S1022" s="193">
        <f t="shared" si="686"/>
        <v>200.00000000000284</v>
      </c>
      <c r="T1022" s="193">
        <v>71.539999999999992</v>
      </c>
      <c r="U1022" s="193">
        <f t="shared" si="707"/>
        <v>14.36</v>
      </c>
      <c r="V1022" s="193">
        <f t="shared" si="734"/>
        <v>29.83</v>
      </c>
      <c r="W1022" s="193">
        <f t="shared" si="735"/>
        <v>3.57</v>
      </c>
      <c r="X1022" s="193">
        <f t="shared" ref="X1022:X1023" si="752">ROUND(R1022*H$1820,2)</f>
        <v>8.23</v>
      </c>
      <c r="Y1022" s="193">
        <f t="shared" si="750"/>
        <v>0</v>
      </c>
      <c r="Z1022" s="193">
        <f t="shared" si="692"/>
        <v>127.52999999999999</v>
      </c>
      <c r="AA1022" s="194">
        <f t="shared" si="693"/>
        <v>72.47</v>
      </c>
      <c r="AB1022" s="195">
        <v>72</v>
      </c>
      <c r="AC1022" s="196">
        <f t="shared" si="694"/>
        <v>-0.46999999999999886</v>
      </c>
      <c r="AD1022" s="197">
        <f t="shared" si="695"/>
        <v>1.6789087093389535E-3</v>
      </c>
      <c r="AE1022" s="198">
        <f t="shared" si="696"/>
        <v>5.3499999999999999E-4</v>
      </c>
      <c r="AF1022" s="193"/>
      <c r="AG1022" s="199" t="s">
        <v>416</v>
      </c>
      <c r="AH1022" s="124"/>
    </row>
    <row r="1023" spans="1:34" ht="12" hidden="1" customHeight="1">
      <c r="A1023" s="187">
        <v>44340</v>
      </c>
      <c r="B1023" s="188" t="s">
        <v>517</v>
      </c>
      <c r="C1023" s="188" t="s">
        <v>485</v>
      </c>
      <c r="D1023" s="188"/>
      <c r="E1023" s="188" t="str">
        <f t="shared" si="682"/>
        <v>IOC</v>
      </c>
      <c r="F1023" s="188"/>
      <c r="G1023" s="188"/>
      <c r="H1023" s="188"/>
      <c r="I1023" s="188" t="s">
        <v>668</v>
      </c>
      <c r="J1023" s="188" t="s">
        <v>483</v>
      </c>
      <c r="K1023" s="188"/>
      <c r="L1023" s="188"/>
      <c r="M1023" s="189">
        <v>100</v>
      </c>
      <c r="N1023" s="190">
        <v>108.4</v>
      </c>
      <c r="O1023" s="191">
        <v>108.25</v>
      </c>
      <c r="P1023" s="192">
        <f t="shared" si="705"/>
        <v>3.25</v>
      </c>
      <c r="Q1023" s="192">
        <f t="shared" si="706"/>
        <v>3.25</v>
      </c>
      <c r="R1023" s="193">
        <f t="shared" si="685"/>
        <v>21665</v>
      </c>
      <c r="S1023" s="193">
        <f t="shared" si="686"/>
        <v>-15.000000000000568</v>
      </c>
      <c r="T1023" s="193">
        <f t="shared" ref="T1023:T1060" si="753">ROUND(P1023+Q1023,2)</f>
        <v>6.5</v>
      </c>
      <c r="U1023" s="193">
        <f t="shared" si="707"/>
        <v>1.31</v>
      </c>
      <c r="V1023" s="193">
        <f t="shared" si="734"/>
        <v>2.71</v>
      </c>
      <c r="W1023" s="193">
        <f t="shared" si="735"/>
        <v>0.33</v>
      </c>
      <c r="X1023" s="193">
        <f t="shared" si="752"/>
        <v>0.75</v>
      </c>
      <c r="Y1023" s="193">
        <f t="shared" si="750"/>
        <v>0</v>
      </c>
      <c r="Z1023" s="193">
        <f t="shared" si="692"/>
        <v>11.6</v>
      </c>
      <c r="AA1023" s="194">
        <f t="shared" si="693"/>
        <v>-26.6</v>
      </c>
      <c r="AB1023" s="195">
        <v>-26.42</v>
      </c>
      <c r="AC1023" s="196">
        <f t="shared" si="694"/>
        <v>0.17999999999999972</v>
      </c>
      <c r="AD1023" s="197">
        <f t="shared" si="695"/>
        <v>-1.3837638376384288E-3</v>
      </c>
      <c r="AE1023" s="198">
        <f t="shared" si="696"/>
        <v>5.3499999999999999E-4</v>
      </c>
      <c r="AF1023" s="193"/>
      <c r="AG1023" s="199" t="s">
        <v>416</v>
      </c>
      <c r="AH1023" s="124"/>
    </row>
    <row r="1024" spans="1:34" ht="12" hidden="1" customHeight="1">
      <c r="A1024" s="187">
        <v>44341</v>
      </c>
      <c r="B1024" s="188" t="s">
        <v>697</v>
      </c>
      <c r="C1024" s="188" t="s">
        <v>485</v>
      </c>
      <c r="D1024" s="188"/>
      <c r="E1024" s="188" t="str">
        <f t="shared" si="682"/>
        <v>BAJAJCON</v>
      </c>
      <c r="F1024" s="188"/>
      <c r="G1024" s="188"/>
      <c r="H1024" s="188"/>
      <c r="I1024" s="188" t="s">
        <v>668</v>
      </c>
      <c r="J1024" s="188" t="s">
        <v>483</v>
      </c>
      <c r="K1024" s="188"/>
      <c r="L1024" s="188"/>
      <c r="M1024" s="189">
        <v>50</v>
      </c>
      <c r="N1024" s="190">
        <v>286</v>
      </c>
      <c r="O1024" s="191">
        <v>288</v>
      </c>
      <c r="P1024" s="192">
        <f t="shared" si="705"/>
        <v>4.29</v>
      </c>
      <c r="Q1024" s="192">
        <f t="shared" si="706"/>
        <v>4.32</v>
      </c>
      <c r="R1024" s="193">
        <f t="shared" si="685"/>
        <v>28700</v>
      </c>
      <c r="S1024" s="193">
        <f t="shared" si="686"/>
        <v>100</v>
      </c>
      <c r="T1024" s="193">
        <f t="shared" si="753"/>
        <v>8.61</v>
      </c>
      <c r="U1024" s="193">
        <f t="shared" si="707"/>
        <v>1.69</v>
      </c>
      <c r="V1024" s="193">
        <f t="shared" si="734"/>
        <v>3.6</v>
      </c>
      <c r="W1024" s="193">
        <f t="shared" si="735"/>
        <v>0.43</v>
      </c>
      <c r="X1024" s="193">
        <f t="shared" ref="X1024:X1025" si="754">ROUND(R1024*G$1820,2)</f>
        <v>0.79</v>
      </c>
      <c r="Y1024" s="193">
        <f t="shared" si="750"/>
        <v>0</v>
      </c>
      <c r="Z1024" s="193">
        <f t="shared" si="692"/>
        <v>15.119999999999997</v>
      </c>
      <c r="AA1024" s="194">
        <f t="shared" si="693"/>
        <v>84.88</v>
      </c>
      <c r="AB1024" s="195">
        <v>85.81</v>
      </c>
      <c r="AC1024" s="196">
        <f t="shared" si="694"/>
        <v>0.93000000000000682</v>
      </c>
      <c r="AD1024" s="197">
        <f t="shared" si="695"/>
        <v>6.993006993006993E-3</v>
      </c>
      <c r="AE1024" s="198">
        <f t="shared" si="696"/>
        <v>5.2700000000000002E-4</v>
      </c>
      <c r="AF1024" s="193"/>
      <c r="AG1024" s="199" t="s">
        <v>416</v>
      </c>
      <c r="AH1024" s="124"/>
    </row>
    <row r="1025" spans="1:34" ht="12" hidden="1" customHeight="1">
      <c r="A1025" s="187">
        <v>44342</v>
      </c>
      <c r="B1025" s="188" t="s">
        <v>716</v>
      </c>
      <c r="C1025" s="188" t="s">
        <v>485</v>
      </c>
      <c r="D1025" s="188"/>
      <c r="E1025" s="188" t="str">
        <f t="shared" si="682"/>
        <v>JUSTDIAL</v>
      </c>
      <c r="F1025" s="188"/>
      <c r="G1025" s="188"/>
      <c r="H1025" s="188"/>
      <c r="I1025" s="188" t="s">
        <v>668</v>
      </c>
      <c r="J1025" s="188" t="s">
        <v>483</v>
      </c>
      <c r="K1025" s="188"/>
      <c r="L1025" s="188"/>
      <c r="M1025" s="189">
        <v>50</v>
      </c>
      <c r="N1025" s="190">
        <v>843.6</v>
      </c>
      <c r="O1025" s="191">
        <v>846</v>
      </c>
      <c r="P1025" s="192">
        <f t="shared" si="705"/>
        <v>12.65</v>
      </c>
      <c r="Q1025" s="192">
        <f t="shared" si="706"/>
        <v>12.69</v>
      </c>
      <c r="R1025" s="193">
        <f t="shared" si="685"/>
        <v>84480</v>
      </c>
      <c r="S1025" s="193">
        <f t="shared" si="686"/>
        <v>119.99999999999886</v>
      </c>
      <c r="T1025" s="193">
        <f t="shared" si="753"/>
        <v>25.34</v>
      </c>
      <c r="U1025" s="193">
        <f t="shared" si="707"/>
        <v>4.9800000000000004</v>
      </c>
      <c r="V1025" s="193">
        <f t="shared" si="734"/>
        <v>10.58</v>
      </c>
      <c r="W1025" s="193">
        <f t="shared" si="735"/>
        <v>1.27</v>
      </c>
      <c r="X1025" s="193">
        <f t="shared" si="754"/>
        <v>2.3199999999999998</v>
      </c>
      <c r="Y1025" s="193">
        <f t="shared" si="750"/>
        <v>0</v>
      </c>
      <c r="Z1025" s="193">
        <f t="shared" si="692"/>
        <v>44.49</v>
      </c>
      <c r="AA1025" s="194">
        <f t="shared" si="693"/>
        <v>75.510000000000005</v>
      </c>
      <c r="AB1025" s="195">
        <v>75.22999999999999</v>
      </c>
      <c r="AC1025" s="196">
        <f t="shared" si="694"/>
        <v>-0.28000000000001535</v>
      </c>
      <c r="AD1025" s="197">
        <f t="shared" si="695"/>
        <v>2.8449502133712388E-3</v>
      </c>
      <c r="AE1025" s="198">
        <f t="shared" si="696"/>
        <v>5.2700000000000002E-4</v>
      </c>
      <c r="AF1025" s="193"/>
      <c r="AG1025" s="199" t="s">
        <v>416</v>
      </c>
      <c r="AH1025" s="124"/>
    </row>
    <row r="1026" spans="1:34" ht="12" hidden="1" customHeight="1">
      <c r="A1026" s="187">
        <v>44343</v>
      </c>
      <c r="B1026" s="188" t="s">
        <v>528</v>
      </c>
      <c r="C1026" s="188" t="s">
        <v>485</v>
      </c>
      <c r="D1026" s="188"/>
      <c r="E1026" s="188" t="str">
        <f t="shared" si="682"/>
        <v>ZEEL</v>
      </c>
      <c r="F1026" s="188"/>
      <c r="G1026" s="188"/>
      <c r="H1026" s="188"/>
      <c r="I1026" s="188" t="s">
        <v>668</v>
      </c>
      <c r="J1026" s="188" t="s">
        <v>483</v>
      </c>
      <c r="K1026" s="188"/>
      <c r="L1026" s="188"/>
      <c r="M1026" s="189">
        <v>100</v>
      </c>
      <c r="N1026" s="190">
        <v>209</v>
      </c>
      <c r="O1026" s="191">
        <v>208.95</v>
      </c>
      <c r="P1026" s="192">
        <f t="shared" si="705"/>
        <v>6.27</v>
      </c>
      <c r="Q1026" s="192">
        <f t="shared" si="706"/>
        <v>6.27</v>
      </c>
      <c r="R1026" s="193">
        <f t="shared" si="685"/>
        <v>41795</v>
      </c>
      <c r="S1026" s="193">
        <f t="shared" si="686"/>
        <v>-5.0000000000011369</v>
      </c>
      <c r="T1026" s="193">
        <f t="shared" si="753"/>
        <v>12.54</v>
      </c>
      <c r="U1026" s="193">
        <f t="shared" si="707"/>
        <v>2.52</v>
      </c>
      <c r="V1026" s="193">
        <f t="shared" si="734"/>
        <v>5.22</v>
      </c>
      <c r="W1026" s="193">
        <f t="shared" si="735"/>
        <v>0.63</v>
      </c>
      <c r="X1026" s="193">
        <f>ROUND(R1026*H$1820,2)</f>
        <v>1.44</v>
      </c>
      <c r="Y1026" s="193">
        <f t="shared" si="750"/>
        <v>0</v>
      </c>
      <c r="Z1026" s="193">
        <f t="shared" si="692"/>
        <v>22.349999999999998</v>
      </c>
      <c r="AA1026" s="194">
        <f t="shared" si="693"/>
        <v>-27.35</v>
      </c>
      <c r="AB1026" s="195">
        <v>-28.59</v>
      </c>
      <c r="AC1026" s="196">
        <f t="shared" si="694"/>
        <v>-1.2399999999999984</v>
      </c>
      <c r="AD1026" s="197">
        <f t="shared" si="695"/>
        <v>-2.3923444976081996E-4</v>
      </c>
      <c r="AE1026" s="198">
        <f t="shared" si="696"/>
        <v>5.3499999999999999E-4</v>
      </c>
      <c r="AF1026" s="193"/>
      <c r="AG1026" s="199" t="s">
        <v>416</v>
      </c>
      <c r="AH1026" s="124"/>
    </row>
    <row r="1027" spans="1:34" ht="12" hidden="1" customHeight="1">
      <c r="A1027" s="187">
        <v>44356</v>
      </c>
      <c r="B1027" s="188" t="s">
        <v>599</v>
      </c>
      <c r="C1027" s="188" t="s">
        <v>485</v>
      </c>
      <c r="D1027" s="188"/>
      <c r="E1027" s="188" t="str">
        <f t="shared" si="682"/>
        <v>ASHOKA</v>
      </c>
      <c r="F1027" s="188"/>
      <c r="G1027" s="188"/>
      <c r="H1027" s="188"/>
      <c r="I1027" s="188" t="s">
        <v>668</v>
      </c>
      <c r="J1027" s="188" t="s">
        <v>483</v>
      </c>
      <c r="K1027" s="188"/>
      <c r="L1027" s="188"/>
      <c r="M1027" s="189">
        <v>100</v>
      </c>
      <c r="N1027" s="190">
        <v>97</v>
      </c>
      <c r="O1027" s="191">
        <v>97.25</v>
      </c>
      <c r="P1027" s="192">
        <f t="shared" si="705"/>
        <v>2.91</v>
      </c>
      <c r="Q1027" s="192">
        <f t="shared" si="706"/>
        <v>2.92</v>
      </c>
      <c r="R1027" s="193">
        <f t="shared" si="685"/>
        <v>19425</v>
      </c>
      <c r="S1027" s="193">
        <f t="shared" si="686"/>
        <v>25</v>
      </c>
      <c r="T1027" s="193">
        <f t="shared" si="753"/>
        <v>5.83</v>
      </c>
      <c r="U1027" s="193">
        <f t="shared" si="707"/>
        <v>1.1399999999999999</v>
      </c>
      <c r="V1027" s="193">
        <f t="shared" si="734"/>
        <v>2.4300000000000002</v>
      </c>
      <c r="W1027" s="193">
        <f t="shared" si="735"/>
        <v>0.28999999999999998</v>
      </c>
      <c r="X1027" s="193">
        <f t="shared" ref="X1027:X1034" si="755">ROUND(R1027*G$1820,2)</f>
        <v>0.53</v>
      </c>
      <c r="Y1027" s="193">
        <f t="shared" si="750"/>
        <v>0</v>
      </c>
      <c r="Z1027" s="193">
        <f t="shared" si="692"/>
        <v>10.219999999999999</v>
      </c>
      <c r="AA1027" s="194">
        <f t="shared" si="693"/>
        <v>14.78</v>
      </c>
      <c r="AB1027" s="195">
        <v>14.91</v>
      </c>
      <c r="AC1027" s="196">
        <f t="shared" si="694"/>
        <v>0.13000000000000078</v>
      </c>
      <c r="AD1027" s="197">
        <f t="shared" si="695"/>
        <v>2.5773195876288659E-3</v>
      </c>
      <c r="AE1027" s="198">
        <f t="shared" si="696"/>
        <v>5.2599999999999999E-4</v>
      </c>
      <c r="AF1027" s="193"/>
      <c r="AG1027" s="199" t="s">
        <v>416</v>
      </c>
      <c r="AH1027" s="124"/>
    </row>
    <row r="1028" spans="1:34" ht="12" hidden="1" customHeight="1">
      <c r="A1028" s="187">
        <v>44357</v>
      </c>
      <c r="B1028" s="188" t="s">
        <v>717</v>
      </c>
      <c r="C1028" s="188" t="s">
        <v>485</v>
      </c>
      <c r="D1028" s="188"/>
      <c r="E1028" s="188" t="str">
        <f t="shared" si="682"/>
        <v>MAXHEALTH</v>
      </c>
      <c r="F1028" s="188"/>
      <c r="G1028" s="188"/>
      <c r="H1028" s="188"/>
      <c r="I1028" s="188" t="s">
        <v>668</v>
      </c>
      <c r="J1028" s="188" t="s">
        <v>483</v>
      </c>
      <c r="K1028" s="188"/>
      <c r="L1028" s="188"/>
      <c r="M1028" s="189">
        <v>50</v>
      </c>
      <c r="N1028" s="190">
        <v>252</v>
      </c>
      <c r="O1028" s="191">
        <v>256.55</v>
      </c>
      <c r="P1028" s="192">
        <f t="shared" si="705"/>
        <v>3.78</v>
      </c>
      <c r="Q1028" s="192">
        <f t="shared" si="706"/>
        <v>3.85</v>
      </c>
      <c r="R1028" s="193">
        <f t="shared" si="685"/>
        <v>25427.5</v>
      </c>
      <c r="S1028" s="193">
        <f t="shared" si="686"/>
        <v>227.50000000000057</v>
      </c>
      <c r="T1028" s="193">
        <f t="shared" si="753"/>
        <v>7.63</v>
      </c>
      <c r="U1028" s="193">
        <f t="shared" si="707"/>
        <v>1.5</v>
      </c>
      <c r="V1028" s="193">
        <f t="shared" si="734"/>
        <v>3.21</v>
      </c>
      <c r="W1028" s="193">
        <f t="shared" si="735"/>
        <v>0.38</v>
      </c>
      <c r="X1028" s="193">
        <f t="shared" si="755"/>
        <v>0.7</v>
      </c>
      <c r="Y1028" s="193">
        <f t="shared" si="750"/>
        <v>0</v>
      </c>
      <c r="Z1028" s="193">
        <f t="shared" si="692"/>
        <v>13.42</v>
      </c>
      <c r="AA1028" s="194">
        <f t="shared" si="693"/>
        <v>214.08</v>
      </c>
      <c r="AB1028" s="195">
        <f>214-0.24</f>
        <v>213.76</v>
      </c>
      <c r="AC1028" s="196">
        <f t="shared" si="694"/>
        <v>-0.3200000000000216</v>
      </c>
      <c r="AD1028" s="197">
        <f t="shared" si="695"/>
        <v>1.8055555555555599E-2</v>
      </c>
      <c r="AE1028" s="198">
        <f t="shared" si="696"/>
        <v>5.2800000000000004E-4</v>
      </c>
      <c r="AF1028" s="193"/>
      <c r="AG1028" s="199" t="s">
        <v>416</v>
      </c>
      <c r="AH1028" s="124"/>
    </row>
    <row r="1029" spans="1:34" ht="12" hidden="1" customHeight="1">
      <c r="A1029" s="187">
        <v>44357</v>
      </c>
      <c r="B1029" s="188" t="s">
        <v>718</v>
      </c>
      <c r="C1029" s="188" t="s">
        <v>485</v>
      </c>
      <c r="D1029" s="188"/>
      <c r="E1029" s="188" t="str">
        <f t="shared" si="682"/>
        <v>QUESS</v>
      </c>
      <c r="F1029" s="188"/>
      <c r="G1029" s="188"/>
      <c r="H1029" s="188"/>
      <c r="I1029" s="188" t="s">
        <v>668</v>
      </c>
      <c r="J1029" s="188" t="s">
        <v>483</v>
      </c>
      <c r="K1029" s="188"/>
      <c r="L1029" s="188"/>
      <c r="M1029" s="189">
        <v>25</v>
      </c>
      <c r="N1029" s="190">
        <v>795</v>
      </c>
      <c r="O1029" s="191">
        <v>819</v>
      </c>
      <c r="P1029" s="192">
        <f t="shared" si="705"/>
        <v>5.96</v>
      </c>
      <c r="Q1029" s="192">
        <f t="shared" si="706"/>
        <v>6.14</v>
      </c>
      <c r="R1029" s="193">
        <f t="shared" si="685"/>
        <v>40350</v>
      </c>
      <c r="S1029" s="193">
        <f t="shared" si="686"/>
        <v>600</v>
      </c>
      <c r="T1029" s="193">
        <f t="shared" si="753"/>
        <v>12.1</v>
      </c>
      <c r="U1029" s="193">
        <f t="shared" si="707"/>
        <v>2.38</v>
      </c>
      <c r="V1029" s="193">
        <f t="shared" si="734"/>
        <v>5.12</v>
      </c>
      <c r="W1029" s="193">
        <f t="shared" si="735"/>
        <v>0.6</v>
      </c>
      <c r="X1029" s="193">
        <f t="shared" si="755"/>
        <v>1.1100000000000001</v>
      </c>
      <c r="Y1029" s="193">
        <f t="shared" si="750"/>
        <v>0</v>
      </c>
      <c r="Z1029" s="193">
        <f t="shared" si="692"/>
        <v>21.310000000000002</v>
      </c>
      <c r="AA1029" s="194">
        <f t="shared" si="693"/>
        <v>578.69000000000005</v>
      </c>
      <c r="AB1029" s="195">
        <v>579</v>
      </c>
      <c r="AC1029" s="196">
        <f t="shared" si="694"/>
        <v>0.30999999999994543</v>
      </c>
      <c r="AD1029" s="197">
        <f t="shared" si="695"/>
        <v>3.0188679245283019E-2</v>
      </c>
      <c r="AE1029" s="198">
        <f t="shared" si="696"/>
        <v>5.2800000000000004E-4</v>
      </c>
      <c r="AF1029" s="193"/>
      <c r="AG1029" s="199" t="s">
        <v>416</v>
      </c>
      <c r="AH1029" s="124"/>
    </row>
    <row r="1030" spans="1:34" ht="12" hidden="1" customHeight="1">
      <c r="A1030" s="187">
        <v>44358</v>
      </c>
      <c r="B1030" s="188" t="s">
        <v>719</v>
      </c>
      <c r="C1030" s="188" t="s">
        <v>485</v>
      </c>
      <c r="D1030" s="188"/>
      <c r="E1030" s="188" t="str">
        <f t="shared" si="682"/>
        <v>GPIL</v>
      </c>
      <c r="F1030" s="188"/>
      <c r="G1030" s="188"/>
      <c r="H1030" s="188"/>
      <c r="I1030" s="188" t="s">
        <v>668</v>
      </c>
      <c r="J1030" s="188" t="s">
        <v>483</v>
      </c>
      <c r="K1030" s="188"/>
      <c r="L1030" s="188"/>
      <c r="M1030" s="189">
        <v>10</v>
      </c>
      <c r="N1030" s="190">
        <v>1165</v>
      </c>
      <c r="O1030" s="191">
        <v>1211.7</v>
      </c>
      <c r="P1030" s="192">
        <f t="shared" si="705"/>
        <v>3.5</v>
      </c>
      <c r="Q1030" s="192">
        <f t="shared" si="706"/>
        <v>3.64</v>
      </c>
      <c r="R1030" s="193">
        <f t="shared" si="685"/>
        <v>23767</v>
      </c>
      <c r="S1030" s="193">
        <f t="shared" si="686"/>
        <v>467.00000000000045</v>
      </c>
      <c r="T1030" s="193">
        <f t="shared" si="753"/>
        <v>7.14</v>
      </c>
      <c r="U1030" s="193">
        <f t="shared" si="707"/>
        <v>1.4</v>
      </c>
      <c r="V1030" s="193">
        <f t="shared" si="734"/>
        <v>3.03</v>
      </c>
      <c r="W1030" s="193">
        <f t="shared" si="735"/>
        <v>0.35</v>
      </c>
      <c r="X1030" s="193">
        <f t="shared" si="755"/>
        <v>0.65</v>
      </c>
      <c r="Y1030" s="193">
        <f t="shared" si="750"/>
        <v>0</v>
      </c>
      <c r="Z1030" s="193">
        <f t="shared" si="692"/>
        <v>12.569999999999999</v>
      </c>
      <c r="AA1030" s="194">
        <f t="shared" si="693"/>
        <v>454.43</v>
      </c>
      <c r="AB1030" s="195">
        <v>454.31</v>
      </c>
      <c r="AC1030" s="196">
        <f t="shared" si="694"/>
        <v>-0.12000000000000455</v>
      </c>
      <c r="AD1030" s="197">
        <f t="shared" si="695"/>
        <v>4.0085836909871282E-2</v>
      </c>
      <c r="AE1030" s="198">
        <f t="shared" si="696"/>
        <v>5.2899999999999996E-4</v>
      </c>
      <c r="AF1030" s="193"/>
      <c r="AG1030" s="199" t="s">
        <v>416</v>
      </c>
      <c r="AH1030" s="124"/>
    </row>
    <row r="1031" spans="1:34" ht="12" hidden="1" customHeight="1">
      <c r="A1031" s="187">
        <v>44365</v>
      </c>
      <c r="B1031" s="188" t="s">
        <v>544</v>
      </c>
      <c r="C1031" s="188" t="s">
        <v>485</v>
      </c>
      <c r="D1031" s="188"/>
      <c r="E1031" s="188" t="str">
        <f t="shared" si="682"/>
        <v>CREDITACC</v>
      </c>
      <c r="F1031" s="188"/>
      <c r="G1031" s="188"/>
      <c r="H1031" s="188"/>
      <c r="I1031" s="188" t="s">
        <v>668</v>
      </c>
      <c r="J1031" s="188" t="s">
        <v>483</v>
      </c>
      <c r="K1031" s="188"/>
      <c r="L1031" s="188"/>
      <c r="M1031" s="189">
        <v>20</v>
      </c>
      <c r="N1031" s="190">
        <v>738</v>
      </c>
      <c r="O1031" s="191">
        <v>751.01750000000004</v>
      </c>
      <c r="P1031" s="192">
        <f t="shared" si="705"/>
        <v>4.43</v>
      </c>
      <c r="Q1031" s="192">
        <f t="shared" si="706"/>
        <v>4.51</v>
      </c>
      <c r="R1031" s="193">
        <f t="shared" si="685"/>
        <v>29780.35</v>
      </c>
      <c r="S1031" s="193">
        <f t="shared" si="686"/>
        <v>260.35000000000082</v>
      </c>
      <c r="T1031" s="193">
        <f t="shared" si="753"/>
        <v>8.94</v>
      </c>
      <c r="U1031" s="193">
        <f t="shared" si="707"/>
        <v>1.76</v>
      </c>
      <c r="V1031" s="193">
        <f t="shared" si="734"/>
        <v>3.76</v>
      </c>
      <c r="W1031" s="193">
        <f t="shared" si="735"/>
        <v>0.44</v>
      </c>
      <c r="X1031" s="193">
        <f t="shared" si="755"/>
        <v>0.82</v>
      </c>
      <c r="Y1031" s="193">
        <f t="shared" si="750"/>
        <v>0</v>
      </c>
      <c r="Z1031" s="193">
        <f t="shared" si="692"/>
        <v>15.719999999999999</v>
      </c>
      <c r="AA1031" s="194">
        <f t="shared" si="693"/>
        <v>244.63</v>
      </c>
      <c r="AB1031" s="195">
        <v>244.58</v>
      </c>
      <c r="AC1031" s="196">
        <f t="shared" si="694"/>
        <v>-4.9999999999982947E-2</v>
      </c>
      <c r="AD1031" s="197">
        <f t="shared" si="695"/>
        <v>1.7638888888888943E-2</v>
      </c>
      <c r="AE1031" s="198">
        <f t="shared" si="696"/>
        <v>5.2800000000000004E-4</v>
      </c>
      <c r="AF1031" s="193"/>
      <c r="AG1031" s="199" t="s">
        <v>416</v>
      </c>
      <c r="AH1031" s="124"/>
    </row>
    <row r="1032" spans="1:34" ht="12" hidden="1" customHeight="1">
      <c r="A1032" s="187">
        <v>44370</v>
      </c>
      <c r="B1032" s="188" t="s">
        <v>549</v>
      </c>
      <c r="C1032" s="188" t="s">
        <v>485</v>
      </c>
      <c r="D1032" s="188"/>
      <c r="E1032" s="188" t="str">
        <f t="shared" si="682"/>
        <v>GICHSGFIN</v>
      </c>
      <c r="F1032" s="188"/>
      <c r="G1032" s="188"/>
      <c r="H1032" s="188"/>
      <c r="I1032" s="188" t="s">
        <v>668</v>
      </c>
      <c r="J1032" s="188" t="s">
        <v>483</v>
      </c>
      <c r="K1032" s="188"/>
      <c r="L1032" s="188"/>
      <c r="M1032" s="189">
        <v>100</v>
      </c>
      <c r="N1032" s="190">
        <v>148</v>
      </c>
      <c r="O1032" s="191">
        <v>152</v>
      </c>
      <c r="P1032" s="192">
        <f t="shared" si="705"/>
        <v>4.4400000000000004</v>
      </c>
      <c r="Q1032" s="192">
        <f t="shared" si="706"/>
        <v>4.5599999999999996</v>
      </c>
      <c r="R1032" s="193">
        <f t="shared" si="685"/>
        <v>30000</v>
      </c>
      <c r="S1032" s="193">
        <f t="shared" si="686"/>
        <v>400</v>
      </c>
      <c r="T1032" s="193">
        <f t="shared" si="753"/>
        <v>9</v>
      </c>
      <c r="U1032" s="193">
        <f t="shared" si="707"/>
        <v>1.77</v>
      </c>
      <c r="V1032" s="193">
        <f t="shared" si="734"/>
        <v>3.8</v>
      </c>
      <c r="W1032" s="193">
        <f t="shared" si="735"/>
        <v>0.44</v>
      </c>
      <c r="X1032" s="193">
        <f t="shared" si="755"/>
        <v>0.83</v>
      </c>
      <c r="Y1032" s="193">
        <f t="shared" si="750"/>
        <v>0</v>
      </c>
      <c r="Z1032" s="193">
        <f t="shared" si="692"/>
        <v>15.84</v>
      </c>
      <c r="AA1032" s="194">
        <f t="shared" si="693"/>
        <v>384.16</v>
      </c>
      <c r="AB1032" s="195">
        <f>384-0.61</f>
        <v>383.39</v>
      </c>
      <c r="AC1032" s="196">
        <f t="shared" si="694"/>
        <v>-0.77000000000003865</v>
      </c>
      <c r="AD1032" s="197">
        <f t="shared" si="695"/>
        <v>2.7027027027027029E-2</v>
      </c>
      <c r="AE1032" s="198">
        <f t="shared" si="696"/>
        <v>5.2800000000000004E-4</v>
      </c>
      <c r="AF1032" s="193"/>
      <c r="AG1032" s="199" t="s">
        <v>416</v>
      </c>
      <c r="AH1032" s="124"/>
    </row>
    <row r="1033" spans="1:34" ht="12" hidden="1" customHeight="1">
      <c r="A1033" s="187">
        <v>44370</v>
      </c>
      <c r="B1033" s="188" t="s">
        <v>521</v>
      </c>
      <c r="C1033" s="188" t="s">
        <v>485</v>
      </c>
      <c r="D1033" s="188"/>
      <c r="E1033" s="188" t="str">
        <f t="shared" si="682"/>
        <v>IDEA</v>
      </c>
      <c r="F1033" s="188"/>
      <c r="G1033" s="188"/>
      <c r="H1033" s="188"/>
      <c r="I1033" s="188" t="s">
        <v>668</v>
      </c>
      <c r="J1033" s="188" t="s">
        <v>483</v>
      </c>
      <c r="K1033" s="188"/>
      <c r="L1033" s="188"/>
      <c r="M1033" s="189">
        <v>2500</v>
      </c>
      <c r="N1033" s="190">
        <v>9.9499999999999993</v>
      </c>
      <c r="O1033" s="191">
        <v>10.050000000000001</v>
      </c>
      <c r="P1033" s="192">
        <f t="shared" si="705"/>
        <v>7.46</v>
      </c>
      <c r="Q1033" s="192">
        <f t="shared" si="706"/>
        <v>7.54</v>
      </c>
      <c r="R1033" s="193">
        <f t="shared" si="685"/>
        <v>50000</v>
      </c>
      <c r="S1033" s="193">
        <f t="shared" si="686"/>
        <v>250.00000000000355</v>
      </c>
      <c r="T1033" s="193">
        <f t="shared" si="753"/>
        <v>15</v>
      </c>
      <c r="U1033" s="193">
        <f t="shared" si="707"/>
        <v>2.95</v>
      </c>
      <c r="V1033" s="193">
        <f t="shared" si="734"/>
        <v>6.28</v>
      </c>
      <c r="W1033" s="193">
        <f t="shared" si="735"/>
        <v>0.75</v>
      </c>
      <c r="X1033" s="193">
        <f t="shared" si="755"/>
        <v>1.38</v>
      </c>
      <c r="Y1033" s="193">
        <f t="shared" si="750"/>
        <v>0</v>
      </c>
      <c r="Z1033" s="193">
        <f t="shared" si="692"/>
        <v>26.36</v>
      </c>
      <c r="AA1033" s="194">
        <f t="shared" si="693"/>
        <v>223.64</v>
      </c>
      <c r="AB1033" s="195">
        <v>224</v>
      </c>
      <c r="AC1033" s="196">
        <f t="shared" si="694"/>
        <v>0.36000000000001364</v>
      </c>
      <c r="AD1033" s="197">
        <f t="shared" si="695"/>
        <v>1.0050251256281551E-2</v>
      </c>
      <c r="AE1033" s="198">
        <f t="shared" si="696"/>
        <v>5.2700000000000002E-4</v>
      </c>
      <c r="AF1033" s="193"/>
      <c r="AG1033" s="199" t="s">
        <v>416</v>
      </c>
      <c r="AH1033" s="124"/>
    </row>
    <row r="1034" spans="1:34" ht="12" hidden="1" customHeight="1">
      <c r="A1034" s="187">
        <v>44370</v>
      </c>
      <c r="B1034" s="188" t="s">
        <v>547</v>
      </c>
      <c r="C1034" s="188" t="s">
        <v>485</v>
      </c>
      <c r="D1034" s="188"/>
      <c r="E1034" s="188" t="str">
        <f t="shared" si="682"/>
        <v>NCC</v>
      </c>
      <c r="F1034" s="188"/>
      <c r="G1034" s="188"/>
      <c r="H1034" s="188"/>
      <c r="I1034" s="188" t="s">
        <v>668</v>
      </c>
      <c r="J1034" s="188" t="s">
        <v>483</v>
      </c>
      <c r="K1034" s="188"/>
      <c r="L1034" s="188"/>
      <c r="M1034" s="189">
        <v>200</v>
      </c>
      <c r="N1034" s="190">
        <v>84</v>
      </c>
      <c r="O1034" s="191">
        <v>85</v>
      </c>
      <c r="P1034" s="192">
        <f t="shared" si="705"/>
        <v>5.04</v>
      </c>
      <c r="Q1034" s="192">
        <f t="shared" si="706"/>
        <v>5.0999999999999996</v>
      </c>
      <c r="R1034" s="193">
        <f t="shared" si="685"/>
        <v>33800</v>
      </c>
      <c r="S1034" s="193">
        <f t="shared" si="686"/>
        <v>200</v>
      </c>
      <c r="T1034" s="193">
        <f t="shared" si="753"/>
        <v>10.14</v>
      </c>
      <c r="U1034" s="193">
        <f t="shared" si="707"/>
        <v>1.99</v>
      </c>
      <c r="V1034" s="193">
        <f t="shared" si="734"/>
        <v>4.25</v>
      </c>
      <c r="W1034" s="193">
        <f t="shared" si="735"/>
        <v>0.5</v>
      </c>
      <c r="X1034" s="193">
        <f t="shared" si="755"/>
        <v>0.93</v>
      </c>
      <c r="Y1034" s="193">
        <f t="shared" si="750"/>
        <v>0</v>
      </c>
      <c r="Z1034" s="193">
        <f t="shared" si="692"/>
        <v>17.810000000000002</v>
      </c>
      <c r="AA1034" s="194">
        <f t="shared" si="693"/>
        <v>182.19</v>
      </c>
      <c r="AB1034" s="195">
        <v>182</v>
      </c>
      <c r="AC1034" s="196">
        <f t="shared" si="694"/>
        <v>-0.18999999999999773</v>
      </c>
      <c r="AD1034" s="197">
        <f t="shared" si="695"/>
        <v>1.1904761904761904E-2</v>
      </c>
      <c r="AE1034" s="198">
        <f t="shared" si="696"/>
        <v>5.2700000000000002E-4</v>
      </c>
      <c r="AF1034" s="193"/>
      <c r="AG1034" s="199" t="s">
        <v>416</v>
      </c>
      <c r="AH1034" s="124"/>
    </row>
    <row r="1035" spans="1:34" ht="12" hidden="1" customHeight="1">
      <c r="A1035" s="187">
        <v>44370</v>
      </c>
      <c r="B1035" s="188" t="s">
        <v>709</v>
      </c>
      <c r="C1035" s="188" t="s">
        <v>485</v>
      </c>
      <c r="D1035" s="188"/>
      <c r="E1035" s="188" t="str">
        <f t="shared" si="682"/>
        <v>WOCKPHARMA</v>
      </c>
      <c r="F1035" s="188"/>
      <c r="G1035" s="188"/>
      <c r="H1035" s="188"/>
      <c r="I1035" s="188" t="s">
        <v>668</v>
      </c>
      <c r="J1035" s="188" t="s">
        <v>483</v>
      </c>
      <c r="K1035" s="188"/>
      <c r="L1035" s="188"/>
      <c r="M1035" s="189">
        <v>25</v>
      </c>
      <c r="N1035" s="190">
        <v>600</v>
      </c>
      <c r="O1035" s="191">
        <v>564</v>
      </c>
      <c r="P1035" s="192">
        <f t="shared" si="705"/>
        <v>4.5</v>
      </c>
      <c r="Q1035" s="192">
        <f t="shared" si="706"/>
        <v>4.2300000000000004</v>
      </c>
      <c r="R1035" s="193">
        <f t="shared" si="685"/>
        <v>29100</v>
      </c>
      <c r="S1035" s="193">
        <f t="shared" si="686"/>
        <v>-900</v>
      </c>
      <c r="T1035" s="193">
        <f t="shared" si="753"/>
        <v>8.73</v>
      </c>
      <c r="U1035" s="193">
        <f t="shared" si="707"/>
        <v>1.75</v>
      </c>
      <c r="V1035" s="193">
        <f t="shared" si="734"/>
        <v>3.53</v>
      </c>
      <c r="W1035" s="193">
        <f t="shared" si="735"/>
        <v>0.45</v>
      </c>
      <c r="X1035" s="193">
        <f>ROUND(R1035*H$1820,2)</f>
        <v>1</v>
      </c>
      <c r="Y1035" s="193">
        <f t="shared" si="750"/>
        <v>0</v>
      </c>
      <c r="Z1035" s="193">
        <f t="shared" si="692"/>
        <v>15.459999999999999</v>
      </c>
      <c r="AA1035" s="194">
        <f t="shared" si="693"/>
        <v>-915.46</v>
      </c>
      <c r="AB1035" s="195">
        <v>-915</v>
      </c>
      <c r="AC1035" s="196">
        <f t="shared" si="694"/>
        <v>0.46000000000003638</v>
      </c>
      <c r="AD1035" s="197">
        <f t="shared" si="695"/>
        <v>-0.06</v>
      </c>
      <c r="AE1035" s="198">
        <f t="shared" si="696"/>
        <v>5.31E-4</v>
      </c>
      <c r="AF1035" s="193"/>
      <c r="AG1035" s="199" t="s">
        <v>416</v>
      </c>
      <c r="AH1035" s="124"/>
    </row>
    <row r="1036" spans="1:34" ht="12" hidden="1" customHeight="1">
      <c r="A1036" s="187">
        <v>44371</v>
      </c>
      <c r="B1036" s="188" t="s">
        <v>547</v>
      </c>
      <c r="C1036" s="188" t="s">
        <v>485</v>
      </c>
      <c r="D1036" s="188"/>
      <c r="E1036" s="188" t="str">
        <f t="shared" si="682"/>
        <v>NCC</v>
      </c>
      <c r="F1036" s="188"/>
      <c r="G1036" s="188"/>
      <c r="H1036" s="188"/>
      <c r="I1036" s="188" t="s">
        <v>668</v>
      </c>
      <c r="J1036" s="188" t="s">
        <v>483</v>
      </c>
      <c r="K1036" s="188"/>
      <c r="L1036" s="188"/>
      <c r="M1036" s="189">
        <v>200</v>
      </c>
      <c r="N1036" s="190">
        <v>84.1</v>
      </c>
      <c r="O1036" s="191">
        <v>85.25</v>
      </c>
      <c r="P1036" s="192">
        <f t="shared" si="705"/>
        <v>5.05</v>
      </c>
      <c r="Q1036" s="192">
        <f t="shared" si="706"/>
        <v>5.12</v>
      </c>
      <c r="R1036" s="193">
        <f t="shared" si="685"/>
        <v>33870</v>
      </c>
      <c r="S1036" s="193">
        <f t="shared" si="686"/>
        <v>230.00000000000114</v>
      </c>
      <c r="T1036" s="193">
        <f t="shared" si="753"/>
        <v>10.17</v>
      </c>
      <c r="U1036" s="193">
        <f t="shared" si="707"/>
        <v>2</v>
      </c>
      <c r="V1036" s="193">
        <f t="shared" si="734"/>
        <v>4.26</v>
      </c>
      <c r="W1036" s="193">
        <f t="shared" si="735"/>
        <v>0.5</v>
      </c>
      <c r="X1036" s="193">
        <f t="shared" ref="X1036:X1053" si="756">ROUND(R1036*G$1820,2)</f>
        <v>0.93</v>
      </c>
      <c r="Y1036" s="193">
        <f t="shared" si="750"/>
        <v>0</v>
      </c>
      <c r="Z1036" s="193">
        <f t="shared" si="692"/>
        <v>17.86</v>
      </c>
      <c r="AA1036" s="194">
        <f t="shared" si="693"/>
        <v>212.14</v>
      </c>
      <c r="AB1036" s="195">
        <f>212+0.01</f>
        <v>212.01</v>
      </c>
      <c r="AC1036" s="196">
        <f t="shared" si="694"/>
        <v>-0.12999999999999545</v>
      </c>
      <c r="AD1036" s="197">
        <f t="shared" si="695"/>
        <v>1.3674197384066656E-2</v>
      </c>
      <c r="AE1036" s="198">
        <f t="shared" si="696"/>
        <v>5.2700000000000002E-4</v>
      </c>
      <c r="AF1036" s="193"/>
      <c r="AG1036" s="199" t="s">
        <v>416</v>
      </c>
      <c r="AH1036" s="124"/>
    </row>
    <row r="1037" spans="1:34" ht="12" hidden="1" customHeight="1">
      <c r="A1037" s="187">
        <v>44371</v>
      </c>
      <c r="B1037" s="188" t="s">
        <v>561</v>
      </c>
      <c r="C1037" s="188" t="s">
        <v>485</v>
      </c>
      <c r="D1037" s="188"/>
      <c r="E1037" s="188" t="str">
        <f t="shared" si="682"/>
        <v>RENUKA</v>
      </c>
      <c r="F1037" s="188"/>
      <c r="G1037" s="188"/>
      <c r="H1037" s="188"/>
      <c r="I1037" s="188" t="s">
        <v>668</v>
      </c>
      <c r="J1037" s="188" t="s">
        <v>483</v>
      </c>
      <c r="K1037" s="188"/>
      <c r="L1037" s="188"/>
      <c r="M1037" s="189">
        <v>500</v>
      </c>
      <c r="N1037" s="190">
        <v>31.5</v>
      </c>
      <c r="O1037" s="191">
        <v>31.6</v>
      </c>
      <c r="P1037" s="192">
        <f t="shared" si="705"/>
        <v>4.7300000000000004</v>
      </c>
      <c r="Q1037" s="192">
        <f t="shared" si="706"/>
        <v>4.74</v>
      </c>
      <c r="R1037" s="193">
        <f t="shared" si="685"/>
        <v>31550</v>
      </c>
      <c r="S1037" s="193">
        <f t="shared" si="686"/>
        <v>50.000000000000711</v>
      </c>
      <c r="T1037" s="193">
        <f t="shared" si="753"/>
        <v>9.4700000000000006</v>
      </c>
      <c r="U1037" s="193">
        <f t="shared" si="707"/>
        <v>1.86</v>
      </c>
      <c r="V1037" s="193">
        <f t="shared" si="734"/>
        <v>3.95</v>
      </c>
      <c r="W1037" s="193">
        <f t="shared" si="735"/>
        <v>0.47</v>
      </c>
      <c r="X1037" s="193">
        <f t="shared" si="756"/>
        <v>0.87</v>
      </c>
      <c r="Y1037" s="193">
        <f t="shared" si="750"/>
        <v>0</v>
      </c>
      <c r="Z1037" s="193">
        <f t="shared" si="692"/>
        <v>16.62</v>
      </c>
      <c r="AA1037" s="194">
        <f t="shared" si="693"/>
        <v>33.380000000000003</v>
      </c>
      <c r="AB1037" s="195">
        <v>33</v>
      </c>
      <c r="AC1037" s="196">
        <f t="shared" si="694"/>
        <v>-0.38000000000000256</v>
      </c>
      <c r="AD1037" s="197">
        <f t="shared" si="695"/>
        <v>3.1746031746032197E-3</v>
      </c>
      <c r="AE1037" s="198">
        <f t="shared" si="696"/>
        <v>5.2700000000000002E-4</v>
      </c>
      <c r="AF1037" s="193"/>
      <c r="AG1037" s="199" t="s">
        <v>416</v>
      </c>
      <c r="AH1037" s="124"/>
    </row>
    <row r="1038" spans="1:34" ht="12" hidden="1" customHeight="1">
      <c r="A1038" s="187">
        <v>44372</v>
      </c>
      <c r="B1038" s="188" t="s">
        <v>544</v>
      </c>
      <c r="C1038" s="188" t="s">
        <v>485</v>
      </c>
      <c r="D1038" s="188"/>
      <c r="E1038" s="188" t="str">
        <f t="shared" si="682"/>
        <v>CREDITACC</v>
      </c>
      <c r="F1038" s="188"/>
      <c r="G1038" s="188"/>
      <c r="H1038" s="188"/>
      <c r="I1038" s="188" t="s">
        <v>668</v>
      </c>
      <c r="J1038" s="188" t="s">
        <v>483</v>
      </c>
      <c r="K1038" s="188"/>
      <c r="L1038" s="188"/>
      <c r="M1038" s="189">
        <v>20</v>
      </c>
      <c r="N1038" s="190">
        <v>760</v>
      </c>
      <c r="O1038" s="191">
        <v>763</v>
      </c>
      <c r="P1038" s="192">
        <f t="shared" si="705"/>
        <v>4.5599999999999996</v>
      </c>
      <c r="Q1038" s="192">
        <f t="shared" si="706"/>
        <v>4.58</v>
      </c>
      <c r="R1038" s="193">
        <f t="shared" si="685"/>
        <v>30460</v>
      </c>
      <c r="S1038" s="193">
        <f t="shared" si="686"/>
        <v>60</v>
      </c>
      <c r="T1038" s="193">
        <f t="shared" si="753"/>
        <v>9.14</v>
      </c>
      <c r="U1038" s="193">
        <f t="shared" si="707"/>
        <v>1.8</v>
      </c>
      <c r="V1038" s="193">
        <f t="shared" si="734"/>
        <v>3.82</v>
      </c>
      <c r="W1038" s="193">
        <f t="shared" si="735"/>
        <v>0.46</v>
      </c>
      <c r="X1038" s="193">
        <f t="shared" si="756"/>
        <v>0.84</v>
      </c>
      <c r="Y1038" s="193">
        <f t="shared" si="750"/>
        <v>0</v>
      </c>
      <c r="Z1038" s="193">
        <f t="shared" si="692"/>
        <v>16.060000000000002</v>
      </c>
      <c r="AA1038" s="194">
        <f t="shared" si="693"/>
        <v>43.94</v>
      </c>
      <c r="AB1038" s="195">
        <f>44+0.21</f>
        <v>44.21</v>
      </c>
      <c r="AC1038" s="196">
        <f t="shared" si="694"/>
        <v>0.27000000000000313</v>
      </c>
      <c r="AD1038" s="197">
        <f t="shared" si="695"/>
        <v>3.9473684210526317E-3</v>
      </c>
      <c r="AE1038" s="198">
        <f t="shared" si="696"/>
        <v>5.2700000000000002E-4</v>
      </c>
      <c r="AF1038" s="193"/>
      <c r="AG1038" s="199" t="s">
        <v>416</v>
      </c>
      <c r="AH1038" s="124"/>
    </row>
    <row r="1039" spans="1:34" ht="12" hidden="1" customHeight="1">
      <c r="A1039" s="187">
        <v>44372</v>
      </c>
      <c r="B1039" s="188" t="s">
        <v>549</v>
      </c>
      <c r="C1039" s="188" t="s">
        <v>485</v>
      </c>
      <c r="D1039" s="188"/>
      <c r="E1039" s="188" t="str">
        <f t="shared" si="682"/>
        <v>GICHSGFIN</v>
      </c>
      <c r="F1039" s="188"/>
      <c r="G1039" s="188"/>
      <c r="H1039" s="188"/>
      <c r="I1039" s="188" t="s">
        <v>668</v>
      </c>
      <c r="J1039" s="188" t="s">
        <v>483</v>
      </c>
      <c r="K1039" s="188"/>
      <c r="L1039" s="188"/>
      <c r="M1039" s="189">
        <v>100</v>
      </c>
      <c r="N1039" s="190">
        <v>149.5</v>
      </c>
      <c r="O1039" s="191">
        <v>150.75</v>
      </c>
      <c r="P1039" s="192">
        <f t="shared" si="705"/>
        <v>4.49</v>
      </c>
      <c r="Q1039" s="192">
        <f t="shared" si="706"/>
        <v>4.5199999999999996</v>
      </c>
      <c r="R1039" s="193">
        <f t="shared" si="685"/>
        <v>30025</v>
      </c>
      <c r="S1039" s="193">
        <f t="shared" si="686"/>
        <v>125</v>
      </c>
      <c r="T1039" s="193">
        <f t="shared" si="753"/>
        <v>9.01</v>
      </c>
      <c r="U1039" s="193">
        <f t="shared" si="707"/>
        <v>1.77</v>
      </c>
      <c r="V1039" s="193">
        <f t="shared" si="734"/>
        <v>3.77</v>
      </c>
      <c r="W1039" s="193">
        <f t="shared" si="735"/>
        <v>0.45</v>
      </c>
      <c r="X1039" s="193">
        <f t="shared" si="756"/>
        <v>0.83</v>
      </c>
      <c r="Y1039" s="193">
        <f t="shared" si="750"/>
        <v>0</v>
      </c>
      <c r="Z1039" s="193">
        <f t="shared" si="692"/>
        <v>15.829999999999998</v>
      </c>
      <c r="AA1039" s="194">
        <f t="shared" si="693"/>
        <v>109.17</v>
      </c>
      <c r="AB1039" s="195">
        <v>109</v>
      </c>
      <c r="AC1039" s="196">
        <f t="shared" si="694"/>
        <v>-0.17000000000000171</v>
      </c>
      <c r="AD1039" s="197">
        <f t="shared" si="695"/>
        <v>8.3612040133779261E-3</v>
      </c>
      <c r="AE1039" s="198">
        <f t="shared" si="696"/>
        <v>5.2700000000000002E-4</v>
      </c>
      <c r="AF1039" s="193"/>
      <c r="AG1039" s="199" t="s">
        <v>416</v>
      </c>
      <c r="AH1039" s="124"/>
    </row>
    <row r="1040" spans="1:34" ht="12" hidden="1" customHeight="1">
      <c r="A1040" s="187">
        <v>44372</v>
      </c>
      <c r="B1040" s="188" t="s">
        <v>539</v>
      </c>
      <c r="C1040" s="188" t="s">
        <v>485</v>
      </c>
      <c r="D1040" s="188"/>
      <c r="E1040" s="188" t="str">
        <f t="shared" si="682"/>
        <v>JSL</v>
      </c>
      <c r="F1040" s="188"/>
      <c r="G1040" s="188"/>
      <c r="H1040" s="188"/>
      <c r="I1040" s="188" t="s">
        <v>668</v>
      </c>
      <c r="J1040" s="188" t="s">
        <v>483</v>
      </c>
      <c r="K1040" s="188"/>
      <c r="L1040" s="188"/>
      <c r="M1040" s="189">
        <v>200</v>
      </c>
      <c r="N1040" s="190">
        <v>106.5</v>
      </c>
      <c r="O1040" s="191">
        <v>107.2</v>
      </c>
      <c r="P1040" s="192">
        <f t="shared" si="705"/>
        <v>6.39</v>
      </c>
      <c r="Q1040" s="192">
        <f t="shared" si="706"/>
        <v>6.43</v>
      </c>
      <c r="R1040" s="193">
        <f t="shared" si="685"/>
        <v>42740</v>
      </c>
      <c r="S1040" s="193">
        <f t="shared" si="686"/>
        <v>140.00000000000057</v>
      </c>
      <c r="T1040" s="193">
        <f t="shared" si="753"/>
        <v>12.82</v>
      </c>
      <c r="U1040" s="193">
        <f t="shared" si="707"/>
        <v>2.52</v>
      </c>
      <c r="V1040" s="193">
        <f t="shared" si="734"/>
        <v>5.36</v>
      </c>
      <c r="W1040" s="193">
        <f t="shared" si="735"/>
        <v>0.64</v>
      </c>
      <c r="X1040" s="193">
        <f t="shared" si="756"/>
        <v>1.18</v>
      </c>
      <c r="Y1040" s="193">
        <f t="shared" si="750"/>
        <v>0</v>
      </c>
      <c r="Z1040" s="193">
        <f t="shared" si="692"/>
        <v>22.52</v>
      </c>
      <c r="AA1040" s="194">
        <f t="shared" si="693"/>
        <v>117.48</v>
      </c>
      <c r="AB1040" s="195">
        <v>117</v>
      </c>
      <c r="AC1040" s="196">
        <f t="shared" si="694"/>
        <v>-0.48000000000000398</v>
      </c>
      <c r="AD1040" s="197">
        <f t="shared" si="695"/>
        <v>6.5727699530516697E-3</v>
      </c>
      <c r="AE1040" s="198">
        <f t="shared" si="696"/>
        <v>5.2700000000000002E-4</v>
      </c>
      <c r="AF1040" s="193"/>
      <c r="AG1040" s="199" t="s">
        <v>416</v>
      </c>
      <c r="AH1040" s="124"/>
    </row>
    <row r="1041" spans="1:34" ht="12" hidden="1" customHeight="1">
      <c r="A1041" s="187">
        <v>44372</v>
      </c>
      <c r="B1041" s="188" t="s">
        <v>547</v>
      </c>
      <c r="C1041" s="188" t="s">
        <v>485</v>
      </c>
      <c r="D1041" s="188"/>
      <c r="E1041" s="188" t="str">
        <f t="shared" si="682"/>
        <v>NCC</v>
      </c>
      <c r="F1041" s="188"/>
      <c r="G1041" s="188"/>
      <c r="H1041" s="188"/>
      <c r="I1041" s="188" t="s">
        <v>668</v>
      </c>
      <c r="J1041" s="188" t="s">
        <v>483</v>
      </c>
      <c r="K1041" s="188"/>
      <c r="L1041" s="188"/>
      <c r="M1041" s="189">
        <v>200</v>
      </c>
      <c r="N1041" s="190">
        <v>83.75</v>
      </c>
      <c r="O1041" s="191">
        <v>84.25</v>
      </c>
      <c r="P1041" s="192">
        <f t="shared" si="705"/>
        <v>5.03</v>
      </c>
      <c r="Q1041" s="192">
        <f t="shared" si="706"/>
        <v>5.0599999999999996</v>
      </c>
      <c r="R1041" s="193">
        <f t="shared" si="685"/>
        <v>33600</v>
      </c>
      <c r="S1041" s="193">
        <f t="shared" si="686"/>
        <v>100</v>
      </c>
      <c r="T1041" s="193">
        <f t="shared" si="753"/>
        <v>10.09</v>
      </c>
      <c r="U1041" s="193">
        <f t="shared" si="707"/>
        <v>1.98</v>
      </c>
      <c r="V1041" s="193">
        <f t="shared" si="734"/>
        <v>4.21</v>
      </c>
      <c r="W1041" s="193">
        <f t="shared" si="735"/>
        <v>0.5</v>
      </c>
      <c r="X1041" s="193">
        <f t="shared" si="756"/>
        <v>0.92</v>
      </c>
      <c r="Y1041" s="193">
        <f t="shared" si="750"/>
        <v>0</v>
      </c>
      <c r="Z1041" s="193">
        <f t="shared" si="692"/>
        <v>17.700000000000003</v>
      </c>
      <c r="AA1041" s="194">
        <f t="shared" si="693"/>
        <v>82.3</v>
      </c>
      <c r="AB1041" s="195">
        <v>82</v>
      </c>
      <c r="AC1041" s="196">
        <f t="shared" si="694"/>
        <v>-0.29999999999999716</v>
      </c>
      <c r="AD1041" s="197">
        <f t="shared" si="695"/>
        <v>5.9701492537313433E-3</v>
      </c>
      <c r="AE1041" s="198">
        <f t="shared" si="696"/>
        <v>5.2700000000000002E-4</v>
      </c>
      <c r="AF1041" s="193"/>
      <c r="AG1041" s="199" t="s">
        <v>416</v>
      </c>
      <c r="AH1041" s="124"/>
    </row>
    <row r="1042" spans="1:34" ht="12" hidden="1" customHeight="1">
      <c r="A1042" s="187">
        <v>44372</v>
      </c>
      <c r="B1042" s="188" t="s">
        <v>552</v>
      </c>
      <c r="C1042" s="188" t="s">
        <v>485</v>
      </c>
      <c r="D1042" s="188"/>
      <c r="E1042" s="188" t="str">
        <f t="shared" si="682"/>
        <v>SHYMMETAL</v>
      </c>
      <c r="F1042" s="188"/>
      <c r="G1042" s="188"/>
      <c r="H1042" s="188"/>
      <c r="I1042" s="188" t="s">
        <v>668</v>
      </c>
      <c r="J1042" s="188" t="s">
        <v>483</v>
      </c>
      <c r="K1042" s="188"/>
      <c r="L1042" s="188"/>
      <c r="M1042" s="189">
        <v>45</v>
      </c>
      <c r="N1042" s="190">
        <v>390</v>
      </c>
      <c r="O1042" s="191">
        <v>400</v>
      </c>
      <c r="P1042" s="192">
        <f t="shared" si="705"/>
        <v>5.27</v>
      </c>
      <c r="Q1042" s="192">
        <f t="shared" si="706"/>
        <v>5.4</v>
      </c>
      <c r="R1042" s="193">
        <f t="shared" si="685"/>
        <v>35550</v>
      </c>
      <c r="S1042" s="193">
        <f t="shared" si="686"/>
        <v>450</v>
      </c>
      <c r="T1042" s="193">
        <f t="shared" si="753"/>
        <v>10.67</v>
      </c>
      <c r="U1042" s="193">
        <f t="shared" si="707"/>
        <v>2.1</v>
      </c>
      <c r="V1042" s="193">
        <f t="shared" si="734"/>
        <v>4.5</v>
      </c>
      <c r="W1042" s="193">
        <f t="shared" si="735"/>
        <v>0.53</v>
      </c>
      <c r="X1042" s="193">
        <f t="shared" si="756"/>
        <v>0.98</v>
      </c>
      <c r="Y1042" s="193">
        <f t="shared" si="750"/>
        <v>0</v>
      </c>
      <c r="Z1042" s="193">
        <f t="shared" si="692"/>
        <v>18.78</v>
      </c>
      <c r="AA1042" s="194">
        <f t="shared" si="693"/>
        <v>431.22</v>
      </c>
      <c r="AB1042" s="195">
        <v>431</v>
      </c>
      <c r="AC1042" s="196">
        <f t="shared" si="694"/>
        <v>-0.22000000000002728</v>
      </c>
      <c r="AD1042" s="197">
        <f t="shared" si="695"/>
        <v>2.564102564102564E-2</v>
      </c>
      <c r="AE1042" s="198">
        <f t="shared" si="696"/>
        <v>5.2800000000000004E-4</v>
      </c>
      <c r="AF1042" s="193"/>
      <c r="AG1042" s="199" t="s">
        <v>416</v>
      </c>
      <c r="AH1042" s="124"/>
    </row>
    <row r="1043" spans="1:34" ht="12" hidden="1" customHeight="1">
      <c r="A1043" s="187">
        <v>44375</v>
      </c>
      <c r="B1043" s="188" t="s">
        <v>495</v>
      </c>
      <c r="C1043" s="188" t="s">
        <v>485</v>
      </c>
      <c r="D1043" s="188"/>
      <c r="E1043" s="188" t="str">
        <f t="shared" si="682"/>
        <v>SAIL</v>
      </c>
      <c r="F1043" s="188"/>
      <c r="G1043" s="188"/>
      <c r="H1043" s="188"/>
      <c r="I1043" s="188" t="s">
        <v>668</v>
      </c>
      <c r="J1043" s="188" t="s">
        <v>483</v>
      </c>
      <c r="K1043" s="188"/>
      <c r="L1043" s="188"/>
      <c r="M1043" s="189">
        <v>100</v>
      </c>
      <c r="N1043" s="190">
        <v>132</v>
      </c>
      <c r="O1043" s="191">
        <v>133</v>
      </c>
      <c r="P1043" s="192">
        <f t="shared" si="705"/>
        <v>3.96</v>
      </c>
      <c r="Q1043" s="192">
        <f t="shared" si="706"/>
        <v>3.99</v>
      </c>
      <c r="R1043" s="193">
        <f t="shared" si="685"/>
        <v>26500</v>
      </c>
      <c r="S1043" s="193">
        <f t="shared" si="686"/>
        <v>100</v>
      </c>
      <c r="T1043" s="193">
        <f t="shared" si="753"/>
        <v>7.95</v>
      </c>
      <c r="U1043" s="193">
        <f t="shared" si="707"/>
        <v>1.56</v>
      </c>
      <c r="V1043" s="193">
        <f t="shared" si="734"/>
        <v>3.33</v>
      </c>
      <c r="W1043" s="193">
        <f t="shared" si="735"/>
        <v>0.4</v>
      </c>
      <c r="X1043" s="193">
        <f t="shared" si="756"/>
        <v>0.73</v>
      </c>
      <c r="Y1043" s="193">
        <f t="shared" si="750"/>
        <v>0</v>
      </c>
      <c r="Z1043" s="193">
        <f t="shared" si="692"/>
        <v>13.97</v>
      </c>
      <c r="AA1043" s="194">
        <f t="shared" si="693"/>
        <v>86.03</v>
      </c>
      <c r="AB1043" s="195">
        <f>86+1.14</f>
        <v>87.14</v>
      </c>
      <c r="AC1043" s="196">
        <f t="shared" si="694"/>
        <v>1.1099999999999994</v>
      </c>
      <c r="AD1043" s="197">
        <f t="shared" si="695"/>
        <v>7.575757575757576E-3</v>
      </c>
      <c r="AE1043" s="198">
        <f t="shared" si="696"/>
        <v>5.2700000000000002E-4</v>
      </c>
      <c r="AF1043" s="193"/>
      <c r="AG1043" s="199" t="s">
        <v>416</v>
      </c>
      <c r="AH1043" s="124"/>
    </row>
    <row r="1044" spans="1:34" ht="12" hidden="1" customHeight="1">
      <c r="A1044" s="187">
        <v>44375</v>
      </c>
      <c r="B1044" s="188" t="s">
        <v>539</v>
      </c>
      <c r="C1044" s="188" t="s">
        <v>485</v>
      </c>
      <c r="D1044" s="188"/>
      <c r="E1044" s="188" t="str">
        <f t="shared" si="682"/>
        <v>JSL</v>
      </c>
      <c r="F1044" s="188"/>
      <c r="G1044" s="188"/>
      <c r="H1044" s="188"/>
      <c r="I1044" s="188" t="s">
        <v>668</v>
      </c>
      <c r="J1044" s="188" t="s">
        <v>483</v>
      </c>
      <c r="K1044" s="188"/>
      <c r="L1044" s="188"/>
      <c r="M1044" s="189">
        <v>200</v>
      </c>
      <c r="N1044" s="190">
        <v>107.5</v>
      </c>
      <c r="O1044" s="191">
        <v>108.3</v>
      </c>
      <c r="P1044" s="192">
        <f t="shared" si="705"/>
        <v>6.45</v>
      </c>
      <c r="Q1044" s="192">
        <f t="shared" si="706"/>
        <v>6.5</v>
      </c>
      <c r="R1044" s="193">
        <f t="shared" si="685"/>
        <v>43160</v>
      </c>
      <c r="S1044" s="193">
        <f t="shared" si="686"/>
        <v>159.99999999999943</v>
      </c>
      <c r="T1044" s="193">
        <f t="shared" si="753"/>
        <v>12.95</v>
      </c>
      <c r="U1044" s="193">
        <f t="shared" si="707"/>
        <v>2.5499999999999998</v>
      </c>
      <c r="V1044" s="193">
        <f t="shared" si="734"/>
        <v>5.42</v>
      </c>
      <c r="W1044" s="193">
        <f t="shared" si="735"/>
        <v>0.65</v>
      </c>
      <c r="X1044" s="193">
        <f t="shared" si="756"/>
        <v>1.19</v>
      </c>
      <c r="Y1044" s="193">
        <f t="shared" si="750"/>
        <v>0</v>
      </c>
      <c r="Z1044" s="193">
        <f t="shared" si="692"/>
        <v>22.76</v>
      </c>
      <c r="AA1044" s="194">
        <f t="shared" si="693"/>
        <v>137.24</v>
      </c>
      <c r="AB1044" s="195">
        <v>137</v>
      </c>
      <c r="AC1044" s="196">
        <f t="shared" si="694"/>
        <v>-0.24000000000000909</v>
      </c>
      <c r="AD1044" s="197">
        <f t="shared" si="695"/>
        <v>7.4418604651162526E-3</v>
      </c>
      <c r="AE1044" s="198">
        <f t="shared" si="696"/>
        <v>5.2700000000000002E-4</v>
      </c>
      <c r="AF1044" s="193"/>
      <c r="AG1044" s="199" t="s">
        <v>416</v>
      </c>
      <c r="AH1044" s="124"/>
    </row>
    <row r="1045" spans="1:34" ht="12" hidden="1" customHeight="1">
      <c r="A1045" s="187">
        <v>44376</v>
      </c>
      <c r="B1045" s="188" t="s">
        <v>495</v>
      </c>
      <c r="C1045" s="188" t="s">
        <v>485</v>
      </c>
      <c r="D1045" s="188"/>
      <c r="E1045" s="188" t="str">
        <f t="shared" si="682"/>
        <v>SAIL</v>
      </c>
      <c r="F1045" s="188"/>
      <c r="G1045" s="188"/>
      <c r="H1045" s="188"/>
      <c r="I1045" s="188" t="s">
        <v>668</v>
      </c>
      <c r="J1045" s="188" t="s">
        <v>483</v>
      </c>
      <c r="K1045" s="188"/>
      <c r="L1045" s="188"/>
      <c r="M1045" s="189">
        <v>100</v>
      </c>
      <c r="N1045" s="190">
        <v>132</v>
      </c>
      <c r="O1045" s="191">
        <v>133.75</v>
      </c>
      <c r="P1045" s="192">
        <f t="shared" si="705"/>
        <v>3.96</v>
      </c>
      <c r="Q1045" s="192">
        <f t="shared" si="706"/>
        <v>4.01</v>
      </c>
      <c r="R1045" s="193">
        <f t="shared" si="685"/>
        <v>26575</v>
      </c>
      <c r="S1045" s="193">
        <f t="shared" si="686"/>
        <v>175</v>
      </c>
      <c r="T1045" s="193">
        <f t="shared" si="753"/>
        <v>7.97</v>
      </c>
      <c r="U1045" s="193">
        <f t="shared" si="707"/>
        <v>1.57</v>
      </c>
      <c r="V1045" s="193">
        <f t="shared" si="734"/>
        <v>3.34</v>
      </c>
      <c r="W1045" s="193">
        <f t="shared" si="735"/>
        <v>0.4</v>
      </c>
      <c r="X1045" s="193">
        <f t="shared" si="756"/>
        <v>0.73</v>
      </c>
      <c r="Y1045" s="193">
        <f t="shared" si="750"/>
        <v>0</v>
      </c>
      <c r="Z1045" s="193">
        <f t="shared" si="692"/>
        <v>14.01</v>
      </c>
      <c r="AA1045" s="194">
        <f t="shared" si="693"/>
        <v>160.99</v>
      </c>
      <c r="AB1045" s="195">
        <f>161+0.92</f>
        <v>161.91999999999999</v>
      </c>
      <c r="AC1045" s="196">
        <f t="shared" si="694"/>
        <v>0.9299999999999784</v>
      </c>
      <c r="AD1045" s="197">
        <f t="shared" si="695"/>
        <v>1.3257575757575758E-2</v>
      </c>
      <c r="AE1045" s="198">
        <f t="shared" si="696"/>
        <v>5.2700000000000002E-4</v>
      </c>
      <c r="AF1045" s="193"/>
      <c r="AG1045" s="199" t="s">
        <v>416</v>
      </c>
      <c r="AH1045" s="124"/>
    </row>
    <row r="1046" spans="1:34" ht="12" hidden="1" customHeight="1">
      <c r="A1046" s="187">
        <v>44376</v>
      </c>
      <c r="B1046" s="188" t="s">
        <v>539</v>
      </c>
      <c r="C1046" s="188" t="s">
        <v>485</v>
      </c>
      <c r="D1046" s="188"/>
      <c r="E1046" s="188" t="str">
        <f t="shared" si="682"/>
        <v>JSL</v>
      </c>
      <c r="F1046" s="188"/>
      <c r="G1046" s="188"/>
      <c r="H1046" s="188"/>
      <c r="I1046" s="188" t="s">
        <v>668</v>
      </c>
      <c r="J1046" s="188" t="s">
        <v>483</v>
      </c>
      <c r="K1046" s="188"/>
      <c r="L1046" s="188"/>
      <c r="M1046" s="189">
        <v>400</v>
      </c>
      <c r="N1046" s="190">
        <v>107.625</v>
      </c>
      <c r="O1046" s="191">
        <v>108.375</v>
      </c>
      <c r="P1046" s="192">
        <f t="shared" si="705"/>
        <v>12.92</v>
      </c>
      <c r="Q1046" s="192">
        <f t="shared" si="706"/>
        <v>13.01</v>
      </c>
      <c r="R1046" s="193">
        <f t="shared" si="685"/>
        <v>86400</v>
      </c>
      <c r="S1046" s="193">
        <f t="shared" si="686"/>
        <v>300</v>
      </c>
      <c r="T1046" s="193">
        <f t="shared" si="753"/>
        <v>25.93</v>
      </c>
      <c r="U1046" s="193">
        <f t="shared" si="707"/>
        <v>5.0999999999999996</v>
      </c>
      <c r="V1046" s="193">
        <f t="shared" si="734"/>
        <v>10.84</v>
      </c>
      <c r="W1046" s="193">
        <f t="shared" si="735"/>
        <v>1.29</v>
      </c>
      <c r="X1046" s="193">
        <f t="shared" si="756"/>
        <v>2.38</v>
      </c>
      <c r="Y1046" s="193">
        <f t="shared" si="750"/>
        <v>0</v>
      </c>
      <c r="Z1046" s="193">
        <f t="shared" si="692"/>
        <v>45.540000000000006</v>
      </c>
      <c r="AA1046" s="194">
        <f t="shared" si="693"/>
        <v>254.46</v>
      </c>
      <c r="AB1046" s="195">
        <v>254</v>
      </c>
      <c r="AC1046" s="196">
        <f t="shared" si="694"/>
        <v>-0.46000000000000796</v>
      </c>
      <c r="AD1046" s="197">
        <f t="shared" si="695"/>
        <v>6.9686411149825784E-3</v>
      </c>
      <c r="AE1046" s="198">
        <f t="shared" si="696"/>
        <v>5.2700000000000002E-4</v>
      </c>
      <c r="AF1046" s="193"/>
      <c r="AG1046" s="199" t="s">
        <v>416</v>
      </c>
      <c r="AH1046" s="124"/>
    </row>
    <row r="1047" spans="1:34" ht="12" hidden="1" customHeight="1">
      <c r="A1047" s="187">
        <v>44376</v>
      </c>
      <c r="B1047" s="188" t="s">
        <v>547</v>
      </c>
      <c r="C1047" s="188" t="s">
        <v>485</v>
      </c>
      <c r="D1047" s="188"/>
      <c r="E1047" s="188" t="str">
        <f t="shared" si="682"/>
        <v>NCC</v>
      </c>
      <c r="F1047" s="188"/>
      <c r="G1047" s="188"/>
      <c r="H1047" s="188"/>
      <c r="I1047" s="188" t="s">
        <v>668</v>
      </c>
      <c r="J1047" s="188" t="s">
        <v>483</v>
      </c>
      <c r="K1047" s="188"/>
      <c r="L1047" s="188"/>
      <c r="M1047" s="189">
        <v>200</v>
      </c>
      <c r="N1047" s="190">
        <v>85.5</v>
      </c>
      <c r="O1047" s="191">
        <v>86.25</v>
      </c>
      <c r="P1047" s="192">
        <f t="shared" si="705"/>
        <v>5.13</v>
      </c>
      <c r="Q1047" s="192">
        <f t="shared" si="706"/>
        <v>5.18</v>
      </c>
      <c r="R1047" s="193">
        <f t="shared" si="685"/>
        <v>34350</v>
      </c>
      <c r="S1047" s="193">
        <f t="shared" si="686"/>
        <v>150</v>
      </c>
      <c r="T1047" s="193">
        <f t="shared" si="753"/>
        <v>10.31</v>
      </c>
      <c r="U1047" s="193">
        <f t="shared" si="707"/>
        <v>2.0299999999999998</v>
      </c>
      <c r="V1047" s="193">
        <f t="shared" si="734"/>
        <v>4.3099999999999996</v>
      </c>
      <c r="W1047" s="193">
        <f t="shared" si="735"/>
        <v>0.51</v>
      </c>
      <c r="X1047" s="193">
        <f t="shared" si="756"/>
        <v>0.94</v>
      </c>
      <c r="Y1047" s="193">
        <f t="shared" si="750"/>
        <v>0</v>
      </c>
      <c r="Z1047" s="193">
        <f t="shared" si="692"/>
        <v>18.100000000000001</v>
      </c>
      <c r="AA1047" s="194">
        <f t="shared" si="693"/>
        <v>131.9</v>
      </c>
      <c r="AB1047" s="195">
        <v>132</v>
      </c>
      <c r="AC1047" s="196">
        <f t="shared" si="694"/>
        <v>9.9999999999994316E-2</v>
      </c>
      <c r="AD1047" s="197">
        <f t="shared" si="695"/>
        <v>8.771929824561403E-3</v>
      </c>
      <c r="AE1047" s="198">
        <f t="shared" si="696"/>
        <v>5.2700000000000002E-4</v>
      </c>
      <c r="AF1047" s="193"/>
      <c r="AG1047" s="199" t="s">
        <v>416</v>
      </c>
      <c r="AH1047" s="124"/>
    </row>
    <row r="1048" spans="1:34" ht="12" hidden="1" customHeight="1">
      <c r="A1048" s="187">
        <v>44377</v>
      </c>
      <c r="B1048" s="188" t="s">
        <v>495</v>
      </c>
      <c r="C1048" s="188" t="s">
        <v>485</v>
      </c>
      <c r="D1048" s="188"/>
      <c r="E1048" s="188" t="str">
        <f t="shared" si="682"/>
        <v>SAIL</v>
      </c>
      <c r="F1048" s="188"/>
      <c r="G1048" s="188"/>
      <c r="H1048" s="188"/>
      <c r="I1048" s="188" t="s">
        <v>668</v>
      </c>
      <c r="J1048" s="188" t="s">
        <v>483</v>
      </c>
      <c r="K1048" s="188"/>
      <c r="L1048" s="188"/>
      <c r="M1048" s="189">
        <v>100</v>
      </c>
      <c r="N1048" s="190">
        <v>132</v>
      </c>
      <c r="O1048" s="191">
        <v>133.25</v>
      </c>
      <c r="P1048" s="192">
        <f t="shared" si="705"/>
        <v>3.96</v>
      </c>
      <c r="Q1048" s="192">
        <f t="shared" si="706"/>
        <v>4</v>
      </c>
      <c r="R1048" s="193">
        <f t="shared" si="685"/>
        <v>26525</v>
      </c>
      <c r="S1048" s="193">
        <f t="shared" si="686"/>
        <v>125</v>
      </c>
      <c r="T1048" s="193">
        <f t="shared" si="753"/>
        <v>7.96</v>
      </c>
      <c r="U1048" s="193">
        <f t="shared" si="707"/>
        <v>1.56</v>
      </c>
      <c r="V1048" s="193">
        <f t="shared" si="734"/>
        <v>3.33</v>
      </c>
      <c r="W1048" s="193">
        <f t="shared" si="735"/>
        <v>0.4</v>
      </c>
      <c r="X1048" s="193">
        <f t="shared" si="756"/>
        <v>0.73</v>
      </c>
      <c r="Y1048" s="193">
        <f t="shared" si="750"/>
        <v>0</v>
      </c>
      <c r="Z1048" s="193">
        <f t="shared" si="692"/>
        <v>13.98</v>
      </c>
      <c r="AA1048" s="194">
        <f t="shared" si="693"/>
        <v>111.02</v>
      </c>
      <c r="AB1048" s="195">
        <f>111+0.59</f>
        <v>111.59</v>
      </c>
      <c r="AC1048" s="196">
        <f t="shared" si="694"/>
        <v>0.57000000000000739</v>
      </c>
      <c r="AD1048" s="197">
        <f t="shared" si="695"/>
        <v>9.46969696969697E-3</v>
      </c>
      <c r="AE1048" s="198">
        <f t="shared" si="696"/>
        <v>5.2700000000000002E-4</v>
      </c>
      <c r="AF1048" s="193"/>
      <c r="AG1048" s="199" t="s">
        <v>416</v>
      </c>
      <c r="AH1048" s="124"/>
    </row>
    <row r="1049" spans="1:34" ht="12" hidden="1" customHeight="1">
      <c r="A1049" s="187">
        <v>44377</v>
      </c>
      <c r="B1049" s="188" t="s">
        <v>539</v>
      </c>
      <c r="C1049" s="188" t="s">
        <v>485</v>
      </c>
      <c r="D1049" s="188"/>
      <c r="E1049" s="188" t="str">
        <f t="shared" si="682"/>
        <v>JSL</v>
      </c>
      <c r="F1049" s="188"/>
      <c r="G1049" s="188"/>
      <c r="H1049" s="188"/>
      <c r="I1049" s="188" t="s">
        <v>668</v>
      </c>
      <c r="J1049" s="188" t="s">
        <v>483</v>
      </c>
      <c r="K1049" s="188"/>
      <c r="L1049" s="188"/>
      <c r="M1049" s="189">
        <v>200</v>
      </c>
      <c r="N1049" s="190">
        <v>110.72499999999999</v>
      </c>
      <c r="O1049" s="191">
        <v>111.375</v>
      </c>
      <c r="P1049" s="192">
        <f t="shared" si="705"/>
        <v>6.64</v>
      </c>
      <c r="Q1049" s="192">
        <f t="shared" si="706"/>
        <v>6.68</v>
      </c>
      <c r="R1049" s="193">
        <f t="shared" si="685"/>
        <v>44420</v>
      </c>
      <c r="S1049" s="193">
        <f t="shared" si="686"/>
        <v>130.00000000000114</v>
      </c>
      <c r="T1049" s="193">
        <f t="shared" si="753"/>
        <v>13.32</v>
      </c>
      <c r="U1049" s="193">
        <f t="shared" si="707"/>
        <v>2.62</v>
      </c>
      <c r="V1049" s="193">
        <f t="shared" si="734"/>
        <v>5.57</v>
      </c>
      <c r="W1049" s="193">
        <f t="shared" si="735"/>
        <v>0.66</v>
      </c>
      <c r="X1049" s="193">
        <f t="shared" si="756"/>
        <v>1.22</v>
      </c>
      <c r="Y1049" s="193">
        <f t="shared" si="750"/>
        <v>0</v>
      </c>
      <c r="Z1049" s="193">
        <f t="shared" si="692"/>
        <v>23.39</v>
      </c>
      <c r="AA1049" s="194">
        <f t="shared" si="693"/>
        <v>106.61</v>
      </c>
      <c r="AB1049" s="195">
        <v>107</v>
      </c>
      <c r="AC1049" s="196">
        <f t="shared" si="694"/>
        <v>0.39000000000000057</v>
      </c>
      <c r="AD1049" s="197">
        <f t="shared" si="695"/>
        <v>5.8703996387446892E-3</v>
      </c>
      <c r="AE1049" s="198">
        <f t="shared" si="696"/>
        <v>5.2700000000000002E-4</v>
      </c>
      <c r="AF1049" s="193"/>
      <c r="AG1049" s="199" t="s">
        <v>416</v>
      </c>
      <c r="AH1049" s="124"/>
    </row>
    <row r="1050" spans="1:34" ht="12" hidden="1" customHeight="1">
      <c r="A1050" s="187">
        <v>44378</v>
      </c>
      <c r="B1050" s="188" t="s">
        <v>557</v>
      </c>
      <c r="C1050" s="188" t="s">
        <v>485</v>
      </c>
      <c r="D1050" s="188"/>
      <c r="E1050" s="188" t="str">
        <f t="shared" si="682"/>
        <v>SKIPPER</v>
      </c>
      <c r="F1050" s="188"/>
      <c r="G1050" s="188"/>
      <c r="H1050" s="188"/>
      <c r="I1050" s="188" t="s">
        <v>668</v>
      </c>
      <c r="J1050" s="188" t="s">
        <v>483</v>
      </c>
      <c r="K1050" s="188"/>
      <c r="L1050" s="188"/>
      <c r="M1050" s="189">
        <v>100</v>
      </c>
      <c r="N1050" s="190">
        <v>90.2</v>
      </c>
      <c r="O1050" s="191">
        <v>91.9</v>
      </c>
      <c r="P1050" s="192">
        <f t="shared" si="705"/>
        <v>2.71</v>
      </c>
      <c r="Q1050" s="192">
        <f t="shared" si="706"/>
        <v>2.76</v>
      </c>
      <c r="R1050" s="193">
        <f t="shared" si="685"/>
        <v>18210</v>
      </c>
      <c r="S1050" s="193">
        <f t="shared" si="686"/>
        <v>170.00000000000028</v>
      </c>
      <c r="T1050" s="193">
        <f t="shared" si="753"/>
        <v>5.47</v>
      </c>
      <c r="U1050" s="193">
        <f t="shared" si="707"/>
        <v>1.07</v>
      </c>
      <c r="V1050" s="193">
        <f t="shared" si="734"/>
        <v>2.2999999999999998</v>
      </c>
      <c r="W1050" s="193">
        <f t="shared" si="735"/>
        <v>0.27</v>
      </c>
      <c r="X1050" s="193">
        <f t="shared" si="756"/>
        <v>0.5</v>
      </c>
      <c r="Y1050" s="193">
        <f t="shared" si="750"/>
        <v>0</v>
      </c>
      <c r="Z1050" s="193">
        <f t="shared" si="692"/>
        <v>9.61</v>
      </c>
      <c r="AA1050" s="194">
        <f t="shared" si="693"/>
        <v>160.38999999999999</v>
      </c>
      <c r="AB1050" s="195">
        <f>160-0.77</f>
        <v>159.22999999999999</v>
      </c>
      <c r="AC1050" s="196">
        <f t="shared" si="694"/>
        <v>-1.1599999999999966</v>
      </c>
      <c r="AD1050" s="197">
        <f t="shared" si="695"/>
        <v>1.8847006651884733E-2</v>
      </c>
      <c r="AE1050" s="198">
        <f t="shared" si="696"/>
        <v>5.2800000000000004E-4</v>
      </c>
      <c r="AF1050" s="193"/>
      <c r="AG1050" s="199" t="s">
        <v>416</v>
      </c>
      <c r="AH1050" s="124"/>
    </row>
    <row r="1051" spans="1:34" ht="12" hidden="1" customHeight="1">
      <c r="A1051" s="187">
        <v>44378</v>
      </c>
      <c r="B1051" s="188" t="s">
        <v>505</v>
      </c>
      <c r="C1051" s="188" t="s">
        <v>485</v>
      </c>
      <c r="D1051" s="188"/>
      <c r="E1051" s="188" t="str">
        <f t="shared" si="682"/>
        <v>CARBORUNIV</v>
      </c>
      <c r="F1051" s="188"/>
      <c r="G1051" s="188"/>
      <c r="H1051" s="188"/>
      <c r="I1051" s="188" t="s">
        <v>668</v>
      </c>
      <c r="J1051" s="188" t="s">
        <v>483</v>
      </c>
      <c r="K1051" s="188"/>
      <c r="L1051" s="188"/>
      <c r="M1051" s="189">
        <v>50</v>
      </c>
      <c r="N1051" s="190">
        <v>159</v>
      </c>
      <c r="O1051" s="191">
        <v>162</v>
      </c>
      <c r="P1051" s="192">
        <f t="shared" si="705"/>
        <v>2.39</v>
      </c>
      <c r="Q1051" s="192">
        <f t="shared" si="706"/>
        <v>2.4300000000000002</v>
      </c>
      <c r="R1051" s="193">
        <f t="shared" si="685"/>
        <v>16050</v>
      </c>
      <c r="S1051" s="193">
        <f t="shared" si="686"/>
        <v>150</v>
      </c>
      <c r="T1051" s="193">
        <f t="shared" si="753"/>
        <v>4.82</v>
      </c>
      <c r="U1051" s="193">
        <f t="shared" si="707"/>
        <v>0.95</v>
      </c>
      <c r="V1051" s="193">
        <f t="shared" si="734"/>
        <v>2.0299999999999998</v>
      </c>
      <c r="W1051" s="193">
        <f t="shared" si="735"/>
        <v>0.24</v>
      </c>
      <c r="X1051" s="193">
        <f t="shared" si="756"/>
        <v>0.44</v>
      </c>
      <c r="Y1051" s="193">
        <f t="shared" si="750"/>
        <v>0</v>
      </c>
      <c r="Z1051" s="193">
        <f t="shared" si="692"/>
        <v>8.48</v>
      </c>
      <c r="AA1051" s="194">
        <f t="shared" si="693"/>
        <v>141.52000000000001</v>
      </c>
      <c r="AB1051" s="195">
        <v>142</v>
      </c>
      <c r="AC1051" s="196">
        <f t="shared" si="694"/>
        <v>0.47999999999998977</v>
      </c>
      <c r="AD1051" s="197">
        <f t="shared" si="695"/>
        <v>1.8867924528301886E-2</v>
      </c>
      <c r="AE1051" s="198">
        <f t="shared" si="696"/>
        <v>5.2800000000000004E-4</v>
      </c>
      <c r="AF1051" s="193"/>
      <c r="AG1051" s="199" t="s">
        <v>416</v>
      </c>
      <c r="AH1051" s="124"/>
    </row>
    <row r="1052" spans="1:34" ht="12" hidden="1" customHeight="1">
      <c r="A1052" s="187">
        <v>44378</v>
      </c>
      <c r="B1052" s="188" t="s">
        <v>550</v>
      </c>
      <c r="C1052" s="188" t="s">
        <v>485</v>
      </c>
      <c r="D1052" s="188"/>
      <c r="E1052" s="188" t="str">
        <f t="shared" si="682"/>
        <v>SONACOMS</v>
      </c>
      <c r="F1052" s="188"/>
      <c r="G1052" s="188"/>
      <c r="H1052" s="188"/>
      <c r="I1052" s="188" t="s">
        <v>668</v>
      </c>
      <c r="J1052" s="188" t="s">
        <v>483</v>
      </c>
      <c r="K1052" s="188"/>
      <c r="L1052" s="188"/>
      <c r="M1052" s="189">
        <v>50</v>
      </c>
      <c r="N1052" s="190">
        <v>345</v>
      </c>
      <c r="O1052" s="191">
        <v>346</v>
      </c>
      <c r="P1052" s="192">
        <f t="shared" si="705"/>
        <v>5.18</v>
      </c>
      <c r="Q1052" s="192">
        <f t="shared" si="706"/>
        <v>5.19</v>
      </c>
      <c r="R1052" s="193">
        <f t="shared" si="685"/>
        <v>34550</v>
      </c>
      <c r="S1052" s="193">
        <f t="shared" si="686"/>
        <v>50</v>
      </c>
      <c r="T1052" s="193">
        <f t="shared" si="753"/>
        <v>10.37</v>
      </c>
      <c r="U1052" s="193">
        <f t="shared" si="707"/>
        <v>2.04</v>
      </c>
      <c r="V1052" s="193">
        <f t="shared" si="734"/>
        <v>4.33</v>
      </c>
      <c r="W1052" s="193">
        <f t="shared" si="735"/>
        <v>0.52</v>
      </c>
      <c r="X1052" s="193">
        <f t="shared" si="756"/>
        <v>0.95</v>
      </c>
      <c r="Y1052" s="193">
        <f t="shared" si="750"/>
        <v>0</v>
      </c>
      <c r="Z1052" s="193">
        <f t="shared" si="692"/>
        <v>18.21</v>
      </c>
      <c r="AA1052" s="194">
        <f t="shared" si="693"/>
        <v>31.79</v>
      </c>
      <c r="AB1052" s="195">
        <v>32</v>
      </c>
      <c r="AC1052" s="196">
        <f t="shared" si="694"/>
        <v>0.21000000000000085</v>
      </c>
      <c r="AD1052" s="197">
        <f t="shared" si="695"/>
        <v>2.8985507246376812E-3</v>
      </c>
      <c r="AE1052" s="198">
        <f t="shared" si="696"/>
        <v>5.2700000000000002E-4</v>
      </c>
      <c r="AF1052" s="193"/>
      <c r="AG1052" s="199" t="s">
        <v>416</v>
      </c>
      <c r="AH1052" s="124"/>
    </row>
    <row r="1053" spans="1:34" ht="12" hidden="1" customHeight="1">
      <c r="A1053" s="187">
        <v>44379</v>
      </c>
      <c r="B1053" s="188" t="s">
        <v>550</v>
      </c>
      <c r="C1053" s="188" t="s">
        <v>485</v>
      </c>
      <c r="D1053" s="188"/>
      <c r="E1053" s="188" t="str">
        <f t="shared" si="682"/>
        <v>SONACOMS</v>
      </c>
      <c r="F1053" s="188"/>
      <c r="G1053" s="188"/>
      <c r="H1053" s="188"/>
      <c r="I1053" s="188" t="s">
        <v>668</v>
      </c>
      <c r="J1053" s="188" t="s">
        <v>483</v>
      </c>
      <c r="K1053" s="188"/>
      <c r="L1053" s="188"/>
      <c r="M1053" s="189">
        <v>50</v>
      </c>
      <c r="N1053" s="190">
        <v>380</v>
      </c>
      <c r="O1053" s="191">
        <v>370</v>
      </c>
      <c r="P1053" s="192">
        <f t="shared" si="705"/>
        <v>5.7</v>
      </c>
      <c r="Q1053" s="192">
        <f t="shared" si="706"/>
        <v>5.55</v>
      </c>
      <c r="R1053" s="193">
        <f t="shared" si="685"/>
        <v>37500</v>
      </c>
      <c r="S1053" s="193">
        <f t="shared" si="686"/>
        <v>-500</v>
      </c>
      <c r="T1053" s="193">
        <f t="shared" si="753"/>
        <v>11.25</v>
      </c>
      <c r="U1053" s="193">
        <f t="shared" si="707"/>
        <v>2.21</v>
      </c>
      <c r="V1053" s="193">
        <f t="shared" si="734"/>
        <v>4.63</v>
      </c>
      <c r="W1053" s="193">
        <f t="shared" si="735"/>
        <v>0.56999999999999995</v>
      </c>
      <c r="X1053" s="193">
        <f t="shared" si="756"/>
        <v>1.03</v>
      </c>
      <c r="Y1053" s="193">
        <f t="shared" si="750"/>
        <v>0</v>
      </c>
      <c r="Z1053" s="193">
        <f t="shared" si="692"/>
        <v>19.690000000000001</v>
      </c>
      <c r="AA1053" s="194">
        <f t="shared" si="693"/>
        <v>-519.69000000000005</v>
      </c>
      <c r="AB1053" s="195">
        <v>-520.39</v>
      </c>
      <c r="AC1053" s="196">
        <f t="shared" si="694"/>
        <v>-0.69999999999993179</v>
      </c>
      <c r="AD1053" s="197">
        <f t="shared" si="695"/>
        <v>-2.6315789473684209E-2</v>
      </c>
      <c r="AE1053" s="198">
        <f t="shared" si="696"/>
        <v>5.2499999999999997E-4</v>
      </c>
      <c r="AF1053" s="193"/>
      <c r="AG1053" s="199" t="s">
        <v>416</v>
      </c>
      <c r="AH1053" s="124"/>
    </row>
    <row r="1054" spans="1:34" ht="12" hidden="1" customHeight="1">
      <c r="A1054" s="187">
        <v>44383</v>
      </c>
      <c r="B1054" s="188" t="s">
        <v>479</v>
      </c>
      <c r="C1054" s="188" t="s">
        <v>485</v>
      </c>
      <c r="D1054" s="188"/>
      <c r="E1054" s="188" t="str">
        <f t="shared" si="682"/>
        <v>TATAPOWER</v>
      </c>
      <c r="F1054" s="188"/>
      <c r="G1054" s="188"/>
      <c r="H1054" s="188"/>
      <c r="I1054" s="188" t="s">
        <v>668</v>
      </c>
      <c r="J1054" s="188" t="s">
        <v>483</v>
      </c>
      <c r="K1054" s="188"/>
      <c r="L1054" s="188"/>
      <c r="M1054" s="189">
        <v>50</v>
      </c>
      <c r="N1054" s="190">
        <v>125</v>
      </c>
      <c r="O1054" s="191">
        <v>125.8</v>
      </c>
      <c r="P1054" s="192">
        <f t="shared" si="705"/>
        <v>1.88</v>
      </c>
      <c r="Q1054" s="192">
        <f t="shared" si="706"/>
        <v>1.89</v>
      </c>
      <c r="R1054" s="193">
        <f t="shared" si="685"/>
        <v>12540</v>
      </c>
      <c r="S1054" s="193">
        <f t="shared" si="686"/>
        <v>39.999999999999858</v>
      </c>
      <c r="T1054" s="193">
        <f t="shared" si="753"/>
        <v>3.77</v>
      </c>
      <c r="U1054" s="193">
        <f t="shared" si="707"/>
        <v>0.76</v>
      </c>
      <c r="V1054" s="193">
        <f t="shared" si="734"/>
        <v>1.57</v>
      </c>
      <c r="W1054" s="193">
        <f t="shared" si="735"/>
        <v>0.19</v>
      </c>
      <c r="X1054" s="193">
        <f>ROUND(R1054*H$1820,2)</f>
        <v>0.43</v>
      </c>
      <c r="Y1054" s="193">
        <f t="shared" si="750"/>
        <v>0</v>
      </c>
      <c r="Z1054" s="193">
        <f t="shared" si="692"/>
        <v>6.7200000000000006</v>
      </c>
      <c r="AA1054" s="194">
        <f t="shared" si="693"/>
        <v>33.28</v>
      </c>
      <c r="AB1054" s="195">
        <v>34.660000000000004</v>
      </c>
      <c r="AC1054" s="196">
        <f t="shared" si="694"/>
        <v>1.3800000000000026</v>
      </c>
      <c r="AD1054" s="197">
        <f t="shared" si="695"/>
        <v>6.3999999999999769E-3</v>
      </c>
      <c r="AE1054" s="198">
        <f t="shared" si="696"/>
        <v>5.3600000000000002E-4</v>
      </c>
      <c r="AF1054" s="193"/>
      <c r="AG1054" s="199" t="s">
        <v>416</v>
      </c>
      <c r="AH1054" s="124"/>
    </row>
    <row r="1055" spans="1:34" ht="12" hidden="1" customHeight="1">
      <c r="A1055" s="187">
        <v>44393</v>
      </c>
      <c r="B1055" s="188" t="s">
        <v>636</v>
      </c>
      <c r="C1055" s="188" t="s">
        <v>485</v>
      </c>
      <c r="D1055" s="188"/>
      <c r="E1055" s="188" t="str">
        <f t="shared" si="682"/>
        <v>SHAKTIPUMP</v>
      </c>
      <c r="F1055" s="188"/>
      <c r="G1055" s="188"/>
      <c r="H1055" s="188"/>
      <c r="I1055" s="188" t="s">
        <v>668</v>
      </c>
      <c r="J1055" s="188" t="s">
        <v>483</v>
      </c>
      <c r="K1055" s="188"/>
      <c r="L1055" s="188"/>
      <c r="M1055" s="189">
        <v>5</v>
      </c>
      <c r="N1055" s="190">
        <v>845</v>
      </c>
      <c r="O1055" s="191">
        <v>855</v>
      </c>
      <c r="P1055" s="192">
        <f t="shared" si="705"/>
        <v>1.27</v>
      </c>
      <c r="Q1055" s="192">
        <f t="shared" si="706"/>
        <v>1.28</v>
      </c>
      <c r="R1055" s="193">
        <f t="shared" si="685"/>
        <v>8500</v>
      </c>
      <c r="S1055" s="193">
        <f t="shared" si="686"/>
        <v>50</v>
      </c>
      <c r="T1055" s="193">
        <f t="shared" si="753"/>
        <v>2.5499999999999998</v>
      </c>
      <c r="U1055" s="193">
        <f t="shared" si="707"/>
        <v>0.5</v>
      </c>
      <c r="V1055" s="193">
        <f t="shared" si="734"/>
        <v>1.07</v>
      </c>
      <c r="W1055" s="193">
        <f t="shared" si="735"/>
        <v>0.13</v>
      </c>
      <c r="X1055" s="193">
        <f t="shared" ref="X1055:X1056" si="757">ROUND(R1055*G$1820,2)</f>
        <v>0.23</v>
      </c>
      <c r="Y1055" s="193">
        <f t="shared" ref="Y1055:Y1427" si="758">ROUND(R1055*C$1826,2)</f>
        <v>0.01</v>
      </c>
      <c r="Z1055" s="193">
        <f t="shared" si="692"/>
        <v>4.49</v>
      </c>
      <c r="AA1055" s="194">
        <f t="shared" si="693"/>
        <v>45.51</v>
      </c>
      <c r="AB1055" s="195">
        <v>45.62</v>
      </c>
      <c r="AC1055" s="196">
        <f t="shared" si="694"/>
        <v>0.10999999999999943</v>
      </c>
      <c r="AD1055" s="197">
        <f t="shared" si="695"/>
        <v>1.1834319526627219E-2</v>
      </c>
      <c r="AE1055" s="198">
        <f t="shared" si="696"/>
        <v>5.2800000000000004E-4</v>
      </c>
      <c r="AF1055" s="193"/>
      <c r="AG1055" s="199" t="s">
        <v>416</v>
      </c>
      <c r="AH1055" s="124"/>
    </row>
    <row r="1056" spans="1:34" ht="12" hidden="1" customHeight="1">
      <c r="A1056" s="187">
        <v>44407</v>
      </c>
      <c r="B1056" s="188" t="s">
        <v>495</v>
      </c>
      <c r="C1056" s="188" t="s">
        <v>485</v>
      </c>
      <c r="D1056" s="188"/>
      <c r="E1056" s="188" t="str">
        <f t="shared" si="682"/>
        <v>SAIL</v>
      </c>
      <c r="F1056" s="188"/>
      <c r="G1056" s="188"/>
      <c r="H1056" s="188"/>
      <c r="I1056" s="188" t="s">
        <v>668</v>
      </c>
      <c r="J1056" s="188" t="s">
        <v>483</v>
      </c>
      <c r="K1056" s="188"/>
      <c r="L1056" s="188"/>
      <c r="M1056" s="189">
        <v>100</v>
      </c>
      <c r="N1056" s="190">
        <v>141.5</v>
      </c>
      <c r="O1056" s="191">
        <v>145</v>
      </c>
      <c r="P1056" s="192">
        <f t="shared" si="705"/>
        <v>4.25</v>
      </c>
      <c r="Q1056" s="192">
        <f t="shared" si="706"/>
        <v>4.3499999999999996</v>
      </c>
      <c r="R1056" s="193">
        <f t="shared" si="685"/>
        <v>28650</v>
      </c>
      <c r="S1056" s="193">
        <f t="shared" si="686"/>
        <v>350</v>
      </c>
      <c r="T1056" s="193">
        <f t="shared" si="753"/>
        <v>8.6</v>
      </c>
      <c r="U1056" s="193">
        <f t="shared" si="707"/>
        <v>1.69</v>
      </c>
      <c r="V1056" s="193">
        <f t="shared" si="734"/>
        <v>3.63</v>
      </c>
      <c r="W1056" s="193">
        <f t="shared" si="735"/>
        <v>0.42</v>
      </c>
      <c r="X1056" s="193">
        <f t="shared" si="757"/>
        <v>0.79</v>
      </c>
      <c r="Y1056" s="193">
        <f t="shared" si="758"/>
        <v>0.03</v>
      </c>
      <c r="Z1056" s="193">
        <f t="shared" si="692"/>
        <v>15.159999999999998</v>
      </c>
      <c r="AA1056" s="194">
        <f t="shared" si="693"/>
        <v>334.84</v>
      </c>
      <c r="AB1056" s="195">
        <v>334.55</v>
      </c>
      <c r="AC1056" s="196">
        <f t="shared" si="694"/>
        <v>-0.28999999999996362</v>
      </c>
      <c r="AD1056" s="197">
        <f t="shared" si="695"/>
        <v>2.4734982332155476E-2</v>
      </c>
      <c r="AE1056" s="198">
        <f t="shared" si="696"/>
        <v>5.2899999999999996E-4</v>
      </c>
      <c r="AF1056" s="193"/>
      <c r="AG1056" s="199" t="s">
        <v>416</v>
      </c>
      <c r="AH1056" s="124"/>
    </row>
    <row r="1057" spans="1:34" ht="12" hidden="1" customHeight="1">
      <c r="A1057" s="187">
        <v>44413</v>
      </c>
      <c r="B1057" s="188" t="s">
        <v>495</v>
      </c>
      <c r="C1057" s="188" t="s">
        <v>485</v>
      </c>
      <c r="D1057" s="188"/>
      <c r="E1057" s="188" t="str">
        <f t="shared" si="682"/>
        <v>SAIL</v>
      </c>
      <c r="F1057" s="188"/>
      <c r="G1057" s="188"/>
      <c r="H1057" s="188"/>
      <c r="I1057" s="188" t="s">
        <v>668</v>
      </c>
      <c r="J1057" s="188" t="s">
        <v>483</v>
      </c>
      <c r="K1057" s="188"/>
      <c r="L1057" s="188"/>
      <c r="M1057" s="189">
        <v>100</v>
      </c>
      <c r="N1057" s="190">
        <v>142.4</v>
      </c>
      <c r="O1057" s="191">
        <v>143.5</v>
      </c>
      <c r="P1057" s="192">
        <f t="shared" si="705"/>
        <v>4.2699999999999996</v>
      </c>
      <c r="Q1057" s="192">
        <f t="shared" si="706"/>
        <v>4.3099999999999996</v>
      </c>
      <c r="R1057" s="193">
        <f t="shared" si="685"/>
        <v>28590</v>
      </c>
      <c r="S1057" s="193">
        <f t="shared" si="686"/>
        <v>109.99999999999943</v>
      </c>
      <c r="T1057" s="193">
        <f t="shared" si="753"/>
        <v>8.58</v>
      </c>
      <c r="U1057" s="193">
        <f t="shared" si="707"/>
        <v>1.72</v>
      </c>
      <c r="V1057" s="193">
        <f t="shared" si="734"/>
        <v>3.59</v>
      </c>
      <c r="W1057" s="193">
        <f t="shared" si="735"/>
        <v>0.43</v>
      </c>
      <c r="X1057" s="193">
        <f>ROUND(R1057*H$1820,2)</f>
        <v>0.99</v>
      </c>
      <c r="Y1057" s="193">
        <f t="shared" si="758"/>
        <v>0.03</v>
      </c>
      <c r="Z1057" s="193">
        <f t="shared" si="692"/>
        <v>15.34</v>
      </c>
      <c r="AA1057" s="194">
        <f t="shared" si="693"/>
        <v>94.66</v>
      </c>
      <c r="AB1057" s="195">
        <v>94.68</v>
      </c>
      <c r="AC1057" s="196">
        <f t="shared" si="694"/>
        <v>2.0000000000010232E-2</v>
      </c>
      <c r="AD1057" s="197">
        <f t="shared" si="695"/>
        <v>7.7247191011235554E-3</v>
      </c>
      <c r="AE1057" s="198">
        <f t="shared" si="696"/>
        <v>5.3700000000000004E-4</v>
      </c>
      <c r="AF1057" s="193"/>
      <c r="AG1057" s="199" t="s">
        <v>416</v>
      </c>
      <c r="AH1057" s="124"/>
    </row>
    <row r="1058" spans="1:34" ht="12" hidden="1" customHeight="1">
      <c r="A1058" s="187">
        <v>44414</v>
      </c>
      <c r="B1058" s="188" t="s">
        <v>521</v>
      </c>
      <c r="C1058" s="188" t="s">
        <v>485</v>
      </c>
      <c r="D1058" s="188"/>
      <c r="E1058" s="188" t="str">
        <f t="shared" si="682"/>
        <v>IDEA</v>
      </c>
      <c r="F1058" s="188"/>
      <c r="G1058" s="188"/>
      <c r="H1058" s="188"/>
      <c r="I1058" s="188" t="s">
        <v>668</v>
      </c>
      <c r="J1058" s="188" t="s">
        <v>483</v>
      </c>
      <c r="K1058" s="188"/>
      <c r="L1058" s="188"/>
      <c r="M1058" s="189">
        <v>4000</v>
      </c>
      <c r="N1058" s="190">
        <v>7.15</v>
      </c>
      <c r="O1058" s="191">
        <v>7.1</v>
      </c>
      <c r="P1058" s="192">
        <f t="shared" si="705"/>
        <v>8.58</v>
      </c>
      <c r="Q1058" s="192">
        <f t="shared" si="706"/>
        <v>8.52</v>
      </c>
      <c r="R1058" s="193">
        <f t="shared" si="685"/>
        <v>57000</v>
      </c>
      <c r="S1058" s="193">
        <f t="shared" si="686"/>
        <v>-200.00000000000284</v>
      </c>
      <c r="T1058" s="193">
        <f t="shared" si="753"/>
        <v>17.100000000000001</v>
      </c>
      <c r="U1058" s="193">
        <f t="shared" si="707"/>
        <v>3.36</v>
      </c>
      <c r="V1058" s="193">
        <f t="shared" si="734"/>
        <v>7.1</v>
      </c>
      <c r="W1058" s="193">
        <f t="shared" si="735"/>
        <v>0.86</v>
      </c>
      <c r="X1058" s="193">
        <f t="shared" ref="X1058:X1061" si="759">ROUND(R1058*G$1820,2)</f>
        <v>1.57</v>
      </c>
      <c r="Y1058" s="193">
        <f t="shared" si="758"/>
        <v>0.06</v>
      </c>
      <c r="Z1058" s="193">
        <f t="shared" si="692"/>
        <v>30.05</v>
      </c>
      <c r="AA1058" s="194">
        <f t="shared" si="693"/>
        <v>-230.05</v>
      </c>
      <c r="AB1058" s="195">
        <v>-230.09</v>
      </c>
      <c r="AC1058" s="196">
        <f t="shared" si="694"/>
        <v>-3.9999999999992042E-2</v>
      </c>
      <c r="AD1058" s="197">
        <f t="shared" si="695"/>
        <v>-6.9930069930070919E-3</v>
      </c>
      <c r="AE1058" s="198">
        <f t="shared" si="696"/>
        <v>5.2700000000000002E-4</v>
      </c>
      <c r="AF1058" s="193"/>
      <c r="AG1058" s="199" t="s">
        <v>416</v>
      </c>
      <c r="AH1058" s="124"/>
    </row>
    <row r="1059" spans="1:34" ht="12" hidden="1" customHeight="1">
      <c r="A1059" s="187">
        <v>44439</v>
      </c>
      <c r="B1059" s="188" t="s">
        <v>564</v>
      </c>
      <c r="C1059" s="188" t="s">
        <v>485</v>
      </c>
      <c r="D1059" s="188"/>
      <c r="E1059" s="188" t="str">
        <f t="shared" si="682"/>
        <v>PNCINFRA</v>
      </c>
      <c r="F1059" s="188"/>
      <c r="G1059" s="188"/>
      <c r="H1059" s="188"/>
      <c r="I1059" s="188" t="s">
        <v>668</v>
      </c>
      <c r="J1059" s="188" t="s">
        <v>483</v>
      </c>
      <c r="K1059" s="188"/>
      <c r="L1059" s="188"/>
      <c r="M1059" s="189">
        <v>25</v>
      </c>
      <c r="N1059" s="190">
        <v>313</v>
      </c>
      <c r="O1059" s="191">
        <v>314</v>
      </c>
      <c r="P1059" s="192">
        <f t="shared" si="705"/>
        <v>2.35</v>
      </c>
      <c r="Q1059" s="192">
        <f t="shared" si="706"/>
        <v>2.36</v>
      </c>
      <c r="R1059" s="193">
        <f t="shared" si="685"/>
        <v>15675</v>
      </c>
      <c r="S1059" s="193">
        <f t="shared" si="686"/>
        <v>25</v>
      </c>
      <c r="T1059" s="193">
        <f t="shared" si="753"/>
        <v>4.71</v>
      </c>
      <c r="U1059" s="193">
        <f t="shared" si="707"/>
        <v>0.93</v>
      </c>
      <c r="V1059" s="193">
        <f t="shared" si="734"/>
        <v>1.96</v>
      </c>
      <c r="W1059" s="193">
        <f t="shared" si="735"/>
        <v>0.23</v>
      </c>
      <c r="X1059" s="193">
        <f t="shared" si="759"/>
        <v>0.43</v>
      </c>
      <c r="Y1059" s="193">
        <f t="shared" si="758"/>
        <v>0.02</v>
      </c>
      <c r="Z1059" s="193">
        <f t="shared" si="692"/>
        <v>8.2799999999999994</v>
      </c>
      <c r="AA1059" s="194">
        <f t="shared" si="693"/>
        <v>16.72</v>
      </c>
      <c r="AB1059" s="195">
        <v>16.5</v>
      </c>
      <c r="AC1059" s="196">
        <f t="shared" si="694"/>
        <v>-0.21999999999999886</v>
      </c>
      <c r="AD1059" s="197">
        <f t="shared" si="695"/>
        <v>3.1948881789137379E-3</v>
      </c>
      <c r="AE1059" s="198">
        <f t="shared" si="696"/>
        <v>5.2800000000000004E-4</v>
      </c>
      <c r="AF1059" s="193"/>
      <c r="AG1059" s="199" t="s">
        <v>416</v>
      </c>
      <c r="AH1059" s="124"/>
    </row>
    <row r="1060" spans="1:34" ht="12" hidden="1" customHeight="1">
      <c r="A1060" s="187">
        <v>44440</v>
      </c>
      <c r="B1060" s="188" t="s">
        <v>564</v>
      </c>
      <c r="C1060" s="188" t="s">
        <v>485</v>
      </c>
      <c r="D1060" s="188"/>
      <c r="E1060" s="188" t="str">
        <f t="shared" si="682"/>
        <v>PNCINFRA</v>
      </c>
      <c r="F1060" s="188"/>
      <c r="G1060" s="188"/>
      <c r="H1060" s="188"/>
      <c r="I1060" s="188" t="s">
        <v>668</v>
      </c>
      <c r="J1060" s="188" t="s">
        <v>483</v>
      </c>
      <c r="K1060" s="188"/>
      <c r="L1060" s="188"/>
      <c r="M1060" s="189">
        <v>25</v>
      </c>
      <c r="N1060" s="190">
        <v>337</v>
      </c>
      <c r="O1060" s="191">
        <v>321.95</v>
      </c>
      <c r="P1060" s="192">
        <f t="shared" si="705"/>
        <v>2.5299999999999998</v>
      </c>
      <c r="Q1060" s="192">
        <f t="shared" si="706"/>
        <v>2.41</v>
      </c>
      <c r="R1060" s="193">
        <f t="shared" si="685"/>
        <v>16473.75</v>
      </c>
      <c r="S1060" s="193">
        <f t="shared" si="686"/>
        <v>-376.25000000000028</v>
      </c>
      <c r="T1060" s="193">
        <f t="shared" si="753"/>
        <v>4.9400000000000004</v>
      </c>
      <c r="U1060" s="193">
        <f t="shared" si="707"/>
        <v>0.97</v>
      </c>
      <c r="V1060" s="193">
        <f t="shared" si="734"/>
        <v>2.0099999999999998</v>
      </c>
      <c r="W1060" s="193">
        <f t="shared" si="735"/>
        <v>0.25</v>
      </c>
      <c r="X1060" s="193">
        <f t="shared" si="759"/>
        <v>0.45</v>
      </c>
      <c r="Y1060" s="193">
        <f t="shared" si="758"/>
        <v>0.02</v>
      </c>
      <c r="Z1060" s="193">
        <f t="shared" si="692"/>
        <v>8.6399999999999988</v>
      </c>
      <c r="AA1060" s="194">
        <f t="shared" si="693"/>
        <v>-384.89</v>
      </c>
      <c r="AB1060" s="195">
        <v>-385.16</v>
      </c>
      <c r="AC1060" s="196">
        <f t="shared" si="694"/>
        <v>-0.27000000000003865</v>
      </c>
      <c r="AD1060" s="197">
        <f t="shared" si="695"/>
        <v>-4.4658753709198848E-2</v>
      </c>
      <c r="AE1060" s="198">
        <f t="shared" si="696"/>
        <v>5.2400000000000005E-4</v>
      </c>
      <c r="AF1060" s="193"/>
      <c r="AG1060" s="199" t="s">
        <v>416</v>
      </c>
      <c r="AH1060" s="124"/>
    </row>
    <row r="1061" spans="1:34" ht="12" hidden="1" customHeight="1">
      <c r="A1061" s="187">
        <v>44441</v>
      </c>
      <c r="B1061" s="188" t="s">
        <v>521</v>
      </c>
      <c r="C1061" s="188" t="s">
        <v>485</v>
      </c>
      <c r="D1061" s="188"/>
      <c r="E1061" s="188" t="str">
        <f t="shared" si="682"/>
        <v>IDEA</v>
      </c>
      <c r="F1061" s="188"/>
      <c r="G1061" s="188"/>
      <c r="H1061" s="188"/>
      <c r="I1061" s="188" t="s">
        <v>668</v>
      </c>
      <c r="J1061" s="188" t="s">
        <v>483</v>
      </c>
      <c r="K1061" s="188"/>
      <c r="L1061" s="188"/>
      <c r="M1061" s="189">
        <v>16000</v>
      </c>
      <c r="N1061" s="190">
        <v>6.6749999999999998</v>
      </c>
      <c r="O1061" s="191">
        <v>6.5625</v>
      </c>
      <c r="P1061" s="192">
        <f t="shared" si="705"/>
        <v>20</v>
      </c>
      <c r="Q1061" s="192">
        <f t="shared" si="706"/>
        <v>20</v>
      </c>
      <c r="R1061" s="193">
        <f t="shared" si="685"/>
        <v>211800</v>
      </c>
      <c r="S1061" s="193">
        <f t="shared" si="686"/>
        <v>-1799.9999999999973</v>
      </c>
      <c r="T1061" s="193">
        <v>63.54</v>
      </c>
      <c r="U1061" s="193">
        <f t="shared" si="707"/>
        <v>12.48</v>
      </c>
      <c r="V1061" s="193">
        <f t="shared" si="734"/>
        <v>26.25</v>
      </c>
      <c r="W1061" s="193">
        <f t="shared" si="735"/>
        <v>3.2</v>
      </c>
      <c r="X1061" s="193">
        <f t="shared" si="759"/>
        <v>5.82</v>
      </c>
      <c r="Y1061" s="193">
        <f t="shared" si="758"/>
        <v>0.21</v>
      </c>
      <c r="Z1061" s="193">
        <f t="shared" si="692"/>
        <v>111.49999999999999</v>
      </c>
      <c r="AA1061" s="194">
        <f t="shared" si="693"/>
        <v>-1911.5</v>
      </c>
      <c r="AB1061" s="195">
        <f>-1912+1.19</f>
        <v>-1910.81</v>
      </c>
      <c r="AC1061" s="196">
        <f t="shared" si="694"/>
        <v>0.69000000000005457</v>
      </c>
      <c r="AD1061" s="197">
        <f t="shared" si="695"/>
        <v>-1.6853932584269638E-2</v>
      </c>
      <c r="AE1061" s="198">
        <f t="shared" si="696"/>
        <v>5.2599999999999999E-4</v>
      </c>
      <c r="AF1061" s="193"/>
      <c r="AG1061" s="199" t="s">
        <v>416</v>
      </c>
      <c r="AH1061" s="124"/>
    </row>
    <row r="1062" spans="1:34" ht="12" hidden="1" customHeight="1">
      <c r="A1062" s="187">
        <v>44441</v>
      </c>
      <c r="B1062" s="188" t="s">
        <v>500</v>
      </c>
      <c r="C1062" s="188" t="s">
        <v>485</v>
      </c>
      <c r="D1062" s="188"/>
      <c r="E1062" s="188" t="str">
        <f t="shared" si="682"/>
        <v>CHOLAFIN</v>
      </c>
      <c r="F1062" s="188"/>
      <c r="G1062" s="188"/>
      <c r="H1062" s="188"/>
      <c r="I1062" s="188" t="s">
        <v>668</v>
      </c>
      <c r="J1062" s="188" t="s">
        <v>483</v>
      </c>
      <c r="K1062" s="188"/>
      <c r="L1062" s="188"/>
      <c r="M1062" s="189">
        <v>50</v>
      </c>
      <c r="N1062" s="190">
        <v>579.5</v>
      </c>
      <c r="O1062" s="191">
        <v>580</v>
      </c>
      <c r="P1062" s="192">
        <f t="shared" si="705"/>
        <v>8.69</v>
      </c>
      <c r="Q1062" s="192">
        <f t="shared" si="706"/>
        <v>8.6999999999999993</v>
      </c>
      <c r="R1062" s="193">
        <f t="shared" si="685"/>
        <v>57975</v>
      </c>
      <c r="S1062" s="193">
        <f t="shared" si="686"/>
        <v>25</v>
      </c>
      <c r="T1062" s="193">
        <f t="shared" ref="T1062:T1067" si="760">ROUND(P1062+Q1062,2)</f>
        <v>17.39</v>
      </c>
      <c r="U1062" s="193">
        <f t="shared" si="707"/>
        <v>3.49</v>
      </c>
      <c r="V1062" s="193">
        <f t="shared" si="734"/>
        <v>7.25</v>
      </c>
      <c r="W1062" s="193">
        <f t="shared" si="735"/>
        <v>0.87</v>
      </c>
      <c r="X1062" s="193">
        <f t="shared" ref="X1062:X1063" si="761">ROUND(R1062*H$1820,2)</f>
        <v>2</v>
      </c>
      <c r="Y1062" s="193">
        <f t="shared" si="758"/>
        <v>0.06</v>
      </c>
      <c r="Z1062" s="193">
        <f t="shared" si="692"/>
        <v>31.060000000000002</v>
      </c>
      <c r="AA1062" s="194">
        <f t="shared" si="693"/>
        <v>-6.06</v>
      </c>
      <c r="AB1062" s="195">
        <v>-6</v>
      </c>
      <c r="AC1062" s="196">
        <f t="shared" si="694"/>
        <v>5.9999999999999609E-2</v>
      </c>
      <c r="AD1062" s="197">
        <f t="shared" si="695"/>
        <v>8.6281276962899055E-4</v>
      </c>
      <c r="AE1062" s="198">
        <f t="shared" si="696"/>
        <v>5.3600000000000002E-4</v>
      </c>
      <c r="AF1062" s="193"/>
      <c r="AG1062" s="199" t="s">
        <v>416</v>
      </c>
      <c r="AH1062" s="124"/>
    </row>
    <row r="1063" spans="1:34" ht="12" hidden="1" customHeight="1">
      <c r="A1063" s="187">
        <v>44447</v>
      </c>
      <c r="B1063" s="188" t="s">
        <v>521</v>
      </c>
      <c r="C1063" s="188" t="s">
        <v>485</v>
      </c>
      <c r="D1063" s="188"/>
      <c r="E1063" s="188" t="str">
        <f t="shared" si="682"/>
        <v>IDEA</v>
      </c>
      <c r="F1063" s="188"/>
      <c r="G1063" s="188"/>
      <c r="H1063" s="188"/>
      <c r="I1063" s="188" t="s">
        <v>668</v>
      </c>
      <c r="J1063" s="188" t="s">
        <v>483</v>
      </c>
      <c r="K1063" s="188"/>
      <c r="L1063" s="188"/>
      <c r="M1063" s="189">
        <v>1000</v>
      </c>
      <c r="N1063" s="190">
        <v>8.68</v>
      </c>
      <c r="O1063" s="191">
        <v>8.75</v>
      </c>
      <c r="P1063" s="192">
        <f t="shared" si="705"/>
        <v>2.6</v>
      </c>
      <c r="Q1063" s="192">
        <f t="shared" si="706"/>
        <v>2.63</v>
      </c>
      <c r="R1063" s="193">
        <f t="shared" si="685"/>
        <v>17430</v>
      </c>
      <c r="S1063" s="193">
        <f t="shared" si="686"/>
        <v>70.000000000000284</v>
      </c>
      <c r="T1063" s="193">
        <f t="shared" si="760"/>
        <v>5.23</v>
      </c>
      <c r="U1063" s="193">
        <f t="shared" si="707"/>
        <v>1.05</v>
      </c>
      <c r="V1063" s="193">
        <f t="shared" si="734"/>
        <v>2.19</v>
      </c>
      <c r="W1063" s="193">
        <f t="shared" si="735"/>
        <v>0.26</v>
      </c>
      <c r="X1063" s="193">
        <f t="shared" si="761"/>
        <v>0.6</v>
      </c>
      <c r="Y1063" s="193">
        <f t="shared" si="758"/>
        <v>0.02</v>
      </c>
      <c r="Z1063" s="193">
        <f t="shared" si="692"/>
        <v>9.35</v>
      </c>
      <c r="AA1063" s="194">
        <f t="shared" si="693"/>
        <v>60.65</v>
      </c>
      <c r="AB1063" s="195">
        <v>61.1</v>
      </c>
      <c r="AC1063" s="196">
        <f t="shared" si="694"/>
        <v>0.45000000000000284</v>
      </c>
      <c r="AD1063" s="197">
        <f t="shared" si="695"/>
        <v>8.0645161290322908E-3</v>
      </c>
      <c r="AE1063" s="198">
        <f t="shared" si="696"/>
        <v>5.3600000000000002E-4</v>
      </c>
      <c r="AF1063" s="193"/>
      <c r="AG1063" s="199" t="s">
        <v>416</v>
      </c>
      <c r="AH1063" s="124"/>
    </row>
    <row r="1064" spans="1:34" ht="12" hidden="1" customHeight="1">
      <c r="A1064" s="187">
        <v>44453</v>
      </c>
      <c r="B1064" s="188" t="s">
        <v>567</v>
      </c>
      <c r="C1064" s="188" t="s">
        <v>485</v>
      </c>
      <c r="D1064" s="188"/>
      <c r="E1064" s="188" t="str">
        <f t="shared" si="682"/>
        <v>YESBANK</v>
      </c>
      <c r="F1064" s="188"/>
      <c r="G1064" s="188"/>
      <c r="H1064" s="188"/>
      <c r="I1064" s="188" t="s">
        <v>668</v>
      </c>
      <c r="J1064" s="188" t="s">
        <v>483</v>
      </c>
      <c r="K1064" s="188"/>
      <c r="L1064" s="188"/>
      <c r="M1064" s="189">
        <v>200</v>
      </c>
      <c r="N1064" s="190">
        <v>12.45</v>
      </c>
      <c r="O1064" s="191">
        <v>12.55</v>
      </c>
      <c r="P1064" s="192">
        <f t="shared" si="705"/>
        <v>0.75</v>
      </c>
      <c r="Q1064" s="192">
        <f t="shared" si="706"/>
        <v>0.75</v>
      </c>
      <c r="R1064" s="193">
        <f t="shared" si="685"/>
        <v>5000</v>
      </c>
      <c r="S1064" s="193">
        <f t="shared" si="686"/>
        <v>20.000000000000284</v>
      </c>
      <c r="T1064" s="193">
        <f t="shared" si="760"/>
        <v>1.5</v>
      </c>
      <c r="U1064" s="193">
        <f t="shared" si="707"/>
        <v>0.3</v>
      </c>
      <c r="V1064" s="193">
        <f t="shared" si="734"/>
        <v>0.63</v>
      </c>
      <c r="W1064" s="193">
        <f t="shared" si="735"/>
        <v>7.0000000000000007E-2</v>
      </c>
      <c r="X1064" s="193">
        <f t="shared" ref="X1064:X1065" si="762">ROUND(R1064*G$1820,2)</f>
        <v>0.14000000000000001</v>
      </c>
      <c r="Y1064" s="193">
        <f t="shared" si="758"/>
        <v>0.01</v>
      </c>
      <c r="Z1064" s="193">
        <f t="shared" si="692"/>
        <v>2.65</v>
      </c>
      <c r="AA1064" s="194">
        <f t="shared" si="693"/>
        <v>17.350000000000001</v>
      </c>
      <c r="AB1064" s="195">
        <v>17.059999999999999</v>
      </c>
      <c r="AC1064" s="196">
        <f t="shared" si="694"/>
        <v>-0.2900000000000027</v>
      </c>
      <c r="AD1064" s="197">
        <f t="shared" si="695"/>
        <v>8.0321285140563387E-3</v>
      </c>
      <c r="AE1064" s="198">
        <f t="shared" si="696"/>
        <v>5.2999999999999998E-4</v>
      </c>
      <c r="AF1064" s="193"/>
      <c r="AG1064" s="199" t="s">
        <v>416</v>
      </c>
      <c r="AH1064" s="124"/>
    </row>
    <row r="1065" spans="1:34" ht="12" hidden="1" customHeight="1">
      <c r="A1065" s="187">
        <v>44454</v>
      </c>
      <c r="B1065" s="188" t="s">
        <v>521</v>
      </c>
      <c r="C1065" s="188" t="s">
        <v>485</v>
      </c>
      <c r="D1065" s="188"/>
      <c r="E1065" s="188" t="str">
        <f t="shared" si="682"/>
        <v>IDEA</v>
      </c>
      <c r="F1065" s="188"/>
      <c r="G1065" s="188"/>
      <c r="H1065" s="188"/>
      <c r="I1065" s="188" t="s">
        <v>668</v>
      </c>
      <c r="J1065" s="188" t="s">
        <v>483</v>
      </c>
      <c r="K1065" s="188"/>
      <c r="L1065" s="188"/>
      <c r="M1065" s="189">
        <v>4000</v>
      </c>
      <c r="N1065" s="190">
        <v>9.0250000000000004</v>
      </c>
      <c r="O1065" s="191">
        <v>9.125</v>
      </c>
      <c r="P1065" s="192">
        <f t="shared" si="705"/>
        <v>10.83</v>
      </c>
      <c r="Q1065" s="192">
        <f t="shared" si="706"/>
        <v>10.95</v>
      </c>
      <c r="R1065" s="193">
        <f t="shared" si="685"/>
        <v>72600</v>
      </c>
      <c r="S1065" s="193">
        <f t="shared" si="686"/>
        <v>399.99999999999858</v>
      </c>
      <c r="T1065" s="193">
        <f t="shared" si="760"/>
        <v>21.78</v>
      </c>
      <c r="U1065" s="193">
        <f t="shared" si="707"/>
        <v>4.28</v>
      </c>
      <c r="V1065" s="193">
        <f t="shared" si="734"/>
        <v>9.1300000000000008</v>
      </c>
      <c r="W1065" s="193">
        <f t="shared" si="735"/>
        <v>1.08</v>
      </c>
      <c r="X1065" s="193">
        <f t="shared" si="762"/>
        <v>2</v>
      </c>
      <c r="Y1065" s="193">
        <f t="shared" si="758"/>
        <v>7.0000000000000007E-2</v>
      </c>
      <c r="Z1065" s="193">
        <f t="shared" si="692"/>
        <v>38.340000000000003</v>
      </c>
      <c r="AA1065" s="194">
        <f t="shared" si="693"/>
        <v>361.66</v>
      </c>
      <c r="AB1065" s="195">
        <f>362-0.84</f>
        <v>361.16</v>
      </c>
      <c r="AC1065" s="196">
        <f t="shared" si="694"/>
        <v>-0.5</v>
      </c>
      <c r="AD1065" s="197">
        <f t="shared" si="695"/>
        <v>1.1080332409972259E-2</v>
      </c>
      <c r="AE1065" s="198">
        <f t="shared" si="696"/>
        <v>5.2800000000000004E-4</v>
      </c>
      <c r="AF1065" s="193"/>
      <c r="AG1065" s="199" t="s">
        <v>416</v>
      </c>
      <c r="AH1065" s="124"/>
    </row>
    <row r="1066" spans="1:34" ht="12" hidden="1" customHeight="1">
      <c r="A1066" s="187">
        <v>44454</v>
      </c>
      <c r="B1066" s="188" t="s">
        <v>567</v>
      </c>
      <c r="C1066" s="188" t="s">
        <v>485</v>
      </c>
      <c r="D1066" s="188"/>
      <c r="E1066" s="188" t="str">
        <f t="shared" si="682"/>
        <v>YESBANK</v>
      </c>
      <c r="F1066" s="188"/>
      <c r="G1066" s="188"/>
      <c r="H1066" s="188"/>
      <c r="I1066" s="188" t="s">
        <v>668</v>
      </c>
      <c r="J1066" s="188" t="s">
        <v>483</v>
      </c>
      <c r="K1066" s="188"/>
      <c r="L1066" s="188"/>
      <c r="M1066" s="189">
        <v>200</v>
      </c>
      <c r="N1066" s="190">
        <v>12.75</v>
      </c>
      <c r="O1066" s="191">
        <v>12.7</v>
      </c>
      <c r="P1066" s="192">
        <f t="shared" si="705"/>
        <v>0.77</v>
      </c>
      <c r="Q1066" s="192">
        <f t="shared" si="706"/>
        <v>0.76</v>
      </c>
      <c r="R1066" s="193">
        <f t="shared" si="685"/>
        <v>5090</v>
      </c>
      <c r="S1066" s="193">
        <f t="shared" si="686"/>
        <v>-10.000000000000142</v>
      </c>
      <c r="T1066" s="193">
        <f t="shared" si="760"/>
        <v>1.53</v>
      </c>
      <c r="U1066" s="193">
        <f t="shared" si="707"/>
        <v>0.31</v>
      </c>
      <c r="V1066" s="193">
        <f t="shared" si="734"/>
        <v>0.64</v>
      </c>
      <c r="W1066" s="193">
        <f t="shared" si="735"/>
        <v>0.08</v>
      </c>
      <c r="X1066" s="193">
        <f t="shared" ref="X1066:X1068" si="763">ROUND(R1066*H$1820,2)</f>
        <v>0.18</v>
      </c>
      <c r="Y1066" s="193">
        <f t="shared" si="758"/>
        <v>0.01</v>
      </c>
      <c r="Z1066" s="193">
        <f t="shared" si="692"/>
        <v>2.75</v>
      </c>
      <c r="AA1066" s="194">
        <f t="shared" si="693"/>
        <v>-12.75</v>
      </c>
      <c r="AB1066" s="195">
        <v>-13</v>
      </c>
      <c r="AC1066" s="196">
        <f t="shared" si="694"/>
        <v>-0.25</v>
      </c>
      <c r="AD1066" s="197">
        <f t="shared" si="695"/>
        <v>-3.9215686274510358E-3</v>
      </c>
      <c r="AE1066" s="198">
        <f t="shared" si="696"/>
        <v>5.4000000000000001E-4</v>
      </c>
      <c r="AF1066" s="193"/>
      <c r="AG1066" s="199" t="s">
        <v>416</v>
      </c>
      <c r="AH1066" s="124"/>
    </row>
    <row r="1067" spans="1:34" ht="12" hidden="1" customHeight="1">
      <c r="A1067" s="187">
        <v>44454</v>
      </c>
      <c r="B1067" s="188" t="s">
        <v>578</v>
      </c>
      <c r="C1067" s="188" t="s">
        <v>485</v>
      </c>
      <c r="D1067" s="188"/>
      <c r="E1067" s="188" t="str">
        <f t="shared" si="682"/>
        <v>KTKBANK</v>
      </c>
      <c r="F1067" s="188"/>
      <c r="G1067" s="188"/>
      <c r="H1067" s="188"/>
      <c r="I1067" s="188" t="s">
        <v>668</v>
      </c>
      <c r="J1067" s="188" t="s">
        <v>483</v>
      </c>
      <c r="K1067" s="188"/>
      <c r="L1067" s="188"/>
      <c r="M1067" s="189">
        <v>50</v>
      </c>
      <c r="N1067" s="190">
        <v>72.599999999999994</v>
      </c>
      <c r="O1067" s="191">
        <v>73</v>
      </c>
      <c r="P1067" s="192">
        <f t="shared" si="705"/>
        <v>1.0900000000000001</v>
      </c>
      <c r="Q1067" s="192">
        <f t="shared" si="706"/>
        <v>1.1000000000000001</v>
      </c>
      <c r="R1067" s="193">
        <f t="shared" si="685"/>
        <v>7280</v>
      </c>
      <c r="S1067" s="193">
        <f t="shared" si="686"/>
        <v>20.000000000000284</v>
      </c>
      <c r="T1067" s="193">
        <f t="shared" si="760"/>
        <v>2.19</v>
      </c>
      <c r="U1067" s="193">
        <f t="shared" si="707"/>
        <v>0.44</v>
      </c>
      <c r="V1067" s="193">
        <f t="shared" si="734"/>
        <v>0.91</v>
      </c>
      <c r="W1067" s="193">
        <f t="shared" si="735"/>
        <v>0.11</v>
      </c>
      <c r="X1067" s="193">
        <f t="shared" si="763"/>
        <v>0.25</v>
      </c>
      <c r="Y1067" s="193">
        <f t="shared" si="758"/>
        <v>0.01</v>
      </c>
      <c r="Z1067" s="193">
        <f t="shared" si="692"/>
        <v>3.9099999999999997</v>
      </c>
      <c r="AA1067" s="194">
        <f t="shared" si="693"/>
        <v>16.09</v>
      </c>
      <c r="AB1067" s="195">
        <v>16</v>
      </c>
      <c r="AC1067" s="196">
        <f t="shared" si="694"/>
        <v>-8.9999999999999858E-2</v>
      </c>
      <c r="AD1067" s="197">
        <f t="shared" si="695"/>
        <v>5.509641873278316E-3</v>
      </c>
      <c r="AE1067" s="198">
        <f t="shared" si="696"/>
        <v>5.3700000000000004E-4</v>
      </c>
      <c r="AF1067" s="193"/>
      <c r="AG1067" s="199" t="s">
        <v>416</v>
      </c>
      <c r="AH1067" s="124"/>
    </row>
    <row r="1068" spans="1:34" ht="12" hidden="1" customHeight="1">
      <c r="A1068" s="187">
        <v>44455</v>
      </c>
      <c r="B1068" s="188" t="s">
        <v>521</v>
      </c>
      <c r="C1068" s="188" t="s">
        <v>485</v>
      </c>
      <c r="D1068" s="188"/>
      <c r="E1068" s="188" t="str">
        <f t="shared" si="682"/>
        <v>IDEA</v>
      </c>
      <c r="F1068" s="188"/>
      <c r="G1068" s="188"/>
      <c r="H1068" s="188"/>
      <c r="I1068" s="188" t="s">
        <v>668</v>
      </c>
      <c r="J1068" s="188" t="s">
        <v>483</v>
      </c>
      <c r="K1068" s="188"/>
      <c r="L1068" s="188"/>
      <c r="M1068" s="189">
        <v>7000</v>
      </c>
      <c r="N1068" s="190">
        <v>10.5143</v>
      </c>
      <c r="O1068" s="191">
        <v>10.25</v>
      </c>
      <c r="P1068" s="192">
        <f t="shared" si="705"/>
        <v>20</v>
      </c>
      <c r="Q1068" s="192">
        <f t="shared" si="706"/>
        <v>20</v>
      </c>
      <c r="R1068" s="193">
        <f t="shared" si="685"/>
        <v>145350.1</v>
      </c>
      <c r="S1068" s="193">
        <f t="shared" si="686"/>
        <v>-1850.1000000000029</v>
      </c>
      <c r="T1068" s="193">
        <v>43.61</v>
      </c>
      <c r="U1068" s="193">
        <f t="shared" si="707"/>
        <v>8.75</v>
      </c>
      <c r="V1068" s="193">
        <f t="shared" si="734"/>
        <v>17.940000000000001</v>
      </c>
      <c r="W1068" s="193">
        <f t="shared" si="735"/>
        <v>2.21</v>
      </c>
      <c r="X1068" s="193">
        <f t="shared" si="763"/>
        <v>5.01</v>
      </c>
      <c r="Y1068" s="193">
        <f t="shared" si="758"/>
        <v>0.15</v>
      </c>
      <c r="Z1068" s="193">
        <f t="shared" si="692"/>
        <v>77.67</v>
      </c>
      <c r="AA1068" s="194">
        <f t="shared" si="693"/>
        <v>-1927.77</v>
      </c>
      <c r="AB1068" s="195">
        <f>-1928+0.33</f>
        <v>-1927.67</v>
      </c>
      <c r="AC1068" s="196">
        <f t="shared" si="694"/>
        <v>9.9999999999909051E-2</v>
      </c>
      <c r="AD1068" s="197">
        <f t="shared" si="695"/>
        <v>-2.5137194107073265E-2</v>
      </c>
      <c r="AE1068" s="198">
        <f t="shared" si="696"/>
        <v>5.3399999999999997E-4</v>
      </c>
      <c r="AF1068" s="193"/>
      <c r="AG1068" s="199" t="s">
        <v>416</v>
      </c>
      <c r="AH1068" s="124"/>
    </row>
    <row r="1069" spans="1:34" ht="12" hidden="1" customHeight="1">
      <c r="A1069" s="187">
        <v>44455</v>
      </c>
      <c r="B1069" s="188" t="s">
        <v>533</v>
      </c>
      <c r="C1069" s="188" t="s">
        <v>485</v>
      </c>
      <c r="D1069" s="188"/>
      <c r="E1069" s="188" t="str">
        <f t="shared" si="682"/>
        <v>PNB</v>
      </c>
      <c r="F1069" s="188"/>
      <c r="G1069" s="188"/>
      <c r="H1069" s="188"/>
      <c r="I1069" s="188" t="s">
        <v>668</v>
      </c>
      <c r="J1069" s="188" t="s">
        <v>483</v>
      </c>
      <c r="K1069" s="188"/>
      <c r="L1069" s="188"/>
      <c r="M1069" s="189">
        <v>200</v>
      </c>
      <c r="N1069" s="190">
        <v>41.85</v>
      </c>
      <c r="O1069" s="191">
        <v>41.5</v>
      </c>
      <c r="P1069" s="192">
        <f t="shared" si="705"/>
        <v>2.5099999999999998</v>
      </c>
      <c r="Q1069" s="192">
        <f t="shared" si="706"/>
        <v>2.4900000000000002</v>
      </c>
      <c r="R1069" s="193">
        <f t="shared" si="685"/>
        <v>16670</v>
      </c>
      <c r="S1069" s="193">
        <f t="shared" si="686"/>
        <v>-70.000000000000284</v>
      </c>
      <c r="T1069" s="193">
        <f>ROUND(P1069+Q1069,2)+8</f>
        <v>13</v>
      </c>
      <c r="U1069" s="193">
        <f t="shared" si="707"/>
        <v>2.42</v>
      </c>
      <c r="V1069" s="193">
        <f t="shared" si="734"/>
        <v>2.08</v>
      </c>
      <c r="W1069" s="193">
        <f t="shared" si="735"/>
        <v>0.25</v>
      </c>
      <c r="X1069" s="193">
        <f>ROUND(R1069*G$1820,2)</f>
        <v>0.46</v>
      </c>
      <c r="Y1069" s="193">
        <f t="shared" si="758"/>
        <v>0.02</v>
      </c>
      <c r="Z1069" s="193">
        <f t="shared" si="692"/>
        <v>18.23</v>
      </c>
      <c r="AA1069" s="194">
        <f t="shared" si="693"/>
        <v>-88.23</v>
      </c>
      <c r="AB1069" s="195">
        <v>-88</v>
      </c>
      <c r="AC1069" s="196">
        <f t="shared" si="694"/>
        <v>0.23000000000000398</v>
      </c>
      <c r="AD1069" s="197">
        <f t="shared" si="695"/>
        <v>-8.3632019115890428E-3</v>
      </c>
      <c r="AE1069" s="198">
        <f t="shared" si="696"/>
        <v>1.0939999999999999E-3</v>
      </c>
      <c r="AF1069" s="193"/>
      <c r="AG1069" s="199" t="s">
        <v>416</v>
      </c>
      <c r="AH1069" s="124"/>
    </row>
    <row r="1070" spans="1:34" ht="12" hidden="1" customHeight="1">
      <c r="A1070" s="187">
        <v>44456</v>
      </c>
      <c r="B1070" s="188" t="s">
        <v>567</v>
      </c>
      <c r="C1070" s="188" t="s">
        <v>485</v>
      </c>
      <c r="D1070" s="188"/>
      <c r="E1070" s="188" t="str">
        <f t="shared" si="682"/>
        <v>YESBANK</v>
      </c>
      <c r="F1070" s="188"/>
      <c r="G1070" s="188"/>
      <c r="H1070" s="188"/>
      <c r="I1070" s="188" t="s">
        <v>668</v>
      </c>
      <c r="J1070" s="188" t="s">
        <v>483</v>
      </c>
      <c r="K1070" s="188"/>
      <c r="L1070" s="188"/>
      <c r="M1070" s="189">
        <v>200</v>
      </c>
      <c r="N1070" s="190">
        <v>13.475</v>
      </c>
      <c r="O1070" s="191">
        <v>13.35</v>
      </c>
      <c r="P1070" s="192">
        <f t="shared" si="705"/>
        <v>0.81</v>
      </c>
      <c r="Q1070" s="192">
        <f t="shared" si="706"/>
        <v>0.8</v>
      </c>
      <c r="R1070" s="193">
        <f t="shared" si="685"/>
        <v>5365</v>
      </c>
      <c r="S1070" s="193">
        <f t="shared" si="686"/>
        <v>-25</v>
      </c>
      <c r="T1070" s="193">
        <f t="shared" ref="T1070:T1081" si="764">ROUND(P1070+Q1070,2)</f>
        <v>1.61</v>
      </c>
      <c r="U1070" s="193">
        <f t="shared" si="707"/>
        <v>0.32</v>
      </c>
      <c r="V1070" s="193">
        <f t="shared" si="734"/>
        <v>0.67</v>
      </c>
      <c r="W1070" s="193">
        <f t="shared" si="735"/>
        <v>0.08</v>
      </c>
      <c r="X1070" s="193">
        <f>ROUND(R1070*H$1820,2)</f>
        <v>0.19</v>
      </c>
      <c r="Y1070" s="193">
        <f t="shared" si="758"/>
        <v>0.01</v>
      </c>
      <c r="Z1070" s="193">
        <f t="shared" si="692"/>
        <v>2.88</v>
      </c>
      <c r="AA1070" s="194">
        <f t="shared" si="693"/>
        <v>-27.88</v>
      </c>
      <c r="AB1070" s="195">
        <v>-27.65</v>
      </c>
      <c r="AC1070" s="196">
        <f t="shared" si="694"/>
        <v>0.23000000000000043</v>
      </c>
      <c r="AD1070" s="197">
        <f t="shared" si="695"/>
        <v>-9.2764378478664197E-3</v>
      </c>
      <c r="AE1070" s="198">
        <f t="shared" si="696"/>
        <v>5.3700000000000004E-4</v>
      </c>
      <c r="AF1070" s="193"/>
      <c r="AG1070" s="199" t="s">
        <v>416</v>
      </c>
      <c r="AH1070" s="124"/>
    </row>
    <row r="1071" spans="1:34" ht="12" hidden="1" customHeight="1">
      <c r="A1071" s="187">
        <v>44456</v>
      </c>
      <c r="B1071" s="188" t="s">
        <v>576</v>
      </c>
      <c r="C1071" s="188" t="s">
        <v>485</v>
      </c>
      <c r="D1071" s="188"/>
      <c r="E1071" s="188" t="str">
        <f t="shared" si="682"/>
        <v>CDSL</v>
      </c>
      <c r="F1071" s="188"/>
      <c r="G1071" s="188"/>
      <c r="H1071" s="188"/>
      <c r="I1071" s="188" t="s">
        <v>668</v>
      </c>
      <c r="J1071" s="188" t="s">
        <v>483</v>
      </c>
      <c r="K1071" s="188"/>
      <c r="L1071" s="188"/>
      <c r="M1071" s="189">
        <v>5</v>
      </c>
      <c r="N1071" s="190">
        <v>1350</v>
      </c>
      <c r="O1071" s="191">
        <v>1374</v>
      </c>
      <c r="P1071" s="192">
        <f t="shared" si="705"/>
        <v>2.0299999999999998</v>
      </c>
      <c r="Q1071" s="192">
        <f t="shared" si="706"/>
        <v>2.06</v>
      </c>
      <c r="R1071" s="193">
        <f t="shared" si="685"/>
        <v>13620</v>
      </c>
      <c r="S1071" s="193">
        <f t="shared" si="686"/>
        <v>120</v>
      </c>
      <c r="T1071" s="193">
        <f t="shared" si="764"/>
        <v>4.09</v>
      </c>
      <c r="U1071" s="193">
        <f t="shared" si="707"/>
        <v>0.8</v>
      </c>
      <c r="V1071" s="193">
        <f t="shared" si="734"/>
        <v>1.72</v>
      </c>
      <c r="W1071" s="193">
        <f t="shared" si="735"/>
        <v>0.2</v>
      </c>
      <c r="X1071" s="193">
        <f>ROUND(R1071*G$1820,2)</f>
        <v>0.37</v>
      </c>
      <c r="Y1071" s="193">
        <f t="shared" si="758"/>
        <v>0.01</v>
      </c>
      <c r="Z1071" s="193">
        <f t="shared" si="692"/>
        <v>7.1899999999999995</v>
      </c>
      <c r="AA1071" s="194">
        <f t="shared" si="693"/>
        <v>112.81</v>
      </c>
      <c r="AB1071" s="195">
        <v>105</v>
      </c>
      <c r="AC1071" s="196">
        <f t="shared" si="694"/>
        <v>-7.8100000000000023</v>
      </c>
      <c r="AD1071" s="197">
        <f t="shared" si="695"/>
        <v>1.7777777777777778E-2</v>
      </c>
      <c r="AE1071" s="198">
        <f t="shared" si="696"/>
        <v>5.2800000000000004E-4</v>
      </c>
      <c r="AF1071" s="193"/>
      <c r="AG1071" s="199" t="s">
        <v>416</v>
      </c>
      <c r="AH1071" s="124"/>
    </row>
    <row r="1072" spans="1:34" ht="12" hidden="1" customHeight="1">
      <c r="A1072" s="187">
        <v>44460</v>
      </c>
      <c r="B1072" s="188" t="s">
        <v>673</v>
      </c>
      <c r="C1072" s="188" t="s">
        <v>485</v>
      </c>
      <c r="D1072" s="188"/>
      <c r="E1072" s="188" t="str">
        <f t="shared" si="682"/>
        <v>JSWSTEEL</v>
      </c>
      <c r="F1072" s="188"/>
      <c r="G1072" s="188"/>
      <c r="H1072" s="188"/>
      <c r="I1072" s="188" t="s">
        <v>668</v>
      </c>
      <c r="J1072" s="188" t="s">
        <v>483</v>
      </c>
      <c r="K1072" s="188"/>
      <c r="L1072" s="188"/>
      <c r="M1072" s="189">
        <v>10</v>
      </c>
      <c r="N1072" s="190">
        <v>642</v>
      </c>
      <c r="O1072" s="191">
        <v>662</v>
      </c>
      <c r="P1072" s="192">
        <f t="shared" si="705"/>
        <v>1.93</v>
      </c>
      <c r="Q1072" s="192">
        <f t="shared" si="706"/>
        <v>1.99</v>
      </c>
      <c r="R1072" s="193">
        <f t="shared" si="685"/>
        <v>13040</v>
      </c>
      <c r="S1072" s="193">
        <f t="shared" si="686"/>
        <v>200</v>
      </c>
      <c r="T1072" s="193">
        <f t="shared" si="764"/>
        <v>3.92</v>
      </c>
      <c r="U1072" s="193">
        <f t="shared" si="707"/>
        <v>0.79</v>
      </c>
      <c r="V1072" s="193">
        <f t="shared" si="734"/>
        <v>1.66</v>
      </c>
      <c r="W1072" s="193">
        <f t="shared" si="735"/>
        <v>0.19</v>
      </c>
      <c r="X1072" s="193">
        <f t="shared" ref="X1072:X1074" si="765">ROUND(R1072*H$1820,2)</f>
        <v>0.45</v>
      </c>
      <c r="Y1072" s="193">
        <f t="shared" si="758"/>
        <v>0.01</v>
      </c>
      <c r="Z1072" s="193">
        <f t="shared" si="692"/>
        <v>7.0200000000000005</v>
      </c>
      <c r="AA1072" s="194">
        <f t="shared" si="693"/>
        <v>192.98</v>
      </c>
      <c r="AB1072" s="195">
        <f>193-0.75</f>
        <v>192.25</v>
      </c>
      <c r="AC1072" s="196">
        <f t="shared" si="694"/>
        <v>-0.72999999999998977</v>
      </c>
      <c r="AD1072" s="197">
        <f t="shared" si="695"/>
        <v>3.1152647975077882E-2</v>
      </c>
      <c r="AE1072" s="198">
        <f t="shared" si="696"/>
        <v>5.3799999999999996E-4</v>
      </c>
      <c r="AF1072" s="193"/>
      <c r="AG1072" s="199" t="s">
        <v>416</v>
      </c>
      <c r="AH1072" s="124"/>
    </row>
    <row r="1073" spans="1:34" ht="12" hidden="1" customHeight="1">
      <c r="A1073" s="187">
        <v>44460</v>
      </c>
      <c r="B1073" s="188" t="s">
        <v>495</v>
      </c>
      <c r="C1073" s="188" t="s">
        <v>485</v>
      </c>
      <c r="D1073" s="188"/>
      <c r="E1073" s="188" t="str">
        <f t="shared" si="682"/>
        <v>SAIL</v>
      </c>
      <c r="F1073" s="188"/>
      <c r="G1073" s="188"/>
      <c r="H1073" s="188"/>
      <c r="I1073" s="188" t="s">
        <v>668</v>
      </c>
      <c r="J1073" s="188" t="s">
        <v>483</v>
      </c>
      <c r="K1073" s="188"/>
      <c r="L1073" s="188"/>
      <c r="M1073" s="189">
        <v>50</v>
      </c>
      <c r="N1073" s="190">
        <v>105.5</v>
      </c>
      <c r="O1073" s="191">
        <v>109.2</v>
      </c>
      <c r="P1073" s="192">
        <f t="shared" si="705"/>
        <v>1.58</v>
      </c>
      <c r="Q1073" s="192">
        <f t="shared" si="706"/>
        <v>1.64</v>
      </c>
      <c r="R1073" s="193">
        <f t="shared" si="685"/>
        <v>10735</v>
      </c>
      <c r="S1073" s="193">
        <f t="shared" si="686"/>
        <v>185.00000000000014</v>
      </c>
      <c r="T1073" s="193">
        <f t="shared" si="764"/>
        <v>3.22</v>
      </c>
      <c r="U1073" s="193">
        <f t="shared" si="707"/>
        <v>0.65</v>
      </c>
      <c r="V1073" s="193">
        <f t="shared" si="734"/>
        <v>1.37</v>
      </c>
      <c r="W1073" s="193">
        <f t="shared" si="735"/>
        <v>0.16</v>
      </c>
      <c r="X1073" s="193">
        <f t="shared" si="765"/>
        <v>0.37</v>
      </c>
      <c r="Y1073" s="193">
        <f t="shared" si="758"/>
        <v>0.01</v>
      </c>
      <c r="Z1073" s="193">
        <f t="shared" si="692"/>
        <v>5.78</v>
      </c>
      <c r="AA1073" s="194">
        <f t="shared" si="693"/>
        <v>179.22</v>
      </c>
      <c r="AB1073" s="195">
        <v>179</v>
      </c>
      <c r="AC1073" s="196">
        <f t="shared" si="694"/>
        <v>-0.21999999999999886</v>
      </c>
      <c r="AD1073" s="197">
        <f t="shared" si="695"/>
        <v>3.5071090047393394E-2</v>
      </c>
      <c r="AE1073" s="198">
        <f t="shared" si="696"/>
        <v>5.3799999999999996E-4</v>
      </c>
      <c r="AF1073" s="193"/>
      <c r="AG1073" s="199" t="s">
        <v>416</v>
      </c>
      <c r="AH1073" s="124"/>
    </row>
    <row r="1074" spans="1:34" ht="12" hidden="1" customHeight="1">
      <c r="A1074" s="187">
        <v>44461</v>
      </c>
      <c r="B1074" s="188" t="s">
        <v>579</v>
      </c>
      <c r="C1074" s="188" t="s">
        <v>485</v>
      </c>
      <c r="D1074" s="188"/>
      <c r="E1074" s="188" t="str">
        <f t="shared" si="682"/>
        <v>INDIGO</v>
      </c>
      <c r="F1074" s="188"/>
      <c r="G1074" s="188"/>
      <c r="H1074" s="188"/>
      <c r="I1074" s="188" t="s">
        <v>668</v>
      </c>
      <c r="J1074" s="188" t="s">
        <v>483</v>
      </c>
      <c r="K1074" s="188"/>
      <c r="L1074" s="188"/>
      <c r="M1074" s="189">
        <v>5</v>
      </c>
      <c r="N1074" s="190">
        <v>2240</v>
      </c>
      <c r="O1074" s="191">
        <v>2280</v>
      </c>
      <c r="P1074" s="192">
        <f t="shared" si="705"/>
        <v>3.36</v>
      </c>
      <c r="Q1074" s="192">
        <f t="shared" si="706"/>
        <v>3.42</v>
      </c>
      <c r="R1074" s="193">
        <f t="shared" si="685"/>
        <v>22600</v>
      </c>
      <c r="S1074" s="193">
        <f t="shared" si="686"/>
        <v>200</v>
      </c>
      <c r="T1074" s="193">
        <f t="shared" si="764"/>
        <v>6.78</v>
      </c>
      <c r="U1074" s="193">
        <f t="shared" si="707"/>
        <v>1.36</v>
      </c>
      <c r="V1074" s="193">
        <f t="shared" si="734"/>
        <v>2.85</v>
      </c>
      <c r="W1074" s="193">
        <f t="shared" si="735"/>
        <v>0.34</v>
      </c>
      <c r="X1074" s="193">
        <f t="shared" si="765"/>
        <v>0.78</v>
      </c>
      <c r="Y1074" s="193">
        <f t="shared" si="758"/>
        <v>0.02</v>
      </c>
      <c r="Z1074" s="193">
        <f t="shared" si="692"/>
        <v>12.129999999999999</v>
      </c>
      <c r="AA1074" s="194">
        <f t="shared" si="693"/>
        <v>187.87</v>
      </c>
      <c r="AB1074" s="195">
        <v>187.15</v>
      </c>
      <c r="AC1074" s="196">
        <f t="shared" si="694"/>
        <v>-0.71999999999999886</v>
      </c>
      <c r="AD1074" s="197">
        <f t="shared" si="695"/>
        <v>1.7857142857142856E-2</v>
      </c>
      <c r="AE1074" s="198">
        <f t="shared" si="696"/>
        <v>5.3700000000000004E-4</v>
      </c>
      <c r="AF1074" s="193"/>
      <c r="AG1074" s="199" t="s">
        <v>416</v>
      </c>
      <c r="AH1074" s="124"/>
    </row>
    <row r="1075" spans="1:34" ht="12" hidden="1" customHeight="1">
      <c r="A1075" s="187">
        <v>44462</v>
      </c>
      <c r="B1075" s="188" t="s">
        <v>581</v>
      </c>
      <c r="C1075" s="188" t="s">
        <v>485</v>
      </c>
      <c r="D1075" s="188"/>
      <c r="E1075" s="188" t="str">
        <f t="shared" si="682"/>
        <v>MUTHOOTFIN</v>
      </c>
      <c r="F1075" s="188"/>
      <c r="G1075" s="188"/>
      <c r="H1075" s="188"/>
      <c r="I1075" s="188" t="s">
        <v>668</v>
      </c>
      <c r="J1075" s="188" t="s">
        <v>483</v>
      </c>
      <c r="K1075" s="188"/>
      <c r="L1075" s="188"/>
      <c r="M1075" s="189">
        <v>5</v>
      </c>
      <c r="N1075" s="190">
        <v>1523</v>
      </c>
      <c r="O1075" s="191">
        <v>1525</v>
      </c>
      <c r="P1075" s="192">
        <f t="shared" si="705"/>
        <v>2.2799999999999998</v>
      </c>
      <c r="Q1075" s="192">
        <f t="shared" si="706"/>
        <v>2.29</v>
      </c>
      <c r="R1075" s="193">
        <f t="shared" si="685"/>
        <v>15240</v>
      </c>
      <c r="S1075" s="193">
        <f t="shared" si="686"/>
        <v>10</v>
      </c>
      <c r="T1075" s="193">
        <f t="shared" si="764"/>
        <v>4.57</v>
      </c>
      <c r="U1075" s="193">
        <f t="shared" si="707"/>
        <v>0.9</v>
      </c>
      <c r="V1075" s="193">
        <f t="shared" si="734"/>
        <v>1.91</v>
      </c>
      <c r="W1075" s="193">
        <f t="shared" si="735"/>
        <v>0.23</v>
      </c>
      <c r="X1075" s="193">
        <f t="shared" ref="X1075:X1077" si="766">ROUND(R1075*G$1820,2)</f>
        <v>0.42</v>
      </c>
      <c r="Y1075" s="193">
        <f t="shared" si="758"/>
        <v>0.02</v>
      </c>
      <c r="Z1075" s="193">
        <f t="shared" si="692"/>
        <v>8.0500000000000007</v>
      </c>
      <c r="AA1075" s="194">
        <f t="shared" si="693"/>
        <v>1.95</v>
      </c>
      <c r="AB1075" s="195">
        <f>2-0.23</f>
        <v>1.77</v>
      </c>
      <c r="AC1075" s="196">
        <f t="shared" si="694"/>
        <v>-0.17999999999999994</v>
      </c>
      <c r="AD1075" s="197">
        <f t="shared" si="695"/>
        <v>1.3131976362442547E-3</v>
      </c>
      <c r="AE1075" s="198">
        <f t="shared" si="696"/>
        <v>5.2800000000000004E-4</v>
      </c>
      <c r="AF1075" s="193"/>
      <c r="AG1075" s="199" t="s">
        <v>416</v>
      </c>
      <c r="AH1075" s="124"/>
    </row>
    <row r="1076" spans="1:34" ht="12" hidden="1" customHeight="1">
      <c r="A1076" s="187">
        <v>44462</v>
      </c>
      <c r="B1076" s="188" t="s">
        <v>720</v>
      </c>
      <c r="C1076" s="188" t="s">
        <v>485</v>
      </c>
      <c r="D1076" s="188"/>
      <c r="E1076" s="188" t="str">
        <f t="shared" si="682"/>
        <v>GODREJCP</v>
      </c>
      <c r="F1076" s="188"/>
      <c r="G1076" s="188"/>
      <c r="H1076" s="188"/>
      <c r="I1076" s="188" t="s">
        <v>668</v>
      </c>
      <c r="J1076" s="188" t="s">
        <v>483</v>
      </c>
      <c r="K1076" s="188"/>
      <c r="L1076" s="188"/>
      <c r="M1076" s="189">
        <v>10</v>
      </c>
      <c r="N1076" s="190">
        <v>1058</v>
      </c>
      <c r="O1076" s="191">
        <v>1060</v>
      </c>
      <c r="P1076" s="192">
        <f t="shared" si="705"/>
        <v>3.17</v>
      </c>
      <c r="Q1076" s="192">
        <f t="shared" si="706"/>
        <v>3.18</v>
      </c>
      <c r="R1076" s="193">
        <f t="shared" si="685"/>
        <v>21180</v>
      </c>
      <c r="S1076" s="193">
        <f t="shared" si="686"/>
        <v>20</v>
      </c>
      <c r="T1076" s="193">
        <f t="shared" si="764"/>
        <v>6.35</v>
      </c>
      <c r="U1076" s="193">
        <f t="shared" si="707"/>
        <v>1.25</v>
      </c>
      <c r="V1076" s="193">
        <f t="shared" si="734"/>
        <v>2.65</v>
      </c>
      <c r="W1076" s="193">
        <f t="shared" si="735"/>
        <v>0.32</v>
      </c>
      <c r="X1076" s="193">
        <f t="shared" si="766"/>
        <v>0.57999999999999996</v>
      </c>
      <c r="Y1076" s="193">
        <f t="shared" si="758"/>
        <v>0.02</v>
      </c>
      <c r="Z1076" s="193">
        <f t="shared" si="692"/>
        <v>11.17</v>
      </c>
      <c r="AA1076" s="194">
        <f t="shared" si="693"/>
        <v>8.83</v>
      </c>
      <c r="AB1076" s="195">
        <v>9</v>
      </c>
      <c r="AC1076" s="196">
        <f t="shared" si="694"/>
        <v>0.16999999999999993</v>
      </c>
      <c r="AD1076" s="197">
        <f t="shared" si="695"/>
        <v>1.890359168241966E-3</v>
      </c>
      <c r="AE1076" s="198">
        <f t="shared" si="696"/>
        <v>5.2700000000000002E-4</v>
      </c>
      <c r="AF1076" s="193"/>
      <c r="AG1076" s="199" t="s">
        <v>416</v>
      </c>
      <c r="AH1076" s="124"/>
    </row>
    <row r="1077" spans="1:34" ht="12" hidden="1" customHeight="1">
      <c r="A1077" s="187">
        <v>44463</v>
      </c>
      <c r="B1077" s="188" t="s">
        <v>721</v>
      </c>
      <c r="C1077" s="188" t="s">
        <v>485</v>
      </c>
      <c r="D1077" s="188"/>
      <c r="E1077" s="188" t="str">
        <f t="shared" si="682"/>
        <v>CANFINHOME</v>
      </c>
      <c r="F1077" s="188"/>
      <c r="G1077" s="188"/>
      <c r="H1077" s="188"/>
      <c r="I1077" s="188" t="s">
        <v>668</v>
      </c>
      <c r="J1077" s="188" t="s">
        <v>483</v>
      </c>
      <c r="K1077" s="188"/>
      <c r="L1077" s="188"/>
      <c r="M1077" s="189">
        <v>10</v>
      </c>
      <c r="N1077" s="190">
        <v>662</v>
      </c>
      <c r="O1077" s="191">
        <v>660</v>
      </c>
      <c r="P1077" s="192">
        <f t="shared" si="705"/>
        <v>1.99</v>
      </c>
      <c r="Q1077" s="192">
        <f t="shared" si="706"/>
        <v>1.98</v>
      </c>
      <c r="R1077" s="193">
        <f t="shared" si="685"/>
        <v>13220</v>
      </c>
      <c r="S1077" s="193">
        <f t="shared" si="686"/>
        <v>-20</v>
      </c>
      <c r="T1077" s="193">
        <f t="shared" si="764"/>
        <v>3.97</v>
      </c>
      <c r="U1077" s="193">
        <f t="shared" si="707"/>
        <v>0.78</v>
      </c>
      <c r="V1077" s="193">
        <f t="shared" si="734"/>
        <v>1.65</v>
      </c>
      <c r="W1077" s="193">
        <f t="shared" si="735"/>
        <v>0.2</v>
      </c>
      <c r="X1077" s="193">
        <f t="shared" si="766"/>
        <v>0.36</v>
      </c>
      <c r="Y1077" s="193">
        <f t="shared" si="758"/>
        <v>0.01</v>
      </c>
      <c r="Z1077" s="193">
        <f t="shared" si="692"/>
        <v>6.9700000000000006</v>
      </c>
      <c r="AA1077" s="194">
        <f t="shared" si="693"/>
        <v>-26.97</v>
      </c>
      <c r="AB1077" s="195">
        <f>-27+0.05</f>
        <v>-26.95</v>
      </c>
      <c r="AC1077" s="196">
        <f t="shared" si="694"/>
        <v>1.9999999999999574E-2</v>
      </c>
      <c r="AD1077" s="197">
        <f t="shared" si="695"/>
        <v>-3.0211480362537764E-3</v>
      </c>
      <c r="AE1077" s="198">
        <f t="shared" si="696"/>
        <v>5.2700000000000002E-4</v>
      </c>
      <c r="AF1077" s="193"/>
      <c r="AG1077" s="199" t="s">
        <v>416</v>
      </c>
      <c r="AH1077" s="124"/>
    </row>
    <row r="1078" spans="1:34" ht="12" hidden="1" customHeight="1">
      <c r="A1078" s="187">
        <v>44463</v>
      </c>
      <c r="B1078" s="188" t="s">
        <v>579</v>
      </c>
      <c r="C1078" s="188" t="s">
        <v>485</v>
      </c>
      <c r="D1078" s="188"/>
      <c r="E1078" s="188" t="str">
        <f t="shared" si="682"/>
        <v>INDIGO</v>
      </c>
      <c r="F1078" s="188"/>
      <c r="G1078" s="188"/>
      <c r="H1078" s="188"/>
      <c r="I1078" s="188" t="s">
        <v>668</v>
      </c>
      <c r="J1078" s="188" t="s">
        <v>483</v>
      </c>
      <c r="K1078" s="188"/>
      <c r="L1078" s="188"/>
      <c r="M1078" s="189">
        <v>5</v>
      </c>
      <c r="N1078" s="190">
        <v>2145</v>
      </c>
      <c r="O1078" s="191">
        <v>2148</v>
      </c>
      <c r="P1078" s="192">
        <f t="shared" si="705"/>
        <v>3.22</v>
      </c>
      <c r="Q1078" s="192">
        <f t="shared" si="706"/>
        <v>3.22</v>
      </c>
      <c r="R1078" s="193">
        <f t="shared" si="685"/>
        <v>21465</v>
      </c>
      <c r="S1078" s="193">
        <f t="shared" si="686"/>
        <v>15</v>
      </c>
      <c r="T1078" s="193">
        <f t="shared" si="764"/>
        <v>6.44</v>
      </c>
      <c r="U1078" s="193">
        <f t="shared" si="707"/>
        <v>1.29</v>
      </c>
      <c r="V1078" s="193">
        <f t="shared" si="734"/>
        <v>2.69</v>
      </c>
      <c r="W1078" s="193">
        <f t="shared" si="735"/>
        <v>0.32</v>
      </c>
      <c r="X1078" s="193">
        <f t="shared" ref="X1078:X1080" si="767">ROUND(R1078*H$1820,2)</f>
        <v>0.74</v>
      </c>
      <c r="Y1078" s="193">
        <f t="shared" si="758"/>
        <v>0.02</v>
      </c>
      <c r="Z1078" s="193">
        <f t="shared" si="692"/>
        <v>11.5</v>
      </c>
      <c r="AA1078" s="194">
        <f t="shared" si="693"/>
        <v>3.5</v>
      </c>
      <c r="AB1078" s="195">
        <v>4</v>
      </c>
      <c r="AC1078" s="196">
        <f t="shared" si="694"/>
        <v>0.5</v>
      </c>
      <c r="AD1078" s="197">
        <f t="shared" si="695"/>
        <v>1.3986013986013986E-3</v>
      </c>
      <c r="AE1078" s="198">
        <f t="shared" si="696"/>
        <v>5.3600000000000002E-4</v>
      </c>
      <c r="AF1078" s="193"/>
      <c r="AG1078" s="199" t="s">
        <v>416</v>
      </c>
      <c r="AH1078" s="124"/>
    </row>
    <row r="1079" spans="1:34" ht="12" hidden="1" customHeight="1">
      <c r="A1079" s="187">
        <v>44463</v>
      </c>
      <c r="B1079" s="188" t="s">
        <v>581</v>
      </c>
      <c r="C1079" s="188" t="s">
        <v>485</v>
      </c>
      <c r="D1079" s="188"/>
      <c r="E1079" s="188" t="str">
        <f t="shared" si="682"/>
        <v>MUTHOOTFIN</v>
      </c>
      <c r="F1079" s="188"/>
      <c r="G1079" s="188"/>
      <c r="H1079" s="188"/>
      <c r="I1079" s="188" t="s">
        <v>668</v>
      </c>
      <c r="J1079" s="188" t="s">
        <v>483</v>
      </c>
      <c r="K1079" s="188"/>
      <c r="L1079" s="188"/>
      <c r="M1079" s="189">
        <v>5</v>
      </c>
      <c r="N1079" s="190">
        <v>1500</v>
      </c>
      <c r="O1079" s="191">
        <v>1505</v>
      </c>
      <c r="P1079" s="192">
        <f t="shared" si="705"/>
        <v>2.25</v>
      </c>
      <c r="Q1079" s="192">
        <f t="shared" si="706"/>
        <v>2.2599999999999998</v>
      </c>
      <c r="R1079" s="193">
        <f t="shared" si="685"/>
        <v>15025</v>
      </c>
      <c r="S1079" s="193">
        <f t="shared" si="686"/>
        <v>25</v>
      </c>
      <c r="T1079" s="193">
        <f t="shared" si="764"/>
        <v>4.51</v>
      </c>
      <c r="U1079" s="193">
        <f t="shared" si="707"/>
        <v>0.91</v>
      </c>
      <c r="V1079" s="193">
        <f t="shared" si="734"/>
        <v>1.88</v>
      </c>
      <c r="W1079" s="193">
        <f t="shared" si="735"/>
        <v>0.23</v>
      </c>
      <c r="X1079" s="193">
        <f t="shared" si="767"/>
        <v>0.52</v>
      </c>
      <c r="Y1079" s="193">
        <f t="shared" si="758"/>
        <v>0.02</v>
      </c>
      <c r="Z1079" s="193">
        <f t="shared" si="692"/>
        <v>8.07</v>
      </c>
      <c r="AA1079" s="194">
        <f t="shared" si="693"/>
        <v>16.93</v>
      </c>
      <c r="AB1079" s="195">
        <v>17</v>
      </c>
      <c r="AC1079" s="196">
        <f t="shared" si="694"/>
        <v>7.0000000000000284E-2</v>
      </c>
      <c r="AD1079" s="197">
        <f t="shared" si="695"/>
        <v>3.3333333333333335E-3</v>
      </c>
      <c r="AE1079" s="198">
        <f t="shared" si="696"/>
        <v>5.3700000000000004E-4</v>
      </c>
      <c r="AF1079" s="193"/>
      <c r="AG1079" s="199" t="s">
        <v>416</v>
      </c>
      <c r="AH1079" s="124"/>
    </row>
    <row r="1080" spans="1:34" ht="12" hidden="1" customHeight="1">
      <c r="A1080" s="187">
        <v>44467</v>
      </c>
      <c r="B1080" s="188" t="s">
        <v>474</v>
      </c>
      <c r="C1080" s="188" t="s">
        <v>485</v>
      </c>
      <c r="D1080" s="188"/>
      <c r="E1080" s="188" t="str">
        <f t="shared" si="682"/>
        <v>RELIANCE</v>
      </c>
      <c r="F1080" s="188"/>
      <c r="G1080" s="188"/>
      <c r="H1080" s="188"/>
      <c r="I1080" s="188" t="s">
        <v>668</v>
      </c>
      <c r="J1080" s="188" t="s">
        <v>483</v>
      </c>
      <c r="K1080" s="188"/>
      <c r="L1080" s="188"/>
      <c r="M1080" s="189">
        <v>2</v>
      </c>
      <c r="N1080" s="190">
        <v>2525</v>
      </c>
      <c r="O1080" s="191">
        <v>2560</v>
      </c>
      <c r="P1080" s="192">
        <f t="shared" si="705"/>
        <v>1.52</v>
      </c>
      <c r="Q1080" s="192">
        <f t="shared" si="706"/>
        <v>1.54</v>
      </c>
      <c r="R1080" s="193">
        <f t="shared" si="685"/>
        <v>10170</v>
      </c>
      <c r="S1080" s="193">
        <f t="shared" si="686"/>
        <v>70</v>
      </c>
      <c r="T1080" s="193">
        <f t="shared" si="764"/>
        <v>3.06</v>
      </c>
      <c r="U1080" s="193">
        <f t="shared" si="707"/>
        <v>0.61</v>
      </c>
      <c r="V1080" s="193">
        <f t="shared" si="734"/>
        <v>1.28</v>
      </c>
      <c r="W1080" s="193">
        <f t="shared" si="735"/>
        <v>0.15</v>
      </c>
      <c r="X1080" s="193">
        <f t="shared" si="767"/>
        <v>0.35</v>
      </c>
      <c r="Y1080" s="193">
        <f t="shared" si="758"/>
        <v>0.01</v>
      </c>
      <c r="Z1080" s="193">
        <f t="shared" si="692"/>
        <v>5.46</v>
      </c>
      <c r="AA1080" s="194">
        <f t="shared" si="693"/>
        <v>64.540000000000006</v>
      </c>
      <c r="AB1080" s="195">
        <v>64.010000000000005</v>
      </c>
      <c r="AC1080" s="196">
        <f t="shared" si="694"/>
        <v>-0.53000000000000114</v>
      </c>
      <c r="AD1080" s="197">
        <f t="shared" si="695"/>
        <v>1.3861386138613862E-2</v>
      </c>
      <c r="AE1080" s="198">
        <f t="shared" si="696"/>
        <v>5.3700000000000004E-4</v>
      </c>
      <c r="AF1080" s="193"/>
      <c r="AG1080" s="199" t="s">
        <v>416</v>
      </c>
      <c r="AH1080" s="124"/>
    </row>
    <row r="1081" spans="1:34" ht="12" hidden="1" customHeight="1">
      <c r="A1081" s="187">
        <v>44468</v>
      </c>
      <c r="B1081" s="188" t="s">
        <v>704</v>
      </c>
      <c r="C1081" s="188" t="s">
        <v>485</v>
      </c>
      <c r="D1081" s="188"/>
      <c r="E1081" s="188" t="str">
        <f t="shared" si="682"/>
        <v>JINDALSTEL</v>
      </c>
      <c r="F1081" s="188"/>
      <c r="G1081" s="188"/>
      <c r="H1081" s="188"/>
      <c r="I1081" s="188" t="s">
        <v>668</v>
      </c>
      <c r="J1081" s="188" t="s">
        <v>483</v>
      </c>
      <c r="K1081" s="188"/>
      <c r="L1081" s="188"/>
      <c r="M1081" s="189">
        <v>15</v>
      </c>
      <c r="N1081" s="190">
        <v>369</v>
      </c>
      <c r="O1081" s="191">
        <v>384</v>
      </c>
      <c r="P1081" s="192">
        <f t="shared" si="705"/>
        <v>1.66</v>
      </c>
      <c r="Q1081" s="192">
        <f t="shared" si="706"/>
        <v>1.73</v>
      </c>
      <c r="R1081" s="193">
        <f t="shared" si="685"/>
        <v>11295</v>
      </c>
      <c r="S1081" s="193">
        <f t="shared" si="686"/>
        <v>225</v>
      </c>
      <c r="T1081" s="193">
        <f t="shared" si="764"/>
        <v>3.39</v>
      </c>
      <c r="U1081" s="193">
        <f t="shared" si="707"/>
        <v>0.67</v>
      </c>
      <c r="V1081" s="193">
        <f t="shared" si="734"/>
        <v>1.44</v>
      </c>
      <c r="W1081" s="193">
        <f t="shared" si="735"/>
        <v>0.17</v>
      </c>
      <c r="X1081" s="193">
        <f t="shared" ref="X1081:X1082" si="768">ROUND(R1081*G$1820,2)</f>
        <v>0.31</v>
      </c>
      <c r="Y1081" s="193">
        <f t="shared" si="758"/>
        <v>0.01</v>
      </c>
      <c r="Z1081" s="193">
        <f t="shared" si="692"/>
        <v>5.9899999999999993</v>
      </c>
      <c r="AA1081" s="194">
        <f t="shared" si="693"/>
        <v>219.01</v>
      </c>
      <c r="AB1081" s="195">
        <v>219.62</v>
      </c>
      <c r="AC1081" s="196">
        <f t="shared" si="694"/>
        <v>0.61000000000001364</v>
      </c>
      <c r="AD1081" s="197">
        <f t="shared" si="695"/>
        <v>4.065040650406504E-2</v>
      </c>
      <c r="AE1081" s="198">
        <f t="shared" si="696"/>
        <v>5.2999999999999998E-4</v>
      </c>
      <c r="AF1081" s="193"/>
      <c r="AG1081" s="199" t="s">
        <v>416</v>
      </c>
      <c r="AH1081" s="124"/>
    </row>
    <row r="1082" spans="1:34" ht="12" hidden="1" customHeight="1">
      <c r="A1082" s="187">
        <v>44473</v>
      </c>
      <c r="B1082" s="188" t="s">
        <v>589</v>
      </c>
      <c r="C1082" s="188" t="s">
        <v>460</v>
      </c>
      <c r="D1082" s="188"/>
      <c r="E1082" s="188" t="str">
        <f t="shared" si="682"/>
        <v>DCMSHRIRAM</v>
      </c>
      <c r="F1082" s="188"/>
      <c r="G1082" s="188"/>
      <c r="H1082" s="188"/>
      <c r="I1082" s="188" t="s">
        <v>668</v>
      </c>
      <c r="J1082" s="188" t="s">
        <v>483</v>
      </c>
      <c r="K1082" s="188"/>
      <c r="L1082" s="188"/>
      <c r="M1082" s="189">
        <v>200</v>
      </c>
      <c r="N1082" s="190">
        <v>1140</v>
      </c>
      <c r="O1082" s="191">
        <v>1165</v>
      </c>
      <c r="P1082" s="192">
        <f t="shared" si="705"/>
        <v>20</v>
      </c>
      <c r="Q1082" s="192">
        <f t="shared" si="706"/>
        <v>20</v>
      </c>
      <c r="R1082" s="193">
        <f t="shared" si="685"/>
        <v>461000</v>
      </c>
      <c r="S1082" s="193">
        <f t="shared" si="686"/>
        <v>5000</v>
      </c>
      <c r="T1082" s="193">
        <v>80</v>
      </c>
      <c r="U1082" s="193">
        <f t="shared" si="707"/>
        <v>16.68</v>
      </c>
      <c r="V1082" s="193">
        <f t="shared" si="734"/>
        <v>58.25</v>
      </c>
      <c r="W1082" s="193">
        <f t="shared" si="735"/>
        <v>6.84</v>
      </c>
      <c r="X1082" s="193">
        <f t="shared" si="768"/>
        <v>12.68</v>
      </c>
      <c r="Y1082" s="193">
        <f t="shared" si="758"/>
        <v>0.46</v>
      </c>
      <c r="Z1082" s="193">
        <f t="shared" si="692"/>
        <v>174.91000000000003</v>
      </c>
      <c r="AA1082" s="194">
        <f t="shared" si="693"/>
        <v>4825.09</v>
      </c>
      <c r="AB1082" s="195">
        <v>4825.18</v>
      </c>
      <c r="AC1082" s="196">
        <f t="shared" si="694"/>
        <v>9.0000000000145519E-2</v>
      </c>
      <c r="AD1082" s="197">
        <f t="shared" si="695"/>
        <v>2.1929824561403508E-2</v>
      </c>
      <c r="AE1082" s="198">
        <f t="shared" si="696"/>
        <v>3.79E-4</v>
      </c>
      <c r="AF1082" s="193"/>
      <c r="AG1082" s="199" t="s">
        <v>416</v>
      </c>
      <c r="AH1082" s="124"/>
    </row>
    <row r="1083" spans="1:34" ht="12" hidden="1" customHeight="1">
      <c r="A1083" s="187">
        <v>44474</v>
      </c>
      <c r="B1083" s="188" t="s">
        <v>589</v>
      </c>
      <c r="C1083" s="188" t="s">
        <v>460</v>
      </c>
      <c r="D1083" s="188"/>
      <c r="E1083" s="188" t="str">
        <f t="shared" si="682"/>
        <v>DCMSHRIRAM</v>
      </c>
      <c r="F1083" s="188"/>
      <c r="G1083" s="188"/>
      <c r="H1083" s="188"/>
      <c r="I1083" s="188" t="s">
        <v>668</v>
      </c>
      <c r="J1083" s="188" t="s">
        <v>483</v>
      </c>
      <c r="K1083" s="188"/>
      <c r="L1083" s="188"/>
      <c r="M1083" s="189">
        <v>200</v>
      </c>
      <c r="N1083" s="190">
        <v>1157.0705</v>
      </c>
      <c r="O1083" s="191">
        <v>1157.5</v>
      </c>
      <c r="P1083" s="192">
        <f t="shared" si="705"/>
        <v>20</v>
      </c>
      <c r="Q1083" s="192">
        <f t="shared" si="706"/>
        <v>20</v>
      </c>
      <c r="R1083" s="193">
        <f t="shared" si="685"/>
        <v>462914.1</v>
      </c>
      <c r="S1083" s="193">
        <f t="shared" si="686"/>
        <v>85.89999999999236</v>
      </c>
      <c r="T1083" s="193">
        <v>80</v>
      </c>
      <c r="U1083" s="193">
        <f t="shared" si="707"/>
        <v>17.27</v>
      </c>
      <c r="V1083" s="193">
        <f t="shared" si="734"/>
        <v>57.88</v>
      </c>
      <c r="W1083" s="193">
        <f t="shared" si="735"/>
        <v>6.94</v>
      </c>
      <c r="X1083" s="193">
        <f>ROUND(R1083*H$1820,2)</f>
        <v>15.97</v>
      </c>
      <c r="Y1083" s="193">
        <f t="shared" si="758"/>
        <v>0.46</v>
      </c>
      <c r="Z1083" s="193">
        <f t="shared" si="692"/>
        <v>178.52</v>
      </c>
      <c r="AA1083" s="194">
        <f t="shared" si="693"/>
        <v>-92.62</v>
      </c>
      <c r="AB1083" s="195">
        <v>-92.8</v>
      </c>
      <c r="AC1083" s="196">
        <f t="shared" si="694"/>
        <v>-0.17999999999999261</v>
      </c>
      <c r="AD1083" s="197">
        <f t="shared" si="695"/>
        <v>3.7119605071597782E-4</v>
      </c>
      <c r="AE1083" s="198">
        <f t="shared" si="696"/>
        <v>3.86E-4</v>
      </c>
      <c r="AF1083" s="193"/>
      <c r="AG1083" s="199" t="s">
        <v>416</v>
      </c>
      <c r="AH1083" s="124"/>
    </row>
    <row r="1084" spans="1:34" ht="12" hidden="1" customHeight="1">
      <c r="A1084" s="187">
        <v>44475</v>
      </c>
      <c r="B1084" s="188" t="s">
        <v>589</v>
      </c>
      <c r="C1084" s="188" t="s">
        <v>460</v>
      </c>
      <c r="D1084" s="188"/>
      <c r="E1084" s="188" t="str">
        <f t="shared" si="682"/>
        <v>DCMSHRIRAM</v>
      </c>
      <c r="F1084" s="188"/>
      <c r="G1084" s="188"/>
      <c r="H1084" s="188"/>
      <c r="I1084" s="188" t="s">
        <v>668</v>
      </c>
      <c r="J1084" s="188" t="s">
        <v>483</v>
      </c>
      <c r="K1084" s="188"/>
      <c r="L1084" s="188"/>
      <c r="M1084" s="189">
        <v>100</v>
      </c>
      <c r="N1084" s="190">
        <v>1201</v>
      </c>
      <c r="O1084" s="191">
        <v>1235</v>
      </c>
      <c r="P1084" s="192">
        <f t="shared" si="705"/>
        <v>20</v>
      </c>
      <c r="Q1084" s="192">
        <f t="shared" si="706"/>
        <v>20</v>
      </c>
      <c r="R1084" s="193">
        <f t="shared" si="685"/>
        <v>243600</v>
      </c>
      <c r="S1084" s="193">
        <f t="shared" si="686"/>
        <v>3400</v>
      </c>
      <c r="T1084" s="193">
        <f t="shared" ref="T1084:T1097" si="769">ROUND(P1084+Q1084,2)</f>
        <v>40</v>
      </c>
      <c r="U1084" s="193">
        <f t="shared" si="707"/>
        <v>8.41</v>
      </c>
      <c r="V1084" s="193">
        <f t="shared" si="734"/>
        <v>30.88</v>
      </c>
      <c r="W1084" s="193">
        <f t="shared" si="735"/>
        <v>3.6</v>
      </c>
      <c r="X1084" s="193">
        <f>ROUND(R1084*G$1820,2)</f>
        <v>6.7</v>
      </c>
      <c r="Y1084" s="193">
        <f t="shared" si="758"/>
        <v>0.24</v>
      </c>
      <c r="Z1084" s="193">
        <f t="shared" si="692"/>
        <v>89.829999999999984</v>
      </c>
      <c r="AA1084" s="194">
        <f t="shared" si="693"/>
        <v>3310.17</v>
      </c>
      <c r="AB1084" s="195">
        <v>3310.65</v>
      </c>
      <c r="AC1084" s="196">
        <f t="shared" si="694"/>
        <v>0.48000000000001819</v>
      </c>
      <c r="AD1084" s="197">
        <f t="shared" si="695"/>
        <v>2.8309741881765195E-2</v>
      </c>
      <c r="AE1084" s="198">
        <f t="shared" si="696"/>
        <v>3.6900000000000002E-4</v>
      </c>
      <c r="AF1084" s="193"/>
      <c r="AG1084" s="199" t="s">
        <v>416</v>
      </c>
      <c r="AH1084" s="124"/>
    </row>
    <row r="1085" spans="1:34" ht="12" hidden="1" customHeight="1">
      <c r="A1085" s="187">
        <v>44477</v>
      </c>
      <c r="B1085" s="188" t="s">
        <v>498</v>
      </c>
      <c r="C1085" s="188" t="s">
        <v>485</v>
      </c>
      <c r="D1085" s="188"/>
      <c r="E1085" s="188" t="str">
        <f t="shared" si="682"/>
        <v>BAJFINANCE</v>
      </c>
      <c r="F1085" s="188"/>
      <c r="G1085" s="188"/>
      <c r="H1085" s="188"/>
      <c r="I1085" s="188" t="s">
        <v>668</v>
      </c>
      <c r="J1085" s="188" t="s">
        <v>483</v>
      </c>
      <c r="K1085" s="188"/>
      <c r="L1085" s="188"/>
      <c r="M1085" s="189">
        <v>2</v>
      </c>
      <c r="N1085" s="190">
        <v>7774</v>
      </c>
      <c r="O1085" s="191">
        <v>7820</v>
      </c>
      <c r="P1085" s="192">
        <f t="shared" si="705"/>
        <v>4.66</v>
      </c>
      <c r="Q1085" s="192">
        <f t="shared" si="706"/>
        <v>4.6900000000000004</v>
      </c>
      <c r="R1085" s="193">
        <f t="shared" si="685"/>
        <v>31188</v>
      </c>
      <c r="S1085" s="193">
        <f t="shared" si="686"/>
        <v>92</v>
      </c>
      <c r="T1085" s="193">
        <f t="shared" si="769"/>
        <v>9.35</v>
      </c>
      <c r="U1085" s="193">
        <f t="shared" si="707"/>
        <v>1.88</v>
      </c>
      <c r="V1085" s="193">
        <f t="shared" si="734"/>
        <v>3.91</v>
      </c>
      <c r="W1085" s="193">
        <f t="shared" si="735"/>
        <v>0.47</v>
      </c>
      <c r="X1085" s="193">
        <f t="shared" ref="X1085:X1086" si="770">ROUND(R1085*H$1820,2)</f>
        <v>1.08</v>
      </c>
      <c r="Y1085" s="193">
        <f t="shared" si="758"/>
        <v>0.03</v>
      </c>
      <c r="Z1085" s="193">
        <f t="shared" si="692"/>
        <v>16.720000000000002</v>
      </c>
      <c r="AA1085" s="194">
        <f t="shared" si="693"/>
        <v>75.28</v>
      </c>
      <c r="AB1085" s="195">
        <v>75.099999999999994</v>
      </c>
      <c r="AC1085" s="196">
        <f t="shared" si="694"/>
        <v>-0.18000000000000682</v>
      </c>
      <c r="AD1085" s="197">
        <f t="shared" si="695"/>
        <v>5.9171597633136093E-3</v>
      </c>
      <c r="AE1085" s="198">
        <f t="shared" si="696"/>
        <v>5.3600000000000002E-4</v>
      </c>
      <c r="AF1085" s="193"/>
      <c r="AG1085" s="199" t="s">
        <v>416</v>
      </c>
      <c r="AH1085" s="124"/>
    </row>
    <row r="1086" spans="1:34" ht="12" hidden="1" customHeight="1">
      <c r="A1086" s="187">
        <v>44480</v>
      </c>
      <c r="B1086" s="188" t="s">
        <v>589</v>
      </c>
      <c r="C1086" s="188" t="s">
        <v>460</v>
      </c>
      <c r="D1086" s="188"/>
      <c r="E1086" s="188" t="str">
        <f t="shared" si="682"/>
        <v>DCMSHRIRAM</v>
      </c>
      <c r="F1086" s="188"/>
      <c r="G1086" s="188"/>
      <c r="H1086" s="188"/>
      <c r="I1086" s="188" t="s">
        <v>668</v>
      </c>
      <c r="J1086" s="188" t="s">
        <v>483</v>
      </c>
      <c r="K1086" s="188"/>
      <c r="L1086" s="188"/>
      <c r="M1086" s="189">
        <v>100</v>
      </c>
      <c r="N1086" s="190">
        <v>1220</v>
      </c>
      <c r="O1086" s="191">
        <v>1235</v>
      </c>
      <c r="P1086" s="192">
        <f t="shared" si="705"/>
        <v>20</v>
      </c>
      <c r="Q1086" s="192">
        <f t="shared" si="706"/>
        <v>20</v>
      </c>
      <c r="R1086" s="193">
        <f t="shared" si="685"/>
        <v>245500</v>
      </c>
      <c r="S1086" s="193">
        <f t="shared" si="686"/>
        <v>1500</v>
      </c>
      <c r="T1086" s="193">
        <f t="shared" si="769"/>
        <v>40</v>
      </c>
      <c r="U1086" s="193">
        <f t="shared" si="707"/>
        <v>8.7200000000000006</v>
      </c>
      <c r="V1086" s="193">
        <f t="shared" si="734"/>
        <v>30.88</v>
      </c>
      <c r="W1086" s="193">
        <f t="shared" si="735"/>
        <v>3.66</v>
      </c>
      <c r="X1086" s="193">
        <f t="shared" si="770"/>
        <v>8.4700000000000006</v>
      </c>
      <c r="Y1086" s="193">
        <f t="shared" si="758"/>
        <v>0.25</v>
      </c>
      <c r="Z1086" s="193">
        <f t="shared" si="692"/>
        <v>91.97999999999999</v>
      </c>
      <c r="AA1086" s="194">
        <f t="shared" si="693"/>
        <v>1408.02</v>
      </c>
      <c r="AB1086" s="195">
        <v>1407.56</v>
      </c>
      <c r="AC1086" s="196">
        <f t="shared" si="694"/>
        <v>-0.46000000000003638</v>
      </c>
      <c r="AD1086" s="197">
        <f t="shared" si="695"/>
        <v>1.2295081967213115E-2</v>
      </c>
      <c r="AE1086" s="198">
        <f t="shared" si="696"/>
        <v>3.7500000000000001E-4</v>
      </c>
      <c r="AF1086" s="193"/>
      <c r="AG1086" s="199" t="s">
        <v>416</v>
      </c>
      <c r="AH1086" s="124"/>
    </row>
    <row r="1087" spans="1:34" ht="12" hidden="1" customHeight="1">
      <c r="A1087" s="187">
        <v>44480</v>
      </c>
      <c r="B1087" s="188" t="s">
        <v>479</v>
      </c>
      <c r="C1087" s="188" t="s">
        <v>485</v>
      </c>
      <c r="D1087" s="188"/>
      <c r="E1087" s="188" t="str">
        <f t="shared" si="682"/>
        <v>TATAPOWER</v>
      </c>
      <c r="F1087" s="188"/>
      <c r="G1087" s="188"/>
      <c r="H1087" s="188"/>
      <c r="I1087" s="188" t="s">
        <v>668</v>
      </c>
      <c r="J1087" s="188" t="s">
        <v>483</v>
      </c>
      <c r="K1087" s="188"/>
      <c r="L1087" s="188"/>
      <c r="M1087" s="189">
        <v>100</v>
      </c>
      <c r="N1087" s="190">
        <v>190</v>
      </c>
      <c r="O1087" s="191">
        <v>192.05</v>
      </c>
      <c r="P1087" s="192">
        <f t="shared" si="705"/>
        <v>5.7</v>
      </c>
      <c r="Q1087" s="192">
        <f t="shared" si="706"/>
        <v>5.76</v>
      </c>
      <c r="R1087" s="193">
        <f t="shared" si="685"/>
        <v>38205</v>
      </c>
      <c r="S1087" s="193">
        <f t="shared" si="686"/>
        <v>205.00000000000114</v>
      </c>
      <c r="T1087" s="193">
        <f t="shared" si="769"/>
        <v>11.46</v>
      </c>
      <c r="U1087" s="193">
        <f t="shared" si="707"/>
        <v>2.25</v>
      </c>
      <c r="V1087" s="193">
        <f t="shared" si="734"/>
        <v>4.8</v>
      </c>
      <c r="W1087" s="193">
        <f t="shared" si="735"/>
        <v>0.56999999999999995</v>
      </c>
      <c r="X1087" s="193">
        <f t="shared" ref="X1087:X1088" si="771">ROUND(R1087*G$1820,2)</f>
        <v>1.05</v>
      </c>
      <c r="Y1087" s="193">
        <f t="shared" si="758"/>
        <v>0.04</v>
      </c>
      <c r="Z1087" s="193">
        <f t="shared" si="692"/>
        <v>20.170000000000002</v>
      </c>
      <c r="AA1087" s="194">
        <f t="shared" si="693"/>
        <v>184.83</v>
      </c>
      <c r="AB1087" s="195">
        <f>205.64-21</f>
        <v>184.64</v>
      </c>
      <c r="AC1087" s="196">
        <f t="shared" si="694"/>
        <v>-0.19000000000002615</v>
      </c>
      <c r="AD1087" s="197">
        <f t="shared" si="695"/>
        <v>1.0789473684210587E-2</v>
      </c>
      <c r="AE1087" s="198">
        <f t="shared" si="696"/>
        <v>5.2800000000000004E-4</v>
      </c>
      <c r="AF1087" s="193"/>
      <c r="AG1087" s="199" t="s">
        <v>416</v>
      </c>
      <c r="AH1087" s="124"/>
    </row>
    <row r="1088" spans="1:34" ht="12" hidden="1" customHeight="1">
      <c r="A1088" s="187">
        <v>44481</v>
      </c>
      <c r="B1088" s="188" t="s">
        <v>589</v>
      </c>
      <c r="C1088" s="188" t="s">
        <v>460</v>
      </c>
      <c r="D1088" s="188"/>
      <c r="E1088" s="188" t="str">
        <f t="shared" si="682"/>
        <v>DCMSHRIRAM</v>
      </c>
      <c r="F1088" s="188"/>
      <c r="G1088" s="188"/>
      <c r="H1088" s="188"/>
      <c r="I1088" s="188" t="s">
        <v>668</v>
      </c>
      <c r="J1088" s="188" t="s">
        <v>483</v>
      </c>
      <c r="K1088" s="188"/>
      <c r="L1088" s="188"/>
      <c r="M1088" s="189">
        <v>100</v>
      </c>
      <c r="N1088" s="190">
        <v>1220</v>
      </c>
      <c r="O1088" s="191">
        <v>1232</v>
      </c>
      <c r="P1088" s="192">
        <f t="shared" si="705"/>
        <v>20</v>
      </c>
      <c r="Q1088" s="192">
        <f t="shared" si="706"/>
        <v>20</v>
      </c>
      <c r="R1088" s="193">
        <f t="shared" si="685"/>
        <v>245200</v>
      </c>
      <c r="S1088" s="193">
        <f t="shared" si="686"/>
        <v>1200</v>
      </c>
      <c r="T1088" s="193">
        <f t="shared" si="769"/>
        <v>40</v>
      </c>
      <c r="U1088" s="193">
        <f t="shared" si="707"/>
        <v>8.41</v>
      </c>
      <c r="V1088" s="193">
        <f t="shared" si="734"/>
        <v>30.8</v>
      </c>
      <c r="W1088" s="193">
        <f t="shared" si="735"/>
        <v>3.66</v>
      </c>
      <c r="X1088" s="193">
        <f t="shared" si="771"/>
        <v>6.74</v>
      </c>
      <c r="Y1088" s="193">
        <f t="shared" si="758"/>
        <v>0.25</v>
      </c>
      <c r="Z1088" s="193">
        <f t="shared" si="692"/>
        <v>89.859999999999985</v>
      </c>
      <c r="AA1088" s="194">
        <f t="shared" si="693"/>
        <v>1110.1400000000001</v>
      </c>
      <c r="AB1088" s="195">
        <v>1109.6000000000001</v>
      </c>
      <c r="AC1088" s="196">
        <f t="shared" si="694"/>
        <v>-0.53999999999996362</v>
      </c>
      <c r="AD1088" s="197">
        <f t="shared" si="695"/>
        <v>9.8360655737704927E-3</v>
      </c>
      <c r="AE1088" s="198">
        <f t="shared" si="696"/>
        <v>3.6600000000000001E-4</v>
      </c>
      <c r="AF1088" s="193"/>
      <c r="AG1088" s="199" t="s">
        <v>416</v>
      </c>
      <c r="AH1088" s="124"/>
    </row>
    <row r="1089" spans="1:34" ht="12" hidden="1" customHeight="1">
      <c r="A1089" s="187">
        <v>44481</v>
      </c>
      <c r="B1089" s="188" t="s">
        <v>498</v>
      </c>
      <c r="C1089" s="188" t="s">
        <v>485</v>
      </c>
      <c r="D1089" s="188"/>
      <c r="E1089" s="188" t="str">
        <f t="shared" si="682"/>
        <v>BAJFINANCE</v>
      </c>
      <c r="F1089" s="188"/>
      <c r="G1089" s="188"/>
      <c r="H1089" s="188"/>
      <c r="I1089" s="188" t="s">
        <v>668</v>
      </c>
      <c r="J1089" s="188" t="s">
        <v>483</v>
      </c>
      <c r="K1089" s="188"/>
      <c r="L1089" s="188"/>
      <c r="M1089" s="189">
        <v>2</v>
      </c>
      <c r="N1089" s="190">
        <v>7862.5</v>
      </c>
      <c r="O1089" s="191">
        <v>7920</v>
      </c>
      <c r="P1089" s="192">
        <f t="shared" si="705"/>
        <v>4.72</v>
      </c>
      <c r="Q1089" s="192">
        <f t="shared" si="706"/>
        <v>4.75</v>
      </c>
      <c r="R1089" s="193">
        <f t="shared" si="685"/>
        <v>31565</v>
      </c>
      <c r="S1089" s="193">
        <f t="shared" si="686"/>
        <v>115</v>
      </c>
      <c r="T1089" s="193">
        <f t="shared" si="769"/>
        <v>9.4700000000000006</v>
      </c>
      <c r="U1089" s="193">
        <f t="shared" si="707"/>
        <v>1.9</v>
      </c>
      <c r="V1089" s="193">
        <f t="shared" si="734"/>
        <v>3.96</v>
      </c>
      <c r="W1089" s="193">
        <f t="shared" si="735"/>
        <v>0.47</v>
      </c>
      <c r="X1089" s="193">
        <f>ROUND(R1089*H$1820,2)</f>
        <v>1.0900000000000001</v>
      </c>
      <c r="Y1089" s="193">
        <f t="shared" si="758"/>
        <v>0.03</v>
      </c>
      <c r="Z1089" s="193">
        <f t="shared" si="692"/>
        <v>16.920000000000005</v>
      </c>
      <c r="AA1089" s="194">
        <f t="shared" si="693"/>
        <v>98.08</v>
      </c>
      <c r="AB1089" s="195">
        <f>98+0.51</f>
        <v>98.51</v>
      </c>
      <c r="AC1089" s="196">
        <f t="shared" si="694"/>
        <v>0.43000000000000682</v>
      </c>
      <c r="AD1089" s="197">
        <f t="shared" si="695"/>
        <v>7.3131955484896658E-3</v>
      </c>
      <c r="AE1089" s="198">
        <f t="shared" si="696"/>
        <v>5.3600000000000002E-4</v>
      </c>
      <c r="AF1089" s="193"/>
      <c r="AG1089" s="199" t="s">
        <v>416</v>
      </c>
      <c r="AH1089" s="124"/>
    </row>
    <row r="1090" spans="1:34" ht="12" hidden="1" customHeight="1">
      <c r="A1090" s="187">
        <v>44481</v>
      </c>
      <c r="B1090" s="188" t="s">
        <v>479</v>
      </c>
      <c r="C1090" s="188" t="s">
        <v>485</v>
      </c>
      <c r="D1090" s="188"/>
      <c r="E1090" s="188" t="str">
        <f t="shared" si="682"/>
        <v>TATAPOWER</v>
      </c>
      <c r="F1090" s="188"/>
      <c r="G1090" s="188"/>
      <c r="H1090" s="188"/>
      <c r="I1090" s="188" t="s">
        <v>668</v>
      </c>
      <c r="J1090" s="188" t="s">
        <v>483</v>
      </c>
      <c r="K1090" s="188"/>
      <c r="L1090" s="188"/>
      <c r="M1090" s="189">
        <v>50</v>
      </c>
      <c r="N1090" s="190">
        <v>192.25</v>
      </c>
      <c r="O1090" s="191">
        <v>195</v>
      </c>
      <c r="P1090" s="192">
        <f t="shared" si="705"/>
        <v>2.88</v>
      </c>
      <c r="Q1090" s="192">
        <f t="shared" si="706"/>
        <v>2.93</v>
      </c>
      <c r="R1090" s="193">
        <f t="shared" si="685"/>
        <v>19362.5</v>
      </c>
      <c r="S1090" s="193">
        <f t="shared" si="686"/>
        <v>137.5</v>
      </c>
      <c r="T1090" s="193">
        <f t="shared" si="769"/>
        <v>5.81</v>
      </c>
      <c r="U1090" s="193">
        <f t="shared" si="707"/>
        <v>1.1399999999999999</v>
      </c>
      <c r="V1090" s="193">
        <f t="shared" si="734"/>
        <v>2.44</v>
      </c>
      <c r="W1090" s="193">
        <f t="shared" si="735"/>
        <v>0.28999999999999998</v>
      </c>
      <c r="X1090" s="193">
        <f t="shared" ref="X1090:X1091" si="772">ROUND(R1090*G$1820,2)</f>
        <v>0.53</v>
      </c>
      <c r="Y1090" s="193">
        <f t="shared" si="758"/>
        <v>0.02</v>
      </c>
      <c r="Z1090" s="193">
        <f t="shared" si="692"/>
        <v>10.229999999999997</v>
      </c>
      <c r="AA1090" s="194">
        <f t="shared" si="693"/>
        <v>127.27</v>
      </c>
      <c r="AB1090" s="195">
        <v>127</v>
      </c>
      <c r="AC1090" s="196">
        <f t="shared" si="694"/>
        <v>-0.26999999999999602</v>
      </c>
      <c r="AD1090" s="197">
        <f t="shared" si="695"/>
        <v>1.4304291287386216E-2</v>
      </c>
      <c r="AE1090" s="198">
        <f t="shared" si="696"/>
        <v>5.2800000000000004E-4</v>
      </c>
      <c r="AF1090" s="193"/>
      <c r="AG1090" s="199" t="s">
        <v>416</v>
      </c>
      <c r="AH1090" s="124"/>
    </row>
    <row r="1091" spans="1:34" ht="12" hidden="1" customHeight="1">
      <c r="A1091" s="187">
        <v>44482</v>
      </c>
      <c r="B1091" s="188" t="s">
        <v>589</v>
      </c>
      <c r="C1091" s="188" t="s">
        <v>460</v>
      </c>
      <c r="D1091" s="188"/>
      <c r="E1091" s="188" t="str">
        <f t="shared" si="682"/>
        <v>DCMSHRIRAM</v>
      </c>
      <c r="F1091" s="188"/>
      <c r="G1091" s="188"/>
      <c r="H1091" s="188"/>
      <c r="I1091" s="188" t="s">
        <v>668</v>
      </c>
      <c r="J1091" s="188" t="s">
        <v>483</v>
      </c>
      <c r="K1091" s="188"/>
      <c r="L1091" s="188"/>
      <c r="M1091" s="189">
        <v>100</v>
      </c>
      <c r="N1091" s="190">
        <v>1220</v>
      </c>
      <c r="O1091" s="191">
        <v>1235</v>
      </c>
      <c r="P1091" s="192">
        <f t="shared" si="705"/>
        <v>20</v>
      </c>
      <c r="Q1091" s="192">
        <f t="shared" si="706"/>
        <v>20</v>
      </c>
      <c r="R1091" s="193">
        <f t="shared" si="685"/>
        <v>245500</v>
      </c>
      <c r="S1091" s="193">
        <f t="shared" si="686"/>
        <v>1500</v>
      </c>
      <c r="T1091" s="193">
        <f t="shared" si="769"/>
        <v>40</v>
      </c>
      <c r="U1091" s="193">
        <f t="shared" si="707"/>
        <v>8.42</v>
      </c>
      <c r="V1091" s="193">
        <f t="shared" si="734"/>
        <v>30.88</v>
      </c>
      <c r="W1091" s="193">
        <f t="shared" si="735"/>
        <v>3.66</v>
      </c>
      <c r="X1091" s="193">
        <f t="shared" si="772"/>
        <v>6.75</v>
      </c>
      <c r="Y1091" s="193">
        <f t="shared" si="758"/>
        <v>0.25</v>
      </c>
      <c r="Z1091" s="193">
        <f t="shared" si="692"/>
        <v>89.96</v>
      </c>
      <c r="AA1091" s="194">
        <f t="shared" si="693"/>
        <v>1410.04</v>
      </c>
      <c r="AB1091" s="195">
        <v>1409.58</v>
      </c>
      <c r="AC1091" s="196">
        <f t="shared" si="694"/>
        <v>-0.46000000000003638</v>
      </c>
      <c r="AD1091" s="197">
        <f t="shared" si="695"/>
        <v>1.2295081967213115E-2</v>
      </c>
      <c r="AE1091" s="198">
        <f t="shared" si="696"/>
        <v>3.6600000000000001E-4</v>
      </c>
      <c r="AF1091" s="193"/>
      <c r="AG1091" s="199" t="s">
        <v>416</v>
      </c>
      <c r="AH1091" s="124"/>
    </row>
    <row r="1092" spans="1:34" ht="12" hidden="1" customHeight="1">
      <c r="A1092" s="187">
        <v>44482</v>
      </c>
      <c r="B1092" s="188" t="s">
        <v>498</v>
      </c>
      <c r="C1092" s="188" t="s">
        <v>485</v>
      </c>
      <c r="D1092" s="188"/>
      <c r="E1092" s="188" t="str">
        <f t="shared" si="682"/>
        <v>BAJFINANCE</v>
      </c>
      <c r="F1092" s="188"/>
      <c r="G1092" s="188"/>
      <c r="H1092" s="188"/>
      <c r="I1092" s="188" t="s">
        <v>668</v>
      </c>
      <c r="J1092" s="188" t="s">
        <v>483</v>
      </c>
      <c r="K1092" s="188"/>
      <c r="L1092" s="188"/>
      <c r="M1092" s="189">
        <v>2</v>
      </c>
      <c r="N1092" s="190">
        <v>7900</v>
      </c>
      <c r="O1092" s="191">
        <v>7945</v>
      </c>
      <c r="P1092" s="192">
        <f t="shared" si="705"/>
        <v>4.74</v>
      </c>
      <c r="Q1092" s="192">
        <f t="shared" si="706"/>
        <v>4.7699999999999996</v>
      </c>
      <c r="R1092" s="193">
        <f t="shared" si="685"/>
        <v>31690</v>
      </c>
      <c r="S1092" s="193">
        <f t="shared" si="686"/>
        <v>90</v>
      </c>
      <c r="T1092" s="193">
        <f t="shared" si="769"/>
        <v>9.51</v>
      </c>
      <c r="U1092" s="193">
        <f t="shared" si="707"/>
        <v>1.91</v>
      </c>
      <c r="V1092" s="193">
        <f t="shared" si="734"/>
        <v>3.97</v>
      </c>
      <c r="W1092" s="193">
        <f t="shared" si="735"/>
        <v>0.47</v>
      </c>
      <c r="X1092" s="193">
        <f>ROUND(R1092*H$1820,2)</f>
        <v>1.0900000000000001</v>
      </c>
      <c r="Y1092" s="193">
        <f t="shared" si="758"/>
        <v>0.03</v>
      </c>
      <c r="Z1092" s="193">
        <f t="shared" si="692"/>
        <v>16.980000000000004</v>
      </c>
      <c r="AA1092" s="194">
        <f t="shared" si="693"/>
        <v>73.02</v>
      </c>
      <c r="AB1092" s="195">
        <v>73.02</v>
      </c>
      <c r="AC1092" s="196">
        <f t="shared" si="694"/>
        <v>0</v>
      </c>
      <c r="AD1092" s="197">
        <f t="shared" si="695"/>
        <v>5.6962025316455696E-3</v>
      </c>
      <c r="AE1092" s="198">
        <f t="shared" si="696"/>
        <v>5.3600000000000002E-4</v>
      </c>
      <c r="AF1092" s="193"/>
      <c r="AG1092" s="199" t="s">
        <v>416</v>
      </c>
      <c r="AH1092" s="124"/>
    </row>
    <row r="1093" spans="1:34" ht="12" hidden="1" customHeight="1">
      <c r="A1093" s="187">
        <v>44482</v>
      </c>
      <c r="B1093" s="188" t="s">
        <v>576</v>
      </c>
      <c r="C1093" s="188" t="s">
        <v>485</v>
      </c>
      <c r="D1093" s="188"/>
      <c r="E1093" s="188" t="str">
        <f t="shared" si="682"/>
        <v>CDSL</v>
      </c>
      <c r="F1093" s="188"/>
      <c r="G1093" s="188"/>
      <c r="H1093" s="188"/>
      <c r="I1093" s="188" t="s">
        <v>668</v>
      </c>
      <c r="J1093" s="188" t="s">
        <v>483</v>
      </c>
      <c r="K1093" s="188"/>
      <c r="L1093" s="188"/>
      <c r="M1093" s="189">
        <v>5</v>
      </c>
      <c r="N1093" s="190">
        <v>1425</v>
      </c>
      <c r="O1093" s="191">
        <v>1435</v>
      </c>
      <c r="P1093" s="192">
        <f t="shared" si="705"/>
        <v>2.14</v>
      </c>
      <c r="Q1093" s="192">
        <f t="shared" si="706"/>
        <v>2.15</v>
      </c>
      <c r="R1093" s="193">
        <f t="shared" si="685"/>
        <v>14300</v>
      </c>
      <c r="S1093" s="193">
        <f t="shared" si="686"/>
        <v>50</v>
      </c>
      <c r="T1093" s="193">
        <f t="shared" si="769"/>
        <v>4.29</v>
      </c>
      <c r="U1093" s="193">
        <f t="shared" si="707"/>
        <v>0.84</v>
      </c>
      <c r="V1093" s="193">
        <f t="shared" si="734"/>
        <v>1.79</v>
      </c>
      <c r="W1093" s="193">
        <f t="shared" si="735"/>
        <v>0.21</v>
      </c>
      <c r="X1093" s="193">
        <f>ROUND(R1093*G$1820,2)</f>
        <v>0.39</v>
      </c>
      <c r="Y1093" s="193">
        <f t="shared" si="758"/>
        <v>0.01</v>
      </c>
      <c r="Z1093" s="193">
        <f t="shared" si="692"/>
        <v>7.5299999999999994</v>
      </c>
      <c r="AA1093" s="194">
        <f t="shared" si="693"/>
        <v>42.47</v>
      </c>
      <c r="AB1093" s="195">
        <v>35.14</v>
      </c>
      <c r="AC1093" s="196">
        <f t="shared" si="694"/>
        <v>-7.3299999999999983</v>
      </c>
      <c r="AD1093" s="197">
        <f t="shared" si="695"/>
        <v>7.0175438596491229E-3</v>
      </c>
      <c r="AE1093" s="198">
        <f t="shared" si="696"/>
        <v>5.2700000000000002E-4</v>
      </c>
      <c r="AF1093" s="193"/>
      <c r="AG1093" s="199" t="s">
        <v>416</v>
      </c>
      <c r="AH1093" s="124"/>
    </row>
    <row r="1094" spans="1:34" ht="12" hidden="1" customHeight="1">
      <c r="A1094" s="187">
        <v>44483</v>
      </c>
      <c r="B1094" s="188" t="s">
        <v>589</v>
      </c>
      <c r="C1094" s="188" t="s">
        <v>460</v>
      </c>
      <c r="D1094" s="188"/>
      <c r="E1094" s="188" t="str">
        <f t="shared" si="682"/>
        <v>DCMSHRIRAM</v>
      </c>
      <c r="F1094" s="188"/>
      <c r="G1094" s="188"/>
      <c r="H1094" s="188"/>
      <c r="I1094" s="188" t="s">
        <v>668</v>
      </c>
      <c r="J1094" s="188" t="s">
        <v>483</v>
      </c>
      <c r="K1094" s="188"/>
      <c r="L1094" s="188"/>
      <c r="M1094" s="189">
        <v>100</v>
      </c>
      <c r="N1094" s="190">
        <v>1205</v>
      </c>
      <c r="O1094" s="191">
        <v>1224</v>
      </c>
      <c r="P1094" s="192">
        <f t="shared" si="705"/>
        <v>20</v>
      </c>
      <c r="Q1094" s="192">
        <f t="shared" si="706"/>
        <v>20</v>
      </c>
      <c r="R1094" s="193">
        <f t="shared" si="685"/>
        <v>242900</v>
      </c>
      <c r="S1094" s="193">
        <f t="shared" si="686"/>
        <v>1900</v>
      </c>
      <c r="T1094" s="193">
        <f t="shared" si="769"/>
        <v>40</v>
      </c>
      <c r="U1094" s="193">
        <f t="shared" si="707"/>
        <v>8.7100000000000009</v>
      </c>
      <c r="V1094" s="193">
        <f t="shared" si="734"/>
        <v>30.6</v>
      </c>
      <c r="W1094" s="193">
        <f t="shared" si="735"/>
        <v>3.62</v>
      </c>
      <c r="X1094" s="193">
        <f>ROUND(R1094*H$1820,2)</f>
        <v>8.3800000000000008</v>
      </c>
      <c r="Y1094" s="193">
        <f t="shared" si="758"/>
        <v>0.24</v>
      </c>
      <c r="Z1094" s="193">
        <f t="shared" si="692"/>
        <v>91.55</v>
      </c>
      <c r="AA1094" s="194">
        <f t="shared" si="693"/>
        <v>1808.45</v>
      </c>
      <c r="AB1094" s="195">
        <f>1808+1.34</f>
        <v>1809.34</v>
      </c>
      <c r="AC1094" s="196">
        <f t="shared" si="694"/>
        <v>0.88999999999987267</v>
      </c>
      <c r="AD1094" s="197">
        <f t="shared" si="695"/>
        <v>1.5767634854771784E-2</v>
      </c>
      <c r="AE1094" s="198">
        <f t="shared" si="696"/>
        <v>3.77E-4</v>
      </c>
      <c r="AF1094" s="193"/>
      <c r="AG1094" s="199" t="s">
        <v>416</v>
      </c>
      <c r="AH1094" s="124"/>
    </row>
    <row r="1095" spans="1:34" ht="12" hidden="1" customHeight="1">
      <c r="A1095" s="187">
        <v>44483</v>
      </c>
      <c r="B1095" s="188" t="s">
        <v>722</v>
      </c>
      <c r="C1095" s="188" t="s">
        <v>460</v>
      </c>
      <c r="D1095" s="188"/>
      <c r="E1095" s="188" t="str">
        <f t="shared" si="682"/>
        <v>DCMSRMIND</v>
      </c>
      <c r="F1095" s="188"/>
      <c r="G1095" s="188"/>
      <c r="H1095" s="188"/>
      <c r="I1095" s="188" t="s">
        <v>668</v>
      </c>
      <c r="J1095" s="188" t="s">
        <v>483</v>
      </c>
      <c r="K1095" s="188"/>
      <c r="L1095" s="188"/>
      <c r="M1095" s="189">
        <v>100</v>
      </c>
      <c r="N1095" s="190">
        <v>124.7</v>
      </c>
      <c r="O1095" s="191">
        <v>125</v>
      </c>
      <c r="P1095" s="192">
        <f t="shared" si="705"/>
        <v>3.74</v>
      </c>
      <c r="Q1095" s="192">
        <f t="shared" si="706"/>
        <v>3.75</v>
      </c>
      <c r="R1095" s="193">
        <f t="shared" si="685"/>
        <v>24970</v>
      </c>
      <c r="S1095" s="193">
        <f t="shared" si="686"/>
        <v>29.999999999999716</v>
      </c>
      <c r="T1095" s="193">
        <f t="shared" si="769"/>
        <v>7.49</v>
      </c>
      <c r="U1095" s="193">
        <f t="shared" si="707"/>
        <v>5.84</v>
      </c>
      <c r="V1095" s="193">
        <f t="shared" si="734"/>
        <v>3.13</v>
      </c>
      <c r="W1095" s="193">
        <f t="shared" si="735"/>
        <v>0.37</v>
      </c>
      <c r="X1095" s="193">
        <f>ROUND(R1095*J$1821,2)</f>
        <v>24.97</v>
      </c>
      <c r="Y1095" s="193">
        <f t="shared" si="758"/>
        <v>0.02</v>
      </c>
      <c r="Z1095" s="193">
        <f t="shared" si="692"/>
        <v>41.82</v>
      </c>
      <c r="AA1095" s="194">
        <f t="shared" si="693"/>
        <v>-11.82</v>
      </c>
      <c r="AB1095" s="195">
        <v>-12</v>
      </c>
      <c r="AC1095" s="196">
        <f t="shared" si="694"/>
        <v>-0.17999999999999972</v>
      </c>
      <c r="AD1095" s="197">
        <f t="shared" si="695"/>
        <v>2.4057738572573948E-3</v>
      </c>
      <c r="AE1095" s="198">
        <f t="shared" si="696"/>
        <v>1.6750000000000001E-3</v>
      </c>
      <c r="AF1095" s="193"/>
      <c r="AG1095" s="199" t="s">
        <v>416</v>
      </c>
      <c r="AH1095" s="124"/>
    </row>
    <row r="1096" spans="1:34" ht="12" hidden="1" customHeight="1">
      <c r="A1096" s="187">
        <v>44483</v>
      </c>
      <c r="B1096" s="188" t="s">
        <v>493</v>
      </c>
      <c r="C1096" s="188" t="s">
        <v>485</v>
      </c>
      <c r="D1096" s="188"/>
      <c r="E1096" s="188" t="str">
        <f t="shared" si="682"/>
        <v>SBIN</v>
      </c>
      <c r="F1096" s="188"/>
      <c r="G1096" s="188"/>
      <c r="H1096" s="188"/>
      <c r="I1096" s="188" t="s">
        <v>668</v>
      </c>
      <c r="J1096" s="188" t="s">
        <v>483</v>
      </c>
      <c r="K1096" s="188"/>
      <c r="L1096" s="188"/>
      <c r="M1096" s="189">
        <v>15</v>
      </c>
      <c r="N1096" s="190">
        <v>488.5</v>
      </c>
      <c r="O1096" s="191">
        <v>489</v>
      </c>
      <c r="P1096" s="192">
        <f t="shared" si="705"/>
        <v>2.2000000000000002</v>
      </c>
      <c r="Q1096" s="192">
        <f t="shared" si="706"/>
        <v>2.2000000000000002</v>
      </c>
      <c r="R1096" s="193">
        <f t="shared" si="685"/>
        <v>14662.5</v>
      </c>
      <c r="S1096" s="193">
        <f t="shared" si="686"/>
        <v>7.5</v>
      </c>
      <c r="T1096" s="193">
        <f t="shared" si="769"/>
        <v>4.4000000000000004</v>
      </c>
      <c r="U1096" s="193">
        <f t="shared" si="707"/>
        <v>0.88</v>
      </c>
      <c r="V1096" s="193">
        <f t="shared" si="734"/>
        <v>1.83</v>
      </c>
      <c r="W1096" s="193">
        <f t="shared" si="735"/>
        <v>0.22</v>
      </c>
      <c r="X1096" s="193">
        <f>ROUND(R1096*H$1820,2)</f>
        <v>0.51</v>
      </c>
      <c r="Y1096" s="193">
        <f t="shared" si="758"/>
        <v>0.01</v>
      </c>
      <c r="Z1096" s="193">
        <f t="shared" si="692"/>
        <v>7.85</v>
      </c>
      <c r="AA1096" s="194">
        <f t="shared" si="693"/>
        <v>-0.35</v>
      </c>
      <c r="AB1096" s="195">
        <v>-0.3</v>
      </c>
      <c r="AC1096" s="196">
        <f t="shared" si="694"/>
        <v>4.9999999999999989E-2</v>
      </c>
      <c r="AD1096" s="197">
        <f t="shared" si="695"/>
        <v>1.0235414534288639E-3</v>
      </c>
      <c r="AE1096" s="198">
        <f t="shared" si="696"/>
        <v>5.3499999999999999E-4</v>
      </c>
      <c r="AF1096" s="193"/>
      <c r="AG1096" s="199" t="s">
        <v>416</v>
      </c>
      <c r="AH1096" s="124"/>
    </row>
    <row r="1097" spans="1:34" ht="12" hidden="1" customHeight="1">
      <c r="A1097" s="187">
        <v>44487</v>
      </c>
      <c r="B1097" s="188" t="s">
        <v>584</v>
      </c>
      <c r="C1097" s="188" t="s">
        <v>485</v>
      </c>
      <c r="D1097" s="188"/>
      <c r="E1097" s="188" t="str">
        <f t="shared" si="682"/>
        <v>IBREALEST</v>
      </c>
      <c r="F1097" s="188"/>
      <c r="G1097" s="188"/>
      <c r="H1097" s="188"/>
      <c r="I1097" s="188" t="s">
        <v>668</v>
      </c>
      <c r="J1097" s="188" t="s">
        <v>483</v>
      </c>
      <c r="K1097" s="188"/>
      <c r="L1097" s="188"/>
      <c r="M1097" s="189">
        <v>100</v>
      </c>
      <c r="N1097" s="190">
        <v>177</v>
      </c>
      <c r="O1097" s="191">
        <v>180</v>
      </c>
      <c r="P1097" s="192">
        <f t="shared" si="705"/>
        <v>5.31</v>
      </c>
      <c r="Q1097" s="192">
        <f t="shared" si="706"/>
        <v>5.4</v>
      </c>
      <c r="R1097" s="193">
        <f t="shared" si="685"/>
        <v>35700</v>
      </c>
      <c r="S1097" s="193">
        <f t="shared" si="686"/>
        <v>300</v>
      </c>
      <c r="T1097" s="193">
        <f t="shared" si="769"/>
        <v>10.71</v>
      </c>
      <c r="U1097" s="193">
        <f t="shared" si="707"/>
        <v>2.1</v>
      </c>
      <c r="V1097" s="193">
        <f t="shared" si="734"/>
        <v>4.5</v>
      </c>
      <c r="W1097" s="193">
        <f t="shared" si="735"/>
        <v>0.53</v>
      </c>
      <c r="X1097" s="193">
        <f t="shared" ref="X1097:X1099" si="773">ROUND(R1097*G$1820,2)</f>
        <v>0.98</v>
      </c>
      <c r="Y1097" s="193">
        <f t="shared" si="758"/>
        <v>0.04</v>
      </c>
      <c r="Z1097" s="193">
        <f t="shared" si="692"/>
        <v>18.860000000000003</v>
      </c>
      <c r="AA1097" s="194">
        <f t="shared" si="693"/>
        <v>281.14</v>
      </c>
      <c r="AB1097" s="195">
        <f>281-0.48</f>
        <v>280.52</v>
      </c>
      <c r="AC1097" s="196">
        <f t="shared" si="694"/>
        <v>-0.62000000000000455</v>
      </c>
      <c r="AD1097" s="197">
        <f t="shared" si="695"/>
        <v>1.6949152542372881E-2</v>
      </c>
      <c r="AE1097" s="198">
        <f t="shared" si="696"/>
        <v>5.2800000000000004E-4</v>
      </c>
      <c r="AF1097" s="193"/>
      <c r="AG1097" s="199" t="s">
        <v>416</v>
      </c>
      <c r="AH1097" s="124"/>
    </row>
    <row r="1098" spans="1:34" ht="12" hidden="1" customHeight="1">
      <c r="A1098" s="187">
        <v>44487</v>
      </c>
      <c r="B1098" s="188" t="s">
        <v>533</v>
      </c>
      <c r="C1098" s="188" t="s">
        <v>485</v>
      </c>
      <c r="D1098" s="188"/>
      <c r="E1098" s="188" t="str">
        <f t="shared" si="682"/>
        <v>PNB</v>
      </c>
      <c r="F1098" s="188"/>
      <c r="G1098" s="188"/>
      <c r="H1098" s="188"/>
      <c r="I1098" s="188" t="s">
        <v>668</v>
      </c>
      <c r="J1098" s="188" t="s">
        <v>483</v>
      </c>
      <c r="K1098" s="188"/>
      <c r="L1098" s="188"/>
      <c r="M1098" s="189">
        <v>100</v>
      </c>
      <c r="N1098" s="190">
        <v>46.2</v>
      </c>
      <c r="O1098" s="191">
        <v>46.15</v>
      </c>
      <c r="P1098" s="192">
        <f t="shared" si="705"/>
        <v>1.39</v>
      </c>
      <c r="Q1098" s="192">
        <f t="shared" si="706"/>
        <v>1.38</v>
      </c>
      <c r="R1098" s="193">
        <f t="shared" si="685"/>
        <v>9235</v>
      </c>
      <c r="S1098" s="193">
        <f t="shared" si="686"/>
        <v>-5.0000000000004263</v>
      </c>
      <c r="T1098" s="193">
        <f>ROUND(P1098+Q1098,2)+1.3</f>
        <v>4.07</v>
      </c>
      <c r="U1098" s="193">
        <f t="shared" si="707"/>
        <v>0.78</v>
      </c>
      <c r="V1098" s="193">
        <f t="shared" si="734"/>
        <v>1.1499999999999999</v>
      </c>
      <c r="W1098" s="193">
        <f t="shared" si="735"/>
        <v>0.14000000000000001</v>
      </c>
      <c r="X1098" s="193">
        <f t="shared" si="773"/>
        <v>0.25</v>
      </c>
      <c r="Y1098" s="193">
        <f t="shared" si="758"/>
        <v>0.01</v>
      </c>
      <c r="Z1098" s="193">
        <f t="shared" si="692"/>
        <v>6.3999999999999995</v>
      </c>
      <c r="AA1098" s="194">
        <f t="shared" si="693"/>
        <v>-11.4</v>
      </c>
      <c r="AB1098" s="195">
        <v>-11</v>
      </c>
      <c r="AC1098" s="196">
        <f t="shared" si="694"/>
        <v>0.40000000000000036</v>
      </c>
      <c r="AD1098" s="197">
        <f t="shared" si="695"/>
        <v>-1.0822510822511744E-3</v>
      </c>
      <c r="AE1098" s="198">
        <f t="shared" si="696"/>
        <v>6.9300000000000004E-4</v>
      </c>
      <c r="AF1098" s="193"/>
      <c r="AG1098" s="199" t="s">
        <v>416</v>
      </c>
      <c r="AH1098" s="124"/>
    </row>
    <row r="1099" spans="1:34" ht="12" hidden="1" customHeight="1">
      <c r="A1099" s="187">
        <v>44487</v>
      </c>
      <c r="B1099" s="188" t="s">
        <v>589</v>
      </c>
      <c r="C1099" s="188" t="s">
        <v>460</v>
      </c>
      <c r="D1099" s="188"/>
      <c r="E1099" s="188" t="str">
        <f t="shared" si="682"/>
        <v>DCMSHRIRAM</v>
      </c>
      <c r="F1099" s="188"/>
      <c r="G1099" s="188"/>
      <c r="H1099" s="188"/>
      <c r="I1099" s="188" t="s">
        <v>668</v>
      </c>
      <c r="J1099" s="188" t="s">
        <v>483</v>
      </c>
      <c r="K1099" s="188"/>
      <c r="L1099" s="188"/>
      <c r="M1099" s="189">
        <v>100</v>
      </c>
      <c r="N1099" s="190">
        <v>1215</v>
      </c>
      <c r="O1099" s="191">
        <v>1220</v>
      </c>
      <c r="P1099" s="192">
        <f t="shared" si="705"/>
        <v>20</v>
      </c>
      <c r="Q1099" s="192">
        <f t="shared" si="706"/>
        <v>20</v>
      </c>
      <c r="R1099" s="193">
        <f t="shared" si="685"/>
        <v>243500</v>
      </c>
      <c r="S1099" s="193">
        <f t="shared" si="686"/>
        <v>500</v>
      </c>
      <c r="T1099" s="193">
        <f t="shared" ref="T1099:T1100" si="774">ROUND(P1099+Q1099,2)</f>
        <v>40</v>
      </c>
      <c r="U1099" s="193">
        <f t="shared" si="707"/>
        <v>8.41</v>
      </c>
      <c r="V1099" s="193">
        <f t="shared" si="734"/>
        <v>30.5</v>
      </c>
      <c r="W1099" s="193">
        <f t="shared" si="735"/>
        <v>3.65</v>
      </c>
      <c r="X1099" s="193">
        <f t="shared" si="773"/>
        <v>6.7</v>
      </c>
      <c r="Y1099" s="193">
        <f t="shared" si="758"/>
        <v>0.24</v>
      </c>
      <c r="Z1099" s="193">
        <f t="shared" si="692"/>
        <v>89.5</v>
      </c>
      <c r="AA1099" s="194">
        <f t="shared" si="693"/>
        <v>410.5</v>
      </c>
      <c r="AB1099" s="195">
        <v>410.82</v>
      </c>
      <c r="AC1099" s="196">
        <f t="shared" si="694"/>
        <v>0.31999999999999318</v>
      </c>
      <c r="AD1099" s="197">
        <f t="shared" si="695"/>
        <v>4.11522633744856E-3</v>
      </c>
      <c r="AE1099" s="198">
        <f t="shared" si="696"/>
        <v>3.68E-4</v>
      </c>
      <c r="AF1099" s="193"/>
      <c r="AG1099" s="199" t="s">
        <v>416</v>
      </c>
      <c r="AH1099" s="124"/>
    </row>
    <row r="1100" spans="1:34" ht="12" hidden="1" customHeight="1">
      <c r="A1100" s="187">
        <v>44488</v>
      </c>
      <c r="B1100" s="188" t="s">
        <v>577</v>
      </c>
      <c r="C1100" s="188" t="s">
        <v>485</v>
      </c>
      <c r="D1100" s="188"/>
      <c r="E1100" s="188" t="str">
        <f t="shared" si="682"/>
        <v>ZENTEC</v>
      </c>
      <c r="F1100" s="188"/>
      <c r="G1100" s="188"/>
      <c r="H1100" s="188"/>
      <c r="I1100" s="188" t="s">
        <v>668</v>
      </c>
      <c r="J1100" s="188" t="s">
        <v>483</v>
      </c>
      <c r="K1100" s="188"/>
      <c r="L1100" s="188"/>
      <c r="M1100" s="189">
        <v>20</v>
      </c>
      <c r="N1100" s="190">
        <v>240</v>
      </c>
      <c r="O1100" s="191">
        <v>248</v>
      </c>
      <c r="P1100" s="192">
        <f t="shared" si="705"/>
        <v>1.44</v>
      </c>
      <c r="Q1100" s="192">
        <f t="shared" si="706"/>
        <v>1.49</v>
      </c>
      <c r="R1100" s="193">
        <f t="shared" si="685"/>
        <v>9760</v>
      </c>
      <c r="S1100" s="193">
        <f t="shared" si="686"/>
        <v>160</v>
      </c>
      <c r="T1100" s="193">
        <f t="shared" si="774"/>
        <v>2.93</v>
      </c>
      <c r="U1100" s="193">
        <f t="shared" si="707"/>
        <v>0.59</v>
      </c>
      <c r="V1100" s="193">
        <f t="shared" si="734"/>
        <v>1.24</v>
      </c>
      <c r="W1100" s="193">
        <f t="shared" si="735"/>
        <v>0.14000000000000001</v>
      </c>
      <c r="X1100" s="193">
        <f>ROUND(R1100*H$1820,2)</f>
        <v>0.34</v>
      </c>
      <c r="Y1100" s="193">
        <f t="shared" si="758"/>
        <v>0.01</v>
      </c>
      <c r="Z1100" s="193">
        <f t="shared" si="692"/>
        <v>5.2499999999999991</v>
      </c>
      <c r="AA1100" s="194">
        <f t="shared" si="693"/>
        <v>154.75</v>
      </c>
      <c r="AB1100" s="195">
        <v>154.93</v>
      </c>
      <c r="AC1100" s="196">
        <f t="shared" si="694"/>
        <v>0.18000000000000682</v>
      </c>
      <c r="AD1100" s="197">
        <f t="shared" si="695"/>
        <v>3.3333333333333333E-2</v>
      </c>
      <c r="AE1100" s="198">
        <f t="shared" si="696"/>
        <v>5.3799999999999996E-4</v>
      </c>
      <c r="AF1100" s="193"/>
      <c r="AG1100" s="199" t="s">
        <v>416</v>
      </c>
      <c r="AH1100" s="124"/>
    </row>
    <row r="1101" spans="1:34" ht="12" hidden="1" customHeight="1">
      <c r="A1101" s="187">
        <v>44488</v>
      </c>
      <c r="B1101" s="188" t="s">
        <v>589</v>
      </c>
      <c r="C1101" s="188" t="s">
        <v>460</v>
      </c>
      <c r="D1101" s="188"/>
      <c r="E1101" s="188" t="str">
        <f t="shared" si="682"/>
        <v>DCMSHRIRAM</v>
      </c>
      <c r="F1101" s="188"/>
      <c r="G1101" s="188"/>
      <c r="H1101" s="188"/>
      <c r="I1101" s="188" t="s">
        <v>668</v>
      </c>
      <c r="J1101" s="188" t="s">
        <v>483</v>
      </c>
      <c r="K1101" s="188"/>
      <c r="L1101" s="188"/>
      <c r="M1101" s="189">
        <v>200</v>
      </c>
      <c r="N1101" s="190">
        <v>1190</v>
      </c>
      <c r="O1101" s="191">
        <v>1198.5</v>
      </c>
      <c r="P1101" s="192">
        <f t="shared" si="705"/>
        <v>20</v>
      </c>
      <c r="Q1101" s="192">
        <f t="shared" si="706"/>
        <v>20</v>
      </c>
      <c r="R1101" s="193">
        <f t="shared" si="685"/>
        <v>477700</v>
      </c>
      <c r="S1101" s="193">
        <f t="shared" si="686"/>
        <v>1700</v>
      </c>
      <c r="T1101" s="193">
        <v>80</v>
      </c>
      <c r="U1101" s="193">
        <f t="shared" si="707"/>
        <v>16.77</v>
      </c>
      <c r="V1101" s="193">
        <f t="shared" si="734"/>
        <v>59.93</v>
      </c>
      <c r="W1101" s="193">
        <f t="shared" si="735"/>
        <v>7.14</v>
      </c>
      <c r="X1101" s="193">
        <f>ROUND(R1101*G$1820,2)</f>
        <v>13.14</v>
      </c>
      <c r="Y1101" s="193">
        <f t="shared" si="758"/>
        <v>0.48</v>
      </c>
      <c r="Z1101" s="193">
        <f t="shared" si="692"/>
        <v>177.45999999999995</v>
      </c>
      <c r="AA1101" s="194">
        <f t="shared" si="693"/>
        <v>1522.54</v>
      </c>
      <c r="AB1101" s="195">
        <v>1522.62</v>
      </c>
      <c r="AC1101" s="196">
        <f t="shared" si="694"/>
        <v>7.999999999992724E-2</v>
      </c>
      <c r="AD1101" s="197">
        <f t="shared" si="695"/>
        <v>7.1428571428571426E-3</v>
      </c>
      <c r="AE1101" s="198">
        <f t="shared" si="696"/>
        <v>3.7100000000000002E-4</v>
      </c>
      <c r="AF1101" s="193"/>
      <c r="AG1101" s="199" t="s">
        <v>416</v>
      </c>
      <c r="AH1101" s="124"/>
    </row>
    <row r="1102" spans="1:34" ht="12" hidden="1" customHeight="1">
      <c r="A1102" s="187">
        <v>44489</v>
      </c>
      <c r="B1102" s="188" t="s">
        <v>493</v>
      </c>
      <c r="C1102" s="188" t="s">
        <v>485</v>
      </c>
      <c r="D1102" s="188"/>
      <c r="E1102" s="188" t="str">
        <f t="shared" si="682"/>
        <v>SBIN</v>
      </c>
      <c r="F1102" s="188"/>
      <c r="G1102" s="188"/>
      <c r="H1102" s="188"/>
      <c r="I1102" s="188" t="s">
        <v>668</v>
      </c>
      <c r="J1102" s="188" t="s">
        <v>483</v>
      </c>
      <c r="K1102" s="188"/>
      <c r="L1102" s="188"/>
      <c r="M1102" s="189">
        <v>15</v>
      </c>
      <c r="N1102" s="190">
        <v>500</v>
      </c>
      <c r="O1102" s="191">
        <v>504</v>
      </c>
      <c r="P1102" s="192">
        <f t="shared" si="705"/>
        <v>2.25</v>
      </c>
      <c r="Q1102" s="192">
        <f t="shared" si="706"/>
        <v>2.27</v>
      </c>
      <c r="R1102" s="193">
        <f t="shared" si="685"/>
        <v>15060</v>
      </c>
      <c r="S1102" s="193">
        <f t="shared" si="686"/>
        <v>60</v>
      </c>
      <c r="T1102" s="193">
        <f t="shared" ref="T1102:T1108" si="775">ROUND(P1102+Q1102,2)</f>
        <v>4.5199999999999996</v>
      </c>
      <c r="U1102" s="193">
        <f t="shared" si="707"/>
        <v>0.91</v>
      </c>
      <c r="V1102" s="193">
        <f t="shared" si="734"/>
        <v>1.89</v>
      </c>
      <c r="W1102" s="193">
        <f t="shared" si="735"/>
        <v>0.23</v>
      </c>
      <c r="X1102" s="193">
        <f>ROUND(R1102*H$1820,2)</f>
        <v>0.52</v>
      </c>
      <c r="Y1102" s="193">
        <f t="shared" si="758"/>
        <v>0.02</v>
      </c>
      <c r="Z1102" s="193">
        <f t="shared" si="692"/>
        <v>8.09</v>
      </c>
      <c r="AA1102" s="194">
        <f t="shared" si="693"/>
        <v>51.91</v>
      </c>
      <c r="AB1102" s="195">
        <f>52+0.14</f>
        <v>52.14</v>
      </c>
      <c r="AC1102" s="196">
        <f t="shared" si="694"/>
        <v>0.23000000000000398</v>
      </c>
      <c r="AD1102" s="197">
        <f t="shared" si="695"/>
        <v>8.0000000000000002E-3</v>
      </c>
      <c r="AE1102" s="198">
        <f t="shared" si="696"/>
        <v>5.3700000000000004E-4</v>
      </c>
      <c r="AF1102" s="193"/>
      <c r="AG1102" s="199" t="s">
        <v>416</v>
      </c>
      <c r="AH1102" s="124"/>
    </row>
    <row r="1103" spans="1:34" ht="12" hidden="1" customHeight="1">
      <c r="A1103" s="187">
        <v>44489</v>
      </c>
      <c r="B1103" s="188" t="s">
        <v>585</v>
      </c>
      <c r="C1103" s="188" t="s">
        <v>485</v>
      </c>
      <c r="D1103" s="188"/>
      <c r="E1103" s="188" t="str">
        <f t="shared" si="682"/>
        <v>IEX</v>
      </c>
      <c r="F1103" s="188"/>
      <c r="G1103" s="188"/>
      <c r="H1103" s="188"/>
      <c r="I1103" s="188" t="s">
        <v>668</v>
      </c>
      <c r="J1103" s="188" t="s">
        <v>483</v>
      </c>
      <c r="K1103" s="188"/>
      <c r="L1103" s="188"/>
      <c r="M1103" s="189">
        <v>30</v>
      </c>
      <c r="N1103" s="190">
        <v>779</v>
      </c>
      <c r="O1103" s="191">
        <v>790</v>
      </c>
      <c r="P1103" s="192">
        <f t="shared" si="705"/>
        <v>7.01</v>
      </c>
      <c r="Q1103" s="192">
        <f t="shared" si="706"/>
        <v>7.11</v>
      </c>
      <c r="R1103" s="193">
        <f t="shared" si="685"/>
        <v>47070</v>
      </c>
      <c r="S1103" s="193">
        <f t="shared" si="686"/>
        <v>330</v>
      </c>
      <c r="T1103" s="193">
        <f t="shared" si="775"/>
        <v>14.12</v>
      </c>
      <c r="U1103" s="193">
        <f t="shared" si="707"/>
        <v>2.77</v>
      </c>
      <c r="V1103" s="193">
        <f t="shared" si="734"/>
        <v>5.93</v>
      </c>
      <c r="W1103" s="193">
        <f t="shared" si="735"/>
        <v>0.7</v>
      </c>
      <c r="X1103" s="193">
        <f>ROUND(R1103*G$1820,2)</f>
        <v>1.29</v>
      </c>
      <c r="Y1103" s="193">
        <f t="shared" si="758"/>
        <v>0.05</v>
      </c>
      <c r="Z1103" s="193">
        <f t="shared" si="692"/>
        <v>24.86</v>
      </c>
      <c r="AA1103" s="194">
        <f t="shared" si="693"/>
        <v>305.14</v>
      </c>
      <c r="AB1103" s="195">
        <v>305</v>
      </c>
      <c r="AC1103" s="196">
        <f t="shared" si="694"/>
        <v>-0.13999999999998636</v>
      </c>
      <c r="AD1103" s="197">
        <f t="shared" si="695"/>
        <v>1.4120667522464698E-2</v>
      </c>
      <c r="AE1103" s="198">
        <f t="shared" si="696"/>
        <v>5.2800000000000004E-4</v>
      </c>
      <c r="AF1103" s="193"/>
      <c r="AG1103" s="199" t="s">
        <v>416</v>
      </c>
      <c r="AH1103" s="124"/>
    </row>
    <row r="1104" spans="1:34" ht="12" hidden="1" customHeight="1">
      <c r="A1104" s="187">
        <v>44490</v>
      </c>
      <c r="B1104" s="188" t="s">
        <v>493</v>
      </c>
      <c r="C1104" s="188" t="s">
        <v>485</v>
      </c>
      <c r="D1104" s="188"/>
      <c r="E1104" s="188" t="str">
        <f t="shared" si="682"/>
        <v>SBIN</v>
      </c>
      <c r="F1104" s="188"/>
      <c r="G1104" s="188"/>
      <c r="H1104" s="188"/>
      <c r="I1104" s="188" t="s">
        <v>668</v>
      </c>
      <c r="J1104" s="188" t="s">
        <v>483</v>
      </c>
      <c r="K1104" s="188"/>
      <c r="L1104" s="188"/>
      <c r="M1104" s="189">
        <v>15</v>
      </c>
      <c r="N1104" s="190">
        <v>492</v>
      </c>
      <c r="O1104" s="191">
        <v>500</v>
      </c>
      <c r="P1104" s="192">
        <f t="shared" si="705"/>
        <v>2.21</v>
      </c>
      <c r="Q1104" s="192">
        <f t="shared" si="706"/>
        <v>2.25</v>
      </c>
      <c r="R1104" s="193">
        <f t="shared" si="685"/>
        <v>14880</v>
      </c>
      <c r="S1104" s="193">
        <f t="shared" si="686"/>
        <v>120</v>
      </c>
      <c r="T1104" s="193">
        <f t="shared" si="775"/>
        <v>4.46</v>
      </c>
      <c r="U1104" s="193">
        <f t="shared" si="707"/>
        <v>0.89</v>
      </c>
      <c r="V1104" s="193">
        <f t="shared" si="734"/>
        <v>1.88</v>
      </c>
      <c r="W1104" s="193">
        <f t="shared" si="735"/>
        <v>0.22</v>
      </c>
      <c r="X1104" s="193">
        <f t="shared" ref="X1104:X1108" si="776">ROUND(R1104*H$1820,2)</f>
        <v>0.51</v>
      </c>
      <c r="Y1104" s="193">
        <f t="shared" si="758"/>
        <v>0.01</v>
      </c>
      <c r="Z1104" s="193">
        <f t="shared" si="692"/>
        <v>7.9699999999999989</v>
      </c>
      <c r="AA1104" s="194">
        <f t="shared" si="693"/>
        <v>112.03</v>
      </c>
      <c r="AB1104" s="195">
        <f>112+0.53</f>
        <v>112.53</v>
      </c>
      <c r="AC1104" s="196">
        <f t="shared" si="694"/>
        <v>0.5</v>
      </c>
      <c r="AD1104" s="197">
        <f t="shared" si="695"/>
        <v>1.6260162601626018E-2</v>
      </c>
      <c r="AE1104" s="198">
        <f t="shared" si="696"/>
        <v>5.3600000000000002E-4</v>
      </c>
      <c r="AF1104" s="193"/>
      <c r="AG1104" s="199" t="s">
        <v>416</v>
      </c>
      <c r="AH1104" s="124"/>
    </row>
    <row r="1105" spans="1:34" ht="12" hidden="1" customHeight="1">
      <c r="A1105" s="187">
        <v>44490</v>
      </c>
      <c r="B1105" s="188" t="s">
        <v>588</v>
      </c>
      <c r="C1105" s="188" t="s">
        <v>485</v>
      </c>
      <c r="D1105" s="188"/>
      <c r="E1105" s="188" t="str">
        <f t="shared" si="682"/>
        <v>TCS</v>
      </c>
      <c r="F1105" s="188"/>
      <c r="G1105" s="188"/>
      <c r="H1105" s="188"/>
      <c r="I1105" s="188" t="s">
        <v>668</v>
      </c>
      <c r="J1105" s="188" t="s">
        <v>483</v>
      </c>
      <c r="K1105" s="188"/>
      <c r="L1105" s="188"/>
      <c r="M1105" s="189">
        <v>4</v>
      </c>
      <c r="N1105" s="190">
        <v>3535</v>
      </c>
      <c r="O1105" s="191">
        <v>3540.125</v>
      </c>
      <c r="P1105" s="192">
        <f t="shared" si="705"/>
        <v>4.24</v>
      </c>
      <c r="Q1105" s="192">
        <f t="shared" si="706"/>
        <v>4.25</v>
      </c>
      <c r="R1105" s="193">
        <f t="shared" si="685"/>
        <v>28300.5</v>
      </c>
      <c r="S1105" s="193">
        <f t="shared" si="686"/>
        <v>20.5</v>
      </c>
      <c r="T1105" s="193">
        <f t="shared" si="775"/>
        <v>8.49</v>
      </c>
      <c r="U1105" s="193">
        <f t="shared" si="707"/>
        <v>1.7</v>
      </c>
      <c r="V1105" s="193">
        <f t="shared" si="734"/>
        <v>3.54</v>
      </c>
      <c r="W1105" s="193">
        <f t="shared" si="735"/>
        <v>0.42</v>
      </c>
      <c r="X1105" s="193">
        <f t="shared" si="776"/>
        <v>0.98</v>
      </c>
      <c r="Y1105" s="193">
        <f t="shared" si="758"/>
        <v>0.03</v>
      </c>
      <c r="Z1105" s="193">
        <f t="shared" si="692"/>
        <v>15.16</v>
      </c>
      <c r="AA1105" s="194">
        <f t="shared" si="693"/>
        <v>5.34</v>
      </c>
      <c r="AB1105" s="195">
        <v>5</v>
      </c>
      <c r="AC1105" s="196">
        <f t="shared" si="694"/>
        <v>-0.33999999999999986</v>
      </c>
      <c r="AD1105" s="197">
        <f t="shared" si="695"/>
        <v>1.4497878359264497E-3</v>
      </c>
      <c r="AE1105" s="198">
        <f t="shared" si="696"/>
        <v>5.3600000000000002E-4</v>
      </c>
      <c r="AF1105" s="193"/>
      <c r="AG1105" s="199" t="s">
        <v>416</v>
      </c>
      <c r="AH1105" s="124"/>
    </row>
    <row r="1106" spans="1:34" ht="12" hidden="1" customHeight="1">
      <c r="A1106" s="187">
        <v>44491</v>
      </c>
      <c r="B1106" s="188" t="s">
        <v>584</v>
      </c>
      <c r="C1106" s="188" t="s">
        <v>485</v>
      </c>
      <c r="D1106" s="188"/>
      <c r="E1106" s="188" t="str">
        <f t="shared" si="682"/>
        <v>IBREALEST</v>
      </c>
      <c r="F1106" s="188"/>
      <c r="G1106" s="188"/>
      <c r="H1106" s="188"/>
      <c r="I1106" s="188" t="s">
        <v>668</v>
      </c>
      <c r="J1106" s="188" t="s">
        <v>483</v>
      </c>
      <c r="K1106" s="188"/>
      <c r="L1106" s="188"/>
      <c r="M1106" s="189">
        <v>100</v>
      </c>
      <c r="N1106" s="190">
        <v>164.5</v>
      </c>
      <c r="O1106" s="191">
        <v>166</v>
      </c>
      <c r="P1106" s="192">
        <f t="shared" si="705"/>
        <v>4.9400000000000004</v>
      </c>
      <c r="Q1106" s="192">
        <f t="shared" si="706"/>
        <v>4.9800000000000004</v>
      </c>
      <c r="R1106" s="193">
        <f t="shared" si="685"/>
        <v>33050</v>
      </c>
      <c r="S1106" s="193">
        <f t="shared" si="686"/>
        <v>150</v>
      </c>
      <c r="T1106" s="193">
        <f t="shared" si="775"/>
        <v>9.92</v>
      </c>
      <c r="U1106" s="193">
        <f t="shared" si="707"/>
        <v>1.99</v>
      </c>
      <c r="V1106" s="193">
        <f t="shared" si="734"/>
        <v>4.1500000000000004</v>
      </c>
      <c r="W1106" s="193">
        <f t="shared" si="735"/>
        <v>0.49</v>
      </c>
      <c r="X1106" s="193">
        <f t="shared" si="776"/>
        <v>1.1399999999999999</v>
      </c>
      <c r="Y1106" s="193">
        <f t="shared" si="758"/>
        <v>0.03</v>
      </c>
      <c r="Z1106" s="193">
        <f t="shared" si="692"/>
        <v>17.720000000000002</v>
      </c>
      <c r="AA1106" s="194">
        <f t="shared" si="693"/>
        <v>132.28</v>
      </c>
      <c r="AB1106" s="195">
        <f>132-0.99</f>
        <v>131.01</v>
      </c>
      <c r="AC1106" s="196">
        <f t="shared" si="694"/>
        <v>-1.2700000000000102</v>
      </c>
      <c r="AD1106" s="197">
        <f t="shared" si="695"/>
        <v>9.11854103343465E-3</v>
      </c>
      <c r="AE1106" s="198">
        <f t="shared" si="696"/>
        <v>5.3600000000000002E-4</v>
      </c>
      <c r="AF1106" s="193"/>
      <c r="AG1106" s="199" t="s">
        <v>416</v>
      </c>
      <c r="AH1106" s="124"/>
    </row>
    <row r="1107" spans="1:34" ht="12" hidden="1" customHeight="1">
      <c r="A1107" s="187">
        <v>44491</v>
      </c>
      <c r="B1107" s="188" t="s">
        <v>498</v>
      </c>
      <c r="C1107" s="188" t="s">
        <v>485</v>
      </c>
      <c r="D1107" s="188"/>
      <c r="E1107" s="188" t="str">
        <f t="shared" si="682"/>
        <v>BAJFINANCE</v>
      </c>
      <c r="F1107" s="188"/>
      <c r="G1107" s="188"/>
      <c r="H1107" s="188"/>
      <c r="I1107" s="188" t="s">
        <v>668</v>
      </c>
      <c r="J1107" s="188" t="s">
        <v>483</v>
      </c>
      <c r="K1107" s="188"/>
      <c r="L1107" s="188"/>
      <c r="M1107" s="189">
        <v>2</v>
      </c>
      <c r="N1107" s="190">
        <v>7850</v>
      </c>
      <c r="O1107" s="191">
        <v>7905</v>
      </c>
      <c r="P1107" s="192">
        <f t="shared" si="705"/>
        <v>4.71</v>
      </c>
      <c r="Q1107" s="192">
        <f t="shared" si="706"/>
        <v>4.74</v>
      </c>
      <c r="R1107" s="193">
        <f t="shared" si="685"/>
        <v>31510</v>
      </c>
      <c r="S1107" s="193">
        <f t="shared" si="686"/>
        <v>110</v>
      </c>
      <c r="T1107" s="193">
        <f t="shared" si="775"/>
        <v>9.4499999999999993</v>
      </c>
      <c r="U1107" s="193">
        <f t="shared" si="707"/>
        <v>1.9</v>
      </c>
      <c r="V1107" s="193">
        <f t="shared" si="734"/>
        <v>3.95</v>
      </c>
      <c r="W1107" s="193">
        <f t="shared" si="735"/>
        <v>0.47</v>
      </c>
      <c r="X1107" s="193">
        <f t="shared" si="776"/>
        <v>1.0900000000000001</v>
      </c>
      <c r="Y1107" s="193">
        <f t="shared" si="758"/>
        <v>0.03</v>
      </c>
      <c r="Z1107" s="193">
        <f t="shared" si="692"/>
        <v>16.890000000000004</v>
      </c>
      <c r="AA1107" s="194">
        <f t="shared" si="693"/>
        <v>93.11</v>
      </c>
      <c r="AB1107" s="195">
        <v>93</v>
      </c>
      <c r="AC1107" s="196">
        <f t="shared" si="694"/>
        <v>-0.10999999999999943</v>
      </c>
      <c r="AD1107" s="197">
        <f t="shared" si="695"/>
        <v>7.0063694267515925E-3</v>
      </c>
      <c r="AE1107" s="198">
        <f t="shared" si="696"/>
        <v>5.3600000000000002E-4</v>
      </c>
      <c r="AF1107" s="193"/>
      <c r="AG1107" s="199" t="s">
        <v>416</v>
      </c>
      <c r="AH1107" s="124"/>
    </row>
    <row r="1108" spans="1:34" ht="12" hidden="1" customHeight="1">
      <c r="A1108" s="187">
        <v>44491</v>
      </c>
      <c r="B1108" s="188" t="s">
        <v>493</v>
      </c>
      <c r="C1108" s="188" t="s">
        <v>485</v>
      </c>
      <c r="D1108" s="188"/>
      <c r="E1108" s="188" t="str">
        <f t="shared" si="682"/>
        <v>SBIN</v>
      </c>
      <c r="F1108" s="188"/>
      <c r="G1108" s="188"/>
      <c r="H1108" s="188"/>
      <c r="I1108" s="188" t="s">
        <v>668</v>
      </c>
      <c r="J1108" s="188" t="s">
        <v>483</v>
      </c>
      <c r="K1108" s="188"/>
      <c r="L1108" s="188"/>
      <c r="M1108" s="189">
        <v>15</v>
      </c>
      <c r="N1108" s="190">
        <v>202.94</v>
      </c>
      <c r="O1108" s="191">
        <v>205</v>
      </c>
      <c r="P1108" s="192">
        <f>IF(N1108*M1108*G$1814&lt;20,ROUND(N1108*M1108*G$1814,2),20)+1.35</f>
        <v>2.2600000000000002</v>
      </c>
      <c r="Q1108" s="192">
        <f>IF(O1108*M1108*G$1814&lt;20,ROUND(O1108*M1108*G$1814,2),20)+1.35</f>
        <v>2.27</v>
      </c>
      <c r="R1108" s="193">
        <f t="shared" si="685"/>
        <v>6119.1</v>
      </c>
      <c r="S1108" s="193">
        <f t="shared" si="686"/>
        <v>30.900000000000034</v>
      </c>
      <c r="T1108" s="193">
        <f t="shared" si="775"/>
        <v>4.53</v>
      </c>
      <c r="U1108" s="193">
        <f t="shared" si="707"/>
        <v>0.85</v>
      </c>
      <c r="V1108" s="193">
        <f t="shared" si="734"/>
        <v>0.77</v>
      </c>
      <c r="W1108" s="193">
        <f t="shared" si="735"/>
        <v>0.09</v>
      </c>
      <c r="X1108" s="193">
        <f t="shared" si="776"/>
        <v>0.21</v>
      </c>
      <c r="Y1108" s="193">
        <f t="shared" si="758"/>
        <v>0.01</v>
      </c>
      <c r="Z1108" s="193">
        <f t="shared" si="692"/>
        <v>6.46</v>
      </c>
      <c r="AA1108" s="194">
        <f t="shared" si="693"/>
        <v>24.44</v>
      </c>
      <c r="AB1108" s="195">
        <v>24</v>
      </c>
      <c r="AC1108" s="196">
        <f t="shared" si="694"/>
        <v>-0.44000000000000128</v>
      </c>
      <c r="AD1108" s="197">
        <f t="shared" si="695"/>
        <v>1.015078348280281E-2</v>
      </c>
      <c r="AE1108" s="198">
        <f t="shared" si="696"/>
        <v>1.0560000000000001E-3</v>
      </c>
      <c r="AF1108" s="193"/>
      <c r="AG1108" s="199" t="s">
        <v>416</v>
      </c>
      <c r="AH1108" s="124"/>
    </row>
    <row r="1109" spans="1:34" ht="12" hidden="1" customHeight="1">
      <c r="A1109" s="187">
        <v>44494</v>
      </c>
      <c r="B1109" s="188" t="s">
        <v>589</v>
      </c>
      <c r="C1109" s="188" t="s">
        <v>460</v>
      </c>
      <c r="D1109" s="188"/>
      <c r="E1109" s="188" t="str">
        <f t="shared" si="682"/>
        <v>DCMSHRIRAM</v>
      </c>
      <c r="F1109" s="188"/>
      <c r="G1109" s="188"/>
      <c r="H1109" s="188"/>
      <c r="I1109" s="188" t="s">
        <v>668</v>
      </c>
      <c r="J1109" s="188" t="s">
        <v>483</v>
      </c>
      <c r="K1109" s="188"/>
      <c r="L1109" s="188"/>
      <c r="M1109" s="189">
        <v>174</v>
      </c>
      <c r="N1109" s="190">
        <v>949.85630000000003</v>
      </c>
      <c r="O1109" s="191">
        <v>953.73559999999998</v>
      </c>
      <c r="P1109" s="192">
        <f t="shared" ref="P1109:P1134" si="777">IF(N1109*M1109*G$1814&lt;20,ROUND(N1109*M1109*G$1814,2),20)</f>
        <v>20</v>
      </c>
      <c r="Q1109" s="192">
        <f t="shared" ref="Q1109:Q1134" si="778">IF(O1109*M1109*G$1814&lt;20,ROUND(O1109*M1109*G$1814,2),20)</f>
        <v>20</v>
      </c>
      <c r="R1109" s="193">
        <f t="shared" si="685"/>
        <v>331224.99</v>
      </c>
      <c r="S1109" s="193">
        <f t="shared" si="686"/>
        <v>674.99819999999022</v>
      </c>
      <c r="T1109" s="193">
        <v>80</v>
      </c>
      <c r="U1109" s="193">
        <f t="shared" si="707"/>
        <v>16.04</v>
      </c>
      <c r="V1109" s="193">
        <f t="shared" si="734"/>
        <v>41.49</v>
      </c>
      <c r="W1109" s="193">
        <f t="shared" si="735"/>
        <v>4.96</v>
      </c>
      <c r="X1109" s="193">
        <f>ROUND(R1109*G$1820,2)</f>
        <v>9.11</v>
      </c>
      <c r="Y1109" s="193">
        <f t="shared" si="758"/>
        <v>0.33</v>
      </c>
      <c r="Z1109" s="193">
        <f t="shared" si="692"/>
        <v>151.93000000000004</v>
      </c>
      <c r="AA1109" s="194">
        <f t="shared" si="693"/>
        <v>523.07000000000005</v>
      </c>
      <c r="AB1109" s="195">
        <v>523.52</v>
      </c>
      <c r="AC1109" s="196">
        <f t="shared" si="694"/>
        <v>0.44999999999993179</v>
      </c>
      <c r="AD1109" s="197">
        <f t="shared" si="695"/>
        <v>4.0840914567813504E-3</v>
      </c>
      <c r="AE1109" s="198">
        <f t="shared" si="696"/>
        <v>4.5899999999999999E-4</v>
      </c>
      <c r="AF1109" s="193"/>
      <c r="AG1109" s="199" t="s">
        <v>416</v>
      </c>
      <c r="AH1109" s="124"/>
    </row>
    <row r="1110" spans="1:34" ht="12" hidden="1" customHeight="1">
      <c r="A1110" s="187">
        <v>44495</v>
      </c>
      <c r="B1110" s="188" t="s">
        <v>498</v>
      </c>
      <c r="C1110" s="188" t="s">
        <v>485</v>
      </c>
      <c r="D1110" s="188"/>
      <c r="E1110" s="188" t="str">
        <f t="shared" si="682"/>
        <v>BAJFINANCE</v>
      </c>
      <c r="F1110" s="188"/>
      <c r="G1110" s="188"/>
      <c r="H1110" s="188"/>
      <c r="I1110" s="188" t="s">
        <v>668</v>
      </c>
      <c r="J1110" s="188" t="s">
        <v>483</v>
      </c>
      <c r="K1110" s="188"/>
      <c r="L1110" s="188"/>
      <c r="M1110" s="189">
        <v>2</v>
      </c>
      <c r="N1110" s="190">
        <v>7800</v>
      </c>
      <c r="O1110" s="191">
        <v>7864.9</v>
      </c>
      <c r="P1110" s="192">
        <f t="shared" si="777"/>
        <v>4.68</v>
      </c>
      <c r="Q1110" s="192">
        <f t="shared" si="778"/>
        <v>4.72</v>
      </c>
      <c r="R1110" s="193">
        <f t="shared" si="685"/>
        <v>31329.8</v>
      </c>
      <c r="S1110" s="193">
        <f t="shared" si="686"/>
        <v>129.79999999999927</v>
      </c>
      <c r="T1110" s="193">
        <f t="shared" ref="T1110:T1130" si="779">ROUND(P1110+Q1110,2)</f>
        <v>9.4</v>
      </c>
      <c r="U1110" s="193">
        <f t="shared" si="707"/>
        <v>1.89</v>
      </c>
      <c r="V1110" s="193">
        <f t="shared" si="734"/>
        <v>3.93</v>
      </c>
      <c r="W1110" s="193">
        <f t="shared" si="735"/>
        <v>0.47</v>
      </c>
      <c r="X1110" s="193">
        <f>ROUND(R1110*H$1820,2)</f>
        <v>1.08</v>
      </c>
      <c r="Y1110" s="193">
        <f t="shared" si="758"/>
        <v>0.03</v>
      </c>
      <c r="Z1110" s="193">
        <f t="shared" si="692"/>
        <v>16.800000000000004</v>
      </c>
      <c r="AA1110" s="194">
        <f t="shared" si="693"/>
        <v>113</v>
      </c>
      <c r="AB1110" s="195">
        <f>113-0.79</f>
        <v>112.21</v>
      </c>
      <c r="AC1110" s="196">
        <f t="shared" si="694"/>
        <v>-0.79000000000000625</v>
      </c>
      <c r="AD1110" s="197">
        <f t="shared" si="695"/>
        <v>8.3205128205127744E-3</v>
      </c>
      <c r="AE1110" s="198">
        <f t="shared" si="696"/>
        <v>5.3600000000000002E-4</v>
      </c>
      <c r="AF1110" s="193"/>
      <c r="AG1110" s="199" t="s">
        <v>416</v>
      </c>
      <c r="AH1110" s="124"/>
    </row>
    <row r="1111" spans="1:34" ht="12" hidden="1" customHeight="1">
      <c r="A1111" s="187">
        <v>44495</v>
      </c>
      <c r="B1111" s="188" t="s">
        <v>575</v>
      </c>
      <c r="C1111" s="188" t="s">
        <v>485</v>
      </c>
      <c r="D1111" s="188"/>
      <c r="E1111" s="188" t="str">
        <f t="shared" si="682"/>
        <v>LXCHEM</v>
      </c>
      <c r="F1111" s="188"/>
      <c r="G1111" s="188"/>
      <c r="H1111" s="188"/>
      <c r="I1111" s="188" t="s">
        <v>668</v>
      </c>
      <c r="J1111" s="188" t="s">
        <v>483</v>
      </c>
      <c r="K1111" s="188"/>
      <c r="L1111" s="188"/>
      <c r="M1111" s="189">
        <v>20</v>
      </c>
      <c r="N1111" s="190">
        <v>439</v>
      </c>
      <c r="O1111" s="191">
        <v>455</v>
      </c>
      <c r="P1111" s="192">
        <f t="shared" si="777"/>
        <v>2.63</v>
      </c>
      <c r="Q1111" s="192">
        <f t="shared" si="778"/>
        <v>2.73</v>
      </c>
      <c r="R1111" s="193">
        <f t="shared" si="685"/>
        <v>17880</v>
      </c>
      <c r="S1111" s="193">
        <f t="shared" si="686"/>
        <v>320</v>
      </c>
      <c r="T1111" s="193">
        <f t="shared" si="779"/>
        <v>5.36</v>
      </c>
      <c r="U1111" s="193">
        <f t="shared" si="707"/>
        <v>1.05</v>
      </c>
      <c r="V1111" s="193">
        <f t="shared" si="734"/>
        <v>2.2799999999999998</v>
      </c>
      <c r="W1111" s="193">
        <f t="shared" si="735"/>
        <v>0.26</v>
      </c>
      <c r="X1111" s="193">
        <f t="shared" ref="X1111:X1112" si="780">ROUND(R1111*G$1820,2)</f>
        <v>0.49</v>
      </c>
      <c r="Y1111" s="193">
        <f t="shared" si="758"/>
        <v>0.02</v>
      </c>
      <c r="Z1111" s="193">
        <f t="shared" si="692"/>
        <v>9.4599999999999991</v>
      </c>
      <c r="AA1111" s="194">
        <f t="shared" si="693"/>
        <v>310.54000000000002</v>
      </c>
      <c r="AB1111" s="195">
        <v>311</v>
      </c>
      <c r="AC1111" s="196">
        <f t="shared" si="694"/>
        <v>0.45999999999997954</v>
      </c>
      <c r="AD1111" s="197">
        <f t="shared" si="695"/>
        <v>3.644646924829157E-2</v>
      </c>
      <c r="AE1111" s="198">
        <f t="shared" si="696"/>
        <v>5.2899999999999996E-4</v>
      </c>
      <c r="AF1111" s="193"/>
      <c r="AG1111" s="199" t="s">
        <v>416</v>
      </c>
      <c r="AH1111" s="124"/>
    </row>
    <row r="1112" spans="1:34" ht="12" hidden="1" customHeight="1">
      <c r="A1112" s="187">
        <v>44495</v>
      </c>
      <c r="B1112" s="188" t="s">
        <v>586</v>
      </c>
      <c r="C1112" s="188" t="s">
        <v>485</v>
      </c>
      <c r="D1112" s="188"/>
      <c r="E1112" s="188" t="str">
        <f t="shared" si="682"/>
        <v>ARVIND</v>
      </c>
      <c r="F1112" s="188"/>
      <c r="G1112" s="188"/>
      <c r="H1112" s="188"/>
      <c r="I1112" s="188" t="s">
        <v>668</v>
      </c>
      <c r="J1112" s="188" t="s">
        <v>483</v>
      </c>
      <c r="K1112" s="188"/>
      <c r="L1112" s="188"/>
      <c r="M1112" s="189">
        <v>50</v>
      </c>
      <c r="N1112" s="190">
        <v>135</v>
      </c>
      <c r="O1112" s="191">
        <v>137</v>
      </c>
      <c r="P1112" s="192">
        <f t="shared" si="777"/>
        <v>2.0299999999999998</v>
      </c>
      <c r="Q1112" s="192">
        <f t="shared" si="778"/>
        <v>2.06</v>
      </c>
      <c r="R1112" s="193">
        <f t="shared" si="685"/>
        <v>13600</v>
      </c>
      <c r="S1112" s="193">
        <f t="shared" si="686"/>
        <v>100</v>
      </c>
      <c r="T1112" s="193">
        <f t="shared" si="779"/>
        <v>4.09</v>
      </c>
      <c r="U1112" s="193">
        <f t="shared" si="707"/>
        <v>0.8</v>
      </c>
      <c r="V1112" s="193">
        <f t="shared" si="734"/>
        <v>1.71</v>
      </c>
      <c r="W1112" s="193">
        <f t="shared" si="735"/>
        <v>0.2</v>
      </c>
      <c r="X1112" s="193">
        <f t="shared" si="780"/>
        <v>0.37</v>
      </c>
      <c r="Y1112" s="193">
        <f t="shared" si="758"/>
        <v>0.01</v>
      </c>
      <c r="Z1112" s="193">
        <f t="shared" si="692"/>
        <v>7.18</v>
      </c>
      <c r="AA1112" s="194">
        <f t="shared" si="693"/>
        <v>92.82</v>
      </c>
      <c r="AB1112" s="195">
        <v>93</v>
      </c>
      <c r="AC1112" s="196">
        <f t="shared" si="694"/>
        <v>0.18000000000000682</v>
      </c>
      <c r="AD1112" s="197">
        <f t="shared" si="695"/>
        <v>1.4814814814814815E-2</v>
      </c>
      <c r="AE1112" s="198">
        <f t="shared" si="696"/>
        <v>5.2800000000000004E-4</v>
      </c>
      <c r="AF1112" s="193"/>
      <c r="AG1112" s="199" t="s">
        <v>416</v>
      </c>
      <c r="AH1112" s="124"/>
    </row>
    <row r="1113" spans="1:34" ht="12" hidden="1" customHeight="1">
      <c r="A1113" s="187">
        <v>44495</v>
      </c>
      <c r="B1113" s="188" t="s">
        <v>589</v>
      </c>
      <c r="C1113" s="188" t="s">
        <v>460</v>
      </c>
      <c r="D1113" s="188"/>
      <c r="E1113" s="188" t="str">
        <f t="shared" si="682"/>
        <v>DCMSHRIRAM</v>
      </c>
      <c r="F1113" s="188"/>
      <c r="G1113" s="188"/>
      <c r="H1113" s="188"/>
      <c r="I1113" s="188" t="s">
        <v>668</v>
      </c>
      <c r="J1113" s="188" t="s">
        <v>483</v>
      </c>
      <c r="K1113" s="188"/>
      <c r="L1113" s="188"/>
      <c r="M1113" s="189">
        <v>100</v>
      </c>
      <c r="N1113" s="190">
        <v>985</v>
      </c>
      <c r="O1113" s="191">
        <v>990</v>
      </c>
      <c r="P1113" s="192">
        <f t="shared" si="777"/>
        <v>20</v>
      </c>
      <c r="Q1113" s="192">
        <f t="shared" si="778"/>
        <v>20</v>
      </c>
      <c r="R1113" s="193">
        <f t="shared" si="685"/>
        <v>197500</v>
      </c>
      <c r="S1113" s="193">
        <f t="shared" si="686"/>
        <v>500</v>
      </c>
      <c r="T1113" s="193">
        <f t="shared" si="779"/>
        <v>40</v>
      </c>
      <c r="U1113" s="193">
        <f t="shared" si="707"/>
        <v>8.43</v>
      </c>
      <c r="V1113" s="193">
        <f t="shared" si="734"/>
        <v>24.75</v>
      </c>
      <c r="W1113" s="193">
        <f t="shared" si="735"/>
        <v>2.96</v>
      </c>
      <c r="X1113" s="193">
        <f t="shared" ref="X1113:X1115" si="781">ROUND(R1113*H$1820,2)</f>
        <v>6.81</v>
      </c>
      <c r="Y1113" s="193">
        <f t="shared" si="758"/>
        <v>0.2</v>
      </c>
      <c r="Z1113" s="193">
        <f t="shared" si="692"/>
        <v>83.15</v>
      </c>
      <c r="AA1113" s="194">
        <f t="shared" si="693"/>
        <v>416.85</v>
      </c>
      <c r="AB1113" s="195">
        <v>416.49</v>
      </c>
      <c r="AC1113" s="196">
        <f t="shared" si="694"/>
        <v>-0.36000000000001364</v>
      </c>
      <c r="AD1113" s="197">
        <f t="shared" si="695"/>
        <v>5.076142131979695E-3</v>
      </c>
      <c r="AE1113" s="198">
        <f t="shared" si="696"/>
        <v>4.2099999999999999E-4</v>
      </c>
      <c r="AF1113" s="193"/>
      <c r="AG1113" s="199" t="s">
        <v>416</v>
      </c>
      <c r="AH1113" s="124"/>
    </row>
    <row r="1114" spans="1:34" ht="12" hidden="1" customHeight="1">
      <c r="A1114" s="187">
        <v>44496</v>
      </c>
      <c r="B1114" s="188" t="s">
        <v>586</v>
      </c>
      <c r="C1114" s="188" t="s">
        <v>485</v>
      </c>
      <c r="D1114" s="188"/>
      <c r="E1114" s="188" t="str">
        <f t="shared" si="682"/>
        <v>ARVIND</v>
      </c>
      <c r="F1114" s="188"/>
      <c r="G1114" s="188"/>
      <c r="H1114" s="188"/>
      <c r="I1114" s="188" t="s">
        <v>668</v>
      </c>
      <c r="J1114" s="188" t="s">
        <v>483</v>
      </c>
      <c r="K1114" s="188"/>
      <c r="L1114" s="188"/>
      <c r="M1114" s="189">
        <v>50</v>
      </c>
      <c r="N1114" s="190">
        <v>134</v>
      </c>
      <c r="O1114" s="191">
        <v>137.9</v>
      </c>
      <c r="P1114" s="192">
        <f t="shared" si="777"/>
        <v>2.0099999999999998</v>
      </c>
      <c r="Q1114" s="192">
        <f t="shared" si="778"/>
        <v>2.0699999999999998</v>
      </c>
      <c r="R1114" s="193">
        <f t="shared" si="685"/>
        <v>13595</v>
      </c>
      <c r="S1114" s="193">
        <f t="shared" si="686"/>
        <v>195.00000000000028</v>
      </c>
      <c r="T1114" s="193">
        <f t="shared" si="779"/>
        <v>4.08</v>
      </c>
      <c r="U1114" s="193">
        <f t="shared" si="707"/>
        <v>0.82</v>
      </c>
      <c r="V1114" s="193">
        <f t="shared" si="734"/>
        <v>1.72</v>
      </c>
      <c r="W1114" s="193">
        <f t="shared" si="735"/>
        <v>0.2</v>
      </c>
      <c r="X1114" s="193">
        <f t="shared" si="781"/>
        <v>0.47</v>
      </c>
      <c r="Y1114" s="193">
        <f t="shared" si="758"/>
        <v>0.01</v>
      </c>
      <c r="Z1114" s="193">
        <f t="shared" si="692"/>
        <v>7.3</v>
      </c>
      <c r="AA1114" s="194">
        <f t="shared" si="693"/>
        <v>187.7</v>
      </c>
      <c r="AB1114" s="195">
        <f>188-0.65</f>
        <v>187.35</v>
      </c>
      <c r="AC1114" s="196">
        <f t="shared" si="694"/>
        <v>-0.34999999999999432</v>
      </c>
      <c r="AD1114" s="197">
        <f t="shared" si="695"/>
        <v>2.9104477611940342E-2</v>
      </c>
      <c r="AE1114" s="198">
        <f t="shared" si="696"/>
        <v>5.3700000000000004E-4</v>
      </c>
      <c r="AF1114" s="193"/>
      <c r="AG1114" s="199" t="s">
        <v>416</v>
      </c>
      <c r="AH1114" s="124"/>
    </row>
    <row r="1115" spans="1:34" ht="12" hidden="1" customHeight="1">
      <c r="A1115" s="187">
        <v>44496</v>
      </c>
      <c r="B1115" s="188" t="s">
        <v>584</v>
      </c>
      <c r="C1115" s="188" t="s">
        <v>485</v>
      </c>
      <c r="D1115" s="188"/>
      <c r="E1115" s="188" t="str">
        <f t="shared" si="682"/>
        <v>IBREALEST</v>
      </c>
      <c r="F1115" s="188"/>
      <c r="G1115" s="188"/>
      <c r="H1115" s="188"/>
      <c r="I1115" s="188" t="s">
        <v>668</v>
      </c>
      <c r="J1115" s="188" t="s">
        <v>483</v>
      </c>
      <c r="K1115" s="188"/>
      <c r="L1115" s="188"/>
      <c r="M1115" s="189">
        <v>100</v>
      </c>
      <c r="N1115" s="190">
        <v>161.6</v>
      </c>
      <c r="O1115" s="191">
        <v>163</v>
      </c>
      <c r="P1115" s="192">
        <f t="shared" si="777"/>
        <v>4.8499999999999996</v>
      </c>
      <c r="Q1115" s="192">
        <f t="shared" si="778"/>
        <v>4.8899999999999997</v>
      </c>
      <c r="R1115" s="193">
        <f t="shared" si="685"/>
        <v>32460</v>
      </c>
      <c r="S1115" s="193">
        <f t="shared" si="686"/>
        <v>140.00000000000057</v>
      </c>
      <c r="T1115" s="193">
        <f t="shared" si="779"/>
        <v>9.74</v>
      </c>
      <c r="U1115" s="193">
        <f t="shared" si="707"/>
        <v>1.95</v>
      </c>
      <c r="V1115" s="193">
        <f t="shared" si="734"/>
        <v>4.08</v>
      </c>
      <c r="W1115" s="193">
        <f t="shared" si="735"/>
        <v>0.48</v>
      </c>
      <c r="X1115" s="193">
        <f t="shared" si="781"/>
        <v>1.1200000000000001</v>
      </c>
      <c r="Y1115" s="193">
        <f t="shared" si="758"/>
        <v>0.03</v>
      </c>
      <c r="Z1115" s="193">
        <f t="shared" si="692"/>
        <v>17.400000000000002</v>
      </c>
      <c r="AA1115" s="194">
        <f t="shared" si="693"/>
        <v>122.6</v>
      </c>
      <c r="AB1115" s="195">
        <v>123</v>
      </c>
      <c r="AC1115" s="196">
        <f t="shared" si="694"/>
        <v>0.40000000000000568</v>
      </c>
      <c r="AD1115" s="197">
        <f t="shared" si="695"/>
        <v>8.6633663366336988E-3</v>
      </c>
      <c r="AE1115" s="198">
        <f t="shared" si="696"/>
        <v>5.3600000000000002E-4</v>
      </c>
      <c r="AF1115" s="193"/>
      <c r="AG1115" s="199" t="s">
        <v>416</v>
      </c>
      <c r="AH1115" s="124"/>
    </row>
    <row r="1116" spans="1:34" ht="12" hidden="1" customHeight="1">
      <c r="A1116" s="187">
        <v>44502</v>
      </c>
      <c r="B1116" s="188" t="s">
        <v>589</v>
      </c>
      <c r="C1116" s="188" t="s">
        <v>460</v>
      </c>
      <c r="D1116" s="188"/>
      <c r="E1116" s="188" t="str">
        <f t="shared" si="682"/>
        <v>DCMSHRIRAM</v>
      </c>
      <c r="F1116" s="188"/>
      <c r="G1116" s="188"/>
      <c r="H1116" s="188"/>
      <c r="I1116" s="188" t="s">
        <v>668</v>
      </c>
      <c r="J1116" s="188" t="s">
        <v>483</v>
      </c>
      <c r="K1116" s="188"/>
      <c r="L1116" s="188"/>
      <c r="M1116" s="189">
        <v>100</v>
      </c>
      <c r="N1116" s="190">
        <v>992</v>
      </c>
      <c r="O1116" s="191">
        <v>1002</v>
      </c>
      <c r="P1116" s="192">
        <f t="shared" si="777"/>
        <v>20</v>
      </c>
      <c r="Q1116" s="192">
        <f t="shared" si="778"/>
        <v>20</v>
      </c>
      <c r="R1116" s="193">
        <f t="shared" si="685"/>
        <v>199400</v>
      </c>
      <c r="S1116" s="193">
        <f t="shared" si="686"/>
        <v>1000</v>
      </c>
      <c r="T1116" s="193">
        <f t="shared" si="779"/>
        <v>40</v>
      </c>
      <c r="U1116" s="193">
        <f t="shared" si="707"/>
        <v>8.19</v>
      </c>
      <c r="V1116" s="193">
        <f t="shared" si="734"/>
        <v>25.05</v>
      </c>
      <c r="W1116" s="193">
        <f t="shared" si="735"/>
        <v>2.98</v>
      </c>
      <c r="X1116" s="193">
        <f t="shared" ref="X1116:X1117" si="782">ROUND(R1116*G$1820,2)</f>
        <v>5.48</v>
      </c>
      <c r="Y1116" s="193">
        <f t="shared" si="758"/>
        <v>0.2</v>
      </c>
      <c r="Z1116" s="193">
        <f t="shared" si="692"/>
        <v>81.900000000000006</v>
      </c>
      <c r="AA1116" s="194">
        <f t="shared" si="693"/>
        <v>918.1</v>
      </c>
      <c r="AB1116" s="195">
        <v>918.13</v>
      </c>
      <c r="AC1116" s="196">
        <f t="shared" si="694"/>
        <v>2.9999999999972715E-2</v>
      </c>
      <c r="AD1116" s="197">
        <f t="shared" si="695"/>
        <v>1.0080645161290322E-2</v>
      </c>
      <c r="AE1116" s="198">
        <f t="shared" si="696"/>
        <v>4.1100000000000002E-4</v>
      </c>
      <c r="AF1116" s="193"/>
      <c r="AG1116" s="199" t="s">
        <v>416</v>
      </c>
      <c r="AH1116" s="124"/>
    </row>
    <row r="1117" spans="1:34" ht="12" hidden="1" customHeight="1">
      <c r="A1117" s="187">
        <v>44509</v>
      </c>
      <c r="B1117" s="188" t="s">
        <v>576</v>
      </c>
      <c r="C1117" s="188" t="s">
        <v>485</v>
      </c>
      <c r="D1117" s="188"/>
      <c r="E1117" s="188" t="str">
        <f t="shared" si="682"/>
        <v>CDSL</v>
      </c>
      <c r="F1117" s="188"/>
      <c r="G1117" s="188"/>
      <c r="H1117" s="188"/>
      <c r="I1117" s="188" t="s">
        <v>668</v>
      </c>
      <c r="J1117" s="188" t="s">
        <v>483</v>
      </c>
      <c r="K1117" s="188"/>
      <c r="L1117" s="188"/>
      <c r="M1117" s="189">
        <v>5</v>
      </c>
      <c r="N1117" s="190">
        <v>1451</v>
      </c>
      <c r="O1117" s="191">
        <v>1465</v>
      </c>
      <c r="P1117" s="192">
        <f t="shared" si="777"/>
        <v>2.1800000000000002</v>
      </c>
      <c r="Q1117" s="192">
        <f t="shared" si="778"/>
        <v>2.2000000000000002</v>
      </c>
      <c r="R1117" s="193">
        <f t="shared" si="685"/>
        <v>14580</v>
      </c>
      <c r="S1117" s="193">
        <f t="shared" si="686"/>
        <v>70</v>
      </c>
      <c r="T1117" s="193">
        <f t="shared" si="779"/>
        <v>4.38</v>
      </c>
      <c r="U1117" s="193">
        <f t="shared" si="707"/>
        <v>0.86</v>
      </c>
      <c r="V1117" s="193">
        <f t="shared" si="734"/>
        <v>1.83</v>
      </c>
      <c r="W1117" s="193">
        <f t="shared" si="735"/>
        <v>0.22</v>
      </c>
      <c r="X1117" s="193">
        <f t="shared" si="782"/>
        <v>0.4</v>
      </c>
      <c r="Y1117" s="193">
        <f t="shared" si="758"/>
        <v>0.01</v>
      </c>
      <c r="Z1117" s="193">
        <f t="shared" si="692"/>
        <v>7.7</v>
      </c>
      <c r="AA1117" s="194">
        <f t="shared" si="693"/>
        <v>62.3</v>
      </c>
      <c r="AB1117" s="195">
        <v>61.89</v>
      </c>
      <c r="AC1117" s="196">
        <f t="shared" si="694"/>
        <v>-0.40999999999999659</v>
      </c>
      <c r="AD1117" s="197">
        <f t="shared" si="695"/>
        <v>9.6485182632667123E-3</v>
      </c>
      <c r="AE1117" s="198">
        <f t="shared" si="696"/>
        <v>5.2800000000000004E-4</v>
      </c>
      <c r="AF1117" s="193"/>
      <c r="AG1117" s="199" t="s">
        <v>416</v>
      </c>
      <c r="AH1117" s="124"/>
    </row>
    <row r="1118" spans="1:34" ht="12" hidden="1" customHeight="1">
      <c r="A1118" s="187">
        <v>44510</v>
      </c>
      <c r="B1118" s="188" t="s">
        <v>498</v>
      </c>
      <c r="C1118" s="188" t="s">
        <v>485</v>
      </c>
      <c r="D1118" s="188"/>
      <c r="E1118" s="188" t="str">
        <f t="shared" si="682"/>
        <v>BAJFINANCE</v>
      </c>
      <c r="F1118" s="188"/>
      <c r="G1118" s="188"/>
      <c r="H1118" s="188"/>
      <c r="I1118" s="188" t="s">
        <v>668</v>
      </c>
      <c r="J1118" s="188" t="s">
        <v>483</v>
      </c>
      <c r="K1118" s="188"/>
      <c r="L1118" s="188"/>
      <c r="M1118" s="189">
        <v>2</v>
      </c>
      <c r="N1118" s="190">
        <v>7550</v>
      </c>
      <c r="O1118" s="191">
        <v>7600</v>
      </c>
      <c r="P1118" s="192">
        <f t="shared" si="777"/>
        <v>4.53</v>
      </c>
      <c r="Q1118" s="192">
        <f t="shared" si="778"/>
        <v>4.5599999999999996</v>
      </c>
      <c r="R1118" s="193">
        <f t="shared" si="685"/>
        <v>30300</v>
      </c>
      <c r="S1118" s="193">
        <f t="shared" si="686"/>
        <v>100</v>
      </c>
      <c r="T1118" s="193">
        <f t="shared" si="779"/>
        <v>9.09</v>
      </c>
      <c r="U1118" s="193">
        <f t="shared" si="707"/>
        <v>1.83</v>
      </c>
      <c r="V1118" s="193">
        <f t="shared" si="734"/>
        <v>3.8</v>
      </c>
      <c r="W1118" s="193">
        <f t="shared" si="735"/>
        <v>0.45</v>
      </c>
      <c r="X1118" s="193">
        <f>ROUND(R1118*H$1820,2)</f>
        <v>1.05</v>
      </c>
      <c r="Y1118" s="193">
        <f t="shared" si="758"/>
        <v>0.03</v>
      </c>
      <c r="Z1118" s="193">
        <f t="shared" si="692"/>
        <v>16.25</v>
      </c>
      <c r="AA1118" s="194">
        <f t="shared" si="693"/>
        <v>83.75</v>
      </c>
      <c r="AB1118" s="195">
        <f>84+0.49</f>
        <v>84.49</v>
      </c>
      <c r="AC1118" s="196">
        <f t="shared" si="694"/>
        <v>0.73999999999999488</v>
      </c>
      <c r="AD1118" s="197">
        <f t="shared" si="695"/>
        <v>6.6225165562913907E-3</v>
      </c>
      <c r="AE1118" s="198">
        <f t="shared" si="696"/>
        <v>5.3600000000000002E-4</v>
      </c>
      <c r="AF1118" s="193"/>
      <c r="AG1118" s="199" t="s">
        <v>416</v>
      </c>
      <c r="AH1118" s="124"/>
    </row>
    <row r="1119" spans="1:34" ht="12" hidden="1" customHeight="1">
      <c r="A1119" s="187">
        <v>44510</v>
      </c>
      <c r="B1119" s="188" t="s">
        <v>591</v>
      </c>
      <c r="C1119" s="188" t="s">
        <v>485</v>
      </c>
      <c r="D1119" s="188"/>
      <c r="E1119" s="188" t="str">
        <f t="shared" si="682"/>
        <v>VSSL</v>
      </c>
      <c r="F1119" s="188"/>
      <c r="G1119" s="188"/>
      <c r="H1119" s="188"/>
      <c r="I1119" s="188" t="s">
        <v>668</v>
      </c>
      <c r="J1119" s="188" t="s">
        <v>483</v>
      </c>
      <c r="K1119" s="188"/>
      <c r="L1119" s="188"/>
      <c r="M1119" s="189">
        <v>90</v>
      </c>
      <c r="N1119" s="190">
        <v>276</v>
      </c>
      <c r="O1119" s="191">
        <v>277</v>
      </c>
      <c r="P1119" s="192">
        <f t="shared" si="777"/>
        <v>7.45</v>
      </c>
      <c r="Q1119" s="192">
        <f t="shared" si="778"/>
        <v>7.48</v>
      </c>
      <c r="R1119" s="193">
        <f t="shared" si="685"/>
        <v>49770</v>
      </c>
      <c r="S1119" s="193">
        <f t="shared" si="686"/>
        <v>90</v>
      </c>
      <c r="T1119" s="193">
        <f t="shared" si="779"/>
        <v>14.93</v>
      </c>
      <c r="U1119" s="193">
        <f t="shared" si="707"/>
        <v>2.93</v>
      </c>
      <c r="V1119" s="193">
        <f t="shared" si="734"/>
        <v>6.23</v>
      </c>
      <c r="W1119" s="193">
        <f t="shared" si="735"/>
        <v>0.75</v>
      </c>
      <c r="X1119" s="193">
        <f t="shared" ref="X1119:X1120" si="783">ROUND(R1119*G$1820,2)</f>
        <v>1.37</v>
      </c>
      <c r="Y1119" s="193">
        <f t="shared" si="758"/>
        <v>0.05</v>
      </c>
      <c r="Z1119" s="193">
        <f t="shared" si="692"/>
        <v>26.26</v>
      </c>
      <c r="AA1119" s="194">
        <f t="shared" si="693"/>
        <v>63.74</v>
      </c>
      <c r="AB1119" s="195">
        <v>64</v>
      </c>
      <c r="AC1119" s="196">
        <f t="shared" si="694"/>
        <v>0.25999999999999801</v>
      </c>
      <c r="AD1119" s="197">
        <f t="shared" si="695"/>
        <v>3.6231884057971015E-3</v>
      </c>
      <c r="AE1119" s="198">
        <f t="shared" si="696"/>
        <v>5.2800000000000004E-4</v>
      </c>
      <c r="AF1119" s="193"/>
      <c r="AG1119" s="199" t="s">
        <v>416</v>
      </c>
      <c r="AH1119" s="124"/>
    </row>
    <row r="1120" spans="1:34" ht="12" hidden="1" customHeight="1">
      <c r="A1120" s="187">
        <v>44511</v>
      </c>
      <c r="B1120" s="188" t="s">
        <v>576</v>
      </c>
      <c r="C1120" s="188" t="s">
        <v>485</v>
      </c>
      <c r="D1120" s="188"/>
      <c r="E1120" s="188" t="str">
        <f t="shared" si="682"/>
        <v>CDSL</v>
      </c>
      <c r="F1120" s="188"/>
      <c r="G1120" s="188"/>
      <c r="H1120" s="188"/>
      <c r="I1120" s="188" t="s">
        <v>668</v>
      </c>
      <c r="J1120" s="188" t="s">
        <v>483</v>
      </c>
      <c r="K1120" s="188"/>
      <c r="L1120" s="188"/>
      <c r="M1120" s="189">
        <v>20</v>
      </c>
      <c r="N1120" s="190">
        <v>1454</v>
      </c>
      <c r="O1120" s="191">
        <v>1465</v>
      </c>
      <c r="P1120" s="192">
        <f t="shared" si="777"/>
        <v>8.7200000000000006</v>
      </c>
      <c r="Q1120" s="192">
        <f t="shared" si="778"/>
        <v>8.7899999999999991</v>
      </c>
      <c r="R1120" s="193">
        <f t="shared" si="685"/>
        <v>58380</v>
      </c>
      <c r="S1120" s="193">
        <f t="shared" si="686"/>
        <v>220</v>
      </c>
      <c r="T1120" s="193">
        <f t="shared" si="779"/>
        <v>17.510000000000002</v>
      </c>
      <c r="U1120" s="193">
        <f t="shared" si="707"/>
        <v>3.44</v>
      </c>
      <c r="V1120" s="193">
        <f t="shared" si="734"/>
        <v>7.33</v>
      </c>
      <c r="W1120" s="193">
        <f t="shared" si="735"/>
        <v>0.87</v>
      </c>
      <c r="X1120" s="193">
        <f t="shared" si="783"/>
        <v>1.61</v>
      </c>
      <c r="Y1120" s="193">
        <f t="shared" si="758"/>
        <v>0.06</v>
      </c>
      <c r="Z1120" s="193">
        <f t="shared" si="692"/>
        <v>30.82</v>
      </c>
      <c r="AA1120" s="194">
        <f t="shared" si="693"/>
        <v>189.18</v>
      </c>
      <c r="AB1120" s="195">
        <v>188.3</v>
      </c>
      <c r="AC1120" s="196">
        <f t="shared" si="694"/>
        <v>-0.87999999999999545</v>
      </c>
      <c r="AD1120" s="197">
        <f t="shared" si="695"/>
        <v>7.5653370013755161E-3</v>
      </c>
      <c r="AE1120" s="198">
        <f t="shared" si="696"/>
        <v>5.2800000000000004E-4</v>
      </c>
      <c r="AF1120" s="193"/>
      <c r="AG1120" s="199" t="s">
        <v>416</v>
      </c>
      <c r="AH1120" s="124"/>
    </row>
    <row r="1121" spans="1:34" ht="12" hidden="1" customHeight="1">
      <c r="A1121" s="187">
        <v>44512</v>
      </c>
      <c r="B1121" s="188" t="s">
        <v>589</v>
      </c>
      <c r="C1121" s="188" t="s">
        <v>460</v>
      </c>
      <c r="D1121" s="188"/>
      <c r="E1121" s="188" t="str">
        <f t="shared" si="682"/>
        <v>DCMSHRIRAM</v>
      </c>
      <c r="F1121" s="188"/>
      <c r="G1121" s="188"/>
      <c r="H1121" s="188"/>
      <c r="I1121" s="188" t="s">
        <v>668</v>
      </c>
      <c r="J1121" s="188" t="s">
        <v>483</v>
      </c>
      <c r="K1121" s="188"/>
      <c r="L1121" s="188"/>
      <c r="M1121" s="189">
        <v>12</v>
      </c>
      <c r="N1121" s="190">
        <v>1024</v>
      </c>
      <c r="O1121" s="191">
        <v>1048</v>
      </c>
      <c r="P1121" s="192">
        <f t="shared" si="777"/>
        <v>3.69</v>
      </c>
      <c r="Q1121" s="192">
        <f t="shared" si="778"/>
        <v>3.77</v>
      </c>
      <c r="R1121" s="193">
        <f t="shared" si="685"/>
        <v>24864</v>
      </c>
      <c r="S1121" s="193">
        <f t="shared" si="686"/>
        <v>288</v>
      </c>
      <c r="T1121" s="193">
        <f t="shared" si="779"/>
        <v>7.46</v>
      </c>
      <c r="U1121" s="193">
        <f t="shared" si="707"/>
        <v>1.5</v>
      </c>
      <c r="V1121" s="193">
        <f t="shared" si="734"/>
        <v>3.14</v>
      </c>
      <c r="W1121" s="193">
        <f t="shared" si="735"/>
        <v>0.37</v>
      </c>
      <c r="X1121" s="193">
        <f t="shared" ref="X1121:X1127" si="784">ROUND(R1121*H$1820,2)</f>
        <v>0.86</v>
      </c>
      <c r="Y1121" s="193">
        <f t="shared" si="758"/>
        <v>0.02</v>
      </c>
      <c r="Z1121" s="193">
        <f t="shared" si="692"/>
        <v>13.35</v>
      </c>
      <c r="AA1121" s="194">
        <f t="shared" si="693"/>
        <v>274.64999999999998</v>
      </c>
      <c r="AB1121" s="195">
        <v>273.36</v>
      </c>
      <c r="AC1121" s="196">
        <f t="shared" si="694"/>
        <v>-1.2899999999999636</v>
      </c>
      <c r="AD1121" s="197">
        <f t="shared" si="695"/>
        <v>2.34375E-2</v>
      </c>
      <c r="AE1121" s="198">
        <f t="shared" si="696"/>
        <v>5.3700000000000004E-4</v>
      </c>
      <c r="AF1121" s="193"/>
      <c r="AG1121" s="199" t="s">
        <v>416</v>
      </c>
      <c r="AH1121" s="124"/>
    </row>
    <row r="1122" spans="1:34" ht="12" hidden="1" customHeight="1">
      <c r="A1122" s="187">
        <v>44512</v>
      </c>
      <c r="B1122" s="188" t="s">
        <v>579</v>
      </c>
      <c r="C1122" s="188" t="s">
        <v>485</v>
      </c>
      <c r="D1122" s="188"/>
      <c r="E1122" s="188" t="str">
        <f t="shared" si="682"/>
        <v>INDIGO</v>
      </c>
      <c r="F1122" s="188"/>
      <c r="G1122" s="188"/>
      <c r="H1122" s="188"/>
      <c r="I1122" s="188" t="s">
        <v>668</v>
      </c>
      <c r="J1122" s="188" t="s">
        <v>483</v>
      </c>
      <c r="K1122" s="188"/>
      <c r="L1122" s="188"/>
      <c r="M1122" s="189">
        <v>20</v>
      </c>
      <c r="N1122" s="190">
        <v>2295.1975000000002</v>
      </c>
      <c r="O1122" s="191">
        <v>2280.15</v>
      </c>
      <c r="P1122" s="192">
        <f t="shared" si="777"/>
        <v>13.77</v>
      </c>
      <c r="Q1122" s="192">
        <f t="shared" si="778"/>
        <v>13.68</v>
      </c>
      <c r="R1122" s="193">
        <f t="shared" si="685"/>
        <v>91506.95</v>
      </c>
      <c r="S1122" s="193">
        <f t="shared" si="686"/>
        <v>-300.95000000000255</v>
      </c>
      <c r="T1122" s="193">
        <f t="shared" si="779"/>
        <v>27.45</v>
      </c>
      <c r="U1122" s="193">
        <f t="shared" si="707"/>
        <v>5.51</v>
      </c>
      <c r="V1122" s="193">
        <f t="shared" si="734"/>
        <v>11.4</v>
      </c>
      <c r="W1122" s="193">
        <f t="shared" si="735"/>
        <v>1.38</v>
      </c>
      <c r="X1122" s="193">
        <f t="shared" si="784"/>
        <v>3.16</v>
      </c>
      <c r="Y1122" s="193">
        <f t="shared" si="758"/>
        <v>0.09</v>
      </c>
      <c r="Z1122" s="193">
        <f t="shared" si="692"/>
        <v>48.990000000000009</v>
      </c>
      <c r="AA1122" s="194">
        <f t="shared" si="693"/>
        <v>-349.94</v>
      </c>
      <c r="AB1122" s="195">
        <v>-349.79</v>
      </c>
      <c r="AC1122" s="196">
        <f t="shared" si="694"/>
        <v>0.14999999999997726</v>
      </c>
      <c r="AD1122" s="197">
        <f t="shared" si="695"/>
        <v>-6.5560806858669576E-3</v>
      </c>
      <c r="AE1122" s="198">
        <f t="shared" si="696"/>
        <v>5.3499999999999999E-4</v>
      </c>
      <c r="AF1122" s="193"/>
      <c r="AG1122" s="199" t="s">
        <v>416</v>
      </c>
      <c r="AH1122" s="124"/>
    </row>
    <row r="1123" spans="1:34" ht="12" hidden="1" customHeight="1">
      <c r="A1123" s="187">
        <v>44515</v>
      </c>
      <c r="B1123" s="188" t="s">
        <v>589</v>
      </c>
      <c r="C1123" s="188" t="s">
        <v>460</v>
      </c>
      <c r="D1123" s="188"/>
      <c r="E1123" s="188" t="str">
        <f t="shared" si="682"/>
        <v>DCMSHRIRAM</v>
      </c>
      <c r="F1123" s="188"/>
      <c r="G1123" s="188"/>
      <c r="H1123" s="188"/>
      <c r="I1123" s="188" t="s">
        <v>668</v>
      </c>
      <c r="J1123" s="188" t="s">
        <v>483</v>
      </c>
      <c r="K1123" s="188"/>
      <c r="L1123" s="188"/>
      <c r="M1123" s="189">
        <v>100</v>
      </c>
      <c r="N1123" s="190">
        <v>1010</v>
      </c>
      <c r="O1123" s="191">
        <v>1015.8765</v>
      </c>
      <c r="P1123" s="192">
        <f t="shared" si="777"/>
        <v>20</v>
      </c>
      <c r="Q1123" s="192">
        <f t="shared" si="778"/>
        <v>20</v>
      </c>
      <c r="R1123" s="193">
        <f t="shared" si="685"/>
        <v>202587.65</v>
      </c>
      <c r="S1123" s="193">
        <f t="shared" si="686"/>
        <v>587.64999999999645</v>
      </c>
      <c r="T1123" s="193">
        <f t="shared" si="779"/>
        <v>40</v>
      </c>
      <c r="U1123" s="193">
        <f t="shared" si="707"/>
        <v>8.4600000000000009</v>
      </c>
      <c r="V1123" s="193">
        <f t="shared" si="734"/>
        <v>25.4</v>
      </c>
      <c r="W1123" s="193">
        <f t="shared" si="735"/>
        <v>3.03</v>
      </c>
      <c r="X1123" s="193">
        <f t="shared" si="784"/>
        <v>6.99</v>
      </c>
      <c r="Y1123" s="193">
        <f t="shared" si="758"/>
        <v>0.2</v>
      </c>
      <c r="Z1123" s="193">
        <f t="shared" si="692"/>
        <v>84.08</v>
      </c>
      <c r="AA1123" s="194">
        <f t="shared" si="693"/>
        <v>503.57</v>
      </c>
      <c r="AB1123" s="195">
        <v>502.83</v>
      </c>
      <c r="AC1123" s="196">
        <f t="shared" si="694"/>
        <v>-0.74000000000000909</v>
      </c>
      <c r="AD1123" s="197">
        <f t="shared" si="695"/>
        <v>5.8183168316831334E-3</v>
      </c>
      <c r="AE1123" s="198">
        <f t="shared" si="696"/>
        <v>4.15E-4</v>
      </c>
      <c r="AF1123" s="193"/>
      <c r="AG1123" s="199" t="s">
        <v>416</v>
      </c>
      <c r="AH1123" s="124"/>
    </row>
    <row r="1124" spans="1:34" ht="12" hidden="1" customHeight="1">
      <c r="A1124" s="187">
        <v>44516</v>
      </c>
      <c r="B1124" s="188" t="s">
        <v>498</v>
      </c>
      <c r="C1124" s="188" t="s">
        <v>485</v>
      </c>
      <c r="D1124" s="188"/>
      <c r="E1124" s="188" t="str">
        <f t="shared" si="682"/>
        <v>BAJFINANCE</v>
      </c>
      <c r="F1124" s="188"/>
      <c r="G1124" s="188"/>
      <c r="H1124" s="188"/>
      <c r="I1124" s="188" t="s">
        <v>668</v>
      </c>
      <c r="J1124" s="188" t="s">
        <v>483</v>
      </c>
      <c r="K1124" s="188"/>
      <c r="L1124" s="188"/>
      <c r="M1124" s="189">
        <v>1</v>
      </c>
      <c r="N1124" s="190">
        <v>7575</v>
      </c>
      <c r="O1124" s="191">
        <v>7635</v>
      </c>
      <c r="P1124" s="192">
        <f t="shared" si="777"/>
        <v>2.27</v>
      </c>
      <c r="Q1124" s="192">
        <f t="shared" si="778"/>
        <v>2.29</v>
      </c>
      <c r="R1124" s="193">
        <f t="shared" si="685"/>
        <v>15210</v>
      </c>
      <c r="S1124" s="193">
        <f t="shared" si="686"/>
        <v>60</v>
      </c>
      <c r="T1124" s="193">
        <f t="shared" si="779"/>
        <v>4.5599999999999996</v>
      </c>
      <c r="U1124" s="193">
        <f t="shared" si="707"/>
        <v>0.91</v>
      </c>
      <c r="V1124" s="193">
        <f t="shared" si="734"/>
        <v>1.91</v>
      </c>
      <c r="W1124" s="193">
        <f t="shared" si="735"/>
        <v>0.23</v>
      </c>
      <c r="X1124" s="193">
        <f t="shared" si="784"/>
        <v>0.52</v>
      </c>
      <c r="Y1124" s="193">
        <f t="shared" si="758"/>
        <v>0.02</v>
      </c>
      <c r="Z1124" s="193">
        <f t="shared" si="692"/>
        <v>8.15</v>
      </c>
      <c r="AA1124" s="194">
        <f t="shared" si="693"/>
        <v>51.85</v>
      </c>
      <c r="AB1124" s="195">
        <f>52-0.39</f>
        <v>51.61</v>
      </c>
      <c r="AC1124" s="196">
        <f t="shared" si="694"/>
        <v>-0.24000000000000199</v>
      </c>
      <c r="AD1124" s="197">
        <f t="shared" si="695"/>
        <v>7.9207920792079209E-3</v>
      </c>
      <c r="AE1124" s="198">
        <f t="shared" si="696"/>
        <v>5.3600000000000002E-4</v>
      </c>
      <c r="AF1124" s="193"/>
      <c r="AG1124" s="199" t="s">
        <v>416</v>
      </c>
      <c r="AH1124" s="124"/>
    </row>
    <row r="1125" spans="1:34" ht="12" hidden="1" customHeight="1">
      <c r="A1125" s="187">
        <v>44516</v>
      </c>
      <c r="B1125" s="188" t="s">
        <v>590</v>
      </c>
      <c r="C1125" s="188" t="s">
        <v>485</v>
      </c>
      <c r="D1125" s="188"/>
      <c r="E1125" s="188" t="str">
        <f t="shared" si="682"/>
        <v>ITC</v>
      </c>
      <c r="F1125" s="188"/>
      <c r="G1125" s="188"/>
      <c r="H1125" s="188"/>
      <c r="I1125" s="188" t="s">
        <v>668</v>
      </c>
      <c r="J1125" s="188" t="s">
        <v>483</v>
      </c>
      <c r="K1125" s="188"/>
      <c r="L1125" s="188"/>
      <c r="M1125" s="189">
        <v>60</v>
      </c>
      <c r="N1125" s="190">
        <v>236.1</v>
      </c>
      <c r="O1125" s="191">
        <v>238</v>
      </c>
      <c r="P1125" s="192">
        <f t="shared" si="777"/>
        <v>4.25</v>
      </c>
      <c r="Q1125" s="192">
        <f t="shared" si="778"/>
        <v>4.28</v>
      </c>
      <c r="R1125" s="193">
        <f t="shared" si="685"/>
        <v>28446</v>
      </c>
      <c r="S1125" s="193">
        <f t="shared" si="686"/>
        <v>114.00000000000034</v>
      </c>
      <c r="T1125" s="193">
        <f t="shared" si="779"/>
        <v>8.5299999999999994</v>
      </c>
      <c r="U1125" s="193">
        <f t="shared" si="707"/>
        <v>1.71</v>
      </c>
      <c r="V1125" s="193">
        <f t="shared" si="734"/>
        <v>3.57</v>
      </c>
      <c r="W1125" s="193">
        <f t="shared" si="735"/>
        <v>0.42</v>
      </c>
      <c r="X1125" s="193">
        <f t="shared" si="784"/>
        <v>0.98</v>
      </c>
      <c r="Y1125" s="193">
        <f t="shared" si="758"/>
        <v>0.03</v>
      </c>
      <c r="Z1125" s="193">
        <f t="shared" si="692"/>
        <v>15.239999999999998</v>
      </c>
      <c r="AA1125" s="194">
        <f t="shared" si="693"/>
        <v>98.76</v>
      </c>
      <c r="AB1125" s="195">
        <v>99</v>
      </c>
      <c r="AC1125" s="196">
        <f t="shared" si="694"/>
        <v>0.23999999999999488</v>
      </c>
      <c r="AD1125" s="197">
        <f t="shared" si="695"/>
        <v>8.0474375264718585E-3</v>
      </c>
      <c r="AE1125" s="198">
        <f t="shared" si="696"/>
        <v>5.3600000000000002E-4</v>
      </c>
      <c r="AF1125" s="193"/>
      <c r="AG1125" s="199" t="s">
        <v>416</v>
      </c>
      <c r="AH1125" s="124"/>
    </row>
    <row r="1126" spans="1:34" ht="12" hidden="1" customHeight="1">
      <c r="A1126" s="187">
        <v>44517</v>
      </c>
      <c r="B1126" s="188" t="s">
        <v>479</v>
      </c>
      <c r="C1126" s="188" t="s">
        <v>485</v>
      </c>
      <c r="D1126" s="188"/>
      <c r="E1126" s="188" t="str">
        <f t="shared" si="682"/>
        <v>TATAPOWER</v>
      </c>
      <c r="F1126" s="188"/>
      <c r="G1126" s="188"/>
      <c r="H1126" s="188"/>
      <c r="I1126" s="188" t="s">
        <v>668</v>
      </c>
      <c r="J1126" s="188" t="s">
        <v>483</v>
      </c>
      <c r="K1126" s="188"/>
      <c r="L1126" s="188"/>
      <c r="M1126" s="189">
        <v>50</v>
      </c>
      <c r="N1126" s="190">
        <v>250</v>
      </c>
      <c r="O1126" s="191">
        <v>251</v>
      </c>
      <c r="P1126" s="192">
        <f t="shared" si="777"/>
        <v>3.75</v>
      </c>
      <c r="Q1126" s="192">
        <f t="shared" si="778"/>
        <v>3.77</v>
      </c>
      <c r="R1126" s="193">
        <f t="shared" si="685"/>
        <v>25050</v>
      </c>
      <c r="S1126" s="193">
        <f t="shared" si="686"/>
        <v>50</v>
      </c>
      <c r="T1126" s="193">
        <f t="shared" si="779"/>
        <v>7.52</v>
      </c>
      <c r="U1126" s="193">
        <f t="shared" si="707"/>
        <v>1.51</v>
      </c>
      <c r="V1126" s="193">
        <f t="shared" si="734"/>
        <v>3.14</v>
      </c>
      <c r="W1126" s="193">
        <f t="shared" si="735"/>
        <v>0.38</v>
      </c>
      <c r="X1126" s="193">
        <f t="shared" si="784"/>
        <v>0.86</v>
      </c>
      <c r="Y1126" s="193">
        <f t="shared" si="758"/>
        <v>0.03</v>
      </c>
      <c r="Z1126" s="193">
        <f t="shared" si="692"/>
        <v>13.44</v>
      </c>
      <c r="AA1126" s="194">
        <f t="shared" si="693"/>
        <v>36.56</v>
      </c>
      <c r="AB1126" s="195">
        <f>37+0.9</f>
        <v>37.9</v>
      </c>
      <c r="AC1126" s="196">
        <f t="shared" si="694"/>
        <v>1.3399999999999963</v>
      </c>
      <c r="AD1126" s="197">
        <f t="shared" si="695"/>
        <v>4.0000000000000001E-3</v>
      </c>
      <c r="AE1126" s="198">
        <f t="shared" si="696"/>
        <v>5.3700000000000004E-4</v>
      </c>
      <c r="AF1126" s="193"/>
      <c r="AG1126" s="199" t="s">
        <v>416</v>
      </c>
      <c r="AH1126" s="124"/>
    </row>
    <row r="1127" spans="1:34" ht="12" hidden="1" customHeight="1">
      <c r="A1127" s="187">
        <v>44517</v>
      </c>
      <c r="B1127" s="188" t="s">
        <v>498</v>
      </c>
      <c r="C1127" s="188" t="s">
        <v>485</v>
      </c>
      <c r="D1127" s="188"/>
      <c r="E1127" s="188" t="str">
        <f t="shared" si="682"/>
        <v>BAJFINANCE</v>
      </c>
      <c r="F1127" s="188"/>
      <c r="G1127" s="188"/>
      <c r="H1127" s="188"/>
      <c r="I1127" s="188" t="s">
        <v>668</v>
      </c>
      <c r="J1127" s="188" t="s">
        <v>483</v>
      </c>
      <c r="K1127" s="188"/>
      <c r="L1127" s="188"/>
      <c r="M1127" s="189">
        <v>3</v>
      </c>
      <c r="N1127" s="190">
        <v>7635</v>
      </c>
      <c r="O1127" s="191">
        <v>7670</v>
      </c>
      <c r="P1127" s="192">
        <f t="shared" si="777"/>
        <v>6.87</v>
      </c>
      <c r="Q1127" s="192">
        <f t="shared" si="778"/>
        <v>6.9</v>
      </c>
      <c r="R1127" s="193">
        <f t="shared" si="685"/>
        <v>45915</v>
      </c>
      <c r="S1127" s="193">
        <f t="shared" si="686"/>
        <v>105</v>
      </c>
      <c r="T1127" s="193">
        <f t="shared" si="779"/>
        <v>13.77</v>
      </c>
      <c r="U1127" s="193">
        <f t="shared" si="707"/>
        <v>2.76</v>
      </c>
      <c r="V1127" s="193">
        <f t="shared" si="734"/>
        <v>5.75</v>
      </c>
      <c r="W1127" s="193">
        <f t="shared" si="735"/>
        <v>0.69</v>
      </c>
      <c r="X1127" s="193">
        <f t="shared" si="784"/>
        <v>1.58</v>
      </c>
      <c r="Y1127" s="193">
        <f t="shared" si="758"/>
        <v>0.05</v>
      </c>
      <c r="Z1127" s="193">
        <f t="shared" si="692"/>
        <v>24.600000000000005</v>
      </c>
      <c r="AA1127" s="194">
        <f t="shared" si="693"/>
        <v>80.400000000000006</v>
      </c>
      <c r="AB1127" s="195">
        <v>80</v>
      </c>
      <c r="AC1127" s="196">
        <f t="shared" si="694"/>
        <v>-0.40000000000000568</v>
      </c>
      <c r="AD1127" s="197">
        <f t="shared" si="695"/>
        <v>4.5841519318926003E-3</v>
      </c>
      <c r="AE1127" s="198">
        <f t="shared" si="696"/>
        <v>5.3600000000000002E-4</v>
      </c>
      <c r="AF1127" s="193"/>
      <c r="AG1127" s="199" t="s">
        <v>416</v>
      </c>
      <c r="AH1127" s="124"/>
    </row>
    <row r="1128" spans="1:34" ht="12" hidden="1" customHeight="1">
      <c r="A1128" s="187">
        <v>44517</v>
      </c>
      <c r="B1128" s="188" t="s">
        <v>484</v>
      </c>
      <c r="C1128" s="188" t="s">
        <v>485</v>
      </c>
      <c r="D1128" s="188"/>
      <c r="E1128" s="188" t="str">
        <f t="shared" si="682"/>
        <v>CAMS</v>
      </c>
      <c r="F1128" s="188"/>
      <c r="G1128" s="188"/>
      <c r="H1128" s="188"/>
      <c r="I1128" s="188" t="s">
        <v>668</v>
      </c>
      <c r="J1128" s="188" t="s">
        <v>483</v>
      </c>
      <c r="K1128" s="188"/>
      <c r="L1128" s="188"/>
      <c r="M1128" s="189">
        <v>4</v>
      </c>
      <c r="N1128" s="190">
        <v>3213</v>
      </c>
      <c r="O1128" s="191">
        <v>3226</v>
      </c>
      <c r="P1128" s="192">
        <f t="shared" si="777"/>
        <v>3.86</v>
      </c>
      <c r="Q1128" s="192">
        <f t="shared" si="778"/>
        <v>3.87</v>
      </c>
      <c r="R1128" s="193">
        <f t="shared" si="685"/>
        <v>25756</v>
      </c>
      <c r="S1128" s="193">
        <f t="shared" si="686"/>
        <v>52</v>
      </c>
      <c r="T1128" s="193">
        <f t="shared" si="779"/>
        <v>7.73</v>
      </c>
      <c r="U1128" s="193">
        <f t="shared" si="707"/>
        <v>1.52</v>
      </c>
      <c r="V1128" s="193">
        <f t="shared" si="734"/>
        <v>3.23</v>
      </c>
      <c r="W1128" s="193">
        <f t="shared" si="735"/>
        <v>0.39</v>
      </c>
      <c r="X1128" s="193">
        <f>ROUND(R1128*G$1820,2)</f>
        <v>0.71</v>
      </c>
      <c r="Y1128" s="193">
        <f t="shared" si="758"/>
        <v>0.03</v>
      </c>
      <c r="Z1128" s="193">
        <f t="shared" si="692"/>
        <v>13.610000000000001</v>
      </c>
      <c r="AA1128" s="194">
        <f t="shared" si="693"/>
        <v>38.39</v>
      </c>
      <c r="AB1128" s="195">
        <v>38</v>
      </c>
      <c r="AC1128" s="196">
        <f t="shared" si="694"/>
        <v>-0.39000000000000057</v>
      </c>
      <c r="AD1128" s="197">
        <f t="shared" si="695"/>
        <v>4.0460628695922814E-3</v>
      </c>
      <c r="AE1128" s="198">
        <f t="shared" si="696"/>
        <v>5.2800000000000004E-4</v>
      </c>
      <c r="AF1128" s="193"/>
      <c r="AG1128" s="199" t="s">
        <v>416</v>
      </c>
      <c r="AH1128" s="124"/>
    </row>
    <row r="1129" spans="1:34" ht="12" hidden="1" customHeight="1">
      <c r="A1129" s="187">
        <v>44517</v>
      </c>
      <c r="B1129" s="188" t="s">
        <v>682</v>
      </c>
      <c r="C1129" s="188" t="s">
        <v>485</v>
      </c>
      <c r="D1129" s="188"/>
      <c r="E1129" s="188" t="str">
        <f t="shared" si="682"/>
        <v>TVSMOTOR</v>
      </c>
      <c r="F1129" s="188"/>
      <c r="G1129" s="188"/>
      <c r="H1129" s="188"/>
      <c r="I1129" s="188" t="s">
        <v>668</v>
      </c>
      <c r="J1129" s="188" t="s">
        <v>483</v>
      </c>
      <c r="K1129" s="188"/>
      <c r="L1129" s="188"/>
      <c r="M1129" s="189">
        <v>10</v>
      </c>
      <c r="N1129" s="190">
        <v>745</v>
      </c>
      <c r="O1129" s="191">
        <v>741.5</v>
      </c>
      <c r="P1129" s="192">
        <f t="shared" si="777"/>
        <v>2.2400000000000002</v>
      </c>
      <c r="Q1129" s="192">
        <f t="shared" si="778"/>
        <v>2.2200000000000002</v>
      </c>
      <c r="R1129" s="193">
        <f t="shared" si="685"/>
        <v>14865</v>
      </c>
      <c r="S1129" s="193">
        <f t="shared" si="686"/>
        <v>-35</v>
      </c>
      <c r="T1129" s="193">
        <f t="shared" si="779"/>
        <v>4.46</v>
      </c>
      <c r="U1129" s="193">
        <f t="shared" si="707"/>
        <v>0.89</v>
      </c>
      <c r="V1129" s="193">
        <f t="shared" si="734"/>
        <v>1.85</v>
      </c>
      <c r="W1129" s="193">
        <f t="shared" si="735"/>
        <v>0.22</v>
      </c>
      <c r="X1129" s="193">
        <f t="shared" ref="X1129:X1131" si="785">ROUND(R1129*H$1820,2)</f>
        <v>0.51</v>
      </c>
      <c r="Y1129" s="193">
        <f t="shared" si="758"/>
        <v>0.01</v>
      </c>
      <c r="Z1129" s="193">
        <f t="shared" si="692"/>
        <v>7.9399999999999986</v>
      </c>
      <c r="AA1129" s="194">
        <f t="shared" si="693"/>
        <v>-42.94</v>
      </c>
      <c r="AB1129" s="195">
        <v>-43</v>
      </c>
      <c r="AC1129" s="196">
        <f t="shared" si="694"/>
        <v>-6.0000000000002274E-2</v>
      </c>
      <c r="AD1129" s="197">
        <f t="shared" si="695"/>
        <v>-4.6979865771812077E-3</v>
      </c>
      <c r="AE1129" s="198">
        <f t="shared" si="696"/>
        <v>5.3399999999999997E-4</v>
      </c>
      <c r="AF1129" s="193"/>
      <c r="AG1129" s="199" t="s">
        <v>416</v>
      </c>
      <c r="AH1129" s="124"/>
    </row>
    <row r="1130" spans="1:34" ht="12" hidden="1" customHeight="1">
      <c r="A1130" s="187">
        <v>44518</v>
      </c>
      <c r="B1130" s="188" t="s">
        <v>498</v>
      </c>
      <c r="C1130" s="188" t="s">
        <v>485</v>
      </c>
      <c r="D1130" s="188"/>
      <c r="E1130" s="188" t="str">
        <f t="shared" si="682"/>
        <v>BAJFINANCE</v>
      </c>
      <c r="F1130" s="188"/>
      <c r="G1130" s="188"/>
      <c r="H1130" s="188"/>
      <c r="I1130" s="188" t="s">
        <v>668</v>
      </c>
      <c r="J1130" s="188" t="s">
        <v>483</v>
      </c>
      <c r="K1130" s="188"/>
      <c r="L1130" s="188"/>
      <c r="M1130" s="189">
        <v>1</v>
      </c>
      <c r="N1130" s="190">
        <v>7600</v>
      </c>
      <c r="O1130" s="191">
        <v>7650</v>
      </c>
      <c r="P1130" s="192">
        <f t="shared" si="777"/>
        <v>2.2799999999999998</v>
      </c>
      <c r="Q1130" s="192">
        <f t="shared" si="778"/>
        <v>2.2999999999999998</v>
      </c>
      <c r="R1130" s="193">
        <f t="shared" si="685"/>
        <v>15250</v>
      </c>
      <c r="S1130" s="193">
        <f t="shared" si="686"/>
        <v>50</v>
      </c>
      <c r="T1130" s="193">
        <f t="shared" si="779"/>
        <v>4.58</v>
      </c>
      <c r="U1130" s="193">
        <f t="shared" si="707"/>
        <v>0.92</v>
      </c>
      <c r="V1130" s="193">
        <f t="shared" si="734"/>
        <v>1.91</v>
      </c>
      <c r="W1130" s="193">
        <f t="shared" si="735"/>
        <v>0.23</v>
      </c>
      <c r="X1130" s="193">
        <f t="shared" si="785"/>
        <v>0.53</v>
      </c>
      <c r="Y1130" s="193">
        <f t="shared" si="758"/>
        <v>0.02</v>
      </c>
      <c r="Z1130" s="193">
        <f t="shared" si="692"/>
        <v>8.19</v>
      </c>
      <c r="AA1130" s="194">
        <f t="shared" si="693"/>
        <v>41.81</v>
      </c>
      <c r="AB1130" s="195">
        <f>42-0.24</f>
        <v>41.76</v>
      </c>
      <c r="AC1130" s="196">
        <f t="shared" si="694"/>
        <v>-5.0000000000004263E-2</v>
      </c>
      <c r="AD1130" s="197">
        <f t="shared" si="695"/>
        <v>6.5789473684210523E-3</v>
      </c>
      <c r="AE1130" s="198">
        <f t="shared" si="696"/>
        <v>5.3700000000000004E-4</v>
      </c>
      <c r="AF1130" s="193"/>
      <c r="AG1130" s="199" t="s">
        <v>416</v>
      </c>
      <c r="AH1130" s="124"/>
    </row>
    <row r="1131" spans="1:34" ht="12" hidden="1" customHeight="1">
      <c r="A1131" s="187">
        <v>44518</v>
      </c>
      <c r="B1131" s="188" t="s">
        <v>479</v>
      </c>
      <c r="C1131" s="188" t="s">
        <v>485</v>
      </c>
      <c r="D1131" s="188"/>
      <c r="E1131" s="188" t="str">
        <f t="shared" si="682"/>
        <v>TATAPOWER</v>
      </c>
      <c r="F1131" s="188"/>
      <c r="G1131" s="188"/>
      <c r="H1131" s="188"/>
      <c r="I1131" s="188" t="s">
        <v>668</v>
      </c>
      <c r="J1131" s="188" t="s">
        <v>483</v>
      </c>
      <c r="K1131" s="188"/>
      <c r="L1131" s="188"/>
      <c r="M1131" s="189">
        <v>20</v>
      </c>
      <c r="N1131" s="190">
        <v>235</v>
      </c>
      <c r="O1131" s="191">
        <v>240</v>
      </c>
      <c r="P1131" s="192">
        <f t="shared" si="777"/>
        <v>1.41</v>
      </c>
      <c r="Q1131" s="192">
        <f t="shared" si="778"/>
        <v>1.44</v>
      </c>
      <c r="R1131" s="193">
        <f t="shared" si="685"/>
        <v>9500</v>
      </c>
      <c r="S1131" s="193">
        <f t="shared" si="686"/>
        <v>100</v>
      </c>
      <c r="T1131" s="193">
        <f>ROUND(P1131+Q1131,2)+0.79</f>
        <v>3.64</v>
      </c>
      <c r="U1131" s="193">
        <f t="shared" si="707"/>
        <v>0.71</v>
      </c>
      <c r="V1131" s="193">
        <f t="shared" si="734"/>
        <v>1.2</v>
      </c>
      <c r="W1131" s="193">
        <f t="shared" si="735"/>
        <v>0.14000000000000001</v>
      </c>
      <c r="X1131" s="193">
        <f t="shared" si="785"/>
        <v>0.33</v>
      </c>
      <c r="Y1131" s="193">
        <f t="shared" si="758"/>
        <v>0.01</v>
      </c>
      <c r="Z1131" s="193">
        <f t="shared" si="692"/>
        <v>6.0299999999999994</v>
      </c>
      <c r="AA1131" s="194">
        <f t="shared" si="693"/>
        <v>93.97</v>
      </c>
      <c r="AB1131" s="195">
        <v>94</v>
      </c>
      <c r="AC1131" s="196">
        <f t="shared" si="694"/>
        <v>3.0000000000001137E-2</v>
      </c>
      <c r="AD1131" s="197">
        <f t="shared" si="695"/>
        <v>2.1276595744680851E-2</v>
      </c>
      <c r="AE1131" s="198">
        <f t="shared" si="696"/>
        <v>6.3500000000000004E-4</v>
      </c>
      <c r="AF1131" s="193"/>
      <c r="AG1131" s="199" t="s">
        <v>416</v>
      </c>
      <c r="AH1131" s="124"/>
    </row>
    <row r="1132" spans="1:34" ht="12" hidden="1" customHeight="1">
      <c r="A1132" s="187">
        <v>44524</v>
      </c>
      <c r="B1132" s="188" t="s">
        <v>479</v>
      </c>
      <c r="C1132" s="188" t="s">
        <v>485</v>
      </c>
      <c r="D1132" s="188"/>
      <c r="E1132" s="188" t="str">
        <f t="shared" si="682"/>
        <v>TATAPOWER</v>
      </c>
      <c r="F1132" s="188"/>
      <c r="G1132" s="188"/>
      <c r="H1132" s="188"/>
      <c r="I1132" s="188" t="s">
        <v>668</v>
      </c>
      <c r="J1132" s="188" t="s">
        <v>483</v>
      </c>
      <c r="K1132" s="188"/>
      <c r="L1132" s="188"/>
      <c r="M1132" s="189">
        <v>50</v>
      </c>
      <c r="N1132" s="190">
        <v>240</v>
      </c>
      <c r="O1132" s="191">
        <v>245.4</v>
      </c>
      <c r="P1132" s="192">
        <f t="shared" si="777"/>
        <v>3.6</v>
      </c>
      <c r="Q1132" s="192">
        <f t="shared" si="778"/>
        <v>3.68</v>
      </c>
      <c r="R1132" s="193">
        <f t="shared" si="685"/>
        <v>24270</v>
      </c>
      <c r="S1132" s="193">
        <f t="shared" si="686"/>
        <v>270.00000000000028</v>
      </c>
      <c r="T1132" s="193">
        <f t="shared" ref="T1132:T1135" si="786">ROUND(P1132+Q1132,2)</f>
        <v>7.28</v>
      </c>
      <c r="U1132" s="193">
        <f t="shared" si="707"/>
        <v>1.43</v>
      </c>
      <c r="V1132" s="193">
        <f t="shared" si="734"/>
        <v>3.07</v>
      </c>
      <c r="W1132" s="193">
        <f t="shared" si="735"/>
        <v>0.36</v>
      </c>
      <c r="X1132" s="193">
        <f t="shared" ref="X1132:X1133" si="787">ROUND(R1132*G$1820,2)</f>
        <v>0.67</v>
      </c>
      <c r="Y1132" s="193">
        <f t="shared" si="758"/>
        <v>0.02</v>
      </c>
      <c r="Z1132" s="193">
        <f t="shared" si="692"/>
        <v>12.83</v>
      </c>
      <c r="AA1132" s="194">
        <f t="shared" si="693"/>
        <v>257.17</v>
      </c>
      <c r="AB1132" s="195">
        <v>257.60000000000002</v>
      </c>
      <c r="AC1132" s="196">
        <f t="shared" si="694"/>
        <v>0.43000000000000682</v>
      </c>
      <c r="AD1132" s="197">
        <f t="shared" si="695"/>
        <v>2.2500000000000023E-2</v>
      </c>
      <c r="AE1132" s="198">
        <f t="shared" si="696"/>
        <v>5.2899999999999996E-4</v>
      </c>
      <c r="AF1132" s="193"/>
      <c r="AG1132" s="199" t="s">
        <v>416</v>
      </c>
      <c r="AH1132" s="124"/>
    </row>
    <row r="1133" spans="1:34" ht="12" hidden="1" customHeight="1">
      <c r="A1133" s="187">
        <v>44525</v>
      </c>
      <c r="B1133" s="188" t="s">
        <v>589</v>
      </c>
      <c r="C1133" s="188" t="s">
        <v>460</v>
      </c>
      <c r="D1133" s="188"/>
      <c r="E1133" s="188" t="str">
        <f t="shared" si="682"/>
        <v>DCMSHRIRAM</v>
      </c>
      <c r="F1133" s="188"/>
      <c r="G1133" s="188"/>
      <c r="H1133" s="188"/>
      <c r="I1133" s="188" t="s">
        <v>668</v>
      </c>
      <c r="J1133" s="188" t="s">
        <v>483</v>
      </c>
      <c r="K1133" s="188"/>
      <c r="L1133" s="188"/>
      <c r="M1133" s="189">
        <v>100</v>
      </c>
      <c r="N1133" s="190">
        <v>971.5</v>
      </c>
      <c r="O1133" s="191">
        <v>980</v>
      </c>
      <c r="P1133" s="192">
        <f t="shared" si="777"/>
        <v>20</v>
      </c>
      <c r="Q1133" s="192">
        <f t="shared" si="778"/>
        <v>20</v>
      </c>
      <c r="R1133" s="193">
        <f t="shared" si="685"/>
        <v>195150</v>
      </c>
      <c r="S1133" s="193">
        <f t="shared" si="686"/>
        <v>850</v>
      </c>
      <c r="T1133" s="193">
        <f t="shared" si="786"/>
        <v>40</v>
      </c>
      <c r="U1133" s="193">
        <f t="shared" si="707"/>
        <v>8.17</v>
      </c>
      <c r="V1133" s="193">
        <f t="shared" si="734"/>
        <v>24.5</v>
      </c>
      <c r="W1133" s="193">
        <f t="shared" si="735"/>
        <v>2.91</v>
      </c>
      <c r="X1133" s="193">
        <f t="shared" si="787"/>
        <v>5.37</v>
      </c>
      <c r="Y1133" s="193">
        <f t="shared" si="758"/>
        <v>0.2</v>
      </c>
      <c r="Z1133" s="193">
        <f t="shared" si="692"/>
        <v>81.150000000000006</v>
      </c>
      <c r="AA1133" s="194">
        <f t="shared" si="693"/>
        <v>768.85</v>
      </c>
      <c r="AB1133" s="195">
        <v>769.26</v>
      </c>
      <c r="AC1133" s="196">
        <f t="shared" si="694"/>
        <v>0.40999999999996817</v>
      </c>
      <c r="AD1133" s="197">
        <f t="shared" si="695"/>
        <v>8.7493566649511061E-3</v>
      </c>
      <c r="AE1133" s="198">
        <f t="shared" si="696"/>
        <v>4.1599999999999997E-4</v>
      </c>
      <c r="AF1133" s="193"/>
      <c r="AG1133" s="199" t="s">
        <v>416</v>
      </c>
      <c r="AH1133" s="124"/>
    </row>
    <row r="1134" spans="1:34" ht="12" hidden="1" customHeight="1">
      <c r="A1134" s="187">
        <v>44526</v>
      </c>
      <c r="B1134" s="188" t="s">
        <v>589</v>
      </c>
      <c r="C1134" s="188" t="s">
        <v>460</v>
      </c>
      <c r="D1134" s="188"/>
      <c r="E1134" s="188" t="str">
        <f t="shared" si="682"/>
        <v>DCMSHRIRAM</v>
      </c>
      <c r="F1134" s="188"/>
      <c r="G1134" s="188"/>
      <c r="H1134" s="188"/>
      <c r="I1134" s="188" t="s">
        <v>668</v>
      </c>
      <c r="J1134" s="188" t="s">
        <v>483</v>
      </c>
      <c r="K1134" s="188"/>
      <c r="L1134" s="188"/>
      <c r="M1134" s="189">
        <v>49</v>
      </c>
      <c r="N1134" s="190">
        <v>960</v>
      </c>
      <c r="O1134" s="191">
        <v>970</v>
      </c>
      <c r="P1134" s="192">
        <f t="shared" si="777"/>
        <v>14.11</v>
      </c>
      <c r="Q1134" s="192">
        <f t="shared" si="778"/>
        <v>14.26</v>
      </c>
      <c r="R1134" s="193">
        <f t="shared" si="685"/>
        <v>94570</v>
      </c>
      <c r="S1134" s="193">
        <f t="shared" si="686"/>
        <v>490</v>
      </c>
      <c r="T1134" s="193">
        <f t="shared" si="786"/>
        <v>28.37</v>
      </c>
      <c r="U1134" s="193">
        <f t="shared" si="707"/>
        <v>5.69</v>
      </c>
      <c r="V1134" s="193">
        <f t="shared" si="734"/>
        <v>11.88</v>
      </c>
      <c r="W1134" s="193">
        <f t="shared" si="735"/>
        <v>1.41</v>
      </c>
      <c r="X1134" s="193">
        <f>ROUND(R1134*H$1820,2)</f>
        <v>3.26</v>
      </c>
      <c r="Y1134" s="193">
        <f t="shared" si="758"/>
        <v>0.09</v>
      </c>
      <c r="Z1134" s="193">
        <f t="shared" si="692"/>
        <v>50.7</v>
      </c>
      <c r="AA1134" s="194">
        <f t="shared" si="693"/>
        <v>439.3</v>
      </c>
      <c r="AB1134" s="195">
        <v>439.59</v>
      </c>
      <c r="AC1134" s="196">
        <f t="shared" si="694"/>
        <v>0.28999999999996362</v>
      </c>
      <c r="AD1134" s="197">
        <f t="shared" si="695"/>
        <v>1.0416666666666666E-2</v>
      </c>
      <c r="AE1134" s="198">
        <f t="shared" si="696"/>
        <v>5.3600000000000002E-4</v>
      </c>
      <c r="AF1134" s="193"/>
      <c r="AG1134" s="199" t="s">
        <v>416</v>
      </c>
      <c r="AH1134" s="124"/>
    </row>
    <row r="1135" spans="1:34" ht="12" hidden="1" customHeight="1">
      <c r="A1135" s="187">
        <v>44530</v>
      </c>
      <c r="B1135" s="188" t="s">
        <v>589</v>
      </c>
      <c r="C1135" s="188" t="s">
        <v>460</v>
      </c>
      <c r="D1135" s="188"/>
      <c r="E1135" s="188" t="str">
        <f t="shared" si="682"/>
        <v>DCMSHRIRAM</v>
      </c>
      <c r="F1135" s="188"/>
      <c r="G1135" s="188"/>
      <c r="H1135" s="188"/>
      <c r="I1135" s="188" t="s">
        <v>668</v>
      </c>
      <c r="J1135" s="188" t="s">
        <v>483</v>
      </c>
      <c r="K1135" s="188"/>
      <c r="L1135" s="188"/>
      <c r="M1135" s="189">
        <v>200</v>
      </c>
      <c r="N1135" s="190">
        <v>958</v>
      </c>
      <c r="O1135" s="191">
        <v>967</v>
      </c>
      <c r="P1135" s="192">
        <f>IF(N1135*M1135*G$1814&lt;20,ROUND(N1135*M1135*G$1814,2),20)+20</f>
        <v>40</v>
      </c>
      <c r="Q1135" s="192">
        <f>IF(O1135*M1135*G$1814&lt;20,ROUND(O1135*M1135*G$1814,2),20)+20</f>
        <v>40</v>
      </c>
      <c r="R1135" s="193">
        <f t="shared" si="685"/>
        <v>385000</v>
      </c>
      <c r="S1135" s="193">
        <f t="shared" si="686"/>
        <v>1800</v>
      </c>
      <c r="T1135" s="193">
        <f t="shared" si="786"/>
        <v>80</v>
      </c>
      <c r="U1135" s="193">
        <f t="shared" si="707"/>
        <v>16.309999999999999</v>
      </c>
      <c r="V1135" s="193">
        <f t="shared" si="734"/>
        <v>48.35</v>
      </c>
      <c r="W1135" s="193">
        <f t="shared" si="735"/>
        <v>5.75</v>
      </c>
      <c r="X1135" s="193">
        <f>ROUND(R1135*G$1820,2)</f>
        <v>10.59</v>
      </c>
      <c r="Y1135" s="193">
        <f t="shared" si="758"/>
        <v>0.39</v>
      </c>
      <c r="Z1135" s="193">
        <f t="shared" si="692"/>
        <v>161.38999999999999</v>
      </c>
      <c r="AA1135" s="194">
        <f t="shared" si="693"/>
        <v>1638.61</v>
      </c>
      <c r="AB1135" s="195">
        <v>1638.71</v>
      </c>
      <c r="AC1135" s="196">
        <f t="shared" si="694"/>
        <v>0.10000000000013642</v>
      </c>
      <c r="AD1135" s="197">
        <f t="shared" si="695"/>
        <v>9.3945720250521916E-3</v>
      </c>
      <c r="AE1135" s="198">
        <f t="shared" si="696"/>
        <v>4.1899999999999999E-4</v>
      </c>
      <c r="AF1135" s="193"/>
      <c r="AG1135" s="199" t="s">
        <v>416</v>
      </c>
      <c r="AH1135" s="124"/>
    </row>
    <row r="1136" spans="1:34" ht="12" hidden="1" customHeight="1">
      <c r="A1136" s="187">
        <v>44530</v>
      </c>
      <c r="B1136" s="188" t="s">
        <v>588</v>
      </c>
      <c r="C1136" s="188" t="s">
        <v>485</v>
      </c>
      <c r="D1136" s="188"/>
      <c r="E1136" s="188" t="str">
        <f t="shared" si="682"/>
        <v>TCS</v>
      </c>
      <c r="F1136" s="188"/>
      <c r="G1136" s="188"/>
      <c r="H1136" s="188"/>
      <c r="I1136" s="188" t="s">
        <v>668</v>
      </c>
      <c r="J1136" s="188" t="s">
        <v>483</v>
      </c>
      <c r="K1136" s="188"/>
      <c r="L1136" s="188"/>
      <c r="M1136" s="189">
        <v>4</v>
      </c>
      <c r="N1136" s="190">
        <v>3540</v>
      </c>
      <c r="O1136" s="191">
        <v>3550</v>
      </c>
      <c r="P1136" s="192">
        <f>IF(N1136*M1136*G$1814&lt;20,ROUND(N1136*M1136*G$1814,2),20)</f>
        <v>4.25</v>
      </c>
      <c r="Q1136" s="192">
        <f>IF(O1136*M1136*G$1814&lt;20,ROUND(O1136*M1136*G$1814,2),20)</f>
        <v>4.26</v>
      </c>
      <c r="R1136" s="193">
        <f t="shared" si="685"/>
        <v>28360</v>
      </c>
      <c r="S1136" s="193">
        <f t="shared" si="686"/>
        <v>40</v>
      </c>
      <c r="T1136" s="193">
        <f>ROUND(P1136+Q1136,2)+2.1</f>
        <v>10.61</v>
      </c>
      <c r="U1136" s="193">
        <f t="shared" si="707"/>
        <v>2.09</v>
      </c>
      <c r="V1136" s="193">
        <f t="shared" si="734"/>
        <v>3.55</v>
      </c>
      <c r="W1136" s="193">
        <f t="shared" si="735"/>
        <v>0.42</v>
      </c>
      <c r="X1136" s="193">
        <f>ROUND(R1136*H$1820,2)</f>
        <v>0.98</v>
      </c>
      <c r="Y1136" s="193">
        <f t="shared" si="758"/>
        <v>0.03</v>
      </c>
      <c r="Z1136" s="193">
        <f t="shared" si="692"/>
        <v>17.680000000000003</v>
      </c>
      <c r="AA1136" s="194">
        <f t="shared" si="693"/>
        <v>22.32</v>
      </c>
      <c r="AB1136" s="195">
        <v>21.96</v>
      </c>
      <c r="AC1136" s="196">
        <f t="shared" si="694"/>
        <v>-0.35999999999999943</v>
      </c>
      <c r="AD1136" s="197">
        <f t="shared" si="695"/>
        <v>2.8248587570621469E-3</v>
      </c>
      <c r="AE1136" s="198">
        <f t="shared" si="696"/>
        <v>6.2299999999999996E-4</v>
      </c>
      <c r="AF1136" s="193"/>
      <c r="AG1136" s="199" t="s">
        <v>416</v>
      </c>
      <c r="AH1136" s="124"/>
    </row>
    <row r="1137" spans="1:34" ht="12" hidden="1" customHeight="1">
      <c r="A1137" s="187">
        <v>44531</v>
      </c>
      <c r="B1137" s="188" t="s">
        <v>589</v>
      </c>
      <c r="C1137" s="188" t="s">
        <v>460</v>
      </c>
      <c r="D1137" s="188"/>
      <c r="E1137" s="188" t="str">
        <f t="shared" si="682"/>
        <v>DCMSHRIRAM</v>
      </c>
      <c r="F1137" s="188"/>
      <c r="G1137" s="188"/>
      <c r="H1137" s="188"/>
      <c r="I1137" s="188" t="s">
        <v>668</v>
      </c>
      <c r="J1137" s="188" t="s">
        <v>483</v>
      </c>
      <c r="K1137" s="188"/>
      <c r="L1137" s="188"/>
      <c r="M1137" s="189">
        <v>300</v>
      </c>
      <c r="N1137" s="190">
        <v>982.49329999999998</v>
      </c>
      <c r="O1137" s="191">
        <v>989.05564000000004</v>
      </c>
      <c r="P1137" s="192">
        <f>IF(N1137*M1137*G$1814&lt;20,ROUND(N1137*M1137*G$1814,2),20)+20+20</f>
        <v>60</v>
      </c>
      <c r="Q1137" s="192">
        <f>IF(O1137*M1137*G$1814&lt;20,ROUND(O1137*M1137*G$1814,2),20)+20+20</f>
        <v>60</v>
      </c>
      <c r="R1137" s="193">
        <f t="shared" si="685"/>
        <v>591464.68000000005</v>
      </c>
      <c r="S1137" s="193">
        <f t="shared" si="686"/>
        <v>1968.7020000000189</v>
      </c>
      <c r="T1137" s="193">
        <f>ROUND(P1137+Q1137,2)</f>
        <v>120</v>
      </c>
      <c r="U1137" s="193">
        <f t="shared" si="707"/>
        <v>24.53</v>
      </c>
      <c r="V1137" s="193">
        <f t="shared" si="734"/>
        <v>74.180000000000007</v>
      </c>
      <c r="W1137" s="193">
        <f t="shared" si="735"/>
        <v>8.84</v>
      </c>
      <c r="X1137" s="193">
        <f t="shared" ref="X1137:X1140" si="788">ROUND(R1137*G$1820,2)</f>
        <v>16.27</v>
      </c>
      <c r="Y1137" s="193">
        <f t="shared" si="758"/>
        <v>0.59</v>
      </c>
      <c r="Z1137" s="193">
        <f t="shared" si="692"/>
        <v>244.41000000000003</v>
      </c>
      <c r="AA1137" s="194">
        <f t="shared" si="693"/>
        <v>1724.29</v>
      </c>
      <c r="AB1137" s="195">
        <v>1724.31</v>
      </c>
      <c r="AC1137" s="196">
        <f t="shared" si="694"/>
        <v>1.999999999998181E-2</v>
      </c>
      <c r="AD1137" s="197">
        <f t="shared" si="695"/>
        <v>6.6792720113206501E-3</v>
      </c>
      <c r="AE1137" s="198">
        <f t="shared" si="696"/>
        <v>4.1300000000000001E-4</v>
      </c>
      <c r="AF1137" s="193"/>
      <c r="AG1137" s="199" t="s">
        <v>416</v>
      </c>
      <c r="AH1137" s="124"/>
    </row>
    <row r="1138" spans="1:34" ht="12" hidden="1" customHeight="1">
      <c r="A1138" s="187">
        <v>44532</v>
      </c>
      <c r="B1138" s="188" t="s">
        <v>589</v>
      </c>
      <c r="C1138" s="188" t="s">
        <v>460</v>
      </c>
      <c r="D1138" s="188"/>
      <c r="E1138" s="188" t="str">
        <f t="shared" si="682"/>
        <v>DCMSHRIRAM</v>
      </c>
      <c r="F1138" s="188"/>
      <c r="G1138" s="188"/>
      <c r="H1138" s="188"/>
      <c r="I1138" s="188" t="s">
        <v>668</v>
      </c>
      <c r="J1138" s="188" t="s">
        <v>483</v>
      </c>
      <c r="K1138" s="188"/>
      <c r="L1138" s="188"/>
      <c r="M1138" s="189">
        <v>150</v>
      </c>
      <c r="N1138" s="190">
        <v>986.66669999999999</v>
      </c>
      <c r="O1138" s="191">
        <v>991.33339999999998</v>
      </c>
      <c r="P1138" s="192">
        <f t="shared" ref="P1138:P1427" si="789">IF(N1138*M1138*G$1814&lt;20,ROUND(N1138*M1138*G$1814,2),20)</f>
        <v>20</v>
      </c>
      <c r="Q1138" s="192">
        <f t="shared" ref="Q1138:Q1427" si="790">IF(O1138*M1138*G$1814&lt;20,ROUND(O1138*M1138*G$1814,2),20)</f>
        <v>20</v>
      </c>
      <c r="R1138" s="193">
        <f t="shared" si="685"/>
        <v>296700.02</v>
      </c>
      <c r="S1138" s="193">
        <f t="shared" si="686"/>
        <v>700.00499999999874</v>
      </c>
      <c r="T1138" s="193">
        <v>69.580000000000013</v>
      </c>
      <c r="U1138" s="193">
        <f t="shared" si="707"/>
        <v>13.99</v>
      </c>
      <c r="V1138" s="193">
        <f t="shared" si="734"/>
        <v>37.18</v>
      </c>
      <c r="W1138" s="193">
        <f t="shared" si="735"/>
        <v>4.4400000000000004</v>
      </c>
      <c r="X1138" s="193">
        <f t="shared" si="788"/>
        <v>8.16</v>
      </c>
      <c r="Y1138" s="193">
        <f t="shared" si="758"/>
        <v>0.3</v>
      </c>
      <c r="Z1138" s="193">
        <f t="shared" si="692"/>
        <v>133.65</v>
      </c>
      <c r="AA1138" s="194">
        <f t="shared" si="693"/>
        <v>566.35</v>
      </c>
      <c r="AB1138" s="195">
        <v>566.97</v>
      </c>
      <c r="AC1138" s="196">
        <f t="shared" si="694"/>
        <v>0.62000000000000455</v>
      </c>
      <c r="AD1138" s="197">
        <f t="shared" si="695"/>
        <v>4.7297633537242024E-3</v>
      </c>
      <c r="AE1138" s="198">
        <f t="shared" si="696"/>
        <v>4.4999999999999999E-4</v>
      </c>
      <c r="AF1138" s="193"/>
      <c r="AG1138" s="199" t="s">
        <v>416</v>
      </c>
      <c r="AH1138" s="124"/>
    </row>
    <row r="1139" spans="1:34" ht="12" hidden="1" customHeight="1">
      <c r="A1139" s="187">
        <v>44533</v>
      </c>
      <c r="B1139" s="188" t="s">
        <v>589</v>
      </c>
      <c r="C1139" s="188" t="s">
        <v>460</v>
      </c>
      <c r="D1139" s="188"/>
      <c r="E1139" s="188" t="str">
        <f t="shared" si="682"/>
        <v>DCMSHRIRAM</v>
      </c>
      <c r="F1139" s="188"/>
      <c r="G1139" s="188"/>
      <c r="H1139" s="188"/>
      <c r="I1139" s="188" t="s">
        <v>668</v>
      </c>
      <c r="J1139" s="188" t="s">
        <v>483</v>
      </c>
      <c r="K1139" s="188"/>
      <c r="L1139" s="188"/>
      <c r="M1139" s="189">
        <v>300</v>
      </c>
      <c r="N1139" s="190">
        <v>1018</v>
      </c>
      <c r="O1139" s="191">
        <v>1021.75416</v>
      </c>
      <c r="P1139" s="192">
        <f t="shared" si="789"/>
        <v>20</v>
      </c>
      <c r="Q1139" s="192">
        <f t="shared" si="790"/>
        <v>20</v>
      </c>
      <c r="R1139" s="193">
        <f t="shared" si="685"/>
        <v>611926.25</v>
      </c>
      <c r="S1139" s="193">
        <f t="shared" si="686"/>
        <v>1126.2479999999869</v>
      </c>
      <c r="T1139" s="193">
        <v>120</v>
      </c>
      <c r="U1139" s="193">
        <f t="shared" si="707"/>
        <v>24.63</v>
      </c>
      <c r="V1139" s="193">
        <f t="shared" si="734"/>
        <v>76.63</v>
      </c>
      <c r="W1139" s="193">
        <f t="shared" si="735"/>
        <v>9.16</v>
      </c>
      <c r="X1139" s="193">
        <f t="shared" si="788"/>
        <v>16.829999999999998</v>
      </c>
      <c r="Y1139" s="193">
        <f t="shared" si="758"/>
        <v>0.61</v>
      </c>
      <c r="Z1139" s="193">
        <f t="shared" si="692"/>
        <v>247.86</v>
      </c>
      <c r="AA1139" s="194">
        <f t="shared" si="693"/>
        <v>878.39</v>
      </c>
      <c r="AB1139" s="195">
        <v>879.18</v>
      </c>
      <c r="AC1139" s="196">
        <f t="shared" si="694"/>
        <v>0.78999999999996362</v>
      </c>
      <c r="AD1139" s="197">
        <f t="shared" si="695"/>
        <v>3.687779960707226E-3</v>
      </c>
      <c r="AE1139" s="198">
        <f t="shared" si="696"/>
        <v>4.0499999999999998E-4</v>
      </c>
      <c r="AF1139" s="193"/>
      <c r="AG1139" s="199" t="s">
        <v>416</v>
      </c>
      <c r="AH1139" s="124"/>
    </row>
    <row r="1140" spans="1:34" ht="12" hidden="1" customHeight="1">
      <c r="A1140" s="187">
        <v>44533</v>
      </c>
      <c r="B1140" s="188" t="s">
        <v>562</v>
      </c>
      <c r="C1140" s="188" t="s">
        <v>485</v>
      </c>
      <c r="D1140" s="188"/>
      <c r="E1140" s="188" t="str">
        <f t="shared" si="682"/>
        <v>BAJAJHIND</v>
      </c>
      <c r="F1140" s="188"/>
      <c r="G1140" s="188"/>
      <c r="H1140" s="188"/>
      <c r="I1140" s="188" t="s">
        <v>668</v>
      </c>
      <c r="J1140" s="188" t="s">
        <v>483</v>
      </c>
      <c r="K1140" s="188"/>
      <c r="L1140" s="188"/>
      <c r="M1140" s="189">
        <v>200</v>
      </c>
      <c r="N1140" s="190">
        <v>13.4</v>
      </c>
      <c r="O1140" s="191">
        <v>13.2</v>
      </c>
      <c r="P1140" s="192">
        <f t="shared" si="789"/>
        <v>0.8</v>
      </c>
      <c r="Q1140" s="192">
        <f t="shared" si="790"/>
        <v>0.79</v>
      </c>
      <c r="R1140" s="193">
        <f t="shared" si="685"/>
        <v>5320</v>
      </c>
      <c r="S1140" s="193">
        <f t="shared" si="686"/>
        <v>-40.000000000000213</v>
      </c>
      <c r="T1140" s="193">
        <f t="shared" ref="T1140:T1147" si="791">ROUND(P1140+Q1140,2)</f>
        <v>1.59</v>
      </c>
      <c r="U1140" s="193">
        <f t="shared" si="707"/>
        <v>0.31</v>
      </c>
      <c r="V1140" s="193">
        <f t="shared" si="734"/>
        <v>0.66</v>
      </c>
      <c r="W1140" s="193">
        <f t="shared" si="735"/>
        <v>0.08</v>
      </c>
      <c r="X1140" s="193">
        <f t="shared" si="788"/>
        <v>0.15</v>
      </c>
      <c r="Y1140" s="193">
        <f t="shared" si="758"/>
        <v>0.01</v>
      </c>
      <c r="Z1140" s="193">
        <f t="shared" si="692"/>
        <v>2.8</v>
      </c>
      <c r="AA1140" s="194">
        <f t="shared" si="693"/>
        <v>-42.8</v>
      </c>
      <c r="AB1140" s="195">
        <v>-43.11</v>
      </c>
      <c r="AC1140" s="196">
        <f t="shared" si="694"/>
        <v>-0.31000000000000227</v>
      </c>
      <c r="AD1140" s="197">
        <f t="shared" si="695"/>
        <v>-1.4925373134328438E-2</v>
      </c>
      <c r="AE1140" s="198">
        <f t="shared" si="696"/>
        <v>5.2599999999999999E-4</v>
      </c>
      <c r="AF1140" s="193"/>
      <c r="AG1140" s="199" t="s">
        <v>416</v>
      </c>
      <c r="AH1140" s="124"/>
    </row>
    <row r="1141" spans="1:34" ht="12" hidden="1" customHeight="1">
      <c r="A1141" s="187">
        <v>44537</v>
      </c>
      <c r="B1141" s="188" t="s">
        <v>595</v>
      </c>
      <c r="C1141" s="188" t="s">
        <v>485</v>
      </c>
      <c r="D1141" s="188"/>
      <c r="E1141" s="188" t="str">
        <f t="shared" si="682"/>
        <v>HAVELLS</v>
      </c>
      <c r="F1141" s="188"/>
      <c r="G1141" s="188"/>
      <c r="H1141" s="188"/>
      <c r="I1141" s="188" t="s">
        <v>668</v>
      </c>
      <c r="J1141" s="188" t="s">
        <v>483</v>
      </c>
      <c r="K1141" s="188"/>
      <c r="L1141" s="188"/>
      <c r="M1141" s="189">
        <v>5</v>
      </c>
      <c r="N1141" s="190">
        <v>1406</v>
      </c>
      <c r="O1141" s="191">
        <v>1405.3</v>
      </c>
      <c r="P1141" s="192">
        <f t="shared" si="789"/>
        <v>2.11</v>
      </c>
      <c r="Q1141" s="192">
        <f t="shared" si="790"/>
        <v>2.11</v>
      </c>
      <c r="R1141" s="193">
        <f t="shared" si="685"/>
        <v>14056.5</v>
      </c>
      <c r="S1141" s="193">
        <f t="shared" si="686"/>
        <v>-3.5000000000002274</v>
      </c>
      <c r="T1141" s="193">
        <f t="shared" si="791"/>
        <v>4.22</v>
      </c>
      <c r="U1141" s="193">
        <f t="shared" si="707"/>
        <v>0.85</v>
      </c>
      <c r="V1141" s="193">
        <f t="shared" si="734"/>
        <v>1.76</v>
      </c>
      <c r="W1141" s="193">
        <f t="shared" si="735"/>
        <v>0.21</v>
      </c>
      <c r="X1141" s="193">
        <f>ROUND(R1141*H$1820,2)</f>
        <v>0.48</v>
      </c>
      <c r="Y1141" s="193">
        <f t="shared" si="758"/>
        <v>0.01</v>
      </c>
      <c r="Z1141" s="193">
        <f t="shared" si="692"/>
        <v>7.5299999999999994</v>
      </c>
      <c r="AA1141" s="194">
        <f t="shared" si="693"/>
        <v>-11.03</v>
      </c>
      <c r="AB1141" s="195">
        <v>-11.66</v>
      </c>
      <c r="AC1141" s="196">
        <f t="shared" si="694"/>
        <v>-0.63000000000000078</v>
      </c>
      <c r="AD1141" s="197">
        <f t="shared" si="695"/>
        <v>-4.9786628734000392E-4</v>
      </c>
      <c r="AE1141" s="198">
        <f t="shared" si="696"/>
        <v>5.3600000000000002E-4</v>
      </c>
      <c r="AF1141" s="193"/>
      <c r="AG1141" s="199" t="s">
        <v>416</v>
      </c>
      <c r="AH1141" s="124"/>
    </row>
    <row r="1142" spans="1:34" ht="12" hidden="1" customHeight="1">
      <c r="A1142" s="187">
        <v>44538</v>
      </c>
      <c r="B1142" s="188" t="s">
        <v>589</v>
      </c>
      <c r="C1142" s="188" t="s">
        <v>460</v>
      </c>
      <c r="D1142" s="188"/>
      <c r="E1142" s="188" t="str">
        <f t="shared" si="682"/>
        <v>DCMSHRIRAM</v>
      </c>
      <c r="F1142" s="188"/>
      <c r="G1142" s="188"/>
      <c r="H1142" s="188"/>
      <c r="I1142" s="188" t="s">
        <v>668</v>
      </c>
      <c r="J1142" s="188" t="s">
        <v>483</v>
      </c>
      <c r="K1142" s="188"/>
      <c r="L1142" s="188"/>
      <c r="M1142" s="189">
        <v>100</v>
      </c>
      <c r="N1142" s="190">
        <v>1014</v>
      </c>
      <c r="O1142" s="191">
        <v>1019</v>
      </c>
      <c r="P1142" s="192">
        <f t="shared" si="789"/>
        <v>20</v>
      </c>
      <c r="Q1142" s="192">
        <f t="shared" si="790"/>
        <v>20</v>
      </c>
      <c r="R1142" s="193">
        <f t="shared" si="685"/>
        <v>203300</v>
      </c>
      <c r="S1142" s="193">
        <f t="shared" si="686"/>
        <v>500</v>
      </c>
      <c r="T1142" s="193">
        <f t="shared" si="791"/>
        <v>40</v>
      </c>
      <c r="U1142" s="193">
        <f t="shared" si="707"/>
        <v>8.2100000000000009</v>
      </c>
      <c r="V1142" s="193">
        <f t="shared" si="734"/>
        <v>25.48</v>
      </c>
      <c r="W1142" s="193">
        <f t="shared" si="735"/>
        <v>3.04</v>
      </c>
      <c r="X1142" s="193">
        <f t="shared" ref="X1142:X1143" si="792">ROUND(R1142*G$1820,2)</f>
        <v>5.59</v>
      </c>
      <c r="Y1142" s="193">
        <f t="shared" si="758"/>
        <v>0.2</v>
      </c>
      <c r="Z1142" s="193">
        <f t="shared" si="692"/>
        <v>82.52000000000001</v>
      </c>
      <c r="AA1142" s="194">
        <f t="shared" si="693"/>
        <v>417.48</v>
      </c>
      <c r="AB1142" s="195">
        <v>418</v>
      </c>
      <c r="AC1142" s="196">
        <f t="shared" si="694"/>
        <v>0.51999999999998181</v>
      </c>
      <c r="AD1142" s="197">
        <f t="shared" si="695"/>
        <v>4.9309664694280079E-3</v>
      </c>
      <c r="AE1142" s="198">
        <f t="shared" si="696"/>
        <v>4.06E-4</v>
      </c>
      <c r="AF1142" s="193"/>
      <c r="AG1142" s="199" t="s">
        <v>416</v>
      </c>
      <c r="AH1142" s="124"/>
    </row>
    <row r="1143" spans="1:34" ht="12" hidden="1" customHeight="1">
      <c r="A1143" s="187">
        <v>44538</v>
      </c>
      <c r="B1143" s="188" t="s">
        <v>561</v>
      </c>
      <c r="C1143" s="188" t="s">
        <v>485</v>
      </c>
      <c r="D1143" s="188"/>
      <c r="E1143" s="188" t="str">
        <f t="shared" si="682"/>
        <v>RENUKA</v>
      </c>
      <c r="F1143" s="188"/>
      <c r="G1143" s="188"/>
      <c r="H1143" s="188"/>
      <c r="I1143" s="188" t="s">
        <v>668</v>
      </c>
      <c r="J1143" s="188" t="s">
        <v>483</v>
      </c>
      <c r="K1143" s="188"/>
      <c r="L1143" s="188"/>
      <c r="M1143" s="189">
        <v>600</v>
      </c>
      <c r="N1143" s="190">
        <v>29</v>
      </c>
      <c r="O1143" s="191">
        <v>29.35</v>
      </c>
      <c r="P1143" s="192">
        <f t="shared" si="789"/>
        <v>5.22</v>
      </c>
      <c r="Q1143" s="192">
        <f t="shared" si="790"/>
        <v>5.28</v>
      </c>
      <c r="R1143" s="193">
        <f t="shared" si="685"/>
        <v>35010</v>
      </c>
      <c r="S1143" s="193">
        <f t="shared" si="686"/>
        <v>210.00000000000085</v>
      </c>
      <c r="T1143" s="193">
        <f t="shared" si="791"/>
        <v>10.5</v>
      </c>
      <c r="U1143" s="193">
        <f t="shared" si="707"/>
        <v>2.06</v>
      </c>
      <c r="V1143" s="193">
        <f t="shared" si="734"/>
        <v>4.4000000000000004</v>
      </c>
      <c r="W1143" s="193">
        <f t="shared" si="735"/>
        <v>0.52</v>
      </c>
      <c r="X1143" s="193">
        <f t="shared" si="792"/>
        <v>0.96</v>
      </c>
      <c r="Y1143" s="193">
        <f t="shared" si="758"/>
        <v>0.04</v>
      </c>
      <c r="Z1143" s="193">
        <f t="shared" si="692"/>
        <v>18.48</v>
      </c>
      <c r="AA1143" s="194">
        <f t="shared" si="693"/>
        <v>191.52</v>
      </c>
      <c r="AB1143" s="195">
        <v>191.3</v>
      </c>
      <c r="AC1143" s="196">
        <f t="shared" si="694"/>
        <v>-0.21999999999999886</v>
      </c>
      <c r="AD1143" s="197">
        <f t="shared" si="695"/>
        <v>1.2068965517241428E-2</v>
      </c>
      <c r="AE1143" s="198">
        <f t="shared" si="696"/>
        <v>5.2800000000000004E-4</v>
      </c>
      <c r="AF1143" s="193"/>
      <c r="AG1143" s="199" t="s">
        <v>416</v>
      </c>
      <c r="AH1143" s="124"/>
    </row>
    <row r="1144" spans="1:34" ht="12" hidden="1" customHeight="1">
      <c r="A1144" s="187">
        <v>44539</v>
      </c>
      <c r="B1144" s="188" t="s">
        <v>593</v>
      </c>
      <c r="C1144" s="188" t="s">
        <v>485</v>
      </c>
      <c r="D1144" s="188"/>
      <c r="E1144" s="188" t="str">
        <f t="shared" si="682"/>
        <v>AVADHSUGAR</v>
      </c>
      <c r="F1144" s="188"/>
      <c r="G1144" s="188"/>
      <c r="H1144" s="188"/>
      <c r="I1144" s="188" t="s">
        <v>668</v>
      </c>
      <c r="J1144" s="188" t="s">
        <v>483</v>
      </c>
      <c r="K1144" s="188"/>
      <c r="L1144" s="188"/>
      <c r="M1144" s="189">
        <v>10</v>
      </c>
      <c r="N1144" s="190">
        <v>441</v>
      </c>
      <c r="O1144" s="191">
        <v>441</v>
      </c>
      <c r="P1144" s="192">
        <f t="shared" si="789"/>
        <v>1.32</v>
      </c>
      <c r="Q1144" s="192">
        <f t="shared" si="790"/>
        <v>1.32</v>
      </c>
      <c r="R1144" s="193">
        <f t="shared" si="685"/>
        <v>8820</v>
      </c>
      <c r="S1144" s="193">
        <f t="shared" si="686"/>
        <v>0</v>
      </c>
      <c r="T1144" s="193">
        <f t="shared" si="791"/>
        <v>2.64</v>
      </c>
      <c r="U1144" s="193">
        <f t="shared" si="707"/>
        <v>0.53</v>
      </c>
      <c r="V1144" s="193">
        <f t="shared" si="734"/>
        <v>1.1000000000000001</v>
      </c>
      <c r="W1144" s="193">
        <f t="shared" si="735"/>
        <v>0.13</v>
      </c>
      <c r="X1144" s="193">
        <f>ROUND(R1144*H$1820,2)</f>
        <v>0.3</v>
      </c>
      <c r="Y1144" s="193">
        <f t="shared" si="758"/>
        <v>0.01</v>
      </c>
      <c r="Z1144" s="193">
        <f t="shared" si="692"/>
        <v>4.7099999999999991</v>
      </c>
      <c r="AA1144" s="194">
        <f t="shared" si="693"/>
        <v>-4.71</v>
      </c>
      <c r="AB1144" s="195">
        <f>-5-0.41</f>
        <v>-5.41</v>
      </c>
      <c r="AC1144" s="196">
        <f t="shared" si="694"/>
        <v>-0.70000000000000018</v>
      </c>
      <c r="AD1144" s="197">
        <f t="shared" si="695"/>
        <v>0</v>
      </c>
      <c r="AE1144" s="198">
        <f t="shared" si="696"/>
        <v>5.3399999999999997E-4</v>
      </c>
      <c r="AF1144" s="193"/>
      <c r="AG1144" s="199" t="s">
        <v>416</v>
      </c>
      <c r="AH1144" s="124"/>
    </row>
    <row r="1145" spans="1:34" ht="12" hidden="1" customHeight="1">
      <c r="A1145" s="187">
        <v>44539</v>
      </c>
      <c r="B1145" s="188" t="s">
        <v>573</v>
      </c>
      <c r="C1145" s="188" t="s">
        <v>485</v>
      </c>
      <c r="D1145" s="188"/>
      <c r="E1145" s="188" t="str">
        <f t="shared" si="682"/>
        <v>INDSUCR</v>
      </c>
      <c r="F1145" s="188"/>
      <c r="G1145" s="188"/>
      <c r="H1145" s="188"/>
      <c r="I1145" s="188" t="s">
        <v>668</v>
      </c>
      <c r="J1145" s="188" t="s">
        <v>483</v>
      </c>
      <c r="K1145" s="188"/>
      <c r="L1145" s="188"/>
      <c r="M1145" s="189">
        <v>50</v>
      </c>
      <c r="N1145" s="190">
        <v>45.75</v>
      </c>
      <c r="O1145" s="191">
        <v>47</v>
      </c>
      <c r="P1145" s="192">
        <f t="shared" si="789"/>
        <v>0.69</v>
      </c>
      <c r="Q1145" s="192">
        <f t="shared" si="790"/>
        <v>0.71</v>
      </c>
      <c r="R1145" s="193">
        <f t="shared" si="685"/>
        <v>4637.5</v>
      </c>
      <c r="S1145" s="193">
        <f t="shared" si="686"/>
        <v>62.5</v>
      </c>
      <c r="T1145" s="193">
        <f t="shared" si="791"/>
        <v>1.4</v>
      </c>
      <c r="U1145" s="193">
        <f t="shared" si="707"/>
        <v>1.0900000000000001</v>
      </c>
      <c r="V1145" s="193">
        <f t="shared" si="734"/>
        <v>0.59</v>
      </c>
      <c r="W1145" s="193">
        <f t="shared" si="735"/>
        <v>7.0000000000000007E-2</v>
      </c>
      <c r="X1145" s="193">
        <f>ROUND(R1145*0.1%,2)</f>
        <v>4.6399999999999997</v>
      </c>
      <c r="Y1145" s="193">
        <f t="shared" si="758"/>
        <v>0</v>
      </c>
      <c r="Z1145" s="193">
        <f t="shared" si="692"/>
        <v>7.7899999999999991</v>
      </c>
      <c r="AA1145" s="194">
        <f t="shared" si="693"/>
        <v>54.71</v>
      </c>
      <c r="AB1145" s="195">
        <v>55</v>
      </c>
      <c r="AC1145" s="196">
        <f t="shared" si="694"/>
        <v>0.28999999999999915</v>
      </c>
      <c r="AD1145" s="197">
        <f t="shared" si="695"/>
        <v>2.7322404371584699E-2</v>
      </c>
      <c r="AE1145" s="198">
        <f t="shared" si="696"/>
        <v>1.6800000000000001E-3</v>
      </c>
      <c r="AF1145" s="193"/>
      <c r="AG1145" s="199" t="s">
        <v>416</v>
      </c>
      <c r="AH1145" s="124"/>
    </row>
    <row r="1146" spans="1:34" ht="12" hidden="1" customHeight="1">
      <c r="A1146" s="187">
        <v>44543</v>
      </c>
      <c r="B1146" s="188" t="s">
        <v>479</v>
      </c>
      <c r="C1146" s="188" t="s">
        <v>485</v>
      </c>
      <c r="D1146" s="188"/>
      <c r="E1146" s="188" t="str">
        <f t="shared" si="682"/>
        <v>TATAPOWER</v>
      </c>
      <c r="F1146" s="188"/>
      <c r="G1146" s="188"/>
      <c r="H1146" s="188"/>
      <c r="I1146" s="188" t="s">
        <v>668</v>
      </c>
      <c r="J1146" s="188" t="s">
        <v>483</v>
      </c>
      <c r="K1146" s="188"/>
      <c r="L1146" s="188"/>
      <c r="M1146" s="189">
        <v>70</v>
      </c>
      <c r="N1146" s="190">
        <v>233</v>
      </c>
      <c r="O1146" s="191">
        <v>235.75</v>
      </c>
      <c r="P1146" s="192">
        <f t="shared" si="789"/>
        <v>4.8899999999999997</v>
      </c>
      <c r="Q1146" s="192">
        <f t="shared" si="790"/>
        <v>4.95</v>
      </c>
      <c r="R1146" s="193">
        <f t="shared" si="685"/>
        <v>32812.5</v>
      </c>
      <c r="S1146" s="193">
        <f t="shared" si="686"/>
        <v>192.5</v>
      </c>
      <c r="T1146" s="193">
        <f t="shared" si="791"/>
        <v>9.84</v>
      </c>
      <c r="U1146" s="193">
        <f t="shared" si="707"/>
        <v>1.93</v>
      </c>
      <c r="V1146" s="193">
        <f t="shared" si="734"/>
        <v>4.13</v>
      </c>
      <c r="W1146" s="193">
        <f t="shared" si="735"/>
        <v>0.49</v>
      </c>
      <c r="X1146" s="193">
        <f>ROUND(R1146*G$1820,2)</f>
        <v>0.9</v>
      </c>
      <c r="Y1146" s="193">
        <f t="shared" si="758"/>
        <v>0.03</v>
      </c>
      <c r="Z1146" s="193">
        <f t="shared" si="692"/>
        <v>17.319999999999997</v>
      </c>
      <c r="AA1146" s="194">
        <f t="shared" si="693"/>
        <v>175.18</v>
      </c>
      <c r="AB1146" s="195">
        <f>175-0.2</f>
        <v>174.8</v>
      </c>
      <c r="AC1146" s="196">
        <f t="shared" si="694"/>
        <v>-0.37999999999999545</v>
      </c>
      <c r="AD1146" s="197">
        <f t="shared" si="695"/>
        <v>1.1802575107296138E-2</v>
      </c>
      <c r="AE1146" s="198">
        <f t="shared" si="696"/>
        <v>5.2800000000000004E-4</v>
      </c>
      <c r="AF1146" s="193"/>
      <c r="AG1146" s="199" t="s">
        <v>416</v>
      </c>
      <c r="AH1146" s="124"/>
    </row>
    <row r="1147" spans="1:34" ht="12" hidden="1" customHeight="1">
      <c r="A1147" s="187">
        <v>44543</v>
      </c>
      <c r="B1147" s="188" t="s">
        <v>496</v>
      </c>
      <c r="C1147" s="188" t="s">
        <v>485</v>
      </c>
      <c r="D1147" s="188"/>
      <c r="E1147" s="188" t="str">
        <f t="shared" si="682"/>
        <v>NATIONALUM</v>
      </c>
      <c r="F1147" s="188"/>
      <c r="G1147" s="188"/>
      <c r="H1147" s="188"/>
      <c r="I1147" s="188" t="s">
        <v>668</v>
      </c>
      <c r="J1147" s="188" t="s">
        <v>483</v>
      </c>
      <c r="K1147" s="188"/>
      <c r="L1147" s="188"/>
      <c r="M1147" s="189">
        <v>50</v>
      </c>
      <c r="N1147" s="190">
        <v>100</v>
      </c>
      <c r="O1147" s="191">
        <v>101.5</v>
      </c>
      <c r="P1147" s="192">
        <f t="shared" si="789"/>
        <v>1.5</v>
      </c>
      <c r="Q1147" s="192">
        <f t="shared" si="790"/>
        <v>1.52</v>
      </c>
      <c r="R1147" s="193">
        <f t="shared" si="685"/>
        <v>10075</v>
      </c>
      <c r="S1147" s="193">
        <f t="shared" si="686"/>
        <v>75</v>
      </c>
      <c r="T1147" s="193">
        <f t="shared" si="791"/>
        <v>3.02</v>
      </c>
      <c r="U1147" s="193">
        <f t="shared" si="707"/>
        <v>0.61</v>
      </c>
      <c r="V1147" s="193">
        <f t="shared" si="734"/>
        <v>1.27</v>
      </c>
      <c r="W1147" s="193">
        <f t="shared" si="735"/>
        <v>0.15</v>
      </c>
      <c r="X1147" s="193">
        <f>ROUND(R1147*H$1820,2)</f>
        <v>0.35</v>
      </c>
      <c r="Y1147" s="193">
        <f t="shared" si="758"/>
        <v>0.01</v>
      </c>
      <c r="Z1147" s="193">
        <f t="shared" si="692"/>
        <v>5.41</v>
      </c>
      <c r="AA1147" s="194">
        <f t="shared" si="693"/>
        <v>69.59</v>
      </c>
      <c r="AB1147" s="195">
        <v>70</v>
      </c>
      <c r="AC1147" s="196">
        <f t="shared" si="694"/>
        <v>0.40999999999999659</v>
      </c>
      <c r="AD1147" s="197">
        <f t="shared" si="695"/>
        <v>1.4999999999999999E-2</v>
      </c>
      <c r="AE1147" s="198">
        <f t="shared" si="696"/>
        <v>5.3700000000000004E-4</v>
      </c>
      <c r="AF1147" s="193"/>
      <c r="AG1147" s="199" t="s">
        <v>416</v>
      </c>
      <c r="AH1147" s="124"/>
    </row>
    <row r="1148" spans="1:34" ht="12" hidden="1" customHeight="1">
      <c r="A1148" s="187">
        <v>44544</v>
      </c>
      <c r="B1148" s="188" t="s">
        <v>589</v>
      </c>
      <c r="C1148" s="188" t="s">
        <v>460</v>
      </c>
      <c r="D1148" s="188"/>
      <c r="E1148" s="188" t="str">
        <f t="shared" si="682"/>
        <v>DCMSHRIRAM</v>
      </c>
      <c r="F1148" s="188"/>
      <c r="G1148" s="188"/>
      <c r="H1148" s="188"/>
      <c r="I1148" s="188" t="s">
        <v>668</v>
      </c>
      <c r="J1148" s="188" t="s">
        <v>483</v>
      </c>
      <c r="K1148" s="188"/>
      <c r="L1148" s="188"/>
      <c r="M1148" s="189">
        <v>317</v>
      </c>
      <c r="N1148" s="190">
        <v>982.78549999999996</v>
      </c>
      <c r="O1148" s="191">
        <v>988.62463000000002</v>
      </c>
      <c r="P1148" s="192">
        <f t="shared" si="789"/>
        <v>20</v>
      </c>
      <c r="Q1148" s="192">
        <f t="shared" si="790"/>
        <v>20</v>
      </c>
      <c r="R1148" s="193">
        <f t="shared" si="685"/>
        <v>624937.01</v>
      </c>
      <c r="S1148" s="193">
        <f t="shared" si="686"/>
        <v>1851.0042100000217</v>
      </c>
      <c r="T1148" s="193">
        <v>144.99</v>
      </c>
      <c r="U1148" s="193">
        <f t="shared" si="707"/>
        <v>29.19</v>
      </c>
      <c r="V1148" s="193">
        <f t="shared" si="734"/>
        <v>78.349999999999994</v>
      </c>
      <c r="W1148" s="193">
        <f t="shared" si="735"/>
        <v>9.35</v>
      </c>
      <c r="X1148" s="193">
        <f>ROUND(R1148*G$1820,2)</f>
        <v>17.190000000000001</v>
      </c>
      <c r="Y1148" s="193">
        <f t="shared" si="758"/>
        <v>0.62</v>
      </c>
      <c r="Z1148" s="193">
        <f t="shared" si="692"/>
        <v>279.69</v>
      </c>
      <c r="AA1148" s="194">
        <f t="shared" si="693"/>
        <v>1571.31</v>
      </c>
      <c r="AB1148" s="195">
        <v>1571.02</v>
      </c>
      <c r="AC1148" s="196">
        <f t="shared" si="694"/>
        <v>-0.28999999999996362</v>
      </c>
      <c r="AD1148" s="197">
        <f t="shared" si="695"/>
        <v>5.941408374462249E-3</v>
      </c>
      <c r="AE1148" s="198">
        <f t="shared" si="696"/>
        <v>4.4799999999999999E-4</v>
      </c>
      <c r="AF1148" s="193"/>
      <c r="AG1148" s="199" t="s">
        <v>416</v>
      </c>
      <c r="AH1148" s="124"/>
    </row>
    <row r="1149" spans="1:34" ht="12" hidden="1" customHeight="1">
      <c r="A1149" s="187">
        <v>44546</v>
      </c>
      <c r="B1149" s="188" t="s">
        <v>589</v>
      </c>
      <c r="C1149" s="188" t="s">
        <v>460</v>
      </c>
      <c r="D1149" s="188"/>
      <c r="E1149" s="188" t="str">
        <f t="shared" si="682"/>
        <v>DCMSHRIRAM</v>
      </c>
      <c r="F1149" s="188"/>
      <c r="G1149" s="188"/>
      <c r="H1149" s="188"/>
      <c r="I1149" s="188" t="s">
        <v>668</v>
      </c>
      <c r="J1149" s="188" t="s">
        <v>483</v>
      </c>
      <c r="K1149" s="188"/>
      <c r="L1149" s="188"/>
      <c r="M1149" s="189">
        <v>100</v>
      </c>
      <c r="N1149" s="190">
        <v>997</v>
      </c>
      <c r="O1149" s="191">
        <v>1002</v>
      </c>
      <c r="P1149" s="192">
        <f t="shared" si="789"/>
        <v>20</v>
      </c>
      <c r="Q1149" s="192">
        <f t="shared" si="790"/>
        <v>20</v>
      </c>
      <c r="R1149" s="193">
        <f t="shared" si="685"/>
        <v>199900</v>
      </c>
      <c r="S1149" s="193">
        <f t="shared" si="686"/>
        <v>500</v>
      </c>
      <c r="T1149" s="193">
        <v>40</v>
      </c>
      <c r="U1149" s="193">
        <f t="shared" si="707"/>
        <v>8.44</v>
      </c>
      <c r="V1149" s="193">
        <f t="shared" si="734"/>
        <v>25.05</v>
      </c>
      <c r="W1149" s="193">
        <f t="shared" si="735"/>
        <v>2.99</v>
      </c>
      <c r="X1149" s="193">
        <f>ROUND(R1149*H$1820,2)</f>
        <v>6.9</v>
      </c>
      <c r="Y1149" s="193">
        <f t="shared" si="758"/>
        <v>0.2</v>
      </c>
      <c r="Z1149" s="193">
        <f t="shared" si="692"/>
        <v>83.58</v>
      </c>
      <c r="AA1149" s="194">
        <f t="shared" si="693"/>
        <v>416.42</v>
      </c>
      <c r="AB1149" s="195">
        <v>416.33</v>
      </c>
      <c r="AC1149" s="196">
        <f t="shared" si="694"/>
        <v>-9.0000000000031832E-2</v>
      </c>
      <c r="AD1149" s="197">
        <f t="shared" si="695"/>
        <v>5.0150451354062184E-3</v>
      </c>
      <c r="AE1149" s="198">
        <f t="shared" si="696"/>
        <v>4.1800000000000002E-4</v>
      </c>
      <c r="AF1149" s="193"/>
      <c r="AG1149" s="199" t="s">
        <v>416</v>
      </c>
      <c r="AH1149" s="124"/>
    </row>
    <row r="1150" spans="1:34" ht="12" hidden="1" customHeight="1">
      <c r="A1150" s="187">
        <v>44547</v>
      </c>
      <c r="B1150" s="188" t="s">
        <v>589</v>
      </c>
      <c r="C1150" s="188" t="s">
        <v>460</v>
      </c>
      <c r="D1150" s="188"/>
      <c r="E1150" s="188" t="str">
        <f t="shared" si="682"/>
        <v>DCMSHRIRAM</v>
      </c>
      <c r="F1150" s="188"/>
      <c r="G1150" s="188"/>
      <c r="H1150" s="188"/>
      <c r="I1150" s="188" t="s">
        <v>668</v>
      </c>
      <c r="J1150" s="188" t="s">
        <v>483</v>
      </c>
      <c r="K1150" s="188"/>
      <c r="L1150" s="188"/>
      <c r="M1150" s="189">
        <v>100</v>
      </c>
      <c r="N1150" s="190">
        <v>996.88</v>
      </c>
      <c r="O1150" s="191">
        <v>1005</v>
      </c>
      <c r="P1150" s="192">
        <f t="shared" si="789"/>
        <v>20</v>
      </c>
      <c r="Q1150" s="192">
        <f t="shared" si="790"/>
        <v>20</v>
      </c>
      <c r="R1150" s="193">
        <f t="shared" si="685"/>
        <v>200188</v>
      </c>
      <c r="S1150" s="193">
        <f t="shared" si="686"/>
        <v>812.00000000000045</v>
      </c>
      <c r="T1150" s="193">
        <v>40</v>
      </c>
      <c r="U1150" s="193">
        <f t="shared" si="707"/>
        <v>8.19</v>
      </c>
      <c r="V1150" s="193">
        <f t="shared" si="734"/>
        <v>25.13</v>
      </c>
      <c r="W1150" s="193">
        <f t="shared" si="735"/>
        <v>2.99</v>
      </c>
      <c r="X1150" s="193">
        <f>ROUND(R1150*G$1820,2)</f>
        <v>5.51</v>
      </c>
      <c r="Y1150" s="193">
        <f t="shared" si="758"/>
        <v>0.2</v>
      </c>
      <c r="Z1150" s="193">
        <f t="shared" si="692"/>
        <v>82.02</v>
      </c>
      <c r="AA1150" s="194">
        <f t="shared" si="693"/>
        <v>729.98</v>
      </c>
      <c r="AB1150" s="195">
        <v>730.1</v>
      </c>
      <c r="AC1150" s="196">
        <f t="shared" si="694"/>
        <v>0.12000000000000455</v>
      </c>
      <c r="AD1150" s="197">
        <f t="shared" si="695"/>
        <v>8.1454136907150362E-3</v>
      </c>
      <c r="AE1150" s="198">
        <f t="shared" si="696"/>
        <v>4.0999999999999999E-4</v>
      </c>
      <c r="AF1150" s="193"/>
      <c r="AG1150" s="199" t="s">
        <v>416</v>
      </c>
      <c r="AH1150" s="124"/>
    </row>
    <row r="1151" spans="1:34" ht="12" hidden="1" customHeight="1">
      <c r="A1151" s="187">
        <v>44550</v>
      </c>
      <c r="B1151" s="188" t="s">
        <v>589</v>
      </c>
      <c r="C1151" s="188" t="s">
        <v>460</v>
      </c>
      <c r="D1151" s="188"/>
      <c r="E1151" s="188" t="str">
        <f t="shared" si="682"/>
        <v>DCMSHRIRAM</v>
      </c>
      <c r="F1151" s="188"/>
      <c r="G1151" s="188"/>
      <c r="H1151" s="188"/>
      <c r="I1151" s="188" t="s">
        <v>668</v>
      </c>
      <c r="J1151" s="188" t="s">
        <v>483</v>
      </c>
      <c r="K1151" s="188"/>
      <c r="L1151" s="188"/>
      <c r="M1151" s="189">
        <v>440</v>
      </c>
      <c r="N1151" s="190">
        <v>967.35230000000001</v>
      </c>
      <c r="O1151" s="191">
        <v>976.76139999999998</v>
      </c>
      <c r="P1151" s="192">
        <f t="shared" si="789"/>
        <v>20</v>
      </c>
      <c r="Q1151" s="192">
        <f t="shared" si="790"/>
        <v>20</v>
      </c>
      <c r="R1151" s="193">
        <f t="shared" si="685"/>
        <v>855410.03</v>
      </c>
      <c r="S1151" s="193">
        <f t="shared" si="686"/>
        <v>4140.0039999999854</v>
      </c>
      <c r="T1151" s="193">
        <v>183.10000000000002</v>
      </c>
      <c r="U1151" s="193">
        <f t="shared" si="707"/>
        <v>37.659999999999997</v>
      </c>
      <c r="V1151" s="193">
        <f t="shared" si="734"/>
        <v>107.44</v>
      </c>
      <c r="W1151" s="193">
        <f t="shared" si="735"/>
        <v>12.77</v>
      </c>
      <c r="X1151" s="193">
        <f>ROUND(R1151*G$1820,2)+2.6</f>
        <v>26.12</v>
      </c>
      <c r="Y1151" s="193">
        <f t="shared" si="758"/>
        <v>0.86</v>
      </c>
      <c r="Z1151" s="193">
        <f t="shared" si="692"/>
        <v>367.95000000000005</v>
      </c>
      <c r="AA1151" s="194">
        <f t="shared" si="693"/>
        <v>3772.05</v>
      </c>
      <c r="AB1151" s="195">
        <v>3773.22</v>
      </c>
      <c r="AC1151" s="196">
        <f t="shared" si="694"/>
        <v>1.169999999999618</v>
      </c>
      <c r="AD1151" s="197">
        <f t="shared" si="695"/>
        <v>9.7266528440568822E-3</v>
      </c>
      <c r="AE1151" s="198">
        <f t="shared" si="696"/>
        <v>4.2999999999999999E-4</v>
      </c>
      <c r="AF1151" s="193"/>
      <c r="AG1151" s="199" t="s">
        <v>416</v>
      </c>
      <c r="AH1151" s="124"/>
    </row>
    <row r="1152" spans="1:34" ht="12" hidden="1" customHeight="1">
      <c r="A1152" s="187">
        <v>44551</v>
      </c>
      <c r="B1152" s="188" t="s">
        <v>589</v>
      </c>
      <c r="C1152" s="188" t="s">
        <v>460</v>
      </c>
      <c r="D1152" s="188"/>
      <c r="E1152" s="188" t="str">
        <f t="shared" si="682"/>
        <v>DCMSHRIRAM</v>
      </c>
      <c r="F1152" s="188"/>
      <c r="G1152" s="188"/>
      <c r="H1152" s="188"/>
      <c r="I1152" s="188" t="s">
        <v>668</v>
      </c>
      <c r="J1152" s="188" t="s">
        <v>483</v>
      </c>
      <c r="K1152" s="188"/>
      <c r="L1152" s="188"/>
      <c r="M1152" s="189">
        <v>300</v>
      </c>
      <c r="N1152" s="190">
        <v>987.41250000000002</v>
      </c>
      <c r="O1152" s="191">
        <v>993.5</v>
      </c>
      <c r="P1152" s="192">
        <f t="shared" si="789"/>
        <v>20</v>
      </c>
      <c r="Q1152" s="192">
        <f t="shared" si="790"/>
        <v>20</v>
      </c>
      <c r="R1152" s="193">
        <f t="shared" si="685"/>
        <v>594273.75</v>
      </c>
      <c r="S1152" s="193">
        <f t="shared" si="686"/>
        <v>1826.2499999999932</v>
      </c>
      <c r="T1152" s="193">
        <v>129.91</v>
      </c>
      <c r="U1152" s="193">
        <f t="shared" si="707"/>
        <v>26.33</v>
      </c>
      <c r="V1152" s="193">
        <f t="shared" si="734"/>
        <v>74.510000000000005</v>
      </c>
      <c r="W1152" s="193">
        <f t="shared" si="735"/>
        <v>8.89</v>
      </c>
      <c r="X1152" s="193">
        <f t="shared" ref="X1152:X1156" si="793">ROUND(R1152*G$1820,2)</f>
        <v>16.34</v>
      </c>
      <c r="Y1152" s="193">
        <f t="shared" si="758"/>
        <v>0.59</v>
      </c>
      <c r="Z1152" s="193">
        <f t="shared" si="692"/>
        <v>256.57</v>
      </c>
      <c r="AA1152" s="194">
        <f t="shared" si="693"/>
        <v>1569.68</v>
      </c>
      <c r="AB1152" s="195">
        <v>1570.47</v>
      </c>
      <c r="AC1152" s="196">
        <f t="shared" si="694"/>
        <v>0.78999999999996362</v>
      </c>
      <c r="AD1152" s="197">
        <f t="shared" si="695"/>
        <v>6.16510323699566E-3</v>
      </c>
      <c r="AE1152" s="198">
        <f t="shared" si="696"/>
        <v>4.3199999999999998E-4</v>
      </c>
      <c r="AF1152" s="193"/>
      <c r="AG1152" s="199" t="s">
        <v>416</v>
      </c>
      <c r="AH1152" s="124"/>
    </row>
    <row r="1153" spans="1:34" ht="12" hidden="1" customHeight="1">
      <c r="A1153" s="187">
        <v>44552</v>
      </c>
      <c r="B1153" s="188" t="s">
        <v>589</v>
      </c>
      <c r="C1153" s="188" t="s">
        <v>460</v>
      </c>
      <c r="D1153" s="188"/>
      <c r="E1153" s="188" t="str">
        <f t="shared" si="682"/>
        <v>DCMSHRIRAM</v>
      </c>
      <c r="F1153" s="188"/>
      <c r="G1153" s="188"/>
      <c r="H1153" s="188"/>
      <c r="I1153" s="188" t="s">
        <v>668</v>
      </c>
      <c r="J1153" s="188" t="s">
        <v>483</v>
      </c>
      <c r="K1153" s="188"/>
      <c r="L1153" s="188"/>
      <c r="M1153" s="189">
        <v>50</v>
      </c>
      <c r="N1153" s="190">
        <v>996</v>
      </c>
      <c r="O1153" s="191">
        <v>1004.56</v>
      </c>
      <c r="P1153" s="192">
        <f t="shared" si="789"/>
        <v>14.94</v>
      </c>
      <c r="Q1153" s="192">
        <f t="shared" si="790"/>
        <v>15.07</v>
      </c>
      <c r="R1153" s="193">
        <f t="shared" si="685"/>
        <v>100028</v>
      </c>
      <c r="S1153" s="193">
        <f t="shared" si="686"/>
        <v>427.99999999999727</v>
      </c>
      <c r="T1153" s="193">
        <v>30.009999999999998</v>
      </c>
      <c r="U1153" s="193">
        <f t="shared" si="707"/>
        <v>5.9</v>
      </c>
      <c r="V1153" s="193">
        <f>ROUND((O1153*M1153)*F$1818,2)+1</f>
        <v>13.56</v>
      </c>
      <c r="W1153" s="193">
        <f t="shared" si="735"/>
        <v>1.49</v>
      </c>
      <c r="X1153" s="193">
        <f t="shared" si="793"/>
        <v>2.75</v>
      </c>
      <c r="Y1153" s="193">
        <f t="shared" si="758"/>
        <v>0.1</v>
      </c>
      <c r="Z1153" s="193">
        <f t="shared" si="692"/>
        <v>53.81</v>
      </c>
      <c r="AA1153" s="194">
        <f t="shared" si="693"/>
        <v>374.19</v>
      </c>
      <c r="AB1153" s="195">
        <v>374.82</v>
      </c>
      <c r="AC1153" s="196">
        <f t="shared" si="694"/>
        <v>0.62999999999999545</v>
      </c>
      <c r="AD1153" s="197">
        <f t="shared" si="695"/>
        <v>8.5943775100401059E-3</v>
      </c>
      <c r="AE1153" s="198">
        <f t="shared" si="696"/>
        <v>5.3799999999999996E-4</v>
      </c>
      <c r="AF1153" s="193"/>
      <c r="AG1153" s="199" t="s">
        <v>416</v>
      </c>
      <c r="AH1153" s="124"/>
    </row>
    <row r="1154" spans="1:34" ht="12" hidden="1" customHeight="1">
      <c r="A1154" s="187">
        <v>44552</v>
      </c>
      <c r="B1154" s="188" t="s">
        <v>526</v>
      </c>
      <c r="C1154" s="188" t="s">
        <v>485</v>
      </c>
      <c r="D1154" s="188"/>
      <c r="E1154" s="188" t="str">
        <f t="shared" si="682"/>
        <v>SHALPAINTS</v>
      </c>
      <c r="F1154" s="188"/>
      <c r="G1154" s="188"/>
      <c r="H1154" s="188"/>
      <c r="I1154" s="188" t="s">
        <v>668</v>
      </c>
      <c r="J1154" s="188" t="s">
        <v>483</v>
      </c>
      <c r="K1154" s="188"/>
      <c r="L1154" s="188"/>
      <c r="M1154" s="189">
        <v>50</v>
      </c>
      <c r="N1154" s="190">
        <v>109</v>
      </c>
      <c r="O1154" s="191">
        <v>111</v>
      </c>
      <c r="P1154" s="192">
        <f t="shared" si="789"/>
        <v>1.64</v>
      </c>
      <c r="Q1154" s="192">
        <f t="shared" si="790"/>
        <v>1.67</v>
      </c>
      <c r="R1154" s="193">
        <f t="shared" si="685"/>
        <v>11000</v>
      </c>
      <c r="S1154" s="193">
        <f t="shared" si="686"/>
        <v>100</v>
      </c>
      <c r="T1154" s="193">
        <f t="shared" ref="T1154:T1157" si="794">ROUND(P1154+Q1154,2)</f>
        <v>3.31</v>
      </c>
      <c r="U1154" s="193">
        <f t="shared" si="707"/>
        <v>0.65</v>
      </c>
      <c r="V1154" s="193">
        <f t="shared" ref="V1154:V1157" si="795">ROUND((O1154*M1154)*F$1818,2)</f>
        <v>1.39</v>
      </c>
      <c r="W1154" s="193">
        <f t="shared" si="735"/>
        <v>0.16</v>
      </c>
      <c r="X1154" s="193">
        <f t="shared" si="793"/>
        <v>0.3</v>
      </c>
      <c r="Y1154" s="193">
        <f t="shared" si="758"/>
        <v>0.01</v>
      </c>
      <c r="Z1154" s="193">
        <f t="shared" si="692"/>
        <v>5.8199999999999994</v>
      </c>
      <c r="AA1154" s="194">
        <f t="shared" si="693"/>
        <v>94.18</v>
      </c>
      <c r="AB1154" s="195">
        <v>94.74</v>
      </c>
      <c r="AC1154" s="196">
        <f t="shared" si="694"/>
        <v>0.55999999999998806</v>
      </c>
      <c r="AD1154" s="197">
        <f t="shared" si="695"/>
        <v>1.834862385321101E-2</v>
      </c>
      <c r="AE1154" s="198">
        <f t="shared" si="696"/>
        <v>5.2899999999999996E-4</v>
      </c>
      <c r="AF1154" s="193"/>
      <c r="AG1154" s="199" t="s">
        <v>416</v>
      </c>
      <c r="AH1154" s="124"/>
    </row>
    <row r="1155" spans="1:34" ht="12" hidden="1" customHeight="1">
      <c r="A1155" s="187">
        <v>44553</v>
      </c>
      <c r="B1155" s="188" t="s">
        <v>496</v>
      </c>
      <c r="C1155" s="188" t="s">
        <v>485</v>
      </c>
      <c r="D1155" s="188"/>
      <c r="E1155" s="188" t="str">
        <f t="shared" si="682"/>
        <v>NATIONALUM</v>
      </c>
      <c r="F1155" s="188"/>
      <c r="G1155" s="188"/>
      <c r="H1155" s="188"/>
      <c r="I1155" s="188" t="s">
        <v>668</v>
      </c>
      <c r="J1155" s="188" t="s">
        <v>483</v>
      </c>
      <c r="K1155" s="188"/>
      <c r="L1155" s="188"/>
      <c r="M1155" s="189">
        <v>200</v>
      </c>
      <c r="N1155" s="190">
        <v>104.1</v>
      </c>
      <c r="O1155" s="191">
        <v>105.25</v>
      </c>
      <c r="P1155" s="192">
        <f t="shared" si="789"/>
        <v>6.25</v>
      </c>
      <c r="Q1155" s="192">
        <f t="shared" si="790"/>
        <v>6.32</v>
      </c>
      <c r="R1155" s="193">
        <f t="shared" si="685"/>
        <v>41870</v>
      </c>
      <c r="S1155" s="193">
        <f t="shared" si="686"/>
        <v>230.00000000000114</v>
      </c>
      <c r="T1155" s="193">
        <f t="shared" si="794"/>
        <v>12.57</v>
      </c>
      <c r="U1155" s="193">
        <f t="shared" si="707"/>
        <v>2.4700000000000002</v>
      </c>
      <c r="V1155" s="193">
        <f t="shared" si="795"/>
        <v>5.26</v>
      </c>
      <c r="W1155" s="193">
        <f t="shared" si="735"/>
        <v>0.62</v>
      </c>
      <c r="X1155" s="193">
        <f t="shared" si="793"/>
        <v>1.1499999999999999</v>
      </c>
      <c r="Y1155" s="193">
        <f t="shared" si="758"/>
        <v>0.04</v>
      </c>
      <c r="Z1155" s="193">
        <f t="shared" si="692"/>
        <v>22.11</v>
      </c>
      <c r="AA1155" s="194">
        <f t="shared" si="693"/>
        <v>207.89</v>
      </c>
      <c r="AB1155" s="195">
        <f>208-1.04</f>
        <v>206.96</v>
      </c>
      <c r="AC1155" s="196">
        <f t="shared" si="694"/>
        <v>-0.9299999999999784</v>
      </c>
      <c r="AD1155" s="197">
        <f t="shared" si="695"/>
        <v>1.1047070124879979E-2</v>
      </c>
      <c r="AE1155" s="198">
        <f t="shared" si="696"/>
        <v>5.2800000000000004E-4</v>
      </c>
      <c r="AF1155" s="193"/>
      <c r="AG1155" s="199" t="s">
        <v>416</v>
      </c>
      <c r="AH1155" s="124"/>
    </row>
    <row r="1156" spans="1:34" ht="12" hidden="1" customHeight="1">
      <c r="A1156" s="187">
        <v>44553</v>
      </c>
      <c r="B1156" s="188" t="s">
        <v>498</v>
      </c>
      <c r="C1156" s="188" t="s">
        <v>485</v>
      </c>
      <c r="D1156" s="188"/>
      <c r="E1156" s="188" t="str">
        <f t="shared" si="682"/>
        <v>BAJFINANCE</v>
      </c>
      <c r="F1156" s="188"/>
      <c r="G1156" s="188"/>
      <c r="H1156" s="188"/>
      <c r="I1156" s="188" t="s">
        <v>668</v>
      </c>
      <c r="J1156" s="188" t="s">
        <v>483</v>
      </c>
      <c r="K1156" s="188"/>
      <c r="L1156" s="188"/>
      <c r="M1156" s="189">
        <v>1</v>
      </c>
      <c r="N1156" s="190">
        <v>6915</v>
      </c>
      <c r="O1156" s="191">
        <v>6925</v>
      </c>
      <c r="P1156" s="192">
        <f t="shared" si="789"/>
        <v>2.0699999999999998</v>
      </c>
      <c r="Q1156" s="192">
        <f t="shared" si="790"/>
        <v>2.08</v>
      </c>
      <c r="R1156" s="193">
        <f t="shared" si="685"/>
        <v>13840</v>
      </c>
      <c r="S1156" s="193">
        <f t="shared" si="686"/>
        <v>10</v>
      </c>
      <c r="T1156" s="193">
        <f t="shared" si="794"/>
        <v>4.1500000000000004</v>
      </c>
      <c r="U1156" s="193">
        <f t="shared" si="707"/>
        <v>0.82</v>
      </c>
      <c r="V1156" s="193">
        <f t="shared" si="795"/>
        <v>1.73</v>
      </c>
      <c r="W1156" s="193">
        <f t="shared" si="735"/>
        <v>0.21</v>
      </c>
      <c r="X1156" s="193">
        <f t="shared" si="793"/>
        <v>0.38</v>
      </c>
      <c r="Y1156" s="193">
        <f t="shared" si="758"/>
        <v>0.01</v>
      </c>
      <c r="Z1156" s="193">
        <f t="shared" si="692"/>
        <v>7.3000000000000007</v>
      </c>
      <c r="AA1156" s="194">
        <f t="shared" si="693"/>
        <v>2.7</v>
      </c>
      <c r="AB1156" s="195">
        <v>3</v>
      </c>
      <c r="AC1156" s="196">
        <f t="shared" si="694"/>
        <v>0.29999999999999982</v>
      </c>
      <c r="AD1156" s="197">
        <f t="shared" si="695"/>
        <v>1.4461315979754157E-3</v>
      </c>
      <c r="AE1156" s="198">
        <f t="shared" si="696"/>
        <v>5.2700000000000002E-4</v>
      </c>
      <c r="AF1156" s="193"/>
      <c r="AG1156" s="199" t="s">
        <v>416</v>
      </c>
      <c r="AH1156" s="124"/>
    </row>
    <row r="1157" spans="1:34" ht="12" hidden="1" customHeight="1">
      <c r="A1157" s="187">
        <v>44558</v>
      </c>
      <c r="B1157" s="188" t="s">
        <v>561</v>
      </c>
      <c r="C1157" s="188" t="s">
        <v>485</v>
      </c>
      <c r="D1157" s="188"/>
      <c r="E1157" s="188" t="str">
        <f t="shared" si="682"/>
        <v>RENUKA</v>
      </c>
      <c r="F1157" s="188"/>
      <c r="G1157" s="188"/>
      <c r="H1157" s="188"/>
      <c r="I1157" s="188" t="s">
        <v>668</v>
      </c>
      <c r="J1157" s="188" t="s">
        <v>483</v>
      </c>
      <c r="K1157" s="188"/>
      <c r="L1157" s="188"/>
      <c r="M1157" s="189">
        <v>100</v>
      </c>
      <c r="N1157" s="190">
        <v>29.5</v>
      </c>
      <c r="O1157" s="191">
        <v>30.3</v>
      </c>
      <c r="P1157" s="192">
        <f t="shared" si="789"/>
        <v>0.89</v>
      </c>
      <c r="Q1157" s="192">
        <f t="shared" si="790"/>
        <v>0.91</v>
      </c>
      <c r="R1157" s="193">
        <f t="shared" si="685"/>
        <v>5980</v>
      </c>
      <c r="S1157" s="193">
        <f t="shared" si="686"/>
        <v>80.000000000000071</v>
      </c>
      <c r="T1157" s="193">
        <f t="shared" si="794"/>
        <v>1.8</v>
      </c>
      <c r="U1157" s="193">
        <f t="shared" si="707"/>
        <v>0.36</v>
      </c>
      <c r="V1157" s="193">
        <f t="shared" si="795"/>
        <v>0.76</v>
      </c>
      <c r="W1157" s="193">
        <f t="shared" si="735"/>
        <v>0.09</v>
      </c>
      <c r="X1157" s="193">
        <f>ROUND(R1157*H$1820,2)</f>
        <v>0.21</v>
      </c>
      <c r="Y1157" s="193">
        <f t="shared" si="758"/>
        <v>0.01</v>
      </c>
      <c r="Z1157" s="193">
        <f t="shared" si="692"/>
        <v>3.2299999999999995</v>
      </c>
      <c r="AA1157" s="194">
        <f t="shared" si="693"/>
        <v>76.77</v>
      </c>
      <c r="AB1157" s="195">
        <v>76.63</v>
      </c>
      <c r="AC1157" s="196">
        <f t="shared" si="694"/>
        <v>-0.14000000000000057</v>
      </c>
      <c r="AD1157" s="197">
        <f t="shared" si="695"/>
        <v>2.7118644067796634E-2</v>
      </c>
      <c r="AE1157" s="198">
        <f t="shared" si="696"/>
        <v>5.4000000000000001E-4</v>
      </c>
      <c r="AF1157" s="193"/>
      <c r="AG1157" s="199" t="s">
        <v>416</v>
      </c>
      <c r="AH1157" s="124"/>
    </row>
    <row r="1158" spans="1:34" ht="12" hidden="1" customHeight="1">
      <c r="A1158" s="187">
        <v>44559</v>
      </c>
      <c r="B1158" s="188" t="s">
        <v>589</v>
      </c>
      <c r="C1158" s="188" t="s">
        <v>460</v>
      </c>
      <c r="D1158" s="188"/>
      <c r="E1158" s="188" t="str">
        <f t="shared" si="682"/>
        <v>DCMSHRIRAM</v>
      </c>
      <c r="F1158" s="188"/>
      <c r="G1158" s="188"/>
      <c r="H1158" s="188"/>
      <c r="I1158" s="188" t="s">
        <v>668</v>
      </c>
      <c r="J1158" s="188" t="s">
        <v>483</v>
      </c>
      <c r="K1158" s="188"/>
      <c r="L1158" s="188"/>
      <c r="M1158" s="189">
        <v>53</v>
      </c>
      <c r="N1158" s="190">
        <v>961</v>
      </c>
      <c r="O1158" s="191">
        <v>973.39620000000002</v>
      </c>
      <c r="P1158" s="192">
        <f t="shared" si="789"/>
        <v>15.28</v>
      </c>
      <c r="Q1158" s="192">
        <f t="shared" si="790"/>
        <v>15.48</v>
      </c>
      <c r="R1158" s="193">
        <f t="shared" si="685"/>
        <v>102523</v>
      </c>
      <c r="S1158" s="193">
        <f t="shared" si="686"/>
        <v>656.99860000000115</v>
      </c>
      <c r="T1158" s="193">
        <v>30.75</v>
      </c>
      <c r="U1158" s="193">
        <f t="shared" si="707"/>
        <v>6.04</v>
      </c>
      <c r="V1158" s="193">
        <f>ROUND((O1158*M1158)*F$1818,2)+1</f>
        <v>13.9</v>
      </c>
      <c r="W1158" s="193">
        <f t="shared" si="735"/>
        <v>1.53</v>
      </c>
      <c r="X1158" s="193">
        <f>ROUND(R1158*G$1820,2)</f>
        <v>2.82</v>
      </c>
      <c r="Y1158" s="193">
        <f t="shared" si="758"/>
        <v>0.1</v>
      </c>
      <c r="Z1158" s="193">
        <f t="shared" si="692"/>
        <v>55.14</v>
      </c>
      <c r="AA1158" s="194">
        <f t="shared" si="693"/>
        <v>601.86</v>
      </c>
      <c r="AB1158" s="195">
        <v>601.42999999999995</v>
      </c>
      <c r="AC1158" s="196">
        <f t="shared" si="694"/>
        <v>-0.43000000000006366</v>
      </c>
      <c r="AD1158" s="197">
        <f t="shared" si="695"/>
        <v>1.2899271592091593E-2</v>
      </c>
      <c r="AE1158" s="198">
        <f t="shared" si="696"/>
        <v>5.3799999999999996E-4</v>
      </c>
      <c r="AF1158" s="193"/>
      <c r="AG1158" s="199" t="s">
        <v>416</v>
      </c>
      <c r="AH1158" s="124"/>
    </row>
    <row r="1159" spans="1:34" ht="12" hidden="1" customHeight="1">
      <c r="A1159" s="187">
        <v>44559</v>
      </c>
      <c r="B1159" s="188" t="s">
        <v>573</v>
      </c>
      <c r="C1159" s="188" t="s">
        <v>485</v>
      </c>
      <c r="D1159" s="188"/>
      <c r="E1159" s="188" t="str">
        <f t="shared" si="682"/>
        <v>INDSUCR</v>
      </c>
      <c r="F1159" s="188"/>
      <c r="G1159" s="188"/>
      <c r="H1159" s="188"/>
      <c r="I1159" s="188" t="s">
        <v>668</v>
      </c>
      <c r="J1159" s="188" t="s">
        <v>483</v>
      </c>
      <c r="K1159" s="188"/>
      <c r="L1159" s="188"/>
      <c r="M1159" s="189">
        <v>50</v>
      </c>
      <c r="N1159" s="190">
        <v>48</v>
      </c>
      <c r="O1159" s="191">
        <v>49.4</v>
      </c>
      <c r="P1159" s="192">
        <f t="shared" si="789"/>
        <v>0.72</v>
      </c>
      <c r="Q1159" s="192">
        <f t="shared" si="790"/>
        <v>0.74</v>
      </c>
      <c r="R1159" s="193">
        <f t="shared" si="685"/>
        <v>4870</v>
      </c>
      <c r="S1159" s="193">
        <f t="shared" si="686"/>
        <v>69.999999999999929</v>
      </c>
      <c r="T1159" s="193">
        <f>ROUND(P1159+Q1159,2)</f>
        <v>1.46</v>
      </c>
      <c r="U1159" s="193">
        <f t="shared" si="707"/>
        <v>1.1299999999999999</v>
      </c>
      <c r="V1159" s="193">
        <f t="shared" ref="V1159:V1166" si="796">ROUND((O1159*M1159)*F$1818,2)</f>
        <v>0.62</v>
      </c>
      <c r="W1159" s="193">
        <f t="shared" si="735"/>
        <v>7.0000000000000007E-2</v>
      </c>
      <c r="X1159" s="193">
        <f>ROUND(R1159*0.1%,2)-0.08</f>
        <v>4.79</v>
      </c>
      <c r="Y1159" s="193">
        <f t="shared" si="758"/>
        <v>0</v>
      </c>
      <c r="Z1159" s="193">
        <f t="shared" si="692"/>
        <v>8.07</v>
      </c>
      <c r="AA1159" s="194">
        <f t="shared" si="693"/>
        <v>61.93</v>
      </c>
      <c r="AB1159" s="195">
        <v>62.13</v>
      </c>
      <c r="AC1159" s="196">
        <f t="shared" si="694"/>
        <v>0.20000000000000284</v>
      </c>
      <c r="AD1159" s="197">
        <f t="shared" si="695"/>
        <v>2.9166666666666636E-2</v>
      </c>
      <c r="AE1159" s="198">
        <f t="shared" si="696"/>
        <v>1.6570000000000001E-3</v>
      </c>
      <c r="AF1159" s="193"/>
      <c r="AG1159" s="199" t="s">
        <v>416</v>
      </c>
      <c r="AH1159" s="124"/>
    </row>
    <row r="1160" spans="1:34" ht="12" hidden="1" customHeight="1">
      <c r="A1160" s="187">
        <v>44561</v>
      </c>
      <c r="B1160" s="188" t="s">
        <v>589</v>
      </c>
      <c r="C1160" s="188" t="s">
        <v>460</v>
      </c>
      <c r="D1160" s="188"/>
      <c r="E1160" s="188" t="str">
        <f t="shared" si="682"/>
        <v>DCMSHRIRAM</v>
      </c>
      <c r="F1160" s="188"/>
      <c r="G1160" s="188"/>
      <c r="H1160" s="188"/>
      <c r="I1160" s="188" t="s">
        <v>668</v>
      </c>
      <c r="J1160" s="188" t="s">
        <v>483</v>
      </c>
      <c r="K1160" s="188"/>
      <c r="L1160" s="188"/>
      <c r="M1160" s="189">
        <v>50</v>
      </c>
      <c r="N1160" s="190">
        <v>959.46</v>
      </c>
      <c r="O1160" s="191">
        <v>961</v>
      </c>
      <c r="P1160" s="192">
        <f t="shared" si="789"/>
        <v>14.39</v>
      </c>
      <c r="Q1160" s="192">
        <f t="shared" si="790"/>
        <v>14.42</v>
      </c>
      <c r="R1160" s="193">
        <f t="shared" si="685"/>
        <v>96023</v>
      </c>
      <c r="S1160" s="193">
        <f t="shared" si="686"/>
        <v>76.999999999998181</v>
      </c>
      <c r="T1160" s="193">
        <v>28.82</v>
      </c>
      <c r="U1160" s="193">
        <f t="shared" si="707"/>
        <v>5.66</v>
      </c>
      <c r="V1160" s="193">
        <f t="shared" si="796"/>
        <v>12.01</v>
      </c>
      <c r="W1160" s="193">
        <f t="shared" si="735"/>
        <v>1.44</v>
      </c>
      <c r="X1160" s="193">
        <f t="shared" ref="X1160:X1161" si="797">ROUND(R1160*G$1820,2)</f>
        <v>2.64</v>
      </c>
      <c r="Y1160" s="193">
        <f t="shared" si="758"/>
        <v>0.1</v>
      </c>
      <c r="Z1160" s="193">
        <f t="shared" si="692"/>
        <v>50.67</v>
      </c>
      <c r="AA1160" s="194">
        <f t="shared" si="693"/>
        <v>26.33</v>
      </c>
      <c r="AB1160" s="195">
        <v>26.79</v>
      </c>
      <c r="AC1160" s="196">
        <f t="shared" si="694"/>
        <v>0.46000000000000085</v>
      </c>
      <c r="AD1160" s="197">
        <f t="shared" si="695"/>
        <v>1.605069518270656E-3</v>
      </c>
      <c r="AE1160" s="198">
        <f t="shared" si="696"/>
        <v>5.2800000000000004E-4</v>
      </c>
      <c r="AF1160" s="193"/>
      <c r="AG1160" s="199" t="s">
        <v>416</v>
      </c>
      <c r="AH1160" s="124"/>
    </row>
    <row r="1161" spans="1:34" ht="12" hidden="1" customHeight="1">
      <c r="A1161" s="187">
        <v>44561</v>
      </c>
      <c r="B1161" s="188" t="s">
        <v>526</v>
      </c>
      <c r="C1161" s="188" t="s">
        <v>485</v>
      </c>
      <c r="D1161" s="188"/>
      <c r="E1161" s="188" t="str">
        <f t="shared" si="682"/>
        <v>SHALPAINTS</v>
      </c>
      <c r="F1161" s="188"/>
      <c r="G1161" s="188"/>
      <c r="H1161" s="188"/>
      <c r="I1161" s="188" t="s">
        <v>668</v>
      </c>
      <c r="J1161" s="188" t="s">
        <v>483</v>
      </c>
      <c r="K1161" s="188"/>
      <c r="L1161" s="188"/>
      <c r="M1161" s="189">
        <v>200</v>
      </c>
      <c r="N1161" s="190">
        <v>112.95</v>
      </c>
      <c r="O1161" s="191">
        <v>113.94825</v>
      </c>
      <c r="P1161" s="192">
        <f t="shared" si="789"/>
        <v>6.78</v>
      </c>
      <c r="Q1161" s="192">
        <f t="shared" si="790"/>
        <v>6.84</v>
      </c>
      <c r="R1161" s="193">
        <f t="shared" si="685"/>
        <v>45379.65</v>
      </c>
      <c r="S1161" s="193">
        <f t="shared" si="686"/>
        <v>199.64999999999975</v>
      </c>
      <c r="T1161" s="193">
        <f>ROUND(P1161+Q1161,2)-0.06</f>
        <v>13.559999999999999</v>
      </c>
      <c r="U1161" s="193">
        <f t="shared" si="707"/>
        <v>2.67</v>
      </c>
      <c r="V1161" s="193">
        <f t="shared" si="796"/>
        <v>5.7</v>
      </c>
      <c r="W1161" s="193">
        <f t="shared" si="735"/>
        <v>0.68</v>
      </c>
      <c r="X1161" s="193">
        <f t="shared" si="797"/>
        <v>1.25</v>
      </c>
      <c r="Y1161" s="193">
        <f t="shared" si="758"/>
        <v>0.05</v>
      </c>
      <c r="Z1161" s="193">
        <f t="shared" si="692"/>
        <v>23.909999999999997</v>
      </c>
      <c r="AA1161" s="194">
        <f t="shared" si="693"/>
        <v>175.74</v>
      </c>
      <c r="AB1161" s="195">
        <f>176+0.19</f>
        <v>176.19</v>
      </c>
      <c r="AC1161" s="196">
        <f t="shared" si="694"/>
        <v>0.44999999999998863</v>
      </c>
      <c r="AD1161" s="197">
        <f t="shared" si="695"/>
        <v>8.8379814077025123E-3</v>
      </c>
      <c r="AE1161" s="198">
        <f t="shared" si="696"/>
        <v>5.2700000000000002E-4</v>
      </c>
      <c r="AF1161" s="193"/>
      <c r="AG1161" s="199" t="s">
        <v>416</v>
      </c>
      <c r="AH1161" s="124"/>
    </row>
    <row r="1162" spans="1:34" ht="12" hidden="1" customHeight="1">
      <c r="A1162" s="187">
        <v>44561</v>
      </c>
      <c r="B1162" s="188" t="s">
        <v>562</v>
      </c>
      <c r="C1162" s="188" t="s">
        <v>485</v>
      </c>
      <c r="D1162" s="188"/>
      <c r="E1162" s="188" t="str">
        <f t="shared" si="682"/>
        <v>BAJAJHIND</v>
      </c>
      <c r="F1162" s="188"/>
      <c r="G1162" s="188"/>
      <c r="H1162" s="188"/>
      <c r="I1162" s="188" t="s">
        <v>668</v>
      </c>
      <c r="J1162" s="188" t="s">
        <v>483</v>
      </c>
      <c r="K1162" s="188"/>
      <c r="L1162" s="188"/>
      <c r="M1162" s="189">
        <v>200</v>
      </c>
      <c r="N1162" s="190">
        <v>15.05</v>
      </c>
      <c r="O1162" s="191">
        <v>15.07</v>
      </c>
      <c r="P1162" s="192">
        <f t="shared" si="789"/>
        <v>0.9</v>
      </c>
      <c r="Q1162" s="192">
        <f t="shared" si="790"/>
        <v>0.9</v>
      </c>
      <c r="R1162" s="193">
        <f t="shared" si="685"/>
        <v>6024</v>
      </c>
      <c r="S1162" s="193">
        <f t="shared" si="686"/>
        <v>3.9999999999999147</v>
      </c>
      <c r="T1162" s="193">
        <f t="shared" ref="T1162:T1166" si="798">ROUND(P1162+Q1162,2)</f>
        <v>1.8</v>
      </c>
      <c r="U1162" s="193">
        <f t="shared" si="707"/>
        <v>0.36</v>
      </c>
      <c r="V1162" s="193">
        <f t="shared" si="796"/>
        <v>0.75</v>
      </c>
      <c r="W1162" s="193">
        <f t="shared" si="735"/>
        <v>0.09</v>
      </c>
      <c r="X1162" s="193">
        <f>ROUND(R1162*H$1820,2)</f>
        <v>0.21</v>
      </c>
      <c r="Y1162" s="193">
        <f t="shared" si="758"/>
        <v>0.01</v>
      </c>
      <c r="Z1162" s="193">
        <f t="shared" si="692"/>
        <v>3.2199999999999998</v>
      </c>
      <c r="AA1162" s="194">
        <f t="shared" si="693"/>
        <v>0.78</v>
      </c>
      <c r="AB1162" s="195">
        <v>1</v>
      </c>
      <c r="AC1162" s="196">
        <f t="shared" si="694"/>
        <v>0.21999999999999997</v>
      </c>
      <c r="AD1162" s="197">
        <f t="shared" si="695"/>
        <v>1.3289036544850215E-3</v>
      </c>
      <c r="AE1162" s="198">
        <f t="shared" si="696"/>
        <v>5.3499999999999999E-4</v>
      </c>
      <c r="AF1162" s="193"/>
      <c r="AG1162" s="199" t="s">
        <v>416</v>
      </c>
      <c r="AH1162" s="124"/>
    </row>
    <row r="1163" spans="1:34" ht="12" hidden="1" customHeight="1">
      <c r="A1163" s="187">
        <v>44564</v>
      </c>
      <c r="B1163" s="188" t="s">
        <v>591</v>
      </c>
      <c r="C1163" s="188" t="s">
        <v>485</v>
      </c>
      <c r="D1163" s="188"/>
      <c r="E1163" s="188" t="str">
        <f t="shared" si="682"/>
        <v>VSSL</v>
      </c>
      <c r="F1163" s="188"/>
      <c r="G1163" s="188"/>
      <c r="H1163" s="188"/>
      <c r="I1163" s="188" t="s">
        <v>668</v>
      </c>
      <c r="J1163" s="188" t="s">
        <v>483</v>
      </c>
      <c r="K1163" s="188"/>
      <c r="L1163" s="188"/>
      <c r="M1163" s="189">
        <v>50</v>
      </c>
      <c r="N1163" s="190">
        <v>260</v>
      </c>
      <c r="O1163" s="191">
        <v>261</v>
      </c>
      <c r="P1163" s="192">
        <f t="shared" si="789"/>
        <v>3.9</v>
      </c>
      <c r="Q1163" s="192">
        <f t="shared" si="790"/>
        <v>3.92</v>
      </c>
      <c r="R1163" s="193">
        <f t="shared" si="685"/>
        <v>26050</v>
      </c>
      <c r="S1163" s="193">
        <f t="shared" si="686"/>
        <v>50</v>
      </c>
      <c r="T1163" s="193">
        <f t="shared" si="798"/>
        <v>7.82</v>
      </c>
      <c r="U1163" s="193">
        <f t="shared" si="707"/>
        <v>1.54</v>
      </c>
      <c r="V1163" s="193">
        <f t="shared" si="796"/>
        <v>3.26</v>
      </c>
      <c r="W1163" s="193">
        <f t="shared" si="735"/>
        <v>0.39</v>
      </c>
      <c r="X1163" s="193">
        <f>ROUND(R1163*G$1820,2)</f>
        <v>0.72</v>
      </c>
      <c r="Y1163" s="193">
        <f t="shared" si="758"/>
        <v>0.03</v>
      </c>
      <c r="Z1163" s="193">
        <f t="shared" si="692"/>
        <v>13.76</v>
      </c>
      <c r="AA1163" s="194">
        <f t="shared" si="693"/>
        <v>36.24</v>
      </c>
      <c r="AB1163" s="195">
        <v>36.03</v>
      </c>
      <c r="AC1163" s="196">
        <f t="shared" si="694"/>
        <v>-0.21000000000000085</v>
      </c>
      <c r="AD1163" s="197">
        <f t="shared" si="695"/>
        <v>3.8461538461538464E-3</v>
      </c>
      <c r="AE1163" s="198">
        <f t="shared" si="696"/>
        <v>5.2800000000000004E-4</v>
      </c>
      <c r="AF1163" s="193"/>
      <c r="AG1163" s="199" t="s">
        <v>416</v>
      </c>
      <c r="AH1163" s="124"/>
    </row>
    <row r="1164" spans="1:34" ht="12" hidden="1" customHeight="1">
      <c r="A1164" s="187">
        <v>44565</v>
      </c>
      <c r="B1164" s="188" t="s">
        <v>591</v>
      </c>
      <c r="C1164" s="188" t="s">
        <v>485</v>
      </c>
      <c r="D1164" s="188"/>
      <c r="E1164" s="188" t="str">
        <f t="shared" si="682"/>
        <v>VSSL</v>
      </c>
      <c r="F1164" s="188"/>
      <c r="G1164" s="188"/>
      <c r="H1164" s="188"/>
      <c r="I1164" s="188" t="s">
        <v>668</v>
      </c>
      <c r="J1164" s="188" t="s">
        <v>483</v>
      </c>
      <c r="K1164" s="188"/>
      <c r="L1164" s="188"/>
      <c r="M1164" s="189">
        <v>50</v>
      </c>
      <c r="N1164" s="190">
        <v>260</v>
      </c>
      <c r="O1164" s="191">
        <v>262</v>
      </c>
      <c r="P1164" s="192">
        <f t="shared" si="789"/>
        <v>3.9</v>
      </c>
      <c r="Q1164" s="192">
        <f t="shared" si="790"/>
        <v>3.93</v>
      </c>
      <c r="R1164" s="193">
        <f t="shared" si="685"/>
        <v>26100</v>
      </c>
      <c r="S1164" s="193">
        <f t="shared" si="686"/>
        <v>100</v>
      </c>
      <c r="T1164" s="193">
        <f t="shared" si="798"/>
        <v>7.83</v>
      </c>
      <c r="U1164" s="193">
        <f t="shared" si="707"/>
        <v>1.84</v>
      </c>
      <c r="V1164" s="193">
        <f t="shared" si="796"/>
        <v>3.28</v>
      </c>
      <c r="W1164" s="193">
        <f t="shared" si="735"/>
        <v>0.39</v>
      </c>
      <c r="X1164" s="193">
        <f>ROUND(R1164*H$1820,2)+1.5</f>
        <v>2.4</v>
      </c>
      <c r="Y1164" s="193">
        <f t="shared" si="758"/>
        <v>0.03</v>
      </c>
      <c r="Z1164" s="193">
        <f t="shared" si="692"/>
        <v>15.77</v>
      </c>
      <c r="AA1164" s="194">
        <f t="shared" si="693"/>
        <v>84.23</v>
      </c>
      <c r="AB1164" s="195">
        <f>84+0.74</f>
        <v>84.74</v>
      </c>
      <c r="AC1164" s="196">
        <f t="shared" si="694"/>
        <v>0.50999999999999091</v>
      </c>
      <c r="AD1164" s="197">
        <f t="shared" si="695"/>
        <v>7.6923076923076927E-3</v>
      </c>
      <c r="AE1164" s="198">
        <f t="shared" si="696"/>
        <v>6.0400000000000004E-4</v>
      </c>
      <c r="AF1164" s="193"/>
      <c r="AG1164" s="199" t="s">
        <v>416</v>
      </c>
      <c r="AH1164" s="124"/>
    </row>
    <row r="1165" spans="1:34" ht="12" hidden="1" customHeight="1">
      <c r="A1165" s="187">
        <v>44565</v>
      </c>
      <c r="B1165" s="188" t="s">
        <v>566</v>
      </c>
      <c r="C1165" s="188" t="s">
        <v>485</v>
      </c>
      <c r="D1165" s="188"/>
      <c r="E1165" s="188" t="str">
        <f t="shared" si="682"/>
        <v>NOCIL</v>
      </c>
      <c r="F1165" s="188"/>
      <c r="G1165" s="188"/>
      <c r="H1165" s="188"/>
      <c r="I1165" s="188" t="s">
        <v>668</v>
      </c>
      <c r="J1165" s="188" t="s">
        <v>483</v>
      </c>
      <c r="K1165" s="188"/>
      <c r="L1165" s="188"/>
      <c r="M1165" s="189">
        <v>100</v>
      </c>
      <c r="N1165" s="190">
        <v>245</v>
      </c>
      <c r="O1165" s="191">
        <v>245.375</v>
      </c>
      <c r="P1165" s="192">
        <f t="shared" si="789"/>
        <v>7.35</v>
      </c>
      <c r="Q1165" s="192">
        <f t="shared" si="790"/>
        <v>7.36</v>
      </c>
      <c r="R1165" s="193">
        <f t="shared" si="685"/>
        <v>49037.5</v>
      </c>
      <c r="S1165" s="193">
        <f t="shared" si="686"/>
        <v>37.5</v>
      </c>
      <c r="T1165" s="193">
        <f t="shared" si="798"/>
        <v>14.71</v>
      </c>
      <c r="U1165" s="193">
        <f t="shared" si="707"/>
        <v>2.95</v>
      </c>
      <c r="V1165" s="193">
        <f t="shared" si="796"/>
        <v>6.13</v>
      </c>
      <c r="W1165" s="193">
        <f t="shared" si="735"/>
        <v>0.74</v>
      </c>
      <c r="X1165" s="193">
        <f t="shared" ref="X1165:X1166" si="799">ROUND(R1165*H$1820,2)</f>
        <v>1.69</v>
      </c>
      <c r="Y1165" s="193">
        <f t="shared" si="758"/>
        <v>0.05</v>
      </c>
      <c r="Z1165" s="193">
        <f t="shared" si="692"/>
        <v>26.27</v>
      </c>
      <c r="AA1165" s="194">
        <f t="shared" si="693"/>
        <v>11.23</v>
      </c>
      <c r="AB1165" s="195">
        <v>11</v>
      </c>
      <c r="AC1165" s="196">
        <f t="shared" si="694"/>
        <v>-0.23000000000000043</v>
      </c>
      <c r="AD1165" s="197">
        <f t="shared" si="695"/>
        <v>1.5306122448979591E-3</v>
      </c>
      <c r="AE1165" s="198">
        <f t="shared" si="696"/>
        <v>5.3600000000000002E-4</v>
      </c>
      <c r="AF1165" s="193"/>
      <c r="AG1165" s="199" t="s">
        <v>416</v>
      </c>
      <c r="AH1165" s="124"/>
    </row>
    <row r="1166" spans="1:34" ht="12" hidden="1" customHeight="1">
      <c r="A1166" s="187">
        <v>44565</v>
      </c>
      <c r="B1166" s="188" t="s">
        <v>541</v>
      </c>
      <c r="C1166" s="188" t="s">
        <v>485</v>
      </c>
      <c r="D1166" s="188"/>
      <c r="E1166" s="188" t="str">
        <f t="shared" si="682"/>
        <v>GREAVESCOT</v>
      </c>
      <c r="F1166" s="188"/>
      <c r="G1166" s="188"/>
      <c r="H1166" s="188"/>
      <c r="I1166" s="188" t="s">
        <v>668</v>
      </c>
      <c r="J1166" s="188" t="s">
        <v>483</v>
      </c>
      <c r="K1166" s="188"/>
      <c r="L1166" s="188"/>
      <c r="M1166" s="189">
        <v>100</v>
      </c>
      <c r="N1166" s="190">
        <v>153</v>
      </c>
      <c r="O1166" s="191">
        <v>152.625</v>
      </c>
      <c r="P1166" s="192">
        <f t="shared" si="789"/>
        <v>4.59</v>
      </c>
      <c r="Q1166" s="192">
        <f t="shared" si="790"/>
        <v>4.58</v>
      </c>
      <c r="R1166" s="193">
        <f t="shared" si="685"/>
        <v>30562.5</v>
      </c>
      <c r="S1166" s="193">
        <f t="shared" si="686"/>
        <v>-37.5</v>
      </c>
      <c r="T1166" s="193">
        <f t="shared" si="798"/>
        <v>9.17</v>
      </c>
      <c r="U1166" s="193">
        <f t="shared" si="707"/>
        <v>1.84</v>
      </c>
      <c r="V1166" s="193">
        <f t="shared" si="796"/>
        <v>3.82</v>
      </c>
      <c r="W1166" s="193">
        <f t="shared" si="735"/>
        <v>0.46</v>
      </c>
      <c r="X1166" s="193">
        <f t="shared" si="799"/>
        <v>1.05</v>
      </c>
      <c r="Y1166" s="193">
        <f t="shared" si="758"/>
        <v>0.03</v>
      </c>
      <c r="Z1166" s="193">
        <f t="shared" si="692"/>
        <v>16.37</v>
      </c>
      <c r="AA1166" s="194">
        <f t="shared" si="693"/>
        <v>-53.87</v>
      </c>
      <c r="AB1166" s="195">
        <v>-54</v>
      </c>
      <c r="AC1166" s="196">
        <f t="shared" si="694"/>
        <v>-0.13000000000000256</v>
      </c>
      <c r="AD1166" s="197">
        <f t="shared" si="695"/>
        <v>-2.4509803921568627E-3</v>
      </c>
      <c r="AE1166" s="198">
        <f t="shared" si="696"/>
        <v>5.3600000000000002E-4</v>
      </c>
      <c r="AF1166" s="193"/>
      <c r="AG1166" s="199" t="s">
        <v>416</v>
      </c>
      <c r="AH1166" s="124"/>
    </row>
    <row r="1167" spans="1:34" ht="12" hidden="1" customHeight="1">
      <c r="A1167" s="187">
        <v>44565</v>
      </c>
      <c r="B1167" s="188" t="s">
        <v>589</v>
      </c>
      <c r="C1167" s="188" t="s">
        <v>460</v>
      </c>
      <c r="D1167" s="188"/>
      <c r="E1167" s="188" t="str">
        <f t="shared" si="682"/>
        <v>DCMSHRIRAM</v>
      </c>
      <c r="F1167" s="188"/>
      <c r="G1167" s="188"/>
      <c r="H1167" s="188"/>
      <c r="I1167" s="188" t="s">
        <v>668</v>
      </c>
      <c r="J1167" s="188" t="s">
        <v>483</v>
      </c>
      <c r="K1167" s="188"/>
      <c r="L1167" s="188"/>
      <c r="M1167" s="189">
        <v>190</v>
      </c>
      <c r="N1167" s="190">
        <v>997.10109999999997</v>
      </c>
      <c r="O1167" s="191">
        <v>1005.9852</v>
      </c>
      <c r="P1167" s="192">
        <f t="shared" si="789"/>
        <v>20</v>
      </c>
      <c r="Q1167" s="192">
        <f t="shared" si="790"/>
        <v>20</v>
      </c>
      <c r="R1167" s="193">
        <f t="shared" si="685"/>
        <v>380586.4</v>
      </c>
      <c r="S1167" s="193">
        <f t="shared" si="686"/>
        <v>1687.978999999998</v>
      </c>
      <c r="T1167" s="193">
        <v>87.64</v>
      </c>
      <c r="U1167" s="193">
        <f t="shared" si="707"/>
        <v>17.66</v>
      </c>
      <c r="V1167" s="193">
        <f>ROUND((O1167*M1167)*F$1818,2)-2</f>
        <v>45.78</v>
      </c>
      <c r="W1167" s="193">
        <f t="shared" si="735"/>
        <v>5.68</v>
      </c>
      <c r="X1167" s="193">
        <f>ROUND(R1167*G$1820,2)</f>
        <v>10.47</v>
      </c>
      <c r="Y1167" s="193">
        <f t="shared" si="758"/>
        <v>0.38</v>
      </c>
      <c r="Z1167" s="193">
        <f t="shared" si="692"/>
        <v>167.60999999999999</v>
      </c>
      <c r="AA1167" s="194">
        <f t="shared" si="693"/>
        <v>1520.37</v>
      </c>
      <c r="AB1167" s="195">
        <f>1498.3+21.41</f>
        <v>1519.71</v>
      </c>
      <c r="AC1167" s="196">
        <f t="shared" si="694"/>
        <v>-0.65999999999985448</v>
      </c>
      <c r="AD1167" s="197">
        <f t="shared" si="695"/>
        <v>8.9099289931582563E-3</v>
      </c>
      <c r="AE1167" s="198">
        <f t="shared" si="696"/>
        <v>4.4000000000000002E-4</v>
      </c>
      <c r="AF1167" s="193"/>
      <c r="AG1167" s="199" t="s">
        <v>416</v>
      </c>
      <c r="AH1167" s="124"/>
    </row>
    <row r="1168" spans="1:34" ht="12" hidden="1" customHeight="1">
      <c r="A1168" s="187">
        <v>44566</v>
      </c>
      <c r="B1168" s="188" t="s">
        <v>498</v>
      </c>
      <c r="C1168" s="188" t="s">
        <v>485</v>
      </c>
      <c r="D1168" s="188"/>
      <c r="E1168" s="188" t="str">
        <f t="shared" si="682"/>
        <v>BAJFINANCE</v>
      </c>
      <c r="F1168" s="188"/>
      <c r="G1168" s="188"/>
      <c r="H1168" s="188"/>
      <c r="I1168" s="188" t="s">
        <v>668</v>
      </c>
      <c r="J1168" s="188" t="s">
        <v>483</v>
      </c>
      <c r="K1168" s="188"/>
      <c r="L1168" s="188"/>
      <c r="M1168" s="189">
        <v>2</v>
      </c>
      <c r="N1168" s="190">
        <v>7670.2</v>
      </c>
      <c r="O1168" s="191">
        <v>7650</v>
      </c>
      <c r="P1168" s="192">
        <f t="shared" si="789"/>
        <v>4.5999999999999996</v>
      </c>
      <c r="Q1168" s="192">
        <f t="shared" si="790"/>
        <v>4.59</v>
      </c>
      <c r="R1168" s="193">
        <f t="shared" si="685"/>
        <v>30640.400000000001</v>
      </c>
      <c r="S1168" s="193">
        <f t="shared" si="686"/>
        <v>-40.399999999999636</v>
      </c>
      <c r="T1168" s="193">
        <f>ROUND(P1168+Q1168,2)</f>
        <v>9.19</v>
      </c>
      <c r="U1168" s="193">
        <f t="shared" si="707"/>
        <v>1.85</v>
      </c>
      <c r="V1168" s="193">
        <f>ROUND((O1168*M1168)*F$1818,2)</f>
        <v>3.83</v>
      </c>
      <c r="W1168" s="193">
        <f t="shared" si="735"/>
        <v>0.46</v>
      </c>
      <c r="X1168" s="193">
        <f>ROUND(R1168*H$1820,2)</f>
        <v>1.06</v>
      </c>
      <c r="Y1168" s="193">
        <f t="shared" si="758"/>
        <v>0.03</v>
      </c>
      <c r="Z1168" s="193">
        <f t="shared" si="692"/>
        <v>16.420000000000002</v>
      </c>
      <c r="AA1168" s="194">
        <f t="shared" si="693"/>
        <v>-56.82</v>
      </c>
      <c r="AB1168" s="195">
        <v>-55.95</v>
      </c>
      <c r="AC1168" s="196">
        <f t="shared" si="694"/>
        <v>0.86999999999999744</v>
      </c>
      <c r="AD1168" s="197">
        <f t="shared" si="695"/>
        <v>-2.6335688769523373E-3</v>
      </c>
      <c r="AE1168" s="198">
        <f t="shared" si="696"/>
        <v>5.3600000000000002E-4</v>
      </c>
      <c r="AF1168" s="193"/>
      <c r="AG1168" s="199" t="s">
        <v>416</v>
      </c>
      <c r="AH1168" s="124"/>
    </row>
    <row r="1169" spans="1:34" ht="12" hidden="1" customHeight="1">
      <c r="A1169" s="187">
        <v>44567</v>
      </c>
      <c r="B1169" s="188" t="s">
        <v>589</v>
      </c>
      <c r="C1169" s="188" t="s">
        <v>460</v>
      </c>
      <c r="D1169" s="188"/>
      <c r="E1169" s="188" t="str">
        <f t="shared" si="682"/>
        <v>DCMSHRIRAM</v>
      </c>
      <c r="F1169" s="188"/>
      <c r="G1169" s="188"/>
      <c r="H1169" s="188"/>
      <c r="I1169" s="188" t="s">
        <v>668</v>
      </c>
      <c r="J1169" s="188" t="s">
        <v>483</v>
      </c>
      <c r="K1169" s="188"/>
      <c r="L1169" s="188"/>
      <c r="M1169" s="189">
        <v>500</v>
      </c>
      <c r="N1169" s="190">
        <v>1025.2</v>
      </c>
      <c r="O1169" s="191">
        <v>1032.3009999999999</v>
      </c>
      <c r="P1169" s="192">
        <f t="shared" si="789"/>
        <v>20</v>
      </c>
      <c r="Q1169" s="192">
        <f t="shared" si="790"/>
        <v>20</v>
      </c>
      <c r="R1169" s="193">
        <f t="shared" si="685"/>
        <v>1028750.5</v>
      </c>
      <c r="S1169" s="193">
        <f t="shared" si="686"/>
        <v>3550.4999999999427</v>
      </c>
      <c r="T1169" s="193">
        <v>297.67</v>
      </c>
      <c r="U1169" s="193">
        <f t="shared" si="707"/>
        <v>58.67</v>
      </c>
      <c r="V1169" s="193">
        <f>ROUND((O1169*M1169)*F$1818,2)+3</f>
        <v>132.04</v>
      </c>
      <c r="W1169" s="193">
        <f t="shared" si="735"/>
        <v>15.38</v>
      </c>
      <c r="X1169" s="193">
        <f t="shared" ref="X1169:X1173" si="800">ROUND(R1169*G$1820,2)</f>
        <v>28.29</v>
      </c>
      <c r="Y1169" s="193">
        <f t="shared" si="758"/>
        <v>1.03</v>
      </c>
      <c r="Z1169" s="193">
        <f t="shared" si="692"/>
        <v>533.07999999999993</v>
      </c>
      <c r="AA1169" s="194">
        <f t="shared" si="693"/>
        <v>3017.42</v>
      </c>
      <c r="AB1169" s="195">
        <v>3017.38</v>
      </c>
      <c r="AC1169" s="196">
        <f t="shared" si="694"/>
        <v>-3.999999999996362E-2</v>
      </c>
      <c r="AD1169" s="197">
        <f t="shared" si="695"/>
        <v>6.926453374951117E-3</v>
      </c>
      <c r="AE1169" s="198">
        <f t="shared" si="696"/>
        <v>5.1800000000000001E-4</v>
      </c>
      <c r="AF1169" s="193"/>
      <c r="AG1169" s="199" t="s">
        <v>416</v>
      </c>
      <c r="AH1169" s="124"/>
    </row>
    <row r="1170" spans="1:34" ht="12" hidden="1" customHeight="1">
      <c r="A1170" s="187">
        <v>44567</v>
      </c>
      <c r="B1170" s="188" t="s">
        <v>496</v>
      </c>
      <c r="C1170" s="188" t="s">
        <v>485</v>
      </c>
      <c r="D1170" s="188"/>
      <c r="E1170" s="188" t="str">
        <f t="shared" si="682"/>
        <v>NATIONALUM</v>
      </c>
      <c r="F1170" s="188"/>
      <c r="G1170" s="188"/>
      <c r="H1170" s="188"/>
      <c r="I1170" s="188" t="s">
        <v>668</v>
      </c>
      <c r="J1170" s="188" t="s">
        <v>483</v>
      </c>
      <c r="K1170" s="188"/>
      <c r="L1170" s="188"/>
      <c r="M1170" s="189">
        <v>50</v>
      </c>
      <c r="N1170" s="190">
        <v>105</v>
      </c>
      <c r="O1170" s="191">
        <v>106</v>
      </c>
      <c r="P1170" s="192">
        <f t="shared" si="789"/>
        <v>1.58</v>
      </c>
      <c r="Q1170" s="192">
        <f t="shared" si="790"/>
        <v>1.59</v>
      </c>
      <c r="R1170" s="193">
        <f t="shared" si="685"/>
        <v>10550</v>
      </c>
      <c r="S1170" s="193">
        <f t="shared" si="686"/>
        <v>50</v>
      </c>
      <c r="T1170" s="193">
        <f>ROUND(P1170+Q1170,2)</f>
        <v>3.17</v>
      </c>
      <c r="U1170" s="193">
        <f t="shared" si="707"/>
        <v>0.62</v>
      </c>
      <c r="V1170" s="193">
        <f t="shared" ref="V1170:V1178" si="801">ROUND((O1170*M1170)*F$1818,2)</f>
        <v>1.33</v>
      </c>
      <c r="W1170" s="193">
        <f t="shared" si="735"/>
        <v>0.16</v>
      </c>
      <c r="X1170" s="193">
        <f t="shared" si="800"/>
        <v>0.28999999999999998</v>
      </c>
      <c r="Y1170" s="193">
        <f t="shared" si="758"/>
        <v>0.01</v>
      </c>
      <c r="Z1170" s="193">
        <f t="shared" si="692"/>
        <v>5.58</v>
      </c>
      <c r="AA1170" s="194">
        <f t="shared" si="693"/>
        <v>44.42</v>
      </c>
      <c r="AB1170" s="195">
        <v>44.83</v>
      </c>
      <c r="AC1170" s="196">
        <f t="shared" si="694"/>
        <v>0.40999999999999659</v>
      </c>
      <c r="AD1170" s="197">
        <f t="shared" si="695"/>
        <v>9.5238095238095247E-3</v>
      </c>
      <c r="AE1170" s="198">
        <f t="shared" si="696"/>
        <v>5.2899999999999996E-4</v>
      </c>
      <c r="AF1170" s="193"/>
      <c r="AG1170" s="199" t="s">
        <v>416</v>
      </c>
      <c r="AH1170" s="124"/>
    </row>
    <row r="1171" spans="1:34" ht="12" hidden="1" customHeight="1">
      <c r="A1171" s="187">
        <v>44568</v>
      </c>
      <c r="B1171" s="188" t="s">
        <v>589</v>
      </c>
      <c r="C1171" s="188" t="s">
        <v>460</v>
      </c>
      <c r="D1171" s="188"/>
      <c r="E1171" s="188" t="str">
        <f t="shared" si="682"/>
        <v>DCMSHRIRAM</v>
      </c>
      <c r="F1171" s="188"/>
      <c r="G1171" s="188"/>
      <c r="H1171" s="188"/>
      <c r="I1171" s="188" t="s">
        <v>668</v>
      </c>
      <c r="J1171" s="188" t="s">
        <v>483</v>
      </c>
      <c r="K1171" s="188"/>
      <c r="L1171" s="188"/>
      <c r="M1171" s="189">
        <v>175</v>
      </c>
      <c r="N1171" s="190">
        <v>994.42859999999996</v>
      </c>
      <c r="O1171" s="191">
        <v>998.71429999999998</v>
      </c>
      <c r="P1171" s="192">
        <f t="shared" si="789"/>
        <v>20</v>
      </c>
      <c r="Q1171" s="192">
        <f t="shared" si="790"/>
        <v>20</v>
      </c>
      <c r="R1171" s="193">
        <f t="shared" si="685"/>
        <v>348800.01</v>
      </c>
      <c r="S1171" s="193">
        <f t="shared" si="686"/>
        <v>749.99750000000347</v>
      </c>
      <c r="T1171" s="193">
        <v>104.65</v>
      </c>
      <c r="U1171" s="193">
        <f t="shared" si="707"/>
        <v>20.56</v>
      </c>
      <c r="V1171" s="193">
        <f t="shared" si="801"/>
        <v>43.69</v>
      </c>
      <c r="W1171" s="193">
        <f t="shared" si="735"/>
        <v>5.22</v>
      </c>
      <c r="X1171" s="193">
        <f t="shared" si="800"/>
        <v>9.59</v>
      </c>
      <c r="Y1171" s="193">
        <f t="shared" si="758"/>
        <v>0.35</v>
      </c>
      <c r="Z1171" s="193">
        <f t="shared" si="692"/>
        <v>184.06</v>
      </c>
      <c r="AA1171" s="194">
        <f t="shared" si="693"/>
        <v>565.94000000000005</v>
      </c>
      <c r="AB1171" s="195">
        <v>566.16999999999996</v>
      </c>
      <c r="AC1171" s="196">
        <f t="shared" si="694"/>
        <v>0.2299999999999045</v>
      </c>
      <c r="AD1171" s="197">
        <f t="shared" si="695"/>
        <v>4.3097111245593905E-3</v>
      </c>
      <c r="AE1171" s="198">
        <f t="shared" si="696"/>
        <v>5.2800000000000004E-4</v>
      </c>
      <c r="AF1171" s="193"/>
      <c r="AG1171" s="199" t="s">
        <v>416</v>
      </c>
      <c r="AH1171" s="124"/>
    </row>
    <row r="1172" spans="1:34" ht="12" hidden="1" customHeight="1">
      <c r="A1172" s="187">
        <v>44568</v>
      </c>
      <c r="B1172" s="188" t="s">
        <v>496</v>
      </c>
      <c r="C1172" s="188" t="s">
        <v>485</v>
      </c>
      <c r="D1172" s="188"/>
      <c r="E1172" s="188" t="str">
        <f t="shared" si="682"/>
        <v>NATIONALUM</v>
      </c>
      <c r="F1172" s="188"/>
      <c r="G1172" s="188"/>
      <c r="H1172" s="188"/>
      <c r="I1172" s="188" t="s">
        <v>668</v>
      </c>
      <c r="J1172" s="188" t="s">
        <v>483</v>
      </c>
      <c r="K1172" s="188"/>
      <c r="L1172" s="188"/>
      <c r="M1172" s="189">
        <v>100</v>
      </c>
      <c r="N1172" s="190">
        <v>111.2</v>
      </c>
      <c r="O1172" s="191">
        <v>107.35</v>
      </c>
      <c r="P1172" s="192">
        <f t="shared" si="789"/>
        <v>3.34</v>
      </c>
      <c r="Q1172" s="192">
        <f t="shared" si="790"/>
        <v>3.22</v>
      </c>
      <c r="R1172" s="193">
        <f t="shared" si="685"/>
        <v>21855</v>
      </c>
      <c r="S1172" s="193">
        <f t="shared" si="686"/>
        <v>-385.00000000000085</v>
      </c>
      <c r="T1172" s="193">
        <f t="shared" ref="T1172:T1174" si="802">ROUND(P1172+Q1172,2)</f>
        <v>6.56</v>
      </c>
      <c r="U1172" s="193">
        <f t="shared" si="707"/>
        <v>1.29</v>
      </c>
      <c r="V1172" s="193">
        <f t="shared" si="801"/>
        <v>2.68</v>
      </c>
      <c r="W1172" s="193">
        <f t="shared" si="735"/>
        <v>0.33</v>
      </c>
      <c r="X1172" s="193">
        <f t="shared" si="800"/>
        <v>0.6</v>
      </c>
      <c r="Y1172" s="193">
        <f t="shared" si="758"/>
        <v>0.02</v>
      </c>
      <c r="Z1172" s="193">
        <f t="shared" si="692"/>
        <v>11.479999999999999</v>
      </c>
      <c r="AA1172" s="194">
        <f t="shared" si="693"/>
        <v>-396.48</v>
      </c>
      <c r="AB1172" s="195">
        <f>-396+0.17</f>
        <v>-395.83</v>
      </c>
      <c r="AC1172" s="196">
        <f t="shared" si="694"/>
        <v>0.65000000000003411</v>
      </c>
      <c r="AD1172" s="197">
        <f t="shared" si="695"/>
        <v>-3.4622302158273457E-2</v>
      </c>
      <c r="AE1172" s="198">
        <f t="shared" si="696"/>
        <v>5.2499999999999997E-4</v>
      </c>
      <c r="AF1172" s="193"/>
      <c r="AG1172" s="199" t="s">
        <v>416</v>
      </c>
      <c r="AH1172" s="124"/>
    </row>
    <row r="1173" spans="1:34" ht="12" hidden="1" customHeight="1">
      <c r="A1173" s="187">
        <v>44568</v>
      </c>
      <c r="B1173" s="188" t="s">
        <v>587</v>
      </c>
      <c r="C1173" s="188" t="s">
        <v>485</v>
      </c>
      <c r="D1173" s="188"/>
      <c r="E1173" s="188" t="str">
        <f t="shared" si="682"/>
        <v>AARTIIND</v>
      </c>
      <c r="F1173" s="188"/>
      <c r="G1173" s="188"/>
      <c r="H1173" s="188"/>
      <c r="I1173" s="188" t="s">
        <v>668</v>
      </c>
      <c r="J1173" s="188" t="s">
        <v>483</v>
      </c>
      <c r="K1173" s="188"/>
      <c r="L1173" s="188"/>
      <c r="M1173" s="189">
        <v>20</v>
      </c>
      <c r="N1173" s="190">
        <v>1025</v>
      </c>
      <c r="O1173" s="191">
        <v>1029</v>
      </c>
      <c r="P1173" s="192">
        <f t="shared" si="789"/>
        <v>6.15</v>
      </c>
      <c r="Q1173" s="192">
        <f t="shared" si="790"/>
        <v>6.17</v>
      </c>
      <c r="R1173" s="193">
        <f t="shared" si="685"/>
        <v>41080</v>
      </c>
      <c r="S1173" s="193">
        <f t="shared" si="686"/>
        <v>80</v>
      </c>
      <c r="T1173" s="193">
        <f t="shared" si="802"/>
        <v>12.32</v>
      </c>
      <c r="U1173" s="193">
        <f t="shared" si="707"/>
        <v>2.42</v>
      </c>
      <c r="V1173" s="193">
        <f t="shared" si="801"/>
        <v>5.15</v>
      </c>
      <c r="W1173" s="193">
        <f t="shared" si="735"/>
        <v>0.62</v>
      </c>
      <c r="X1173" s="193">
        <f t="shared" si="800"/>
        <v>1.1299999999999999</v>
      </c>
      <c r="Y1173" s="193">
        <f t="shared" si="758"/>
        <v>0.04</v>
      </c>
      <c r="Z1173" s="193">
        <f t="shared" si="692"/>
        <v>21.68</v>
      </c>
      <c r="AA1173" s="194">
        <f t="shared" si="693"/>
        <v>58.32</v>
      </c>
      <c r="AB1173" s="195">
        <v>58</v>
      </c>
      <c r="AC1173" s="196">
        <f t="shared" si="694"/>
        <v>-0.32000000000000028</v>
      </c>
      <c r="AD1173" s="197">
        <f t="shared" si="695"/>
        <v>3.9024390243902439E-3</v>
      </c>
      <c r="AE1173" s="198">
        <f t="shared" si="696"/>
        <v>5.2800000000000004E-4</v>
      </c>
      <c r="AF1173" s="193"/>
      <c r="AG1173" s="199" t="s">
        <v>416</v>
      </c>
      <c r="AH1173" s="124"/>
    </row>
    <row r="1174" spans="1:34" ht="12" hidden="1" customHeight="1">
      <c r="A1174" s="187">
        <v>44568</v>
      </c>
      <c r="B1174" s="188" t="s">
        <v>566</v>
      </c>
      <c r="C1174" s="188" t="s">
        <v>485</v>
      </c>
      <c r="D1174" s="188"/>
      <c r="E1174" s="188" t="str">
        <f t="shared" si="682"/>
        <v>NOCIL</v>
      </c>
      <c r="F1174" s="188"/>
      <c r="G1174" s="188"/>
      <c r="H1174" s="188"/>
      <c r="I1174" s="188" t="s">
        <v>668</v>
      </c>
      <c r="J1174" s="188" t="s">
        <v>483</v>
      </c>
      <c r="K1174" s="188"/>
      <c r="L1174" s="188"/>
      <c r="M1174" s="189">
        <v>50</v>
      </c>
      <c r="N1174" s="190">
        <v>255</v>
      </c>
      <c r="O1174" s="191">
        <v>257</v>
      </c>
      <c r="P1174" s="192">
        <f t="shared" si="789"/>
        <v>3.83</v>
      </c>
      <c r="Q1174" s="192">
        <f t="shared" si="790"/>
        <v>3.86</v>
      </c>
      <c r="R1174" s="193">
        <f t="shared" si="685"/>
        <v>25600</v>
      </c>
      <c r="S1174" s="193">
        <f t="shared" si="686"/>
        <v>100</v>
      </c>
      <c r="T1174" s="193">
        <f t="shared" si="802"/>
        <v>7.69</v>
      </c>
      <c r="U1174" s="193">
        <f t="shared" si="707"/>
        <v>1.54</v>
      </c>
      <c r="V1174" s="193">
        <f t="shared" si="801"/>
        <v>3.21</v>
      </c>
      <c r="W1174" s="193">
        <f t="shared" si="735"/>
        <v>0.38</v>
      </c>
      <c r="X1174" s="193">
        <f>ROUND(R1174*H$1820,2)</f>
        <v>0.88</v>
      </c>
      <c r="Y1174" s="193">
        <f t="shared" si="758"/>
        <v>0.03</v>
      </c>
      <c r="Z1174" s="193">
        <f t="shared" si="692"/>
        <v>13.730000000000002</v>
      </c>
      <c r="AA1174" s="194">
        <f t="shared" si="693"/>
        <v>86.27</v>
      </c>
      <c r="AB1174" s="195">
        <v>86</v>
      </c>
      <c r="AC1174" s="196">
        <f t="shared" si="694"/>
        <v>-0.26999999999999602</v>
      </c>
      <c r="AD1174" s="197">
        <f t="shared" si="695"/>
        <v>7.8431372549019607E-3</v>
      </c>
      <c r="AE1174" s="198">
        <f t="shared" si="696"/>
        <v>5.3600000000000002E-4</v>
      </c>
      <c r="AF1174" s="193"/>
      <c r="AG1174" s="199" t="s">
        <v>416</v>
      </c>
      <c r="AH1174" s="124"/>
    </row>
    <row r="1175" spans="1:34" ht="12" hidden="1" customHeight="1">
      <c r="A1175" s="187">
        <v>44571</v>
      </c>
      <c r="B1175" s="188" t="s">
        <v>589</v>
      </c>
      <c r="C1175" s="188" t="s">
        <v>460</v>
      </c>
      <c r="D1175" s="188"/>
      <c r="E1175" s="188" t="str">
        <f t="shared" si="682"/>
        <v>DCMSHRIRAM</v>
      </c>
      <c r="F1175" s="188"/>
      <c r="G1175" s="188"/>
      <c r="H1175" s="188"/>
      <c r="I1175" s="188" t="s">
        <v>668</v>
      </c>
      <c r="J1175" s="188" t="s">
        <v>483</v>
      </c>
      <c r="K1175" s="188"/>
      <c r="L1175" s="188"/>
      <c r="M1175" s="189">
        <v>78</v>
      </c>
      <c r="N1175" s="190">
        <v>1001.6744</v>
      </c>
      <c r="O1175" s="191">
        <v>1006.2885</v>
      </c>
      <c r="P1175" s="192">
        <f t="shared" si="789"/>
        <v>20</v>
      </c>
      <c r="Q1175" s="192">
        <f t="shared" si="790"/>
        <v>20</v>
      </c>
      <c r="R1175" s="193">
        <f t="shared" si="685"/>
        <v>156621.10999999999</v>
      </c>
      <c r="S1175" s="193">
        <f t="shared" si="686"/>
        <v>359.8998000000006</v>
      </c>
      <c r="T1175" s="193">
        <v>61.14</v>
      </c>
      <c r="U1175" s="193">
        <f t="shared" si="707"/>
        <v>11.78</v>
      </c>
      <c r="V1175" s="193">
        <f t="shared" si="801"/>
        <v>19.62</v>
      </c>
      <c r="W1175" s="193">
        <f t="shared" si="735"/>
        <v>2.34</v>
      </c>
      <c r="X1175" s="193">
        <f t="shared" ref="X1175:X1178" si="803">ROUND(R1175*G$1820,2)</f>
        <v>4.3099999999999996</v>
      </c>
      <c r="Y1175" s="193">
        <f t="shared" si="758"/>
        <v>0.16</v>
      </c>
      <c r="Z1175" s="193">
        <f t="shared" si="692"/>
        <v>99.350000000000009</v>
      </c>
      <c r="AA1175" s="194">
        <f t="shared" si="693"/>
        <v>260.55</v>
      </c>
      <c r="AB1175" s="195">
        <v>259.83</v>
      </c>
      <c r="AC1175" s="196">
        <f t="shared" si="694"/>
        <v>-0.72000000000002728</v>
      </c>
      <c r="AD1175" s="197">
        <f t="shared" si="695"/>
        <v>4.6063870654975388E-3</v>
      </c>
      <c r="AE1175" s="198">
        <f t="shared" si="696"/>
        <v>6.3400000000000001E-4</v>
      </c>
      <c r="AF1175" s="193"/>
      <c r="AG1175" s="199" t="s">
        <v>416</v>
      </c>
      <c r="AH1175" s="124"/>
    </row>
    <row r="1176" spans="1:34" ht="12" hidden="1" customHeight="1">
      <c r="A1176" s="187">
        <v>44571</v>
      </c>
      <c r="B1176" s="188" t="s">
        <v>584</v>
      </c>
      <c r="C1176" s="188" t="s">
        <v>485</v>
      </c>
      <c r="D1176" s="188"/>
      <c r="E1176" s="188" t="str">
        <f t="shared" si="682"/>
        <v>IBREALEST</v>
      </c>
      <c r="F1176" s="188"/>
      <c r="G1176" s="188"/>
      <c r="H1176" s="188"/>
      <c r="I1176" s="188" t="s">
        <v>668</v>
      </c>
      <c r="J1176" s="188" t="s">
        <v>483</v>
      </c>
      <c r="K1176" s="188"/>
      <c r="L1176" s="188"/>
      <c r="M1176" s="189">
        <v>100</v>
      </c>
      <c r="N1176" s="190">
        <v>168</v>
      </c>
      <c r="O1176" s="191">
        <v>168.3</v>
      </c>
      <c r="P1176" s="192">
        <f t="shared" si="789"/>
        <v>5.04</v>
      </c>
      <c r="Q1176" s="192">
        <f t="shared" si="790"/>
        <v>5.05</v>
      </c>
      <c r="R1176" s="193">
        <f t="shared" si="685"/>
        <v>33630</v>
      </c>
      <c r="S1176" s="193">
        <f t="shared" si="686"/>
        <v>30.000000000001137</v>
      </c>
      <c r="T1176" s="193">
        <f t="shared" ref="T1176:T1178" si="804">ROUND(P1176+Q1176,2)</f>
        <v>10.09</v>
      </c>
      <c r="U1176" s="193">
        <f t="shared" si="707"/>
        <v>1.98</v>
      </c>
      <c r="V1176" s="193">
        <f t="shared" si="801"/>
        <v>4.21</v>
      </c>
      <c r="W1176" s="193">
        <f t="shared" si="735"/>
        <v>0.5</v>
      </c>
      <c r="X1176" s="193">
        <f t="shared" si="803"/>
        <v>0.92</v>
      </c>
      <c r="Y1176" s="193">
        <f t="shared" si="758"/>
        <v>0.03</v>
      </c>
      <c r="Z1176" s="193">
        <f t="shared" si="692"/>
        <v>17.730000000000004</v>
      </c>
      <c r="AA1176" s="194">
        <f t="shared" si="693"/>
        <v>12.27</v>
      </c>
      <c r="AB1176" s="195">
        <f>12-0.37</f>
        <v>11.63</v>
      </c>
      <c r="AC1176" s="196">
        <f t="shared" si="694"/>
        <v>-0.63999999999999879</v>
      </c>
      <c r="AD1176" s="197">
        <f t="shared" si="695"/>
        <v>1.7857142857143533E-3</v>
      </c>
      <c r="AE1176" s="198">
        <f t="shared" si="696"/>
        <v>5.2700000000000002E-4</v>
      </c>
      <c r="AF1176" s="193"/>
      <c r="AG1176" s="199" t="s">
        <v>416</v>
      </c>
      <c r="AH1176" s="124"/>
    </row>
    <row r="1177" spans="1:34" ht="12" hidden="1" customHeight="1">
      <c r="A1177" s="187">
        <v>44571</v>
      </c>
      <c r="B1177" s="188" t="s">
        <v>723</v>
      </c>
      <c r="C1177" s="188" t="s">
        <v>485</v>
      </c>
      <c r="D1177" s="188"/>
      <c r="E1177" s="188" t="str">
        <f t="shared" si="682"/>
        <v>ISEC</v>
      </c>
      <c r="F1177" s="188"/>
      <c r="G1177" s="188"/>
      <c r="H1177" s="188"/>
      <c r="I1177" s="188" t="s">
        <v>668</v>
      </c>
      <c r="J1177" s="188" t="s">
        <v>483</v>
      </c>
      <c r="K1177" s="188"/>
      <c r="L1177" s="188"/>
      <c r="M1177" s="189">
        <v>50</v>
      </c>
      <c r="N1177" s="190">
        <v>781</v>
      </c>
      <c r="O1177" s="191">
        <v>785</v>
      </c>
      <c r="P1177" s="192">
        <f t="shared" si="789"/>
        <v>11.72</v>
      </c>
      <c r="Q1177" s="192">
        <f t="shared" si="790"/>
        <v>11.78</v>
      </c>
      <c r="R1177" s="193">
        <f t="shared" si="685"/>
        <v>78300</v>
      </c>
      <c r="S1177" s="193">
        <f t="shared" si="686"/>
        <v>200</v>
      </c>
      <c r="T1177" s="193">
        <f t="shared" si="804"/>
        <v>23.5</v>
      </c>
      <c r="U1177" s="193">
        <f t="shared" si="707"/>
        <v>4.62</v>
      </c>
      <c r="V1177" s="193">
        <f t="shared" si="801"/>
        <v>9.81</v>
      </c>
      <c r="W1177" s="193">
        <f t="shared" si="735"/>
        <v>1.17</v>
      </c>
      <c r="X1177" s="193">
        <f t="shared" si="803"/>
        <v>2.15</v>
      </c>
      <c r="Y1177" s="193">
        <f t="shared" si="758"/>
        <v>0.08</v>
      </c>
      <c r="Z1177" s="193">
        <f t="shared" si="692"/>
        <v>41.33</v>
      </c>
      <c r="AA1177" s="194">
        <f t="shared" si="693"/>
        <v>158.66999999999999</v>
      </c>
      <c r="AB1177" s="195">
        <v>159</v>
      </c>
      <c r="AC1177" s="196">
        <f t="shared" si="694"/>
        <v>0.33000000000001251</v>
      </c>
      <c r="AD1177" s="197">
        <f t="shared" si="695"/>
        <v>5.1216389244558257E-3</v>
      </c>
      <c r="AE1177" s="198">
        <f t="shared" si="696"/>
        <v>5.2800000000000004E-4</v>
      </c>
      <c r="AF1177" s="193"/>
      <c r="AG1177" s="199" t="s">
        <v>416</v>
      </c>
      <c r="AH1177" s="124"/>
    </row>
    <row r="1178" spans="1:34" ht="12" hidden="1" customHeight="1">
      <c r="A1178" s="187">
        <v>44572</v>
      </c>
      <c r="B1178" s="188" t="s">
        <v>589</v>
      </c>
      <c r="C1178" s="188" t="s">
        <v>460</v>
      </c>
      <c r="D1178" s="188"/>
      <c r="E1178" s="188" t="str">
        <f t="shared" si="682"/>
        <v>DCMSHRIRAM</v>
      </c>
      <c r="F1178" s="188"/>
      <c r="G1178" s="188"/>
      <c r="H1178" s="188"/>
      <c r="I1178" s="188" t="s">
        <v>668</v>
      </c>
      <c r="J1178" s="188" t="s">
        <v>483</v>
      </c>
      <c r="K1178" s="188"/>
      <c r="L1178" s="188"/>
      <c r="M1178" s="189">
        <v>25</v>
      </c>
      <c r="N1178" s="190">
        <v>998</v>
      </c>
      <c r="O1178" s="191">
        <v>1002.5</v>
      </c>
      <c r="P1178" s="192">
        <f t="shared" si="789"/>
        <v>7.49</v>
      </c>
      <c r="Q1178" s="192">
        <f t="shared" si="790"/>
        <v>7.52</v>
      </c>
      <c r="R1178" s="193">
        <f t="shared" si="685"/>
        <v>50012.5</v>
      </c>
      <c r="S1178" s="193">
        <f t="shared" si="686"/>
        <v>112.5</v>
      </c>
      <c r="T1178" s="193">
        <f t="shared" si="804"/>
        <v>15.01</v>
      </c>
      <c r="U1178" s="193">
        <f t="shared" si="707"/>
        <v>2.95</v>
      </c>
      <c r="V1178" s="193">
        <f t="shared" si="801"/>
        <v>6.27</v>
      </c>
      <c r="W1178" s="193">
        <f t="shared" si="735"/>
        <v>0.75</v>
      </c>
      <c r="X1178" s="193">
        <f t="shared" si="803"/>
        <v>1.38</v>
      </c>
      <c r="Y1178" s="193">
        <f t="shared" si="758"/>
        <v>0.05</v>
      </c>
      <c r="Z1178" s="193">
        <f t="shared" si="692"/>
        <v>26.41</v>
      </c>
      <c r="AA1178" s="194">
        <f t="shared" si="693"/>
        <v>86.09</v>
      </c>
      <c r="AB1178" s="195">
        <v>86.12</v>
      </c>
      <c r="AC1178" s="196">
        <f t="shared" si="694"/>
        <v>3.0000000000001137E-2</v>
      </c>
      <c r="AD1178" s="197">
        <f t="shared" si="695"/>
        <v>4.5090180360721445E-3</v>
      </c>
      <c r="AE1178" s="198">
        <f t="shared" si="696"/>
        <v>5.2800000000000004E-4</v>
      </c>
      <c r="AF1178" s="193"/>
      <c r="AG1178" s="199" t="s">
        <v>416</v>
      </c>
      <c r="AH1178" s="124"/>
    </row>
    <row r="1179" spans="1:34" ht="12" hidden="1" customHeight="1">
      <c r="A1179" s="187">
        <v>44572</v>
      </c>
      <c r="B1179" s="188" t="s">
        <v>521</v>
      </c>
      <c r="C1179" s="188" t="s">
        <v>485</v>
      </c>
      <c r="D1179" s="188"/>
      <c r="E1179" s="188" t="str">
        <f t="shared" si="682"/>
        <v>IDEA</v>
      </c>
      <c r="F1179" s="188"/>
      <c r="G1179" s="188"/>
      <c r="H1179" s="188"/>
      <c r="I1179" s="188" t="s">
        <v>668</v>
      </c>
      <c r="J1179" s="188" t="s">
        <v>483</v>
      </c>
      <c r="K1179" s="188"/>
      <c r="L1179" s="188"/>
      <c r="M1179" s="189">
        <v>5000</v>
      </c>
      <c r="N1179" s="190">
        <v>12.18</v>
      </c>
      <c r="O1179" s="191">
        <v>12.31</v>
      </c>
      <c r="P1179" s="192">
        <f t="shared" si="789"/>
        <v>18.27</v>
      </c>
      <c r="Q1179" s="192">
        <f t="shared" si="790"/>
        <v>18.47</v>
      </c>
      <c r="R1179" s="193">
        <f t="shared" si="685"/>
        <v>122450</v>
      </c>
      <c r="S1179" s="193">
        <f t="shared" si="686"/>
        <v>650.00000000000387</v>
      </c>
      <c r="T1179" s="193">
        <v>37.78</v>
      </c>
      <c r="U1179" s="193">
        <f t="shared" si="707"/>
        <v>7.56</v>
      </c>
      <c r="V1179" s="193">
        <f>ROUND((O1179*M1179)*F$1818,2)-1.6</f>
        <v>13.790000000000001</v>
      </c>
      <c r="W1179" s="193">
        <f t="shared" si="735"/>
        <v>1.83</v>
      </c>
      <c r="X1179" s="193">
        <f t="shared" ref="X1179:X1180" si="805">ROUND(R1179*H$1820,2)</f>
        <v>4.22</v>
      </c>
      <c r="Y1179" s="193">
        <f t="shared" si="758"/>
        <v>0.12</v>
      </c>
      <c r="Z1179" s="193">
        <f t="shared" si="692"/>
        <v>65.300000000000011</v>
      </c>
      <c r="AA1179" s="194">
        <f t="shared" si="693"/>
        <v>584.70000000000005</v>
      </c>
      <c r="AB1179" s="195">
        <f>585+0.83</f>
        <v>585.83000000000004</v>
      </c>
      <c r="AC1179" s="196">
        <f t="shared" si="694"/>
        <v>1.1299999999999955</v>
      </c>
      <c r="AD1179" s="197">
        <f t="shared" si="695"/>
        <v>1.0673234811165911E-2</v>
      </c>
      <c r="AE1179" s="198">
        <f t="shared" si="696"/>
        <v>5.3300000000000005E-4</v>
      </c>
      <c r="AF1179" s="193"/>
      <c r="AG1179" s="199" t="s">
        <v>416</v>
      </c>
      <c r="AH1179" s="124"/>
    </row>
    <row r="1180" spans="1:34" ht="12" hidden="1" customHeight="1">
      <c r="A1180" s="187">
        <v>44572</v>
      </c>
      <c r="B1180" s="188" t="s">
        <v>591</v>
      </c>
      <c r="C1180" s="188" t="s">
        <v>485</v>
      </c>
      <c r="D1180" s="188"/>
      <c r="E1180" s="188" t="str">
        <f t="shared" si="682"/>
        <v>VSSL</v>
      </c>
      <c r="F1180" s="188"/>
      <c r="G1180" s="188"/>
      <c r="H1180" s="188"/>
      <c r="I1180" s="188" t="s">
        <v>668</v>
      </c>
      <c r="J1180" s="188" t="s">
        <v>483</v>
      </c>
      <c r="K1180" s="188"/>
      <c r="L1180" s="188"/>
      <c r="M1180" s="189">
        <v>50</v>
      </c>
      <c r="N1180" s="190">
        <v>262.75</v>
      </c>
      <c r="O1180" s="191">
        <v>263.5</v>
      </c>
      <c r="P1180" s="192">
        <f t="shared" si="789"/>
        <v>3.94</v>
      </c>
      <c r="Q1180" s="192">
        <f t="shared" si="790"/>
        <v>3.95</v>
      </c>
      <c r="R1180" s="193">
        <f t="shared" si="685"/>
        <v>26312.5</v>
      </c>
      <c r="S1180" s="193">
        <f t="shared" si="686"/>
        <v>37.5</v>
      </c>
      <c r="T1180" s="193">
        <f t="shared" ref="T1180:T1182" si="806">ROUND(P1180+Q1180,2)</f>
        <v>7.89</v>
      </c>
      <c r="U1180" s="193">
        <f t="shared" si="707"/>
        <v>1.58</v>
      </c>
      <c r="V1180" s="193">
        <f t="shared" ref="V1180:V1200" si="807">ROUND((O1180*M1180)*F$1818,2)</f>
        <v>3.29</v>
      </c>
      <c r="W1180" s="193">
        <f t="shared" si="735"/>
        <v>0.39</v>
      </c>
      <c r="X1180" s="193">
        <f t="shared" si="805"/>
        <v>0.91</v>
      </c>
      <c r="Y1180" s="193">
        <f t="shared" si="758"/>
        <v>0.03</v>
      </c>
      <c r="Z1180" s="193">
        <f t="shared" si="692"/>
        <v>14.089999999999998</v>
      </c>
      <c r="AA1180" s="194">
        <f t="shared" si="693"/>
        <v>23.41</v>
      </c>
      <c r="AB1180" s="195">
        <v>23</v>
      </c>
      <c r="AC1180" s="196">
        <f t="shared" si="694"/>
        <v>-0.41000000000000014</v>
      </c>
      <c r="AD1180" s="197">
        <f t="shared" si="695"/>
        <v>2.8544243577545195E-3</v>
      </c>
      <c r="AE1180" s="198">
        <f t="shared" si="696"/>
        <v>5.3499999999999999E-4</v>
      </c>
      <c r="AF1180" s="193"/>
      <c r="AG1180" s="199" t="s">
        <v>416</v>
      </c>
      <c r="AH1180" s="124"/>
    </row>
    <row r="1181" spans="1:34" ht="12" hidden="1" customHeight="1">
      <c r="A1181" s="187">
        <v>44572</v>
      </c>
      <c r="B1181" s="188" t="s">
        <v>724</v>
      </c>
      <c r="C1181" s="188" t="s">
        <v>485</v>
      </c>
      <c r="D1181" s="188"/>
      <c r="E1181" s="188" t="str">
        <f t="shared" si="682"/>
        <v>ABCAPITAL</v>
      </c>
      <c r="F1181" s="188"/>
      <c r="G1181" s="188"/>
      <c r="H1181" s="188"/>
      <c r="I1181" s="188" t="s">
        <v>668</v>
      </c>
      <c r="J1181" s="188" t="s">
        <v>483</v>
      </c>
      <c r="K1181" s="188"/>
      <c r="L1181" s="188"/>
      <c r="M1181" s="189">
        <v>100</v>
      </c>
      <c r="N1181" s="190">
        <v>136</v>
      </c>
      <c r="O1181" s="191">
        <v>139</v>
      </c>
      <c r="P1181" s="192">
        <f t="shared" si="789"/>
        <v>4.08</v>
      </c>
      <c r="Q1181" s="192">
        <f t="shared" si="790"/>
        <v>4.17</v>
      </c>
      <c r="R1181" s="193">
        <f t="shared" si="685"/>
        <v>27500</v>
      </c>
      <c r="S1181" s="193">
        <f t="shared" si="686"/>
        <v>300</v>
      </c>
      <c r="T1181" s="193">
        <f t="shared" si="806"/>
        <v>8.25</v>
      </c>
      <c r="U1181" s="193">
        <f t="shared" si="707"/>
        <v>3.16</v>
      </c>
      <c r="V1181" s="193">
        <f t="shared" si="807"/>
        <v>3.48</v>
      </c>
      <c r="W1181" s="193">
        <f t="shared" si="735"/>
        <v>0.41</v>
      </c>
      <c r="X1181" s="193">
        <f>ROUND(R1181*0.0338%,2)</f>
        <v>9.3000000000000007</v>
      </c>
      <c r="Y1181" s="193">
        <f t="shared" si="758"/>
        <v>0.03</v>
      </c>
      <c r="Z1181" s="193">
        <f t="shared" si="692"/>
        <v>24.630000000000003</v>
      </c>
      <c r="AA1181" s="194">
        <f t="shared" si="693"/>
        <v>275.37</v>
      </c>
      <c r="AB1181" s="195">
        <v>275</v>
      </c>
      <c r="AC1181" s="196">
        <f t="shared" si="694"/>
        <v>-0.37000000000000455</v>
      </c>
      <c r="AD1181" s="197">
        <f t="shared" si="695"/>
        <v>2.2058823529411766E-2</v>
      </c>
      <c r="AE1181" s="198">
        <f t="shared" si="696"/>
        <v>8.9599999999999999E-4</v>
      </c>
      <c r="AF1181" s="193"/>
      <c r="AG1181" s="199" t="s">
        <v>416</v>
      </c>
      <c r="AH1181" s="124"/>
    </row>
    <row r="1182" spans="1:34" ht="12" hidden="1" customHeight="1">
      <c r="A1182" s="187">
        <v>44573</v>
      </c>
      <c r="B1182" s="188" t="s">
        <v>589</v>
      </c>
      <c r="C1182" s="188" t="s">
        <v>460</v>
      </c>
      <c r="D1182" s="188"/>
      <c r="E1182" s="188" t="str">
        <f t="shared" si="682"/>
        <v>DCMSHRIRAM</v>
      </c>
      <c r="F1182" s="188"/>
      <c r="G1182" s="188"/>
      <c r="H1182" s="188"/>
      <c r="I1182" s="188" t="s">
        <v>668</v>
      </c>
      <c r="J1182" s="188" t="s">
        <v>483</v>
      </c>
      <c r="K1182" s="188"/>
      <c r="L1182" s="188"/>
      <c r="M1182" s="189">
        <v>10</v>
      </c>
      <c r="N1182" s="190">
        <v>1001</v>
      </c>
      <c r="O1182" s="191">
        <v>1006</v>
      </c>
      <c r="P1182" s="192">
        <f t="shared" si="789"/>
        <v>3</v>
      </c>
      <c r="Q1182" s="192">
        <f t="shared" si="790"/>
        <v>3.02</v>
      </c>
      <c r="R1182" s="193">
        <f t="shared" si="685"/>
        <v>20070</v>
      </c>
      <c r="S1182" s="193">
        <f t="shared" si="686"/>
        <v>50</v>
      </c>
      <c r="T1182" s="193">
        <f t="shared" si="806"/>
        <v>6.02</v>
      </c>
      <c r="U1182" s="193">
        <f t="shared" si="707"/>
        <v>1.18</v>
      </c>
      <c r="V1182" s="193">
        <f t="shared" si="807"/>
        <v>2.52</v>
      </c>
      <c r="W1182" s="193">
        <f t="shared" si="735"/>
        <v>0.3</v>
      </c>
      <c r="X1182" s="193">
        <f>ROUND(R1182*G$1820,2)</f>
        <v>0.55000000000000004</v>
      </c>
      <c r="Y1182" s="193">
        <f t="shared" si="758"/>
        <v>0.02</v>
      </c>
      <c r="Z1182" s="193">
        <f t="shared" si="692"/>
        <v>10.59</v>
      </c>
      <c r="AA1182" s="194">
        <f t="shared" si="693"/>
        <v>39.409999999999997</v>
      </c>
      <c r="AB1182" s="195">
        <v>39.229999999999997</v>
      </c>
      <c r="AC1182" s="196">
        <f t="shared" si="694"/>
        <v>-0.17999999999999972</v>
      </c>
      <c r="AD1182" s="197">
        <f t="shared" si="695"/>
        <v>4.995004995004995E-3</v>
      </c>
      <c r="AE1182" s="198">
        <f t="shared" si="696"/>
        <v>5.2800000000000004E-4</v>
      </c>
      <c r="AF1182" s="193"/>
      <c r="AG1182" s="199" t="s">
        <v>416</v>
      </c>
      <c r="AH1182" s="124"/>
    </row>
    <row r="1183" spans="1:34" ht="12" hidden="1" customHeight="1">
      <c r="A1183" s="187">
        <v>44573</v>
      </c>
      <c r="B1183" s="188" t="s">
        <v>521</v>
      </c>
      <c r="C1183" s="188" t="s">
        <v>485</v>
      </c>
      <c r="D1183" s="188"/>
      <c r="E1183" s="188" t="str">
        <f t="shared" si="682"/>
        <v>IDEA</v>
      </c>
      <c r="F1183" s="188"/>
      <c r="G1183" s="188"/>
      <c r="H1183" s="188"/>
      <c r="I1183" s="188" t="s">
        <v>668</v>
      </c>
      <c r="J1183" s="188" t="s">
        <v>483</v>
      </c>
      <c r="K1183" s="188"/>
      <c r="L1183" s="188"/>
      <c r="M1183" s="189">
        <v>11500</v>
      </c>
      <c r="N1183" s="190">
        <v>12.9543</v>
      </c>
      <c r="O1183" s="191">
        <v>12.995604</v>
      </c>
      <c r="P1183" s="192">
        <f t="shared" si="789"/>
        <v>20</v>
      </c>
      <c r="Q1183" s="192">
        <f t="shared" si="790"/>
        <v>20</v>
      </c>
      <c r="R1183" s="193">
        <f t="shared" si="685"/>
        <v>298423.90000000002</v>
      </c>
      <c r="S1183" s="193">
        <f t="shared" si="686"/>
        <v>474.99600000000265</v>
      </c>
      <c r="T1183" s="193">
        <v>89.03</v>
      </c>
      <c r="U1183" s="193">
        <f t="shared" si="707"/>
        <v>17.88</v>
      </c>
      <c r="V1183" s="193">
        <f t="shared" si="807"/>
        <v>37.36</v>
      </c>
      <c r="W1183" s="193">
        <f t="shared" si="735"/>
        <v>4.47</v>
      </c>
      <c r="X1183" s="193">
        <f t="shared" ref="X1183:X1186" si="808">ROUND(R1183*H$1820,2)</f>
        <v>10.3</v>
      </c>
      <c r="Y1183" s="193">
        <f t="shared" si="758"/>
        <v>0.3</v>
      </c>
      <c r="Z1183" s="193">
        <f t="shared" si="692"/>
        <v>159.34</v>
      </c>
      <c r="AA1183" s="194">
        <f t="shared" si="693"/>
        <v>315.66000000000003</v>
      </c>
      <c r="AB1183" s="195">
        <f>316-0.71</f>
        <v>315.29000000000002</v>
      </c>
      <c r="AC1183" s="196">
        <f t="shared" si="694"/>
        <v>-0.37000000000000455</v>
      </c>
      <c r="AD1183" s="197">
        <f t="shared" si="695"/>
        <v>3.1884393599036789E-3</v>
      </c>
      <c r="AE1183" s="198">
        <f t="shared" si="696"/>
        <v>5.3399999999999997E-4</v>
      </c>
      <c r="AF1183" s="193"/>
      <c r="AG1183" s="199" t="s">
        <v>416</v>
      </c>
      <c r="AH1183" s="124"/>
    </row>
    <row r="1184" spans="1:34" ht="12" hidden="1" customHeight="1">
      <c r="A1184" s="187">
        <v>44573</v>
      </c>
      <c r="B1184" s="188" t="s">
        <v>555</v>
      </c>
      <c r="C1184" s="188" t="s">
        <v>485</v>
      </c>
      <c r="D1184" s="188"/>
      <c r="E1184" s="188" t="str">
        <f t="shared" si="682"/>
        <v>PNBGILTS</v>
      </c>
      <c r="F1184" s="188"/>
      <c r="G1184" s="188"/>
      <c r="H1184" s="188"/>
      <c r="I1184" s="188" t="s">
        <v>668</v>
      </c>
      <c r="J1184" s="188" t="s">
        <v>483</v>
      </c>
      <c r="K1184" s="188"/>
      <c r="L1184" s="188"/>
      <c r="M1184" s="189">
        <v>400</v>
      </c>
      <c r="N1184" s="190">
        <v>73.787499999999994</v>
      </c>
      <c r="O1184" s="191">
        <v>74.487499999999997</v>
      </c>
      <c r="P1184" s="192">
        <f t="shared" si="789"/>
        <v>8.85</v>
      </c>
      <c r="Q1184" s="192">
        <f t="shared" si="790"/>
        <v>8.94</v>
      </c>
      <c r="R1184" s="193">
        <f t="shared" si="685"/>
        <v>59310</v>
      </c>
      <c r="S1184" s="193">
        <f t="shared" si="686"/>
        <v>280.00000000000114</v>
      </c>
      <c r="T1184" s="193">
        <f t="shared" ref="T1184:T1186" si="809">ROUND(P1184+Q1184,2)</f>
        <v>17.79</v>
      </c>
      <c r="U1184" s="193">
        <f t="shared" si="707"/>
        <v>3.57</v>
      </c>
      <c r="V1184" s="193">
        <f t="shared" si="807"/>
        <v>7.45</v>
      </c>
      <c r="W1184" s="193">
        <f t="shared" si="735"/>
        <v>0.89</v>
      </c>
      <c r="X1184" s="193">
        <f t="shared" si="808"/>
        <v>2.0499999999999998</v>
      </c>
      <c r="Y1184" s="193">
        <f t="shared" si="758"/>
        <v>0.06</v>
      </c>
      <c r="Z1184" s="193">
        <f t="shared" si="692"/>
        <v>31.81</v>
      </c>
      <c r="AA1184" s="194">
        <f t="shared" si="693"/>
        <v>248.19</v>
      </c>
      <c r="AB1184" s="195">
        <v>248</v>
      </c>
      <c r="AC1184" s="196">
        <f t="shared" si="694"/>
        <v>-0.18999999999999773</v>
      </c>
      <c r="AD1184" s="197">
        <f t="shared" si="695"/>
        <v>9.4867016771133707E-3</v>
      </c>
      <c r="AE1184" s="198">
        <f t="shared" si="696"/>
        <v>5.3600000000000002E-4</v>
      </c>
      <c r="AF1184" s="193"/>
      <c r="AG1184" s="199" t="s">
        <v>416</v>
      </c>
      <c r="AH1184" s="124"/>
    </row>
    <row r="1185" spans="1:34" ht="12" hidden="1" customHeight="1">
      <c r="A1185" s="187">
        <v>44573</v>
      </c>
      <c r="B1185" s="188" t="s">
        <v>561</v>
      </c>
      <c r="C1185" s="188" t="s">
        <v>485</v>
      </c>
      <c r="D1185" s="188"/>
      <c r="E1185" s="188" t="str">
        <f t="shared" si="682"/>
        <v>RENUKA</v>
      </c>
      <c r="F1185" s="188"/>
      <c r="G1185" s="188"/>
      <c r="H1185" s="188"/>
      <c r="I1185" s="188" t="s">
        <v>668</v>
      </c>
      <c r="J1185" s="188" t="s">
        <v>483</v>
      </c>
      <c r="K1185" s="188"/>
      <c r="L1185" s="188"/>
      <c r="M1185" s="189">
        <v>100</v>
      </c>
      <c r="N1185" s="190">
        <v>32</v>
      </c>
      <c r="O1185" s="191">
        <v>32.25</v>
      </c>
      <c r="P1185" s="192">
        <f t="shared" si="789"/>
        <v>0.96</v>
      </c>
      <c r="Q1185" s="192">
        <f t="shared" si="790"/>
        <v>0.97</v>
      </c>
      <c r="R1185" s="193">
        <f t="shared" si="685"/>
        <v>6425</v>
      </c>
      <c r="S1185" s="193">
        <f t="shared" si="686"/>
        <v>25</v>
      </c>
      <c r="T1185" s="193">
        <f t="shared" si="809"/>
        <v>1.93</v>
      </c>
      <c r="U1185" s="193">
        <f t="shared" si="707"/>
        <v>0.39</v>
      </c>
      <c r="V1185" s="193">
        <f t="shared" si="807"/>
        <v>0.81</v>
      </c>
      <c r="W1185" s="193">
        <f t="shared" si="735"/>
        <v>0.1</v>
      </c>
      <c r="X1185" s="193">
        <f t="shared" si="808"/>
        <v>0.22</v>
      </c>
      <c r="Y1185" s="193">
        <f t="shared" si="758"/>
        <v>0.01</v>
      </c>
      <c r="Z1185" s="193">
        <f t="shared" si="692"/>
        <v>3.46</v>
      </c>
      <c r="AA1185" s="194">
        <f t="shared" si="693"/>
        <v>21.54</v>
      </c>
      <c r="AB1185" s="195">
        <v>22</v>
      </c>
      <c r="AC1185" s="196">
        <f t="shared" si="694"/>
        <v>0.46000000000000085</v>
      </c>
      <c r="AD1185" s="197">
        <f t="shared" si="695"/>
        <v>7.8125E-3</v>
      </c>
      <c r="AE1185" s="198">
        <f t="shared" si="696"/>
        <v>5.3899999999999998E-4</v>
      </c>
      <c r="AF1185" s="193"/>
      <c r="AG1185" s="199" t="s">
        <v>416</v>
      </c>
      <c r="AH1185" s="124"/>
    </row>
    <row r="1186" spans="1:34" ht="12" hidden="1" customHeight="1">
      <c r="A1186" s="187">
        <v>44573</v>
      </c>
      <c r="B1186" s="188" t="s">
        <v>584</v>
      </c>
      <c r="C1186" s="188" t="s">
        <v>485</v>
      </c>
      <c r="D1186" s="188"/>
      <c r="E1186" s="188" t="str">
        <f t="shared" si="682"/>
        <v>IBREALEST</v>
      </c>
      <c r="F1186" s="188"/>
      <c r="G1186" s="188"/>
      <c r="H1186" s="188"/>
      <c r="I1186" s="188" t="s">
        <v>668</v>
      </c>
      <c r="J1186" s="188" t="s">
        <v>483</v>
      </c>
      <c r="K1186" s="188"/>
      <c r="L1186" s="188"/>
      <c r="M1186" s="189">
        <v>100</v>
      </c>
      <c r="N1186" s="190">
        <v>174</v>
      </c>
      <c r="O1186" s="191">
        <v>174.5</v>
      </c>
      <c r="P1186" s="192">
        <f t="shared" si="789"/>
        <v>5.22</v>
      </c>
      <c r="Q1186" s="192">
        <f t="shared" si="790"/>
        <v>5.24</v>
      </c>
      <c r="R1186" s="193">
        <f t="shared" si="685"/>
        <v>34850</v>
      </c>
      <c r="S1186" s="193">
        <f t="shared" si="686"/>
        <v>50</v>
      </c>
      <c r="T1186" s="193">
        <f t="shared" si="809"/>
        <v>10.46</v>
      </c>
      <c r="U1186" s="193">
        <f t="shared" si="707"/>
        <v>2.1</v>
      </c>
      <c r="V1186" s="193">
        <f t="shared" si="807"/>
        <v>4.3600000000000003</v>
      </c>
      <c r="W1186" s="193">
        <f t="shared" si="735"/>
        <v>0.52</v>
      </c>
      <c r="X1186" s="193">
        <f t="shared" si="808"/>
        <v>1.2</v>
      </c>
      <c r="Y1186" s="193">
        <f t="shared" si="758"/>
        <v>0.03</v>
      </c>
      <c r="Z1186" s="193">
        <f t="shared" si="692"/>
        <v>18.670000000000002</v>
      </c>
      <c r="AA1186" s="194">
        <f t="shared" si="693"/>
        <v>31.33</v>
      </c>
      <c r="AB1186" s="195">
        <v>31</v>
      </c>
      <c r="AC1186" s="196">
        <f t="shared" si="694"/>
        <v>-0.32999999999999829</v>
      </c>
      <c r="AD1186" s="197">
        <f t="shared" si="695"/>
        <v>2.8735632183908046E-3</v>
      </c>
      <c r="AE1186" s="198">
        <f t="shared" si="696"/>
        <v>5.3600000000000002E-4</v>
      </c>
      <c r="AF1186" s="193"/>
      <c r="AG1186" s="199" t="s">
        <v>416</v>
      </c>
      <c r="AH1186" s="124"/>
    </row>
    <row r="1187" spans="1:34" ht="12" hidden="1" customHeight="1">
      <c r="A1187" s="187">
        <v>44574</v>
      </c>
      <c r="B1187" s="188" t="s">
        <v>589</v>
      </c>
      <c r="C1187" s="188" t="s">
        <v>460</v>
      </c>
      <c r="D1187" s="188"/>
      <c r="E1187" s="188" t="str">
        <f t="shared" si="682"/>
        <v>DCMSHRIRAM</v>
      </c>
      <c r="F1187" s="188"/>
      <c r="G1187" s="188"/>
      <c r="H1187" s="188"/>
      <c r="I1187" s="188" t="s">
        <v>668</v>
      </c>
      <c r="J1187" s="188" t="s">
        <v>483</v>
      </c>
      <c r="K1187" s="188"/>
      <c r="L1187" s="188"/>
      <c r="M1187" s="189">
        <v>25</v>
      </c>
      <c r="N1187" s="190">
        <v>1005</v>
      </c>
      <c r="O1187" s="191">
        <v>1010</v>
      </c>
      <c r="P1187" s="192">
        <f t="shared" si="789"/>
        <v>7.54</v>
      </c>
      <c r="Q1187" s="192">
        <f t="shared" si="790"/>
        <v>7.58</v>
      </c>
      <c r="R1187" s="193">
        <f t="shared" si="685"/>
        <v>50375</v>
      </c>
      <c r="S1187" s="193">
        <f t="shared" si="686"/>
        <v>125</v>
      </c>
      <c r="T1187" s="193">
        <f>ROUND(P1187+Q1187,2)+12.42</f>
        <v>27.54</v>
      </c>
      <c r="U1187" s="193">
        <f t="shared" si="707"/>
        <v>5.21</v>
      </c>
      <c r="V1187" s="193">
        <f t="shared" si="807"/>
        <v>6.31</v>
      </c>
      <c r="W1187" s="193">
        <f t="shared" si="735"/>
        <v>0.75</v>
      </c>
      <c r="X1187" s="193">
        <f>ROUND(R1187*G$1820,2)</f>
        <v>1.39</v>
      </c>
      <c r="Y1187" s="193">
        <f t="shared" si="758"/>
        <v>0.05</v>
      </c>
      <c r="Z1187" s="193">
        <f t="shared" si="692"/>
        <v>41.25</v>
      </c>
      <c r="AA1187" s="194">
        <f t="shared" si="693"/>
        <v>83.75</v>
      </c>
      <c r="AB1187" s="195">
        <v>82.92</v>
      </c>
      <c r="AC1187" s="196">
        <f t="shared" si="694"/>
        <v>-0.82999999999999829</v>
      </c>
      <c r="AD1187" s="197">
        <f t="shared" si="695"/>
        <v>4.9751243781094526E-3</v>
      </c>
      <c r="AE1187" s="198">
        <f t="shared" si="696"/>
        <v>8.1899999999999996E-4</v>
      </c>
      <c r="AF1187" s="193"/>
      <c r="AG1187" s="199" t="s">
        <v>416</v>
      </c>
      <c r="AH1187" s="124"/>
    </row>
    <row r="1188" spans="1:34" ht="12" hidden="1" customHeight="1">
      <c r="A1188" s="187">
        <v>44574</v>
      </c>
      <c r="B1188" s="188" t="s">
        <v>473</v>
      </c>
      <c r="C1188" s="188" t="s">
        <v>485</v>
      </c>
      <c r="D1188" s="188"/>
      <c r="E1188" s="188" t="str">
        <f t="shared" si="682"/>
        <v>CIPLA</v>
      </c>
      <c r="F1188" s="188"/>
      <c r="G1188" s="188"/>
      <c r="H1188" s="188"/>
      <c r="I1188" s="188" t="s">
        <v>668</v>
      </c>
      <c r="J1188" s="188" t="s">
        <v>483</v>
      </c>
      <c r="K1188" s="188"/>
      <c r="L1188" s="188"/>
      <c r="M1188" s="189">
        <v>60</v>
      </c>
      <c r="N1188" s="190">
        <v>923.16669999999999</v>
      </c>
      <c r="O1188" s="191">
        <v>924.33330000000001</v>
      </c>
      <c r="P1188" s="192">
        <f t="shared" si="789"/>
        <v>16.62</v>
      </c>
      <c r="Q1188" s="192">
        <f t="shared" si="790"/>
        <v>16.64</v>
      </c>
      <c r="R1188" s="193">
        <f t="shared" si="685"/>
        <v>110850</v>
      </c>
      <c r="S1188" s="193">
        <f t="shared" si="686"/>
        <v>69.996000000001004</v>
      </c>
      <c r="T1188" s="193">
        <f>ROUND(P1188+Q1188,2)+2.86</f>
        <v>36.119999999999997</v>
      </c>
      <c r="U1188" s="193">
        <f t="shared" si="707"/>
        <v>7.19</v>
      </c>
      <c r="V1188" s="193">
        <f t="shared" si="807"/>
        <v>13.86</v>
      </c>
      <c r="W1188" s="193">
        <f t="shared" si="735"/>
        <v>1.66</v>
      </c>
      <c r="X1188" s="193">
        <f t="shared" ref="X1188:X1191" si="810">ROUND(R1188*H$1820,2)</f>
        <v>3.82</v>
      </c>
      <c r="Y1188" s="193">
        <f t="shared" si="758"/>
        <v>0.11</v>
      </c>
      <c r="Z1188" s="193">
        <f t="shared" si="692"/>
        <v>62.759999999999991</v>
      </c>
      <c r="AA1188" s="194">
        <f t="shared" si="693"/>
        <v>7.24</v>
      </c>
      <c r="AB1188" s="195">
        <f>7+0.22</f>
        <v>7.22</v>
      </c>
      <c r="AC1188" s="196">
        <f t="shared" si="694"/>
        <v>-2.0000000000000462E-2</v>
      </c>
      <c r="AD1188" s="197">
        <f t="shared" si="695"/>
        <v>1.263693761917557E-3</v>
      </c>
      <c r="AE1188" s="198">
        <f t="shared" si="696"/>
        <v>5.6599999999999999E-4</v>
      </c>
      <c r="AF1188" s="193"/>
      <c r="AG1188" s="199" t="s">
        <v>416</v>
      </c>
      <c r="AH1188" s="124"/>
    </row>
    <row r="1189" spans="1:34" ht="12" hidden="1" customHeight="1">
      <c r="A1189" s="187">
        <v>44574</v>
      </c>
      <c r="B1189" s="188" t="s">
        <v>725</v>
      </c>
      <c r="C1189" s="188" t="s">
        <v>485</v>
      </c>
      <c r="D1189" s="188"/>
      <c r="E1189" s="188" t="str">
        <f t="shared" si="682"/>
        <v>MCDOWELL</v>
      </c>
      <c r="F1189" s="188"/>
      <c r="G1189" s="188"/>
      <c r="H1189" s="188"/>
      <c r="I1189" s="188" t="s">
        <v>668</v>
      </c>
      <c r="J1189" s="188" t="s">
        <v>483</v>
      </c>
      <c r="K1189" s="188"/>
      <c r="L1189" s="188"/>
      <c r="M1189" s="189">
        <v>25</v>
      </c>
      <c r="N1189" s="190">
        <v>925.99599999999998</v>
      </c>
      <c r="O1189" s="191">
        <v>946</v>
      </c>
      <c r="P1189" s="192">
        <f t="shared" si="789"/>
        <v>6.94</v>
      </c>
      <c r="Q1189" s="192">
        <f t="shared" si="790"/>
        <v>7.1</v>
      </c>
      <c r="R1189" s="193">
        <f t="shared" si="685"/>
        <v>46799.9</v>
      </c>
      <c r="S1189" s="193">
        <f t="shared" si="686"/>
        <v>500.10000000000048</v>
      </c>
      <c r="T1189" s="193">
        <f t="shared" ref="T1189:T1191" si="811">ROUND(P1189+Q1189,2)</f>
        <v>14.04</v>
      </c>
      <c r="U1189" s="193">
        <f t="shared" si="707"/>
        <v>2.82</v>
      </c>
      <c r="V1189" s="193">
        <f t="shared" si="807"/>
        <v>5.91</v>
      </c>
      <c r="W1189" s="193">
        <f t="shared" si="735"/>
        <v>0.69</v>
      </c>
      <c r="X1189" s="193">
        <f t="shared" si="810"/>
        <v>1.61</v>
      </c>
      <c r="Y1189" s="193">
        <f t="shared" si="758"/>
        <v>0.05</v>
      </c>
      <c r="Z1189" s="193">
        <f t="shared" si="692"/>
        <v>25.12</v>
      </c>
      <c r="AA1189" s="194">
        <f t="shared" si="693"/>
        <v>474.98</v>
      </c>
      <c r="AB1189" s="195">
        <v>475</v>
      </c>
      <c r="AC1189" s="196">
        <f t="shared" si="694"/>
        <v>1.999999999998181E-2</v>
      </c>
      <c r="AD1189" s="197">
        <f t="shared" si="695"/>
        <v>2.1602685108790987E-2</v>
      </c>
      <c r="AE1189" s="198">
        <f t="shared" si="696"/>
        <v>5.3700000000000004E-4</v>
      </c>
      <c r="AF1189" s="193"/>
      <c r="AG1189" s="199" t="s">
        <v>416</v>
      </c>
      <c r="AH1189" s="124"/>
    </row>
    <row r="1190" spans="1:34" ht="12" hidden="1" customHeight="1">
      <c r="A1190" s="187">
        <v>44574</v>
      </c>
      <c r="B1190" s="188" t="s">
        <v>726</v>
      </c>
      <c r="C1190" s="188" t="s">
        <v>485</v>
      </c>
      <c r="D1190" s="188"/>
      <c r="E1190" s="188" t="str">
        <f t="shared" si="682"/>
        <v>SEQUENT</v>
      </c>
      <c r="F1190" s="188"/>
      <c r="G1190" s="188"/>
      <c r="H1190" s="188"/>
      <c r="I1190" s="188" t="s">
        <v>668</v>
      </c>
      <c r="J1190" s="188" t="s">
        <v>483</v>
      </c>
      <c r="K1190" s="188"/>
      <c r="L1190" s="188"/>
      <c r="M1190" s="189">
        <v>100</v>
      </c>
      <c r="N1190" s="190">
        <v>189</v>
      </c>
      <c r="O1190" s="191">
        <v>191</v>
      </c>
      <c r="P1190" s="192">
        <f t="shared" si="789"/>
        <v>5.67</v>
      </c>
      <c r="Q1190" s="192">
        <f t="shared" si="790"/>
        <v>5.73</v>
      </c>
      <c r="R1190" s="193">
        <f t="shared" si="685"/>
        <v>38000</v>
      </c>
      <c r="S1190" s="193">
        <f t="shared" si="686"/>
        <v>200</v>
      </c>
      <c r="T1190" s="193">
        <f t="shared" si="811"/>
        <v>11.4</v>
      </c>
      <c r="U1190" s="193">
        <f t="shared" si="707"/>
        <v>2.29</v>
      </c>
      <c r="V1190" s="193">
        <f t="shared" si="807"/>
        <v>4.78</v>
      </c>
      <c r="W1190" s="193">
        <f t="shared" si="735"/>
        <v>0.56999999999999995</v>
      </c>
      <c r="X1190" s="193">
        <f t="shared" si="810"/>
        <v>1.31</v>
      </c>
      <c r="Y1190" s="193">
        <f t="shared" si="758"/>
        <v>0.04</v>
      </c>
      <c r="Z1190" s="193">
        <f t="shared" si="692"/>
        <v>20.39</v>
      </c>
      <c r="AA1190" s="194">
        <f t="shared" si="693"/>
        <v>179.61</v>
      </c>
      <c r="AB1190" s="195">
        <v>180</v>
      </c>
      <c r="AC1190" s="196">
        <f t="shared" si="694"/>
        <v>0.38999999999998636</v>
      </c>
      <c r="AD1190" s="197">
        <f t="shared" si="695"/>
        <v>1.0582010582010581E-2</v>
      </c>
      <c r="AE1190" s="198">
        <f t="shared" si="696"/>
        <v>5.3700000000000004E-4</v>
      </c>
      <c r="AF1190" s="193"/>
      <c r="AG1190" s="199" t="s">
        <v>416</v>
      </c>
      <c r="AH1190" s="124"/>
    </row>
    <row r="1191" spans="1:34" ht="12" hidden="1" customHeight="1">
      <c r="A1191" s="187">
        <v>44574</v>
      </c>
      <c r="B1191" s="188" t="s">
        <v>567</v>
      </c>
      <c r="C1191" s="188" t="s">
        <v>485</v>
      </c>
      <c r="D1191" s="188"/>
      <c r="E1191" s="188" t="str">
        <f t="shared" si="682"/>
        <v>YESBANK</v>
      </c>
      <c r="F1191" s="188"/>
      <c r="G1191" s="188"/>
      <c r="H1191" s="188"/>
      <c r="I1191" s="188" t="s">
        <v>668</v>
      </c>
      <c r="J1191" s="188" t="s">
        <v>483</v>
      </c>
      <c r="K1191" s="188"/>
      <c r="L1191" s="188"/>
      <c r="M1191" s="189">
        <v>1000</v>
      </c>
      <c r="N1191" s="190">
        <v>13.7</v>
      </c>
      <c r="O1191" s="191">
        <v>13.85</v>
      </c>
      <c r="P1191" s="192">
        <f t="shared" si="789"/>
        <v>4.1100000000000003</v>
      </c>
      <c r="Q1191" s="192">
        <f t="shared" si="790"/>
        <v>4.16</v>
      </c>
      <c r="R1191" s="193">
        <f t="shared" si="685"/>
        <v>27550</v>
      </c>
      <c r="S1191" s="193">
        <f t="shared" si="686"/>
        <v>150.00000000000034</v>
      </c>
      <c r="T1191" s="193">
        <f t="shared" si="811"/>
        <v>8.27</v>
      </c>
      <c r="U1191" s="193">
        <f t="shared" si="707"/>
        <v>1.66</v>
      </c>
      <c r="V1191" s="193">
        <f t="shared" si="807"/>
        <v>3.46</v>
      </c>
      <c r="W1191" s="193">
        <f t="shared" si="735"/>
        <v>0.41</v>
      </c>
      <c r="X1191" s="193">
        <f t="shared" si="810"/>
        <v>0.95</v>
      </c>
      <c r="Y1191" s="193">
        <f t="shared" si="758"/>
        <v>0.03</v>
      </c>
      <c r="Z1191" s="193">
        <f t="shared" si="692"/>
        <v>14.78</v>
      </c>
      <c r="AA1191" s="194">
        <f t="shared" si="693"/>
        <v>135.22</v>
      </c>
      <c r="AB1191" s="195">
        <v>135</v>
      </c>
      <c r="AC1191" s="196">
        <f t="shared" si="694"/>
        <v>-0.21999999999999886</v>
      </c>
      <c r="AD1191" s="197">
        <f t="shared" si="695"/>
        <v>1.0948905109489078E-2</v>
      </c>
      <c r="AE1191" s="198">
        <f t="shared" si="696"/>
        <v>5.3600000000000002E-4</v>
      </c>
      <c r="AF1191" s="193"/>
      <c r="AG1191" s="199" t="s">
        <v>416</v>
      </c>
      <c r="AH1191" s="124"/>
    </row>
    <row r="1192" spans="1:34" ht="12" hidden="1" customHeight="1">
      <c r="A1192" s="187">
        <v>44575</v>
      </c>
      <c r="B1192" s="188" t="s">
        <v>589</v>
      </c>
      <c r="C1192" s="188" t="s">
        <v>460</v>
      </c>
      <c r="D1192" s="188"/>
      <c r="E1192" s="188" t="str">
        <f t="shared" si="682"/>
        <v>DCMSHRIRAM</v>
      </c>
      <c r="F1192" s="188"/>
      <c r="G1192" s="188"/>
      <c r="H1192" s="188"/>
      <c r="I1192" s="188" t="s">
        <v>668</v>
      </c>
      <c r="J1192" s="188" t="s">
        <v>483</v>
      </c>
      <c r="K1192" s="188"/>
      <c r="L1192" s="188"/>
      <c r="M1192" s="189">
        <v>158</v>
      </c>
      <c r="N1192" s="190">
        <v>1011.965</v>
      </c>
      <c r="O1192" s="191">
        <v>1015.9226</v>
      </c>
      <c r="P1192" s="192">
        <f t="shared" si="789"/>
        <v>20</v>
      </c>
      <c r="Q1192" s="192">
        <f t="shared" si="790"/>
        <v>20</v>
      </c>
      <c r="R1192" s="193">
        <f t="shared" si="685"/>
        <v>320406.24</v>
      </c>
      <c r="S1192" s="193">
        <f t="shared" si="686"/>
        <v>625.30079999999316</v>
      </c>
      <c r="T1192" s="193">
        <v>120.87</v>
      </c>
      <c r="U1192" s="193">
        <f t="shared" si="707"/>
        <v>23.34</v>
      </c>
      <c r="V1192" s="193">
        <f t="shared" si="807"/>
        <v>40.130000000000003</v>
      </c>
      <c r="W1192" s="193">
        <f t="shared" si="735"/>
        <v>4.8</v>
      </c>
      <c r="X1192" s="193">
        <f>ROUND(R1192*G$1820,2)</f>
        <v>8.81</v>
      </c>
      <c r="Y1192" s="193">
        <f t="shared" si="758"/>
        <v>0.32</v>
      </c>
      <c r="Z1192" s="193">
        <f t="shared" si="692"/>
        <v>198.27</v>
      </c>
      <c r="AA1192" s="194">
        <f t="shared" si="693"/>
        <v>427.03</v>
      </c>
      <c r="AB1192" s="195">
        <v>427.71</v>
      </c>
      <c r="AC1192" s="196">
        <f t="shared" si="694"/>
        <v>0.68000000000000682</v>
      </c>
      <c r="AD1192" s="197">
        <f t="shared" si="695"/>
        <v>3.9108071919482955E-3</v>
      </c>
      <c r="AE1192" s="198">
        <f t="shared" si="696"/>
        <v>6.1899999999999998E-4</v>
      </c>
      <c r="AF1192" s="193"/>
      <c r="AG1192" s="199" t="s">
        <v>416</v>
      </c>
      <c r="AH1192" s="124"/>
    </row>
    <row r="1193" spans="1:34" ht="12" hidden="1" customHeight="1">
      <c r="A1193" s="187">
        <v>44575</v>
      </c>
      <c r="B1193" s="188" t="s">
        <v>591</v>
      </c>
      <c r="C1193" s="188" t="s">
        <v>485</v>
      </c>
      <c r="D1193" s="188"/>
      <c r="E1193" s="188" t="str">
        <f t="shared" si="682"/>
        <v>VSSL</v>
      </c>
      <c r="F1193" s="188"/>
      <c r="G1193" s="188"/>
      <c r="H1193" s="188"/>
      <c r="I1193" s="188" t="s">
        <v>668</v>
      </c>
      <c r="J1193" s="188" t="s">
        <v>483</v>
      </c>
      <c r="K1193" s="188"/>
      <c r="L1193" s="188"/>
      <c r="M1193" s="189">
        <v>50</v>
      </c>
      <c r="N1193" s="190">
        <v>270</v>
      </c>
      <c r="O1193" s="191">
        <v>271.06299999999999</v>
      </c>
      <c r="P1193" s="192">
        <f t="shared" si="789"/>
        <v>4.05</v>
      </c>
      <c r="Q1193" s="192">
        <f t="shared" si="790"/>
        <v>4.07</v>
      </c>
      <c r="R1193" s="193">
        <f t="shared" si="685"/>
        <v>27053.15</v>
      </c>
      <c r="S1193" s="193">
        <f t="shared" si="686"/>
        <v>53.149999999999409</v>
      </c>
      <c r="T1193" s="193">
        <f t="shared" ref="T1193:T1197" si="812">ROUND(P1193+Q1193,2)</f>
        <v>8.1199999999999992</v>
      </c>
      <c r="U1193" s="193">
        <f t="shared" si="707"/>
        <v>1.63</v>
      </c>
      <c r="V1193" s="193">
        <f t="shared" si="807"/>
        <v>3.39</v>
      </c>
      <c r="W1193" s="193">
        <f t="shared" si="735"/>
        <v>0.41</v>
      </c>
      <c r="X1193" s="193">
        <f>ROUND(R1193*H$1820,2)</f>
        <v>0.93</v>
      </c>
      <c r="Y1193" s="193">
        <f t="shared" si="758"/>
        <v>0.03</v>
      </c>
      <c r="Z1193" s="193">
        <f t="shared" si="692"/>
        <v>14.51</v>
      </c>
      <c r="AA1193" s="194">
        <f t="shared" si="693"/>
        <v>38.64</v>
      </c>
      <c r="AB1193" s="195">
        <f>39-0.3</f>
        <v>38.700000000000003</v>
      </c>
      <c r="AC1193" s="196">
        <f t="shared" si="694"/>
        <v>6.0000000000002274E-2</v>
      </c>
      <c r="AD1193" s="197">
        <f t="shared" si="695"/>
        <v>3.9370370370369933E-3</v>
      </c>
      <c r="AE1193" s="198">
        <f t="shared" si="696"/>
        <v>5.3600000000000002E-4</v>
      </c>
      <c r="AF1193" s="193"/>
      <c r="AG1193" s="199" t="s">
        <v>416</v>
      </c>
      <c r="AH1193" s="124"/>
    </row>
    <row r="1194" spans="1:34" ht="12" hidden="1" customHeight="1">
      <c r="A1194" s="187">
        <v>44575</v>
      </c>
      <c r="B1194" s="188" t="s">
        <v>587</v>
      </c>
      <c r="C1194" s="188" t="s">
        <v>485</v>
      </c>
      <c r="D1194" s="188"/>
      <c r="E1194" s="188" t="str">
        <f t="shared" si="682"/>
        <v>AARTIIND</v>
      </c>
      <c r="F1194" s="188"/>
      <c r="G1194" s="188"/>
      <c r="H1194" s="188"/>
      <c r="I1194" s="188" t="s">
        <v>668</v>
      </c>
      <c r="J1194" s="188" t="s">
        <v>483</v>
      </c>
      <c r="K1194" s="188"/>
      <c r="L1194" s="188"/>
      <c r="M1194" s="189">
        <v>10</v>
      </c>
      <c r="N1194" s="190">
        <v>1105</v>
      </c>
      <c r="O1194" s="191">
        <v>1114.4000000000001</v>
      </c>
      <c r="P1194" s="192">
        <f t="shared" si="789"/>
        <v>3.32</v>
      </c>
      <c r="Q1194" s="192">
        <f t="shared" si="790"/>
        <v>3.34</v>
      </c>
      <c r="R1194" s="193">
        <f t="shared" si="685"/>
        <v>22194</v>
      </c>
      <c r="S1194" s="193">
        <f t="shared" si="686"/>
        <v>94.000000000000909</v>
      </c>
      <c r="T1194" s="193">
        <f t="shared" si="812"/>
        <v>6.66</v>
      </c>
      <c r="U1194" s="193">
        <f t="shared" si="707"/>
        <v>1.31</v>
      </c>
      <c r="V1194" s="193">
        <f t="shared" si="807"/>
        <v>2.79</v>
      </c>
      <c r="W1194" s="193">
        <f t="shared" si="735"/>
        <v>0.33</v>
      </c>
      <c r="X1194" s="193">
        <f>ROUND(R1194*G$1820,2)</f>
        <v>0.61</v>
      </c>
      <c r="Y1194" s="193">
        <f t="shared" si="758"/>
        <v>0.02</v>
      </c>
      <c r="Z1194" s="193">
        <f t="shared" si="692"/>
        <v>11.72</v>
      </c>
      <c r="AA1194" s="194">
        <f t="shared" si="693"/>
        <v>82.28</v>
      </c>
      <c r="AB1194" s="195">
        <v>82</v>
      </c>
      <c r="AC1194" s="196">
        <f t="shared" si="694"/>
        <v>-0.28000000000000114</v>
      </c>
      <c r="AD1194" s="197">
        <f t="shared" si="695"/>
        <v>8.5067873303168243E-3</v>
      </c>
      <c r="AE1194" s="198">
        <f t="shared" si="696"/>
        <v>5.2800000000000004E-4</v>
      </c>
      <c r="AF1194" s="193"/>
      <c r="AG1194" s="199" t="s">
        <v>416</v>
      </c>
      <c r="AH1194" s="124"/>
    </row>
    <row r="1195" spans="1:34" ht="12" hidden="1" customHeight="1">
      <c r="A1195" s="187">
        <v>44575</v>
      </c>
      <c r="B1195" s="188" t="s">
        <v>637</v>
      </c>
      <c r="C1195" s="188" t="s">
        <v>485</v>
      </c>
      <c r="D1195" s="188"/>
      <c r="E1195" s="188" t="str">
        <f t="shared" si="682"/>
        <v>BANKBARODA</v>
      </c>
      <c r="F1195" s="188"/>
      <c r="G1195" s="188"/>
      <c r="H1195" s="188"/>
      <c r="I1195" s="188" t="s">
        <v>668</v>
      </c>
      <c r="J1195" s="188" t="s">
        <v>483</v>
      </c>
      <c r="K1195" s="188"/>
      <c r="L1195" s="188"/>
      <c r="M1195" s="189">
        <v>100</v>
      </c>
      <c r="N1195" s="190">
        <v>93.9</v>
      </c>
      <c r="O1195" s="191">
        <v>93.65</v>
      </c>
      <c r="P1195" s="192">
        <f t="shared" si="789"/>
        <v>2.82</v>
      </c>
      <c r="Q1195" s="192">
        <f t="shared" si="790"/>
        <v>2.81</v>
      </c>
      <c r="R1195" s="193">
        <f t="shared" si="685"/>
        <v>18755</v>
      </c>
      <c r="S1195" s="193">
        <f t="shared" si="686"/>
        <v>-25</v>
      </c>
      <c r="T1195" s="193">
        <f t="shared" si="812"/>
        <v>5.63</v>
      </c>
      <c r="U1195" s="193">
        <f t="shared" si="707"/>
        <v>1.1299999999999999</v>
      </c>
      <c r="V1195" s="193">
        <f t="shared" si="807"/>
        <v>2.34</v>
      </c>
      <c r="W1195" s="193">
        <f t="shared" si="735"/>
        <v>0.28000000000000003</v>
      </c>
      <c r="X1195" s="193">
        <f>ROUND(R1195*H$1820,2)</f>
        <v>0.65</v>
      </c>
      <c r="Y1195" s="193">
        <f t="shared" si="758"/>
        <v>0.02</v>
      </c>
      <c r="Z1195" s="193">
        <f t="shared" si="692"/>
        <v>10.049999999999999</v>
      </c>
      <c r="AA1195" s="194">
        <f t="shared" si="693"/>
        <v>-35.049999999999997</v>
      </c>
      <c r="AB1195" s="195">
        <v>-35</v>
      </c>
      <c r="AC1195" s="196">
        <f t="shared" si="694"/>
        <v>4.9999999999997158E-2</v>
      </c>
      <c r="AD1195" s="197">
        <f t="shared" si="695"/>
        <v>-2.6624068157614484E-3</v>
      </c>
      <c r="AE1195" s="198">
        <f t="shared" si="696"/>
        <v>5.3600000000000002E-4</v>
      </c>
      <c r="AF1195" s="193"/>
      <c r="AG1195" s="199" t="s">
        <v>416</v>
      </c>
      <c r="AH1195" s="124"/>
    </row>
    <row r="1196" spans="1:34" ht="12" hidden="1" customHeight="1">
      <c r="A1196" s="187">
        <v>44575</v>
      </c>
      <c r="B1196" s="188" t="s">
        <v>479</v>
      </c>
      <c r="C1196" s="188" t="s">
        <v>485</v>
      </c>
      <c r="D1196" s="188"/>
      <c r="E1196" s="188" t="str">
        <f t="shared" si="682"/>
        <v>TATAPOWER</v>
      </c>
      <c r="F1196" s="188"/>
      <c r="G1196" s="188"/>
      <c r="H1196" s="188"/>
      <c r="I1196" s="188" t="s">
        <v>668</v>
      </c>
      <c r="J1196" s="188" t="s">
        <v>483</v>
      </c>
      <c r="K1196" s="188"/>
      <c r="L1196" s="188"/>
      <c r="M1196" s="189">
        <v>70</v>
      </c>
      <c r="N1196" s="190">
        <v>245.25</v>
      </c>
      <c r="O1196" s="191">
        <v>247.02500000000001</v>
      </c>
      <c r="P1196" s="192">
        <f t="shared" si="789"/>
        <v>5.15</v>
      </c>
      <c r="Q1196" s="192">
        <f t="shared" si="790"/>
        <v>5.19</v>
      </c>
      <c r="R1196" s="193">
        <f t="shared" si="685"/>
        <v>34459.25</v>
      </c>
      <c r="S1196" s="193">
        <f t="shared" si="686"/>
        <v>124.2500000000004</v>
      </c>
      <c r="T1196" s="193">
        <f t="shared" si="812"/>
        <v>10.34</v>
      </c>
      <c r="U1196" s="193">
        <f t="shared" si="707"/>
        <v>2.0299999999999998</v>
      </c>
      <c r="V1196" s="193">
        <f t="shared" si="807"/>
        <v>4.32</v>
      </c>
      <c r="W1196" s="193">
        <f t="shared" si="735"/>
        <v>0.52</v>
      </c>
      <c r="X1196" s="193">
        <f t="shared" ref="X1196:X1197" si="813">ROUND(R1196*G$1820,2)</f>
        <v>0.95</v>
      </c>
      <c r="Y1196" s="193">
        <f t="shared" si="758"/>
        <v>0.03</v>
      </c>
      <c r="Z1196" s="193">
        <f t="shared" si="692"/>
        <v>18.189999999999998</v>
      </c>
      <c r="AA1196" s="194">
        <f t="shared" si="693"/>
        <v>106.06</v>
      </c>
      <c r="AB1196" s="195">
        <v>106</v>
      </c>
      <c r="AC1196" s="196">
        <f t="shared" si="694"/>
        <v>-6.0000000000002274E-2</v>
      </c>
      <c r="AD1196" s="197">
        <f t="shared" si="695"/>
        <v>7.2375127420999212E-3</v>
      </c>
      <c r="AE1196" s="198">
        <f t="shared" si="696"/>
        <v>5.2800000000000004E-4</v>
      </c>
      <c r="AF1196" s="193"/>
      <c r="AG1196" s="199" t="s">
        <v>416</v>
      </c>
      <c r="AH1196" s="124"/>
    </row>
    <row r="1197" spans="1:34" ht="12" hidden="1" customHeight="1">
      <c r="A1197" s="187">
        <v>44575</v>
      </c>
      <c r="B1197" s="188" t="s">
        <v>603</v>
      </c>
      <c r="C1197" s="188" t="s">
        <v>485</v>
      </c>
      <c r="D1197" s="188"/>
      <c r="E1197" s="188" t="str">
        <f t="shared" si="682"/>
        <v>MCX</v>
      </c>
      <c r="F1197" s="188"/>
      <c r="G1197" s="188"/>
      <c r="H1197" s="188"/>
      <c r="I1197" s="188" t="s">
        <v>668</v>
      </c>
      <c r="J1197" s="188" t="s">
        <v>483</v>
      </c>
      <c r="K1197" s="188"/>
      <c r="L1197" s="188"/>
      <c r="M1197" s="189">
        <v>20</v>
      </c>
      <c r="N1197" s="190">
        <v>1638</v>
      </c>
      <c r="O1197" s="191">
        <v>1645</v>
      </c>
      <c r="P1197" s="192">
        <f t="shared" si="789"/>
        <v>9.83</v>
      </c>
      <c r="Q1197" s="192">
        <f t="shared" si="790"/>
        <v>9.8699999999999992</v>
      </c>
      <c r="R1197" s="193">
        <f t="shared" si="685"/>
        <v>65660</v>
      </c>
      <c r="S1197" s="193">
        <f t="shared" si="686"/>
        <v>140</v>
      </c>
      <c r="T1197" s="193">
        <f t="shared" si="812"/>
        <v>19.7</v>
      </c>
      <c r="U1197" s="193">
        <f t="shared" si="707"/>
        <v>3.87</v>
      </c>
      <c r="V1197" s="193">
        <f t="shared" si="807"/>
        <v>8.23</v>
      </c>
      <c r="W1197" s="193">
        <f t="shared" si="735"/>
        <v>0.98</v>
      </c>
      <c r="X1197" s="193">
        <f t="shared" si="813"/>
        <v>1.81</v>
      </c>
      <c r="Y1197" s="193">
        <f t="shared" si="758"/>
        <v>7.0000000000000007E-2</v>
      </c>
      <c r="Z1197" s="193">
        <f t="shared" si="692"/>
        <v>34.660000000000004</v>
      </c>
      <c r="AA1197" s="194">
        <f t="shared" si="693"/>
        <v>105.34</v>
      </c>
      <c r="AB1197" s="195">
        <v>105</v>
      </c>
      <c r="AC1197" s="196">
        <f t="shared" si="694"/>
        <v>-0.34000000000000341</v>
      </c>
      <c r="AD1197" s="197">
        <f t="shared" si="695"/>
        <v>4.2735042735042739E-3</v>
      </c>
      <c r="AE1197" s="198">
        <f t="shared" si="696"/>
        <v>5.2800000000000004E-4</v>
      </c>
      <c r="AF1197" s="193"/>
      <c r="AG1197" s="199" t="s">
        <v>416</v>
      </c>
      <c r="AH1197" s="124"/>
    </row>
    <row r="1198" spans="1:34" ht="12" hidden="1" customHeight="1">
      <c r="A1198" s="187">
        <v>44578</v>
      </c>
      <c r="B1198" s="188" t="s">
        <v>589</v>
      </c>
      <c r="C1198" s="188" t="s">
        <v>460</v>
      </c>
      <c r="D1198" s="188"/>
      <c r="E1198" s="188" t="str">
        <f t="shared" si="682"/>
        <v>DCMSHRIRAM</v>
      </c>
      <c r="F1198" s="188"/>
      <c r="G1198" s="188"/>
      <c r="H1198" s="188"/>
      <c r="I1198" s="188" t="s">
        <v>668</v>
      </c>
      <c r="J1198" s="188" t="s">
        <v>483</v>
      </c>
      <c r="K1198" s="188"/>
      <c r="L1198" s="188"/>
      <c r="M1198" s="189">
        <v>250</v>
      </c>
      <c r="N1198" s="190">
        <v>1050.2</v>
      </c>
      <c r="O1198" s="191">
        <v>1055.124</v>
      </c>
      <c r="P1198" s="192">
        <f t="shared" si="789"/>
        <v>20</v>
      </c>
      <c r="Q1198" s="192">
        <f t="shared" si="790"/>
        <v>20</v>
      </c>
      <c r="R1198" s="193">
        <f t="shared" si="685"/>
        <v>526331</v>
      </c>
      <c r="S1198" s="193">
        <f t="shared" si="686"/>
        <v>1230.9999999999945</v>
      </c>
      <c r="T1198" s="193">
        <v>145.69999999999999</v>
      </c>
      <c r="U1198" s="193">
        <f t="shared" si="707"/>
        <v>29.49</v>
      </c>
      <c r="V1198" s="193">
        <f t="shared" si="807"/>
        <v>65.95</v>
      </c>
      <c r="W1198" s="193">
        <f t="shared" si="735"/>
        <v>7.88</v>
      </c>
      <c r="X1198" s="193">
        <f t="shared" ref="X1198:X1200" si="814">ROUND(R1198*H$1820,2)</f>
        <v>18.16</v>
      </c>
      <c r="Y1198" s="193">
        <f t="shared" si="758"/>
        <v>0.53</v>
      </c>
      <c r="Z1198" s="193">
        <f t="shared" si="692"/>
        <v>267.70999999999998</v>
      </c>
      <c r="AA1198" s="194">
        <f t="shared" si="693"/>
        <v>963.29</v>
      </c>
      <c r="AB1198" s="195">
        <v>962.64</v>
      </c>
      <c r="AC1198" s="196">
        <f t="shared" si="694"/>
        <v>-0.64999999999997726</v>
      </c>
      <c r="AD1198" s="197">
        <f t="shared" si="695"/>
        <v>4.6886307370024548E-3</v>
      </c>
      <c r="AE1198" s="198">
        <f t="shared" si="696"/>
        <v>5.0900000000000001E-4</v>
      </c>
      <c r="AF1198" s="193"/>
      <c r="AG1198" s="199" t="s">
        <v>416</v>
      </c>
      <c r="AH1198" s="124"/>
    </row>
    <row r="1199" spans="1:34" ht="12" hidden="1" customHeight="1">
      <c r="A1199" s="187">
        <v>44578</v>
      </c>
      <c r="B1199" s="188" t="s">
        <v>587</v>
      </c>
      <c r="C1199" s="188" t="s">
        <v>485</v>
      </c>
      <c r="D1199" s="188"/>
      <c r="E1199" s="188" t="str">
        <f t="shared" si="682"/>
        <v>AARTIIND</v>
      </c>
      <c r="F1199" s="188"/>
      <c r="G1199" s="188"/>
      <c r="H1199" s="188"/>
      <c r="I1199" s="188" t="s">
        <v>668</v>
      </c>
      <c r="J1199" s="188" t="s">
        <v>483</v>
      </c>
      <c r="K1199" s="188"/>
      <c r="L1199" s="188"/>
      <c r="M1199" s="189">
        <v>30</v>
      </c>
      <c r="N1199" s="190">
        <v>1106.6632999999999</v>
      </c>
      <c r="O1199" s="191">
        <v>1109</v>
      </c>
      <c r="P1199" s="192">
        <f t="shared" si="789"/>
        <v>9.9600000000000009</v>
      </c>
      <c r="Q1199" s="192">
        <f t="shared" si="790"/>
        <v>9.98</v>
      </c>
      <c r="R1199" s="193">
        <f t="shared" si="685"/>
        <v>66469.899999999994</v>
      </c>
      <c r="S1199" s="193">
        <f t="shared" si="686"/>
        <v>70.101000000001932</v>
      </c>
      <c r="T1199" s="193">
        <f t="shared" ref="T1199:T1200" si="815">ROUND(P1199+Q1199,2)</f>
        <v>19.940000000000001</v>
      </c>
      <c r="U1199" s="193">
        <f t="shared" si="707"/>
        <v>4</v>
      </c>
      <c r="V1199" s="193">
        <f t="shared" si="807"/>
        <v>8.32</v>
      </c>
      <c r="W1199" s="193">
        <f t="shared" si="735"/>
        <v>1</v>
      </c>
      <c r="X1199" s="193">
        <f t="shared" si="814"/>
        <v>2.29</v>
      </c>
      <c r="Y1199" s="193">
        <f t="shared" si="758"/>
        <v>7.0000000000000007E-2</v>
      </c>
      <c r="Z1199" s="193">
        <f t="shared" si="692"/>
        <v>35.620000000000005</v>
      </c>
      <c r="AA1199" s="194">
        <f t="shared" si="693"/>
        <v>34.479999999999997</v>
      </c>
      <c r="AB1199" s="195">
        <f>34+0.85</f>
        <v>34.85</v>
      </c>
      <c r="AC1199" s="196">
        <f t="shared" si="694"/>
        <v>0.37000000000000455</v>
      </c>
      <c r="AD1199" s="197">
        <f t="shared" si="695"/>
        <v>2.1114823270999088E-3</v>
      </c>
      <c r="AE1199" s="198">
        <f t="shared" si="696"/>
        <v>5.3600000000000002E-4</v>
      </c>
      <c r="AF1199" s="193"/>
      <c r="AG1199" s="199" t="s">
        <v>416</v>
      </c>
      <c r="AH1199" s="124"/>
    </row>
    <row r="1200" spans="1:34" ht="12" hidden="1" customHeight="1">
      <c r="A1200" s="187">
        <v>44578</v>
      </c>
      <c r="B1200" s="188" t="s">
        <v>591</v>
      </c>
      <c r="C1200" s="188" t="s">
        <v>485</v>
      </c>
      <c r="D1200" s="188"/>
      <c r="E1200" s="188" t="str">
        <f t="shared" si="682"/>
        <v>VSSL</v>
      </c>
      <c r="F1200" s="188"/>
      <c r="G1200" s="188"/>
      <c r="H1200" s="188"/>
      <c r="I1200" s="188" t="s">
        <v>668</v>
      </c>
      <c r="J1200" s="188" t="s">
        <v>483</v>
      </c>
      <c r="K1200" s="188"/>
      <c r="L1200" s="188"/>
      <c r="M1200" s="189">
        <v>50</v>
      </c>
      <c r="N1200" s="190">
        <v>271.5</v>
      </c>
      <c r="O1200" s="191">
        <v>272.56799999999998</v>
      </c>
      <c r="P1200" s="192">
        <f t="shared" si="789"/>
        <v>4.07</v>
      </c>
      <c r="Q1200" s="192">
        <f t="shared" si="790"/>
        <v>4.09</v>
      </c>
      <c r="R1200" s="193">
        <f t="shared" si="685"/>
        <v>27203.4</v>
      </c>
      <c r="S1200" s="193">
        <f t="shared" si="686"/>
        <v>53.399999999999181</v>
      </c>
      <c r="T1200" s="193">
        <f t="shared" si="815"/>
        <v>8.16</v>
      </c>
      <c r="U1200" s="193">
        <f t="shared" si="707"/>
        <v>1.64</v>
      </c>
      <c r="V1200" s="193">
        <f t="shared" si="807"/>
        <v>3.41</v>
      </c>
      <c r="W1200" s="193">
        <f t="shared" si="735"/>
        <v>0.41</v>
      </c>
      <c r="X1200" s="193">
        <f t="shared" si="814"/>
        <v>0.94</v>
      </c>
      <c r="Y1200" s="193">
        <f t="shared" si="758"/>
        <v>0.03</v>
      </c>
      <c r="Z1200" s="193">
        <f t="shared" si="692"/>
        <v>14.59</v>
      </c>
      <c r="AA1200" s="194">
        <f t="shared" si="693"/>
        <v>38.81</v>
      </c>
      <c r="AB1200" s="195">
        <v>39</v>
      </c>
      <c r="AC1200" s="196">
        <f t="shared" si="694"/>
        <v>0.18999999999999773</v>
      </c>
      <c r="AD1200" s="197">
        <f t="shared" si="695"/>
        <v>3.933701657458503E-3</v>
      </c>
      <c r="AE1200" s="198">
        <f t="shared" si="696"/>
        <v>5.3600000000000002E-4</v>
      </c>
      <c r="AF1200" s="193"/>
      <c r="AG1200" s="199" t="s">
        <v>416</v>
      </c>
      <c r="AH1200" s="124"/>
    </row>
    <row r="1201" spans="1:34" ht="12" hidden="1" customHeight="1">
      <c r="A1201" s="187">
        <v>44579</v>
      </c>
      <c r="B1201" s="188" t="s">
        <v>589</v>
      </c>
      <c r="C1201" s="188" t="s">
        <v>460</v>
      </c>
      <c r="D1201" s="188"/>
      <c r="E1201" s="188" t="str">
        <f t="shared" si="682"/>
        <v>DCMSHRIRAM</v>
      </c>
      <c r="F1201" s="188"/>
      <c r="G1201" s="188"/>
      <c r="H1201" s="188"/>
      <c r="I1201" s="188" t="s">
        <v>668</v>
      </c>
      <c r="J1201" s="188" t="s">
        <v>483</v>
      </c>
      <c r="K1201" s="188"/>
      <c r="L1201" s="188"/>
      <c r="M1201" s="189">
        <v>113</v>
      </c>
      <c r="N1201" s="190">
        <v>1013.6283</v>
      </c>
      <c r="O1201" s="191">
        <v>1015.8053</v>
      </c>
      <c r="P1201" s="192">
        <f t="shared" si="789"/>
        <v>20</v>
      </c>
      <c r="Q1201" s="192">
        <f t="shared" si="790"/>
        <v>20</v>
      </c>
      <c r="R1201" s="193">
        <f t="shared" si="685"/>
        <v>229326</v>
      </c>
      <c r="S1201" s="193">
        <f t="shared" si="686"/>
        <v>246.00100000000236</v>
      </c>
      <c r="T1201" s="193">
        <v>57.6</v>
      </c>
      <c r="U1201" s="193">
        <f t="shared" si="707"/>
        <v>11.5</v>
      </c>
      <c r="V1201" s="193">
        <f>ROUND((O1201*M1201)*F$1818,2)-1</f>
        <v>27.7</v>
      </c>
      <c r="W1201" s="193">
        <f t="shared" si="735"/>
        <v>3.44</v>
      </c>
      <c r="X1201" s="193">
        <f>ROUND(R1201*G$1820,2)</f>
        <v>6.31</v>
      </c>
      <c r="Y1201" s="193">
        <f t="shared" si="758"/>
        <v>0.23</v>
      </c>
      <c r="Z1201" s="193">
        <f t="shared" si="692"/>
        <v>106.78</v>
      </c>
      <c r="AA1201" s="194">
        <f t="shared" si="693"/>
        <v>139.22</v>
      </c>
      <c r="AB1201" s="195">
        <v>139.18</v>
      </c>
      <c r="AC1201" s="196">
        <f t="shared" si="694"/>
        <v>-3.9999999999992042E-2</v>
      </c>
      <c r="AD1201" s="197">
        <f t="shared" si="695"/>
        <v>2.1477300900142795E-3</v>
      </c>
      <c r="AE1201" s="198">
        <f t="shared" si="696"/>
        <v>4.66E-4</v>
      </c>
      <c r="AF1201" s="193"/>
      <c r="AG1201" s="199" t="s">
        <v>416</v>
      </c>
      <c r="AH1201" s="124"/>
    </row>
    <row r="1202" spans="1:34" ht="12" hidden="1" customHeight="1">
      <c r="A1202" s="187">
        <v>44579</v>
      </c>
      <c r="B1202" s="188" t="s">
        <v>598</v>
      </c>
      <c r="C1202" s="188" t="s">
        <v>485</v>
      </c>
      <c r="D1202" s="188"/>
      <c r="E1202" s="188" t="str">
        <f t="shared" si="682"/>
        <v>A2ZINFRA</v>
      </c>
      <c r="F1202" s="188"/>
      <c r="G1202" s="188"/>
      <c r="H1202" s="188"/>
      <c r="I1202" s="188" t="s">
        <v>668</v>
      </c>
      <c r="J1202" s="188" t="s">
        <v>483</v>
      </c>
      <c r="K1202" s="188"/>
      <c r="L1202" s="188"/>
      <c r="M1202" s="189">
        <v>1000</v>
      </c>
      <c r="N1202" s="190">
        <v>12.25</v>
      </c>
      <c r="O1202" s="191">
        <v>12.45</v>
      </c>
      <c r="P1202" s="192">
        <f t="shared" si="789"/>
        <v>3.68</v>
      </c>
      <c r="Q1202" s="192">
        <f t="shared" si="790"/>
        <v>3.74</v>
      </c>
      <c r="R1202" s="193">
        <f t="shared" si="685"/>
        <v>24700</v>
      </c>
      <c r="S1202" s="193">
        <f t="shared" si="686"/>
        <v>199.99999999999929</v>
      </c>
      <c r="T1202" s="193">
        <f t="shared" ref="T1202:T1204" si="816">ROUND(P1202+Q1202,2)</f>
        <v>7.42</v>
      </c>
      <c r="U1202" s="193">
        <f t="shared" si="707"/>
        <v>1.49</v>
      </c>
      <c r="V1202" s="193">
        <f t="shared" ref="V1202:V1236" si="817">ROUND((O1202*M1202)*F$1818,2)</f>
        <v>3.11</v>
      </c>
      <c r="W1202" s="193">
        <f t="shared" si="735"/>
        <v>0.37</v>
      </c>
      <c r="X1202" s="193">
        <f>ROUND(R1202*H$1820,2)</f>
        <v>0.85</v>
      </c>
      <c r="Y1202" s="193">
        <f t="shared" si="758"/>
        <v>0.02</v>
      </c>
      <c r="Z1202" s="193">
        <f t="shared" si="692"/>
        <v>13.259999999999998</v>
      </c>
      <c r="AA1202" s="194">
        <f t="shared" si="693"/>
        <v>186.74</v>
      </c>
      <c r="AB1202" s="195">
        <f>187+0.13</f>
        <v>187.13</v>
      </c>
      <c r="AC1202" s="196">
        <f t="shared" si="694"/>
        <v>0.38999999999998636</v>
      </c>
      <c r="AD1202" s="197">
        <f t="shared" si="695"/>
        <v>1.632653061224484E-2</v>
      </c>
      <c r="AE1202" s="198">
        <f t="shared" si="696"/>
        <v>5.3700000000000004E-4</v>
      </c>
      <c r="AF1202" s="193"/>
      <c r="AG1202" s="199" t="s">
        <v>416</v>
      </c>
      <c r="AH1202" s="124"/>
    </row>
    <row r="1203" spans="1:34" ht="12" hidden="1" customHeight="1">
      <c r="A1203" s="187">
        <v>44579</v>
      </c>
      <c r="B1203" s="188" t="s">
        <v>479</v>
      </c>
      <c r="C1203" s="188" t="s">
        <v>485</v>
      </c>
      <c r="D1203" s="188"/>
      <c r="E1203" s="188" t="str">
        <f t="shared" si="682"/>
        <v>TATAPOWER</v>
      </c>
      <c r="F1203" s="188"/>
      <c r="G1203" s="188"/>
      <c r="H1203" s="188"/>
      <c r="I1203" s="188" t="s">
        <v>668</v>
      </c>
      <c r="J1203" s="188" t="s">
        <v>483</v>
      </c>
      <c r="K1203" s="188"/>
      <c r="L1203" s="188"/>
      <c r="M1203" s="189">
        <v>50</v>
      </c>
      <c r="N1203" s="190">
        <v>247</v>
      </c>
      <c r="O1203" s="191">
        <v>248</v>
      </c>
      <c r="P1203" s="192">
        <f t="shared" si="789"/>
        <v>3.71</v>
      </c>
      <c r="Q1203" s="192">
        <f t="shared" si="790"/>
        <v>3.72</v>
      </c>
      <c r="R1203" s="193">
        <f t="shared" si="685"/>
        <v>24750</v>
      </c>
      <c r="S1203" s="193">
        <f t="shared" si="686"/>
        <v>50</v>
      </c>
      <c r="T1203" s="193">
        <f t="shared" si="816"/>
        <v>7.43</v>
      </c>
      <c r="U1203" s="193">
        <f t="shared" si="707"/>
        <v>1.46</v>
      </c>
      <c r="V1203" s="193">
        <f t="shared" si="817"/>
        <v>3.1</v>
      </c>
      <c r="W1203" s="193">
        <f t="shared" si="735"/>
        <v>0.37</v>
      </c>
      <c r="X1203" s="193">
        <f t="shared" ref="X1203:X1204" si="818">ROUND(R1203*G$1820,2)</f>
        <v>0.68</v>
      </c>
      <c r="Y1203" s="193">
        <f t="shared" si="758"/>
        <v>0.02</v>
      </c>
      <c r="Z1203" s="193">
        <f t="shared" si="692"/>
        <v>13.059999999999999</v>
      </c>
      <c r="AA1203" s="194">
        <f t="shared" si="693"/>
        <v>36.94</v>
      </c>
      <c r="AB1203" s="195">
        <v>37</v>
      </c>
      <c r="AC1203" s="196">
        <f t="shared" si="694"/>
        <v>6.0000000000002274E-2</v>
      </c>
      <c r="AD1203" s="197">
        <f t="shared" si="695"/>
        <v>4.048582995951417E-3</v>
      </c>
      <c r="AE1203" s="198">
        <f t="shared" si="696"/>
        <v>5.2800000000000004E-4</v>
      </c>
      <c r="AF1203" s="193"/>
      <c r="AG1203" s="199" t="s">
        <v>416</v>
      </c>
      <c r="AH1203" s="124"/>
    </row>
    <row r="1204" spans="1:34" ht="12" hidden="1" customHeight="1">
      <c r="A1204" s="187">
        <v>44580</v>
      </c>
      <c r="B1204" s="188" t="s">
        <v>479</v>
      </c>
      <c r="C1204" s="188" t="s">
        <v>485</v>
      </c>
      <c r="D1204" s="188"/>
      <c r="E1204" s="188" t="str">
        <f t="shared" si="682"/>
        <v>TATAPOWER</v>
      </c>
      <c r="F1204" s="188"/>
      <c r="G1204" s="188"/>
      <c r="H1204" s="188"/>
      <c r="I1204" s="188" t="s">
        <v>668</v>
      </c>
      <c r="J1204" s="188" t="s">
        <v>483</v>
      </c>
      <c r="K1204" s="188"/>
      <c r="L1204" s="188"/>
      <c r="M1204" s="189">
        <v>35</v>
      </c>
      <c r="N1204" s="190">
        <v>249.2</v>
      </c>
      <c r="O1204" s="191">
        <v>249.5</v>
      </c>
      <c r="P1204" s="192">
        <f t="shared" si="789"/>
        <v>2.62</v>
      </c>
      <c r="Q1204" s="192">
        <f t="shared" si="790"/>
        <v>2.62</v>
      </c>
      <c r="R1204" s="193">
        <f t="shared" si="685"/>
        <v>17454.5</v>
      </c>
      <c r="S1204" s="193">
        <f t="shared" si="686"/>
        <v>10.500000000000398</v>
      </c>
      <c r="T1204" s="193">
        <f t="shared" si="816"/>
        <v>5.24</v>
      </c>
      <c r="U1204" s="193">
        <f t="shared" si="707"/>
        <v>1.03</v>
      </c>
      <c r="V1204" s="193">
        <f t="shared" si="817"/>
        <v>2.1800000000000002</v>
      </c>
      <c r="W1204" s="193">
        <f t="shared" si="735"/>
        <v>0.26</v>
      </c>
      <c r="X1204" s="193">
        <f t="shared" si="818"/>
        <v>0.48</v>
      </c>
      <c r="Y1204" s="193">
        <f t="shared" si="758"/>
        <v>0.02</v>
      </c>
      <c r="Z1204" s="193">
        <f t="shared" si="692"/>
        <v>9.2100000000000009</v>
      </c>
      <c r="AA1204" s="194">
        <f t="shared" si="693"/>
        <v>1.29</v>
      </c>
      <c r="AB1204" s="195">
        <v>1.76</v>
      </c>
      <c r="AC1204" s="196">
        <f t="shared" si="694"/>
        <v>0.47</v>
      </c>
      <c r="AD1204" s="197">
        <f t="shared" si="695"/>
        <v>1.2038523274478788E-3</v>
      </c>
      <c r="AE1204" s="198">
        <f t="shared" si="696"/>
        <v>5.2800000000000004E-4</v>
      </c>
      <c r="AF1204" s="193"/>
      <c r="AG1204" s="199" t="s">
        <v>416</v>
      </c>
      <c r="AH1204" s="124"/>
    </row>
    <row r="1205" spans="1:34" ht="12" hidden="1" customHeight="1">
      <c r="A1205" s="187">
        <v>44580</v>
      </c>
      <c r="B1205" s="188" t="s">
        <v>589</v>
      </c>
      <c r="C1205" s="188" t="s">
        <v>460</v>
      </c>
      <c r="D1205" s="188"/>
      <c r="E1205" s="188" t="str">
        <f t="shared" si="682"/>
        <v>DCMSHRIRAM</v>
      </c>
      <c r="F1205" s="188"/>
      <c r="G1205" s="188"/>
      <c r="H1205" s="188"/>
      <c r="I1205" s="188" t="s">
        <v>668</v>
      </c>
      <c r="J1205" s="188" t="s">
        <v>483</v>
      </c>
      <c r="K1205" s="188"/>
      <c r="L1205" s="188"/>
      <c r="M1205" s="189">
        <v>397</v>
      </c>
      <c r="N1205" s="190">
        <v>1097.0027</v>
      </c>
      <c r="O1205" s="191">
        <v>1107.5222100000001</v>
      </c>
      <c r="P1205" s="192">
        <f t="shared" si="789"/>
        <v>20</v>
      </c>
      <c r="Q1205" s="192">
        <f t="shared" si="790"/>
        <v>20</v>
      </c>
      <c r="R1205" s="193">
        <f t="shared" si="685"/>
        <v>875196.39</v>
      </c>
      <c r="S1205" s="193">
        <f t="shared" si="686"/>
        <v>4176.2454700000326</v>
      </c>
      <c r="T1205" s="193">
        <v>269.79000000000002</v>
      </c>
      <c r="U1205" s="193">
        <f t="shared" si="707"/>
        <v>54</v>
      </c>
      <c r="V1205" s="193">
        <f t="shared" si="817"/>
        <v>109.92</v>
      </c>
      <c r="W1205" s="193">
        <f t="shared" si="735"/>
        <v>13.07</v>
      </c>
      <c r="X1205" s="193">
        <f>ROUND(R1205*H$1820,2)</f>
        <v>30.19</v>
      </c>
      <c r="Y1205" s="193">
        <f t="shared" si="758"/>
        <v>0.88</v>
      </c>
      <c r="Z1205" s="193">
        <f t="shared" si="692"/>
        <v>477.85</v>
      </c>
      <c r="AA1205" s="194">
        <f t="shared" si="693"/>
        <v>3698.4</v>
      </c>
      <c r="AB1205" s="195">
        <v>3699.2299999999996</v>
      </c>
      <c r="AC1205" s="196">
        <f t="shared" si="694"/>
        <v>0.82999999999947249</v>
      </c>
      <c r="AD1205" s="197">
        <f t="shared" si="695"/>
        <v>9.5893200627492365E-3</v>
      </c>
      <c r="AE1205" s="198">
        <f t="shared" si="696"/>
        <v>5.4600000000000004E-4</v>
      </c>
      <c r="AF1205" s="193"/>
      <c r="AG1205" s="199" t="s">
        <v>416</v>
      </c>
      <c r="AH1205" s="124"/>
    </row>
    <row r="1206" spans="1:34" ht="12" hidden="1" customHeight="1">
      <c r="A1206" s="187">
        <v>44581</v>
      </c>
      <c r="B1206" s="188" t="s">
        <v>589</v>
      </c>
      <c r="C1206" s="188" t="s">
        <v>460</v>
      </c>
      <c r="D1206" s="188"/>
      <c r="E1206" s="188" t="str">
        <f t="shared" si="682"/>
        <v>DCMSHRIRAM</v>
      </c>
      <c r="F1206" s="188"/>
      <c r="G1206" s="188"/>
      <c r="H1206" s="188"/>
      <c r="I1206" s="188" t="s">
        <v>668</v>
      </c>
      <c r="J1206" s="188" t="s">
        <v>483</v>
      </c>
      <c r="K1206" s="188"/>
      <c r="L1206" s="188"/>
      <c r="M1206" s="189">
        <v>610</v>
      </c>
      <c r="N1206" s="190">
        <v>1096.9246000000001</v>
      </c>
      <c r="O1206" s="191">
        <v>1101.9459999999999</v>
      </c>
      <c r="P1206" s="192">
        <f t="shared" si="789"/>
        <v>20</v>
      </c>
      <c r="Q1206" s="192">
        <f t="shared" si="790"/>
        <v>20</v>
      </c>
      <c r="R1206" s="193">
        <f t="shared" si="685"/>
        <v>1341311.07</v>
      </c>
      <c r="S1206" s="193">
        <f t="shared" si="686"/>
        <v>3063.0539999999132</v>
      </c>
      <c r="T1206" s="193">
        <v>272.32</v>
      </c>
      <c r="U1206" s="193">
        <f t="shared" si="707"/>
        <v>55.66</v>
      </c>
      <c r="V1206" s="193">
        <f t="shared" si="817"/>
        <v>168.05</v>
      </c>
      <c r="W1206" s="193">
        <f t="shared" si="735"/>
        <v>20.07</v>
      </c>
      <c r="X1206" s="193">
        <f>ROUND(R1206*G$1820,2)</f>
        <v>36.89</v>
      </c>
      <c r="Y1206" s="193">
        <f t="shared" si="758"/>
        <v>1.34</v>
      </c>
      <c r="Z1206" s="193">
        <f t="shared" si="692"/>
        <v>554.33000000000004</v>
      </c>
      <c r="AA1206" s="194">
        <f t="shared" si="693"/>
        <v>2508.7199999999998</v>
      </c>
      <c r="AB1206" s="195">
        <v>2508.85</v>
      </c>
      <c r="AC1206" s="196">
        <f t="shared" si="694"/>
        <v>0.13000000000010914</v>
      </c>
      <c r="AD1206" s="197">
        <f t="shared" si="695"/>
        <v>4.5777075288491635E-3</v>
      </c>
      <c r="AE1206" s="198">
        <f t="shared" si="696"/>
        <v>4.1300000000000001E-4</v>
      </c>
      <c r="AF1206" s="193"/>
      <c r="AG1206" s="199" t="s">
        <v>416</v>
      </c>
      <c r="AH1206" s="124"/>
    </row>
    <row r="1207" spans="1:34" ht="12" hidden="1" customHeight="1">
      <c r="A1207" s="187">
        <v>44581</v>
      </c>
      <c r="B1207" s="188" t="s">
        <v>555</v>
      </c>
      <c r="C1207" s="188" t="s">
        <v>485</v>
      </c>
      <c r="D1207" s="188"/>
      <c r="E1207" s="188" t="str">
        <f t="shared" si="682"/>
        <v>PNBGILTS</v>
      </c>
      <c r="F1207" s="188"/>
      <c r="G1207" s="188"/>
      <c r="H1207" s="188"/>
      <c r="I1207" s="188" t="s">
        <v>668</v>
      </c>
      <c r="J1207" s="188" t="s">
        <v>483</v>
      </c>
      <c r="K1207" s="188"/>
      <c r="L1207" s="188"/>
      <c r="M1207" s="189">
        <v>200</v>
      </c>
      <c r="N1207" s="190">
        <v>74.849999999999994</v>
      </c>
      <c r="O1207" s="191">
        <v>75.174999999999997</v>
      </c>
      <c r="P1207" s="192">
        <f t="shared" si="789"/>
        <v>4.49</v>
      </c>
      <c r="Q1207" s="192">
        <f t="shared" si="790"/>
        <v>4.51</v>
      </c>
      <c r="R1207" s="193">
        <f t="shared" si="685"/>
        <v>30005</v>
      </c>
      <c r="S1207" s="193">
        <f t="shared" si="686"/>
        <v>65.000000000000568</v>
      </c>
      <c r="T1207" s="193">
        <f t="shared" ref="T1207:T1210" si="819">ROUND(P1207+Q1207,2)</f>
        <v>9</v>
      </c>
      <c r="U1207" s="193">
        <f t="shared" si="707"/>
        <v>1.81</v>
      </c>
      <c r="V1207" s="193">
        <f t="shared" si="817"/>
        <v>3.76</v>
      </c>
      <c r="W1207" s="193">
        <f t="shared" si="735"/>
        <v>0.45</v>
      </c>
      <c r="X1207" s="193">
        <f t="shared" ref="X1207:X1208" si="820">ROUND(R1207*H$1820,2)</f>
        <v>1.04</v>
      </c>
      <c r="Y1207" s="193">
        <f t="shared" si="758"/>
        <v>0.03</v>
      </c>
      <c r="Z1207" s="193">
        <f t="shared" si="692"/>
        <v>16.09</v>
      </c>
      <c r="AA1207" s="194">
        <f t="shared" si="693"/>
        <v>48.91</v>
      </c>
      <c r="AB1207" s="195">
        <f>49-0.06</f>
        <v>48.94</v>
      </c>
      <c r="AC1207" s="196">
        <f t="shared" si="694"/>
        <v>3.0000000000001137E-2</v>
      </c>
      <c r="AD1207" s="197">
        <f t="shared" si="695"/>
        <v>4.3420173680695107E-3</v>
      </c>
      <c r="AE1207" s="198">
        <f t="shared" si="696"/>
        <v>5.3600000000000002E-4</v>
      </c>
      <c r="AF1207" s="193"/>
      <c r="AG1207" s="199" t="s">
        <v>416</v>
      </c>
      <c r="AH1207" s="124"/>
    </row>
    <row r="1208" spans="1:34" ht="12" hidden="1" customHeight="1">
      <c r="A1208" s="187">
        <v>44581</v>
      </c>
      <c r="B1208" s="188" t="s">
        <v>498</v>
      </c>
      <c r="C1208" s="188" t="s">
        <v>485</v>
      </c>
      <c r="D1208" s="188"/>
      <c r="E1208" s="188" t="str">
        <f t="shared" si="682"/>
        <v>BAJFINANCE</v>
      </c>
      <c r="F1208" s="188"/>
      <c r="G1208" s="188"/>
      <c r="H1208" s="188"/>
      <c r="I1208" s="188" t="s">
        <v>668</v>
      </c>
      <c r="J1208" s="188" t="s">
        <v>483</v>
      </c>
      <c r="K1208" s="188"/>
      <c r="L1208" s="188"/>
      <c r="M1208" s="189">
        <v>4</v>
      </c>
      <c r="N1208" s="190">
        <v>7424.75</v>
      </c>
      <c r="O1208" s="191">
        <v>7458.75</v>
      </c>
      <c r="P1208" s="192">
        <f t="shared" si="789"/>
        <v>8.91</v>
      </c>
      <c r="Q1208" s="192">
        <f t="shared" si="790"/>
        <v>8.9499999999999993</v>
      </c>
      <c r="R1208" s="193">
        <f t="shared" si="685"/>
        <v>59534</v>
      </c>
      <c r="S1208" s="193">
        <f t="shared" si="686"/>
        <v>136</v>
      </c>
      <c r="T1208" s="193">
        <f t="shared" si="819"/>
        <v>17.86</v>
      </c>
      <c r="U1208" s="193">
        <f t="shared" si="707"/>
        <v>3.58</v>
      </c>
      <c r="V1208" s="193">
        <f t="shared" si="817"/>
        <v>7.46</v>
      </c>
      <c r="W1208" s="193">
        <f t="shared" si="735"/>
        <v>0.89</v>
      </c>
      <c r="X1208" s="193">
        <f t="shared" si="820"/>
        <v>2.0499999999999998</v>
      </c>
      <c r="Y1208" s="193">
        <f t="shared" si="758"/>
        <v>0.06</v>
      </c>
      <c r="Z1208" s="193">
        <f t="shared" si="692"/>
        <v>31.9</v>
      </c>
      <c r="AA1208" s="194">
        <f t="shared" si="693"/>
        <v>104.1</v>
      </c>
      <c r="AB1208" s="195">
        <v>104</v>
      </c>
      <c r="AC1208" s="196">
        <f t="shared" si="694"/>
        <v>-9.9999999999994316E-2</v>
      </c>
      <c r="AD1208" s="197">
        <f t="shared" si="695"/>
        <v>4.5792787635947334E-3</v>
      </c>
      <c r="AE1208" s="198">
        <f t="shared" si="696"/>
        <v>5.3600000000000002E-4</v>
      </c>
      <c r="AF1208" s="193"/>
      <c r="AG1208" s="199" t="s">
        <v>416</v>
      </c>
      <c r="AH1208" s="124"/>
    </row>
    <row r="1209" spans="1:34" ht="12" hidden="1" customHeight="1">
      <c r="A1209" s="187">
        <v>44581</v>
      </c>
      <c r="B1209" s="188" t="s">
        <v>606</v>
      </c>
      <c r="C1209" s="188" t="s">
        <v>485</v>
      </c>
      <c r="D1209" s="188"/>
      <c r="E1209" s="188" t="str">
        <f t="shared" si="682"/>
        <v>MCLEODRUSS</v>
      </c>
      <c r="F1209" s="188"/>
      <c r="G1209" s="188"/>
      <c r="H1209" s="188"/>
      <c r="I1209" s="188" t="s">
        <v>668</v>
      </c>
      <c r="J1209" s="188" t="s">
        <v>483</v>
      </c>
      <c r="K1209" s="188"/>
      <c r="L1209" s="188"/>
      <c r="M1209" s="189">
        <v>900</v>
      </c>
      <c r="N1209" s="190">
        <v>32.944400000000002</v>
      </c>
      <c r="O1209" s="191">
        <v>33.0944</v>
      </c>
      <c r="P1209" s="192">
        <f t="shared" si="789"/>
        <v>8.89</v>
      </c>
      <c r="Q1209" s="192">
        <f t="shared" si="790"/>
        <v>8.94</v>
      </c>
      <c r="R1209" s="193">
        <f t="shared" si="685"/>
        <v>59434.92</v>
      </c>
      <c r="S1209" s="193">
        <f t="shared" si="686"/>
        <v>134.99999999999872</v>
      </c>
      <c r="T1209" s="193">
        <f t="shared" si="819"/>
        <v>17.829999999999998</v>
      </c>
      <c r="U1209" s="193">
        <f t="shared" si="707"/>
        <v>3.5</v>
      </c>
      <c r="V1209" s="193">
        <f t="shared" si="817"/>
        <v>7.45</v>
      </c>
      <c r="W1209" s="193">
        <f t="shared" si="735"/>
        <v>0.89</v>
      </c>
      <c r="X1209" s="193">
        <f t="shared" ref="X1209:X1211" si="821">ROUND(R1209*G$1820,2)</f>
        <v>1.63</v>
      </c>
      <c r="Y1209" s="193">
        <f t="shared" si="758"/>
        <v>0.06</v>
      </c>
      <c r="Z1209" s="193">
        <f t="shared" si="692"/>
        <v>31.359999999999996</v>
      </c>
      <c r="AA1209" s="194">
        <f t="shared" si="693"/>
        <v>103.64</v>
      </c>
      <c r="AB1209" s="195">
        <v>104</v>
      </c>
      <c r="AC1209" s="196">
        <f t="shared" si="694"/>
        <v>0.35999999999999943</v>
      </c>
      <c r="AD1209" s="197">
        <f t="shared" si="695"/>
        <v>4.5531258726824158E-3</v>
      </c>
      <c r="AE1209" s="198">
        <f t="shared" si="696"/>
        <v>5.2800000000000004E-4</v>
      </c>
      <c r="AF1209" s="193"/>
      <c r="AG1209" s="199" t="s">
        <v>416</v>
      </c>
      <c r="AH1209" s="124"/>
    </row>
    <row r="1210" spans="1:34" ht="12" hidden="1" customHeight="1">
      <c r="A1210" s="187">
        <v>44581</v>
      </c>
      <c r="B1210" s="188" t="s">
        <v>479</v>
      </c>
      <c r="C1210" s="188" t="s">
        <v>485</v>
      </c>
      <c r="D1210" s="188"/>
      <c r="E1210" s="188" t="str">
        <f t="shared" si="682"/>
        <v>TATAPOWER</v>
      </c>
      <c r="F1210" s="188"/>
      <c r="G1210" s="188"/>
      <c r="H1210" s="188"/>
      <c r="I1210" s="188" t="s">
        <v>668</v>
      </c>
      <c r="J1210" s="188" t="s">
        <v>483</v>
      </c>
      <c r="K1210" s="188"/>
      <c r="L1210" s="188"/>
      <c r="M1210" s="189">
        <v>15</v>
      </c>
      <c r="N1210" s="190">
        <v>248.5</v>
      </c>
      <c r="O1210" s="191">
        <v>251</v>
      </c>
      <c r="P1210" s="192">
        <f t="shared" si="789"/>
        <v>1.1200000000000001</v>
      </c>
      <c r="Q1210" s="192">
        <f t="shared" si="790"/>
        <v>1.1299999999999999</v>
      </c>
      <c r="R1210" s="193">
        <f t="shared" si="685"/>
        <v>7492.5</v>
      </c>
      <c r="S1210" s="193">
        <f t="shared" si="686"/>
        <v>37.5</v>
      </c>
      <c r="T1210" s="193">
        <f t="shared" si="819"/>
        <v>2.25</v>
      </c>
      <c r="U1210" s="193">
        <f t="shared" si="707"/>
        <v>0.44</v>
      </c>
      <c r="V1210" s="193">
        <f t="shared" si="817"/>
        <v>0.94</v>
      </c>
      <c r="W1210" s="193">
        <f t="shared" si="735"/>
        <v>0.11</v>
      </c>
      <c r="X1210" s="193">
        <f t="shared" si="821"/>
        <v>0.21</v>
      </c>
      <c r="Y1210" s="193">
        <f t="shared" si="758"/>
        <v>0.01</v>
      </c>
      <c r="Z1210" s="193">
        <f t="shared" si="692"/>
        <v>3.9599999999999995</v>
      </c>
      <c r="AA1210" s="194">
        <f t="shared" si="693"/>
        <v>33.54</v>
      </c>
      <c r="AB1210" s="195">
        <v>34</v>
      </c>
      <c r="AC1210" s="196">
        <f t="shared" si="694"/>
        <v>0.46000000000000085</v>
      </c>
      <c r="AD1210" s="197">
        <f t="shared" si="695"/>
        <v>1.0060362173038229E-2</v>
      </c>
      <c r="AE1210" s="198">
        <f t="shared" si="696"/>
        <v>5.2899999999999996E-4</v>
      </c>
      <c r="AF1210" s="193"/>
      <c r="AG1210" s="199" t="s">
        <v>416</v>
      </c>
      <c r="AH1210" s="124"/>
    </row>
    <row r="1211" spans="1:34" ht="12" hidden="1" customHeight="1">
      <c r="A1211" s="187">
        <v>44582</v>
      </c>
      <c r="B1211" s="188" t="s">
        <v>589</v>
      </c>
      <c r="C1211" s="188" t="s">
        <v>460</v>
      </c>
      <c r="D1211" s="188"/>
      <c r="E1211" s="188" t="str">
        <f t="shared" si="682"/>
        <v>DCMSHRIRAM</v>
      </c>
      <c r="F1211" s="188"/>
      <c r="G1211" s="188"/>
      <c r="H1211" s="188"/>
      <c r="I1211" s="188" t="s">
        <v>668</v>
      </c>
      <c r="J1211" s="188" t="s">
        <v>483</v>
      </c>
      <c r="K1211" s="188"/>
      <c r="L1211" s="188"/>
      <c r="M1211" s="189">
        <v>102</v>
      </c>
      <c r="N1211" s="190">
        <v>1072.7646999999999</v>
      </c>
      <c r="O1211" s="191">
        <v>1076.8235</v>
      </c>
      <c r="P1211" s="192">
        <f t="shared" si="789"/>
        <v>20</v>
      </c>
      <c r="Q1211" s="192">
        <f t="shared" si="790"/>
        <v>20</v>
      </c>
      <c r="R1211" s="193">
        <f t="shared" si="685"/>
        <v>219258</v>
      </c>
      <c r="S1211" s="193">
        <f t="shared" si="686"/>
        <v>413.99760000000197</v>
      </c>
      <c r="T1211" s="193">
        <v>65.8</v>
      </c>
      <c r="U1211" s="193">
        <f t="shared" si="707"/>
        <v>12.93</v>
      </c>
      <c r="V1211" s="193">
        <f t="shared" si="817"/>
        <v>27.46</v>
      </c>
      <c r="W1211" s="193">
        <f t="shared" si="735"/>
        <v>3.28</v>
      </c>
      <c r="X1211" s="193">
        <f t="shared" si="821"/>
        <v>6.03</v>
      </c>
      <c r="Y1211" s="193">
        <f t="shared" si="758"/>
        <v>0.22</v>
      </c>
      <c r="Z1211" s="193">
        <f t="shared" si="692"/>
        <v>115.72</v>
      </c>
      <c r="AA1211" s="194">
        <f t="shared" si="693"/>
        <v>298.27999999999997</v>
      </c>
      <c r="AB1211" s="195">
        <v>299.04000000000002</v>
      </c>
      <c r="AC1211" s="196">
        <f t="shared" si="694"/>
        <v>0.76000000000004775</v>
      </c>
      <c r="AD1211" s="197">
        <f t="shared" si="695"/>
        <v>3.7834951131408587E-3</v>
      </c>
      <c r="AE1211" s="198">
        <f t="shared" si="696"/>
        <v>5.2800000000000004E-4</v>
      </c>
      <c r="AF1211" s="193"/>
      <c r="AG1211" s="199" t="s">
        <v>416</v>
      </c>
      <c r="AH1211" s="124"/>
    </row>
    <row r="1212" spans="1:34" ht="12" hidden="1" customHeight="1">
      <c r="A1212" s="187">
        <v>44582</v>
      </c>
      <c r="B1212" s="188" t="s">
        <v>606</v>
      </c>
      <c r="C1212" s="188" t="s">
        <v>485</v>
      </c>
      <c r="D1212" s="188"/>
      <c r="E1212" s="188" t="str">
        <f t="shared" si="682"/>
        <v>MCLEODRUSS</v>
      </c>
      <c r="F1212" s="188"/>
      <c r="G1212" s="188"/>
      <c r="H1212" s="188"/>
      <c r="I1212" s="188" t="s">
        <v>668</v>
      </c>
      <c r="J1212" s="188" t="s">
        <v>483</v>
      </c>
      <c r="K1212" s="188"/>
      <c r="L1212" s="188"/>
      <c r="M1212" s="189">
        <v>300</v>
      </c>
      <c r="N1212" s="190">
        <v>32.6</v>
      </c>
      <c r="O1212" s="191">
        <v>33.133319999999998</v>
      </c>
      <c r="P1212" s="192">
        <f t="shared" si="789"/>
        <v>2.93</v>
      </c>
      <c r="Q1212" s="192">
        <f t="shared" si="790"/>
        <v>2.98</v>
      </c>
      <c r="R1212" s="193">
        <f t="shared" si="685"/>
        <v>19720</v>
      </c>
      <c r="S1212" s="193">
        <f t="shared" si="686"/>
        <v>159.99599999999887</v>
      </c>
      <c r="T1212" s="193">
        <f t="shared" ref="T1212:T1215" si="822">ROUND(P1212+Q1212,2)</f>
        <v>5.91</v>
      </c>
      <c r="U1212" s="193">
        <f t="shared" si="707"/>
        <v>1.19</v>
      </c>
      <c r="V1212" s="193">
        <f t="shared" si="817"/>
        <v>2.48</v>
      </c>
      <c r="W1212" s="193">
        <f t="shared" si="735"/>
        <v>0.28999999999999998</v>
      </c>
      <c r="X1212" s="193">
        <f t="shared" ref="X1212:X1213" si="823">ROUND(R1212*H$1820,2)</f>
        <v>0.68</v>
      </c>
      <c r="Y1212" s="193">
        <f t="shared" si="758"/>
        <v>0.02</v>
      </c>
      <c r="Z1212" s="193">
        <f t="shared" si="692"/>
        <v>10.569999999999999</v>
      </c>
      <c r="AA1212" s="194">
        <f t="shared" si="693"/>
        <v>149.43</v>
      </c>
      <c r="AB1212" s="195">
        <f>149+1.12</f>
        <v>150.12</v>
      </c>
      <c r="AC1212" s="196">
        <f t="shared" si="694"/>
        <v>0.68999999999999773</v>
      </c>
      <c r="AD1212" s="197">
        <f t="shared" si="695"/>
        <v>1.6359509202453871E-2</v>
      </c>
      <c r="AE1212" s="198">
        <f t="shared" si="696"/>
        <v>5.3600000000000002E-4</v>
      </c>
      <c r="AF1212" s="193"/>
      <c r="AG1212" s="199" t="s">
        <v>416</v>
      </c>
      <c r="AH1212" s="124"/>
    </row>
    <row r="1213" spans="1:34" ht="12" hidden="1" customHeight="1">
      <c r="A1213" s="187">
        <v>44582</v>
      </c>
      <c r="B1213" s="188" t="s">
        <v>605</v>
      </c>
      <c r="C1213" s="188" t="s">
        <v>485</v>
      </c>
      <c r="D1213" s="188"/>
      <c r="E1213" s="188" t="str">
        <f t="shared" si="682"/>
        <v>LICHSGFIN</v>
      </c>
      <c r="F1213" s="188"/>
      <c r="G1213" s="188"/>
      <c r="H1213" s="188"/>
      <c r="I1213" s="188" t="s">
        <v>668</v>
      </c>
      <c r="J1213" s="188" t="s">
        <v>483</v>
      </c>
      <c r="K1213" s="188"/>
      <c r="L1213" s="188"/>
      <c r="M1213" s="189">
        <v>50</v>
      </c>
      <c r="N1213" s="190">
        <v>359.91</v>
      </c>
      <c r="O1213" s="191">
        <v>360.22</v>
      </c>
      <c r="P1213" s="192">
        <f t="shared" si="789"/>
        <v>5.4</v>
      </c>
      <c r="Q1213" s="192">
        <f t="shared" si="790"/>
        <v>5.4</v>
      </c>
      <c r="R1213" s="193">
        <f t="shared" si="685"/>
        <v>36006.5</v>
      </c>
      <c r="S1213" s="193">
        <f t="shared" si="686"/>
        <v>15.500000000000114</v>
      </c>
      <c r="T1213" s="193">
        <f t="shared" si="822"/>
        <v>10.8</v>
      </c>
      <c r="U1213" s="193">
        <f t="shared" si="707"/>
        <v>2.17</v>
      </c>
      <c r="V1213" s="193">
        <f t="shared" si="817"/>
        <v>4.5</v>
      </c>
      <c r="W1213" s="193">
        <f t="shared" si="735"/>
        <v>0.54</v>
      </c>
      <c r="X1213" s="193">
        <f t="shared" si="823"/>
        <v>1.24</v>
      </c>
      <c r="Y1213" s="193">
        <f t="shared" si="758"/>
        <v>0.04</v>
      </c>
      <c r="Z1213" s="193">
        <f t="shared" si="692"/>
        <v>19.289999999999996</v>
      </c>
      <c r="AA1213" s="194">
        <f t="shared" si="693"/>
        <v>-3.79</v>
      </c>
      <c r="AB1213" s="195">
        <v>-4</v>
      </c>
      <c r="AC1213" s="196">
        <f t="shared" si="694"/>
        <v>-0.20999999999999996</v>
      </c>
      <c r="AD1213" s="197">
        <f t="shared" si="695"/>
        <v>8.6132644272179785E-4</v>
      </c>
      <c r="AE1213" s="198">
        <f t="shared" si="696"/>
        <v>5.3600000000000002E-4</v>
      </c>
      <c r="AF1213" s="193"/>
      <c r="AG1213" s="199" t="s">
        <v>416</v>
      </c>
      <c r="AH1213" s="124"/>
    </row>
    <row r="1214" spans="1:34" ht="12" hidden="1" customHeight="1">
      <c r="A1214" s="187">
        <v>44582</v>
      </c>
      <c r="B1214" s="188" t="s">
        <v>479</v>
      </c>
      <c r="C1214" s="188" t="s">
        <v>485</v>
      </c>
      <c r="D1214" s="188"/>
      <c r="E1214" s="188" t="str">
        <f t="shared" si="682"/>
        <v>TATAPOWER</v>
      </c>
      <c r="F1214" s="188"/>
      <c r="G1214" s="188"/>
      <c r="H1214" s="188"/>
      <c r="I1214" s="188" t="s">
        <v>668</v>
      </c>
      <c r="J1214" s="188" t="s">
        <v>483</v>
      </c>
      <c r="K1214" s="188"/>
      <c r="L1214" s="188"/>
      <c r="M1214" s="189">
        <v>20</v>
      </c>
      <c r="N1214" s="190">
        <v>245.3125</v>
      </c>
      <c r="O1214" s="191">
        <v>248.3125</v>
      </c>
      <c r="P1214" s="192">
        <f t="shared" si="789"/>
        <v>1.47</v>
      </c>
      <c r="Q1214" s="192">
        <f t="shared" si="790"/>
        <v>1.49</v>
      </c>
      <c r="R1214" s="193">
        <f t="shared" si="685"/>
        <v>9872.5</v>
      </c>
      <c r="S1214" s="193">
        <f t="shared" si="686"/>
        <v>60</v>
      </c>
      <c r="T1214" s="193">
        <f t="shared" si="822"/>
        <v>2.96</v>
      </c>
      <c r="U1214" s="193">
        <f t="shared" si="707"/>
        <v>0.57999999999999996</v>
      </c>
      <c r="V1214" s="193">
        <f t="shared" si="817"/>
        <v>1.24</v>
      </c>
      <c r="W1214" s="193">
        <f t="shared" si="735"/>
        <v>0.15</v>
      </c>
      <c r="X1214" s="193">
        <f>ROUND(R1214*G$1820,2)</f>
        <v>0.27</v>
      </c>
      <c r="Y1214" s="193">
        <f t="shared" si="758"/>
        <v>0.01</v>
      </c>
      <c r="Z1214" s="193">
        <f t="shared" si="692"/>
        <v>5.2100000000000009</v>
      </c>
      <c r="AA1214" s="194">
        <f t="shared" si="693"/>
        <v>54.79</v>
      </c>
      <c r="AB1214" s="195">
        <v>55</v>
      </c>
      <c r="AC1214" s="196">
        <f t="shared" si="694"/>
        <v>0.21000000000000085</v>
      </c>
      <c r="AD1214" s="197">
        <f t="shared" si="695"/>
        <v>1.2229299363057325E-2</v>
      </c>
      <c r="AE1214" s="198">
        <f t="shared" si="696"/>
        <v>5.2800000000000004E-4</v>
      </c>
      <c r="AF1214" s="193"/>
      <c r="AG1214" s="199" t="s">
        <v>416</v>
      </c>
      <c r="AH1214" s="124"/>
    </row>
    <row r="1215" spans="1:34" ht="12" hidden="1" customHeight="1">
      <c r="A1215" s="187">
        <v>44582</v>
      </c>
      <c r="B1215" s="188" t="s">
        <v>576</v>
      </c>
      <c r="C1215" s="188" t="s">
        <v>485</v>
      </c>
      <c r="D1215" s="188"/>
      <c r="E1215" s="188" t="str">
        <f t="shared" si="682"/>
        <v>CDSL</v>
      </c>
      <c r="F1215" s="188"/>
      <c r="G1215" s="188"/>
      <c r="H1215" s="188"/>
      <c r="I1215" s="188" t="s">
        <v>668</v>
      </c>
      <c r="J1215" s="188" t="s">
        <v>483</v>
      </c>
      <c r="K1215" s="188"/>
      <c r="L1215" s="188"/>
      <c r="M1215" s="189">
        <v>1</v>
      </c>
      <c r="N1215" s="190">
        <v>1618</v>
      </c>
      <c r="O1215" s="191">
        <v>1630</v>
      </c>
      <c r="P1215" s="192">
        <f t="shared" si="789"/>
        <v>0.49</v>
      </c>
      <c r="Q1215" s="192">
        <f t="shared" si="790"/>
        <v>0.49</v>
      </c>
      <c r="R1215" s="193">
        <f t="shared" si="685"/>
        <v>3248</v>
      </c>
      <c r="S1215" s="193">
        <f t="shared" si="686"/>
        <v>12</v>
      </c>
      <c r="T1215" s="193">
        <f t="shared" si="822"/>
        <v>0.98</v>
      </c>
      <c r="U1215" s="193">
        <f t="shared" si="707"/>
        <v>0.2</v>
      </c>
      <c r="V1215" s="193">
        <f t="shared" si="817"/>
        <v>0.41</v>
      </c>
      <c r="W1215" s="193">
        <f t="shared" si="735"/>
        <v>0.05</v>
      </c>
      <c r="X1215" s="193">
        <f>ROUND(R1215*H$1820,2)</f>
        <v>0.11</v>
      </c>
      <c r="Y1215" s="193">
        <f t="shared" si="758"/>
        <v>0</v>
      </c>
      <c r="Z1215" s="193">
        <f t="shared" si="692"/>
        <v>1.75</v>
      </c>
      <c r="AA1215" s="194">
        <f t="shared" si="693"/>
        <v>10.25</v>
      </c>
      <c r="AB1215" s="195">
        <v>10</v>
      </c>
      <c r="AC1215" s="196">
        <f t="shared" si="694"/>
        <v>-0.25</v>
      </c>
      <c r="AD1215" s="197">
        <f t="shared" si="695"/>
        <v>7.4165636588380719E-3</v>
      </c>
      <c r="AE1215" s="198">
        <f t="shared" si="696"/>
        <v>5.3899999999999998E-4</v>
      </c>
      <c r="AF1215" s="193"/>
      <c r="AG1215" s="199" t="s">
        <v>416</v>
      </c>
      <c r="AH1215" s="124"/>
    </row>
    <row r="1216" spans="1:34" ht="12" hidden="1" customHeight="1">
      <c r="A1216" s="187">
        <v>44585</v>
      </c>
      <c r="B1216" s="188" t="s">
        <v>589</v>
      </c>
      <c r="C1216" s="188" t="s">
        <v>460</v>
      </c>
      <c r="D1216" s="188"/>
      <c r="E1216" s="188" t="str">
        <f t="shared" si="682"/>
        <v>DCMSHRIRAM</v>
      </c>
      <c r="F1216" s="188"/>
      <c r="G1216" s="188"/>
      <c r="H1216" s="188"/>
      <c r="I1216" s="188" t="s">
        <v>668</v>
      </c>
      <c r="J1216" s="188" t="s">
        <v>483</v>
      </c>
      <c r="K1216" s="188"/>
      <c r="L1216" s="188"/>
      <c r="M1216" s="189">
        <v>234</v>
      </c>
      <c r="N1216" s="190">
        <v>1025.4573</v>
      </c>
      <c r="O1216" s="191">
        <v>1033.4284500000001</v>
      </c>
      <c r="P1216" s="192">
        <f t="shared" si="789"/>
        <v>20</v>
      </c>
      <c r="Q1216" s="192">
        <f t="shared" si="790"/>
        <v>20</v>
      </c>
      <c r="R1216" s="193">
        <f t="shared" si="685"/>
        <v>481779.27</v>
      </c>
      <c r="S1216" s="193">
        <f t="shared" si="686"/>
        <v>1865.2491000000186</v>
      </c>
      <c r="T1216" s="193">
        <v>144.55000000000001</v>
      </c>
      <c r="U1216" s="193">
        <f t="shared" si="707"/>
        <v>28.4</v>
      </c>
      <c r="V1216" s="193">
        <f t="shared" si="817"/>
        <v>60.46</v>
      </c>
      <c r="W1216" s="193">
        <f t="shared" si="735"/>
        <v>7.2</v>
      </c>
      <c r="X1216" s="193">
        <f t="shared" ref="X1216:X1218" si="824">ROUND(R1216*G$1820,2)</f>
        <v>13.25</v>
      </c>
      <c r="Y1216" s="193">
        <f t="shared" si="758"/>
        <v>0.48</v>
      </c>
      <c r="Z1216" s="193">
        <f t="shared" si="692"/>
        <v>254.34</v>
      </c>
      <c r="AA1216" s="194">
        <f t="shared" si="693"/>
        <v>1610.91</v>
      </c>
      <c r="AB1216" s="195">
        <v>1611.12</v>
      </c>
      <c r="AC1216" s="196">
        <f t="shared" si="694"/>
        <v>0.20999999999980901</v>
      </c>
      <c r="AD1216" s="197">
        <f t="shared" si="695"/>
        <v>7.7732636941587711E-3</v>
      </c>
      <c r="AE1216" s="198">
        <f t="shared" si="696"/>
        <v>5.2800000000000004E-4</v>
      </c>
      <c r="AF1216" s="193"/>
      <c r="AG1216" s="199" t="s">
        <v>416</v>
      </c>
      <c r="AH1216" s="124"/>
    </row>
    <row r="1217" spans="1:34" ht="12" hidden="1" customHeight="1">
      <c r="A1217" s="187">
        <v>44586</v>
      </c>
      <c r="B1217" s="188" t="s">
        <v>498</v>
      </c>
      <c r="C1217" s="188" t="s">
        <v>460</v>
      </c>
      <c r="D1217" s="188"/>
      <c r="E1217" s="188" t="str">
        <f t="shared" si="682"/>
        <v>BAJFINANCE</v>
      </c>
      <c r="F1217" s="188"/>
      <c r="G1217" s="188"/>
      <c r="H1217" s="188"/>
      <c r="I1217" s="188" t="s">
        <v>668</v>
      </c>
      <c r="J1217" s="188" t="s">
        <v>483</v>
      </c>
      <c r="K1217" s="188"/>
      <c r="L1217" s="188"/>
      <c r="M1217" s="189">
        <v>1</v>
      </c>
      <c r="N1217" s="190">
        <v>6789</v>
      </c>
      <c r="O1217" s="191">
        <v>6900</v>
      </c>
      <c r="P1217" s="192">
        <f t="shared" si="789"/>
        <v>2.04</v>
      </c>
      <c r="Q1217" s="192">
        <f t="shared" si="790"/>
        <v>2.0699999999999998</v>
      </c>
      <c r="R1217" s="193">
        <f t="shared" si="685"/>
        <v>13689</v>
      </c>
      <c r="S1217" s="193">
        <f t="shared" si="686"/>
        <v>111</v>
      </c>
      <c r="T1217" s="193">
        <f>ROUND(P1217+Q1217,2)</f>
        <v>4.1100000000000003</v>
      </c>
      <c r="U1217" s="193">
        <f t="shared" si="707"/>
        <v>0.81</v>
      </c>
      <c r="V1217" s="193">
        <f t="shared" si="817"/>
        <v>1.73</v>
      </c>
      <c r="W1217" s="193">
        <f t="shared" si="735"/>
        <v>0.2</v>
      </c>
      <c r="X1217" s="193">
        <f t="shared" si="824"/>
        <v>0.38</v>
      </c>
      <c r="Y1217" s="193">
        <f t="shared" si="758"/>
        <v>0.01</v>
      </c>
      <c r="Z1217" s="193">
        <f t="shared" si="692"/>
        <v>7.24</v>
      </c>
      <c r="AA1217" s="194">
        <f t="shared" si="693"/>
        <v>103.76</v>
      </c>
      <c r="AB1217" s="195">
        <f>104-1.04</f>
        <v>102.96</v>
      </c>
      <c r="AC1217" s="196">
        <f t="shared" si="694"/>
        <v>-0.80000000000001137</v>
      </c>
      <c r="AD1217" s="197">
        <f t="shared" si="695"/>
        <v>1.6349977905435263E-2</v>
      </c>
      <c r="AE1217" s="198">
        <f t="shared" si="696"/>
        <v>5.2899999999999996E-4</v>
      </c>
      <c r="AF1217" s="193"/>
      <c r="AG1217" s="199" t="s">
        <v>416</v>
      </c>
      <c r="AH1217" s="124"/>
    </row>
    <row r="1218" spans="1:34" ht="12" hidden="1" customHeight="1">
      <c r="A1218" s="187">
        <v>44586</v>
      </c>
      <c r="B1218" s="188" t="s">
        <v>589</v>
      </c>
      <c r="C1218" s="188" t="s">
        <v>460</v>
      </c>
      <c r="D1218" s="188"/>
      <c r="E1218" s="188" t="str">
        <f t="shared" si="682"/>
        <v>DCMSHRIRAM</v>
      </c>
      <c r="F1218" s="188"/>
      <c r="G1218" s="188"/>
      <c r="H1218" s="188"/>
      <c r="I1218" s="188" t="s">
        <v>668</v>
      </c>
      <c r="J1218" s="188" t="s">
        <v>483</v>
      </c>
      <c r="K1218" s="188"/>
      <c r="L1218" s="188"/>
      <c r="M1218" s="189">
        <v>50</v>
      </c>
      <c r="N1218" s="190">
        <v>1022.8</v>
      </c>
      <c r="O1218" s="191">
        <v>1031.5999999999999</v>
      </c>
      <c r="P1218" s="192">
        <f t="shared" si="789"/>
        <v>15.34</v>
      </c>
      <c r="Q1218" s="192">
        <f t="shared" si="790"/>
        <v>15.47</v>
      </c>
      <c r="R1218" s="193">
        <f t="shared" si="685"/>
        <v>102720</v>
      </c>
      <c r="S1218" s="193">
        <f t="shared" si="686"/>
        <v>439.99999999999773</v>
      </c>
      <c r="T1218" s="193">
        <f>ROUND(P1218+Q1218,2)-0.1</f>
        <v>30.709999999999997</v>
      </c>
      <c r="U1218" s="193">
        <f t="shared" si="707"/>
        <v>6.04</v>
      </c>
      <c r="V1218" s="193">
        <f t="shared" si="817"/>
        <v>12.9</v>
      </c>
      <c r="W1218" s="193">
        <f t="shared" si="735"/>
        <v>1.53</v>
      </c>
      <c r="X1218" s="193">
        <f t="shared" si="824"/>
        <v>2.82</v>
      </c>
      <c r="Y1218" s="193">
        <f t="shared" si="758"/>
        <v>0.1</v>
      </c>
      <c r="Z1218" s="193">
        <f t="shared" si="692"/>
        <v>54.1</v>
      </c>
      <c r="AA1218" s="194">
        <f t="shared" si="693"/>
        <v>385.9</v>
      </c>
      <c r="AB1218" s="195">
        <v>386</v>
      </c>
      <c r="AC1218" s="196">
        <f t="shared" si="694"/>
        <v>0.10000000000002274</v>
      </c>
      <c r="AD1218" s="197">
        <f t="shared" si="695"/>
        <v>8.6038326163472376E-3</v>
      </c>
      <c r="AE1218" s="198">
        <f t="shared" si="696"/>
        <v>5.2700000000000002E-4</v>
      </c>
      <c r="AF1218" s="193"/>
      <c r="AG1218" s="199" t="s">
        <v>416</v>
      </c>
      <c r="AH1218" s="124"/>
    </row>
    <row r="1219" spans="1:34" ht="12" hidden="1" customHeight="1">
      <c r="A1219" s="187">
        <v>44588</v>
      </c>
      <c r="B1219" s="188" t="s">
        <v>498</v>
      </c>
      <c r="C1219" s="188" t="s">
        <v>460</v>
      </c>
      <c r="D1219" s="188"/>
      <c r="E1219" s="188" t="str">
        <f t="shared" si="682"/>
        <v>BAJFINANCE</v>
      </c>
      <c r="F1219" s="188"/>
      <c r="G1219" s="188"/>
      <c r="H1219" s="188"/>
      <c r="I1219" s="188" t="s">
        <v>668</v>
      </c>
      <c r="J1219" s="188" t="s">
        <v>483</v>
      </c>
      <c r="K1219" s="188"/>
      <c r="L1219" s="188"/>
      <c r="M1219" s="189">
        <v>2</v>
      </c>
      <c r="N1219" s="190">
        <v>6800</v>
      </c>
      <c r="O1219" s="191">
        <v>6850</v>
      </c>
      <c r="P1219" s="192">
        <f t="shared" si="789"/>
        <v>4.08</v>
      </c>
      <c r="Q1219" s="192">
        <f t="shared" si="790"/>
        <v>4.1100000000000003</v>
      </c>
      <c r="R1219" s="193">
        <f t="shared" si="685"/>
        <v>27300</v>
      </c>
      <c r="S1219" s="193">
        <f t="shared" si="686"/>
        <v>100</v>
      </c>
      <c r="T1219" s="193">
        <f>ROUND(P1219+Q1219,2)</f>
        <v>8.19</v>
      </c>
      <c r="U1219" s="193">
        <f t="shared" si="707"/>
        <v>1.64</v>
      </c>
      <c r="V1219" s="193">
        <f t="shared" si="817"/>
        <v>3.43</v>
      </c>
      <c r="W1219" s="193">
        <f t="shared" si="735"/>
        <v>0.41</v>
      </c>
      <c r="X1219" s="193">
        <f>ROUND(R1219*H$1820,2)</f>
        <v>0.94</v>
      </c>
      <c r="Y1219" s="193">
        <f t="shared" si="758"/>
        <v>0.03</v>
      </c>
      <c r="Z1219" s="193">
        <f t="shared" si="692"/>
        <v>14.639999999999999</v>
      </c>
      <c r="AA1219" s="194">
        <f t="shared" si="693"/>
        <v>85.36</v>
      </c>
      <c r="AB1219" s="195">
        <f>85-0.38</f>
        <v>84.62</v>
      </c>
      <c r="AC1219" s="196">
        <f t="shared" si="694"/>
        <v>-0.73999999999999488</v>
      </c>
      <c r="AD1219" s="197">
        <f t="shared" si="695"/>
        <v>7.3529411764705881E-3</v>
      </c>
      <c r="AE1219" s="198">
        <f t="shared" si="696"/>
        <v>5.3600000000000002E-4</v>
      </c>
      <c r="AF1219" s="193"/>
      <c r="AG1219" s="199" t="s">
        <v>416</v>
      </c>
      <c r="AH1219" s="124"/>
    </row>
    <row r="1220" spans="1:34" ht="12" hidden="1" customHeight="1">
      <c r="A1220" s="187">
        <v>44588</v>
      </c>
      <c r="B1220" s="188" t="s">
        <v>589</v>
      </c>
      <c r="C1220" s="188" t="s">
        <v>460</v>
      </c>
      <c r="D1220" s="188"/>
      <c r="E1220" s="188" t="str">
        <f t="shared" si="682"/>
        <v>DCMSHRIRAM</v>
      </c>
      <c r="F1220" s="188"/>
      <c r="G1220" s="188"/>
      <c r="H1220" s="188"/>
      <c r="I1220" s="188" t="s">
        <v>668</v>
      </c>
      <c r="J1220" s="188" t="s">
        <v>483</v>
      </c>
      <c r="K1220" s="188"/>
      <c r="L1220" s="188"/>
      <c r="M1220" s="189">
        <v>295</v>
      </c>
      <c r="N1220" s="190">
        <v>1096.8475000000001</v>
      </c>
      <c r="O1220" s="191">
        <v>1101.675</v>
      </c>
      <c r="P1220" s="192">
        <f t="shared" si="789"/>
        <v>20</v>
      </c>
      <c r="Q1220" s="192">
        <f t="shared" si="790"/>
        <v>20</v>
      </c>
      <c r="R1220" s="193">
        <f t="shared" si="685"/>
        <v>648564.14</v>
      </c>
      <c r="S1220" s="193">
        <f t="shared" si="686"/>
        <v>1424.1124999999624</v>
      </c>
      <c r="T1220" s="193">
        <v>159.99</v>
      </c>
      <c r="U1220" s="193">
        <f t="shared" si="707"/>
        <v>32.01</v>
      </c>
      <c r="V1220" s="193">
        <f t="shared" si="817"/>
        <v>81.25</v>
      </c>
      <c r="W1220" s="193">
        <f t="shared" si="735"/>
        <v>9.7100000000000009</v>
      </c>
      <c r="X1220" s="193">
        <f t="shared" ref="X1220:X1225" si="825">ROUND(R1220*G$1820,2)</f>
        <v>17.84</v>
      </c>
      <c r="Y1220" s="193">
        <f t="shared" si="758"/>
        <v>0.65</v>
      </c>
      <c r="Z1220" s="193">
        <f t="shared" si="692"/>
        <v>301.44999999999993</v>
      </c>
      <c r="AA1220" s="194">
        <f t="shared" si="693"/>
        <v>1122.6600000000001</v>
      </c>
      <c r="AB1220" s="195">
        <v>1123</v>
      </c>
      <c r="AC1220" s="196">
        <f t="shared" si="694"/>
        <v>0.33999999999991815</v>
      </c>
      <c r="AD1220" s="197">
        <f t="shared" si="695"/>
        <v>4.4012499458674723E-3</v>
      </c>
      <c r="AE1220" s="198">
        <f t="shared" si="696"/>
        <v>4.6500000000000003E-4</v>
      </c>
      <c r="AF1220" s="193"/>
      <c r="AG1220" s="199" t="s">
        <v>416</v>
      </c>
      <c r="AH1220" s="124"/>
    </row>
    <row r="1221" spans="1:34" ht="12" hidden="1" customHeight="1">
      <c r="A1221" s="187">
        <v>44588</v>
      </c>
      <c r="B1221" s="188" t="s">
        <v>496</v>
      </c>
      <c r="C1221" s="188" t="s">
        <v>485</v>
      </c>
      <c r="D1221" s="188"/>
      <c r="E1221" s="188" t="str">
        <f t="shared" si="682"/>
        <v>NATIONALUM</v>
      </c>
      <c r="F1221" s="188"/>
      <c r="G1221" s="188"/>
      <c r="H1221" s="188"/>
      <c r="I1221" s="188" t="s">
        <v>668</v>
      </c>
      <c r="J1221" s="188" t="s">
        <v>483</v>
      </c>
      <c r="K1221" s="188"/>
      <c r="L1221" s="188"/>
      <c r="M1221" s="189">
        <v>100</v>
      </c>
      <c r="N1221" s="190">
        <v>104</v>
      </c>
      <c r="O1221" s="191">
        <v>105.9</v>
      </c>
      <c r="P1221" s="192">
        <f t="shared" si="789"/>
        <v>3.12</v>
      </c>
      <c r="Q1221" s="192">
        <f t="shared" si="790"/>
        <v>3.18</v>
      </c>
      <c r="R1221" s="193">
        <f t="shared" si="685"/>
        <v>20990</v>
      </c>
      <c r="S1221" s="193">
        <f t="shared" si="686"/>
        <v>190.00000000000057</v>
      </c>
      <c r="T1221" s="193">
        <f>ROUND(P1221+Q1221,2)</f>
        <v>6.3</v>
      </c>
      <c r="U1221" s="193">
        <f t="shared" si="707"/>
        <v>1.24</v>
      </c>
      <c r="V1221" s="193">
        <f t="shared" si="817"/>
        <v>2.65</v>
      </c>
      <c r="W1221" s="193">
        <f t="shared" si="735"/>
        <v>0.31</v>
      </c>
      <c r="X1221" s="193">
        <f t="shared" si="825"/>
        <v>0.57999999999999996</v>
      </c>
      <c r="Y1221" s="193">
        <f t="shared" si="758"/>
        <v>0.02</v>
      </c>
      <c r="Z1221" s="193">
        <f t="shared" si="692"/>
        <v>11.1</v>
      </c>
      <c r="AA1221" s="194">
        <f t="shared" si="693"/>
        <v>178.9</v>
      </c>
      <c r="AB1221" s="195">
        <v>178.82</v>
      </c>
      <c r="AC1221" s="196">
        <f t="shared" si="694"/>
        <v>-8.0000000000012506E-2</v>
      </c>
      <c r="AD1221" s="197">
        <f t="shared" si="695"/>
        <v>1.8269230769230822E-2</v>
      </c>
      <c r="AE1221" s="198">
        <f t="shared" si="696"/>
        <v>5.2899999999999996E-4</v>
      </c>
      <c r="AF1221" s="193"/>
      <c r="AG1221" s="199" t="s">
        <v>416</v>
      </c>
      <c r="AH1221" s="124"/>
    </row>
    <row r="1222" spans="1:34" ht="12" hidden="1" customHeight="1">
      <c r="A1222" s="187">
        <v>44589</v>
      </c>
      <c r="B1222" s="188" t="s">
        <v>589</v>
      </c>
      <c r="C1222" s="188" t="s">
        <v>460</v>
      </c>
      <c r="D1222" s="188"/>
      <c r="E1222" s="188" t="str">
        <f t="shared" si="682"/>
        <v>DCMSHRIRAM</v>
      </c>
      <c r="F1222" s="188"/>
      <c r="G1222" s="188"/>
      <c r="H1222" s="188"/>
      <c r="I1222" s="188" t="s">
        <v>668</v>
      </c>
      <c r="J1222" s="188" t="s">
        <v>483</v>
      </c>
      <c r="K1222" s="188"/>
      <c r="L1222" s="188"/>
      <c r="M1222" s="189">
        <v>265</v>
      </c>
      <c r="N1222" s="190">
        <v>1129.4150999999999</v>
      </c>
      <c r="O1222" s="191">
        <v>1135.8007500000001</v>
      </c>
      <c r="P1222" s="192">
        <f t="shared" si="789"/>
        <v>20</v>
      </c>
      <c r="Q1222" s="192">
        <f t="shared" si="790"/>
        <v>20</v>
      </c>
      <c r="R1222" s="193">
        <f t="shared" si="685"/>
        <v>600282.19999999995</v>
      </c>
      <c r="S1222" s="193">
        <f t="shared" si="686"/>
        <v>1692.1972500000447</v>
      </c>
      <c r="T1222" s="193">
        <v>180.08</v>
      </c>
      <c r="U1222" s="193">
        <f t="shared" si="707"/>
        <v>35.39</v>
      </c>
      <c r="V1222" s="193">
        <f t="shared" si="817"/>
        <v>75.25</v>
      </c>
      <c r="W1222" s="193">
        <f t="shared" si="735"/>
        <v>8.98</v>
      </c>
      <c r="X1222" s="193">
        <f t="shared" si="825"/>
        <v>16.510000000000002</v>
      </c>
      <c r="Y1222" s="193">
        <f t="shared" si="758"/>
        <v>0.6</v>
      </c>
      <c r="Z1222" s="193">
        <f t="shared" si="692"/>
        <v>316.81000000000006</v>
      </c>
      <c r="AA1222" s="194">
        <f t="shared" si="693"/>
        <v>1375.39</v>
      </c>
      <c r="AB1222" s="195">
        <v>1375.62</v>
      </c>
      <c r="AC1222" s="196">
        <f t="shared" si="694"/>
        <v>0.22999999999979082</v>
      </c>
      <c r="AD1222" s="197">
        <f t="shared" si="695"/>
        <v>5.6539442406960639E-3</v>
      </c>
      <c r="AE1222" s="198">
        <f t="shared" si="696"/>
        <v>5.2800000000000004E-4</v>
      </c>
      <c r="AF1222" s="193"/>
      <c r="AG1222" s="199" t="s">
        <v>416</v>
      </c>
      <c r="AH1222" s="124"/>
    </row>
    <row r="1223" spans="1:34" ht="12" hidden="1" customHeight="1">
      <c r="A1223" s="187">
        <v>44589</v>
      </c>
      <c r="B1223" s="188" t="s">
        <v>605</v>
      </c>
      <c r="C1223" s="188" t="s">
        <v>485</v>
      </c>
      <c r="D1223" s="188"/>
      <c r="E1223" s="188" t="str">
        <f t="shared" si="682"/>
        <v>LICHSGFIN</v>
      </c>
      <c r="F1223" s="188"/>
      <c r="G1223" s="188"/>
      <c r="H1223" s="188"/>
      <c r="I1223" s="188" t="s">
        <v>668</v>
      </c>
      <c r="J1223" s="188" t="s">
        <v>483</v>
      </c>
      <c r="K1223" s="188"/>
      <c r="L1223" s="188"/>
      <c r="M1223" s="189">
        <v>50</v>
      </c>
      <c r="N1223" s="190">
        <v>387.5</v>
      </c>
      <c r="O1223" s="191">
        <v>391</v>
      </c>
      <c r="P1223" s="192">
        <f t="shared" si="789"/>
        <v>5.81</v>
      </c>
      <c r="Q1223" s="192">
        <f t="shared" si="790"/>
        <v>5.87</v>
      </c>
      <c r="R1223" s="193">
        <f t="shared" si="685"/>
        <v>38925</v>
      </c>
      <c r="S1223" s="193">
        <f t="shared" si="686"/>
        <v>175</v>
      </c>
      <c r="T1223" s="193">
        <f>ROUND(P1223+Q1223,2)</f>
        <v>11.68</v>
      </c>
      <c r="U1223" s="193">
        <f t="shared" si="707"/>
        <v>2.2999999999999998</v>
      </c>
      <c r="V1223" s="193">
        <f t="shared" si="817"/>
        <v>4.8899999999999997</v>
      </c>
      <c r="W1223" s="193">
        <f t="shared" si="735"/>
        <v>0.57999999999999996</v>
      </c>
      <c r="X1223" s="193">
        <f t="shared" si="825"/>
        <v>1.07</v>
      </c>
      <c r="Y1223" s="193">
        <f t="shared" si="758"/>
        <v>0.04</v>
      </c>
      <c r="Z1223" s="193">
        <f t="shared" si="692"/>
        <v>20.56</v>
      </c>
      <c r="AA1223" s="194">
        <f t="shared" si="693"/>
        <v>154.44</v>
      </c>
      <c r="AB1223" s="195">
        <v>154.09</v>
      </c>
      <c r="AC1223" s="196">
        <f t="shared" si="694"/>
        <v>-0.34999999999999432</v>
      </c>
      <c r="AD1223" s="197">
        <f t="shared" si="695"/>
        <v>9.0322580645161299E-3</v>
      </c>
      <c r="AE1223" s="198">
        <f t="shared" si="696"/>
        <v>5.2800000000000004E-4</v>
      </c>
      <c r="AF1223" s="193"/>
      <c r="AG1223" s="199" t="s">
        <v>416</v>
      </c>
      <c r="AH1223" s="124"/>
    </row>
    <row r="1224" spans="1:34" ht="12" hidden="1" customHeight="1">
      <c r="A1224" s="187">
        <v>44592</v>
      </c>
      <c r="B1224" s="188" t="s">
        <v>589</v>
      </c>
      <c r="C1224" s="188" t="s">
        <v>460</v>
      </c>
      <c r="D1224" s="188"/>
      <c r="E1224" s="188" t="str">
        <f t="shared" si="682"/>
        <v>DCMSHRIRAM</v>
      </c>
      <c r="F1224" s="188"/>
      <c r="G1224" s="188"/>
      <c r="H1224" s="188"/>
      <c r="I1224" s="188" t="s">
        <v>668</v>
      </c>
      <c r="J1224" s="188" t="s">
        <v>483</v>
      </c>
      <c r="K1224" s="188"/>
      <c r="L1224" s="188"/>
      <c r="M1224" s="189">
        <v>75</v>
      </c>
      <c r="N1224" s="190">
        <v>1132.2333000000001</v>
      </c>
      <c r="O1224" s="191">
        <v>1136.3333</v>
      </c>
      <c r="P1224" s="192">
        <f t="shared" si="789"/>
        <v>20</v>
      </c>
      <c r="Q1224" s="192">
        <f t="shared" si="790"/>
        <v>20</v>
      </c>
      <c r="R1224" s="193">
        <f t="shared" si="685"/>
        <v>170142.5</v>
      </c>
      <c r="S1224" s="193">
        <f t="shared" si="686"/>
        <v>307.49999999999318</v>
      </c>
      <c r="T1224" s="193">
        <v>51.04</v>
      </c>
      <c r="U1224" s="193">
        <f t="shared" si="707"/>
        <v>10.029999999999999</v>
      </c>
      <c r="V1224" s="193">
        <f t="shared" si="817"/>
        <v>21.31</v>
      </c>
      <c r="W1224" s="193">
        <f t="shared" si="735"/>
        <v>2.5499999999999998</v>
      </c>
      <c r="X1224" s="193">
        <f t="shared" si="825"/>
        <v>4.68</v>
      </c>
      <c r="Y1224" s="193">
        <f t="shared" si="758"/>
        <v>0.17</v>
      </c>
      <c r="Z1224" s="193">
        <f t="shared" si="692"/>
        <v>89.779999999999987</v>
      </c>
      <c r="AA1224" s="194">
        <f t="shared" si="693"/>
        <v>217.72</v>
      </c>
      <c r="AB1224" s="195">
        <v>217.58</v>
      </c>
      <c r="AC1224" s="196">
        <f t="shared" si="694"/>
        <v>-0.13999999999998636</v>
      </c>
      <c r="AD1224" s="197">
        <f t="shared" si="695"/>
        <v>3.6211618223911174E-3</v>
      </c>
      <c r="AE1224" s="198">
        <f t="shared" si="696"/>
        <v>5.2800000000000004E-4</v>
      </c>
      <c r="AF1224" s="193"/>
      <c r="AG1224" s="199" t="s">
        <v>416</v>
      </c>
      <c r="AH1224" s="124"/>
    </row>
    <row r="1225" spans="1:34" ht="12" hidden="1" customHeight="1">
      <c r="A1225" s="187">
        <v>44592</v>
      </c>
      <c r="B1225" s="188" t="s">
        <v>598</v>
      </c>
      <c r="C1225" s="188" t="s">
        <v>485</v>
      </c>
      <c r="D1225" s="188"/>
      <c r="E1225" s="188" t="str">
        <f t="shared" si="682"/>
        <v>A2ZINFRA</v>
      </c>
      <c r="F1225" s="188"/>
      <c r="G1225" s="188"/>
      <c r="H1225" s="188"/>
      <c r="I1225" s="188" t="s">
        <v>668</v>
      </c>
      <c r="J1225" s="188" t="s">
        <v>483</v>
      </c>
      <c r="K1225" s="188"/>
      <c r="L1225" s="188"/>
      <c r="M1225" s="189">
        <v>2000</v>
      </c>
      <c r="N1225" s="190">
        <v>12.612500000000001</v>
      </c>
      <c r="O1225" s="191">
        <v>12.7125</v>
      </c>
      <c r="P1225" s="192">
        <f t="shared" si="789"/>
        <v>7.57</v>
      </c>
      <c r="Q1225" s="192">
        <f t="shared" si="790"/>
        <v>7.63</v>
      </c>
      <c r="R1225" s="193">
        <f t="shared" si="685"/>
        <v>50650</v>
      </c>
      <c r="S1225" s="193">
        <f t="shared" si="686"/>
        <v>199.99999999999929</v>
      </c>
      <c r="T1225" s="193">
        <f>ROUND(P1225+Q1225,2)+0.06</f>
        <v>15.26</v>
      </c>
      <c r="U1225" s="193">
        <f t="shared" si="707"/>
        <v>3</v>
      </c>
      <c r="V1225" s="193">
        <f t="shared" si="817"/>
        <v>6.36</v>
      </c>
      <c r="W1225" s="193">
        <f t="shared" si="735"/>
        <v>0.76</v>
      </c>
      <c r="X1225" s="193">
        <f t="shared" si="825"/>
        <v>1.39</v>
      </c>
      <c r="Y1225" s="193">
        <f t="shared" si="758"/>
        <v>0.05</v>
      </c>
      <c r="Z1225" s="193">
        <f t="shared" si="692"/>
        <v>26.82</v>
      </c>
      <c r="AA1225" s="194">
        <f t="shared" si="693"/>
        <v>173.18</v>
      </c>
      <c r="AB1225" s="195">
        <v>173.46</v>
      </c>
      <c r="AC1225" s="196">
        <f t="shared" si="694"/>
        <v>0.28000000000000114</v>
      </c>
      <c r="AD1225" s="197">
        <f t="shared" si="695"/>
        <v>7.9286422200197937E-3</v>
      </c>
      <c r="AE1225" s="198">
        <f t="shared" si="696"/>
        <v>5.2999999999999998E-4</v>
      </c>
      <c r="AF1225" s="193"/>
      <c r="AG1225" s="199" t="s">
        <v>416</v>
      </c>
      <c r="AH1225" s="124"/>
    </row>
    <row r="1226" spans="1:34" ht="12" hidden="1" customHeight="1">
      <c r="A1226" s="187">
        <v>44593</v>
      </c>
      <c r="B1226" s="188" t="s">
        <v>589</v>
      </c>
      <c r="C1226" s="188" t="s">
        <v>460</v>
      </c>
      <c r="D1226" s="188"/>
      <c r="E1226" s="188" t="str">
        <f t="shared" si="682"/>
        <v>DCMSHRIRAM</v>
      </c>
      <c r="F1226" s="188"/>
      <c r="G1226" s="188"/>
      <c r="H1226" s="188"/>
      <c r="I1226" s="188" t="s">
        <v>668</v>
      </c>
      <c r="J1226" s="188" t="s">
        <v>483</v>
      </c>
      <c r="K1226" s="188"/>
      <c r="L1226" s="188"/>
      <c r="M1226" s="189">
        <v>120</v>
      </c>
      <c r="N1226" s="190">
        <v>1111.6146000000001</v>
      </c>
      <c r="O1226" s="191">
        <v>1115.95831</v>
      </c>
      <c r="P1226" s="192">
        <f t="shared" si="789"/>
        <v>20</v>
      </c>
      <c r="Q1226" s="192">
        <f t="shared" si="790"/>
        <v>20</v>
      </c>
      <c r="R1226" s="193">
        <f t="shared" si="685"/>
        <v>267308.75</v>
      </c>
      <c r="S1226" s="193">
        <f t="shared" si="686"/>
        <v>521.24519999998483</v>
      </c>
      <c r="T1226" s="193">
        <v>80.2</v>
      </c>
      <c r="U1226" s="193">
        <f t="shared" si="707"/>
        <v>16.100000000000001</v>
      </c>
      <c r="V1226" s="193">
        <f t="shared" si="817"/>
        <v>33.479999999999997</v>
      </c>
      <c r="W1226" s="193">
        <f t="shared" si="735"/>
        <v>4</v>
      </c>
      <c r="X1226" s="193">
        <f>ROUND(R1226*H$1820,2)</f>
        <v>9.2200000000000006</v>
      </c>
      <c r="Y1226" s="193">
        <f t="shared" si="758"/>
        <v>0.27</v>
      </c>
      <c r="Z1226" s="193">
        <f t="shared" si="692"/>
        <v>143.27000000000001</v>
      </c>
      <c r="AA1226" s="194">
        <f t="shared" si="693"/>
        <v>377.98</v>
      </c>
      <c r="AB1226" s="195">
        <v>378.48</v>
      </c>
      <c r="AC1226" s="196">
        <f t="shared" si="694"/>
        <v>0.5</v>
      </c>
      <c r="AD1226" s="197">
        <f t="shared" si="695"/>
        <v>3.9075683244893271E-3</v>
      </c>
      <c r="AE1226" s="198">
        <f t="shared" si="696"/>
        <v>5.3600000000000002E-4</v>
      </c>
      <c r="AF1226" s="193"/>
      <c r="AG1226" s="199" t="s">
        <v>416</v>
      </c>
      <c r="AH1226" s="124"/>
    </row>
    <row r="1227" spans="1:34" ht="12" hidden="1" customHeight="1">
      <c r="A1227" s="187">
        <v>44594</v>
      </c>
      <c r="B1227" s="188" t="s">
        <v>589</v>
      </c>
      <c r="C1227" s="188" t="s">
        <v>460</v>
      </c>
      <c r="D1227" s="188"/>
      <c r="E1227" s="188" t="str">
        <f t="shared" si="682"/>
        <v>DCMSHRIRAM</v>
      </c>
      <c r="F1227" s="188"/>
      <c r="G1227" s="188"/>
      <c r="H1227" s="188"/>
      <c r="I1227" s="188" t="s">
        <v>668</v>
      </c>
      <c r="J1227" s="188" t="s">
        <v>483</v>
      </c>
      <c r="K1227" s="188"/>
      <c r="L1227" s="188"/>
      <c r="M1227" s="189">
        <v>220</v>
      </c>
      <c r="N1227" s="190">
        <v>1103.6818499999999</v>
      </c>
      <c r="O1227" s="191">
        <v>1109.6704999999999</v>
      </c>
      <c r="P1227" s="192">
        <f t="shared" si="789"/>
        <v>20</v>
      </c>
      <c r="Q1227" s="192">
        <f t="shared" si="790"/>
        <v>20</v>
      </c>
      <c r="R1227" s="193">
        <f t="shared" si="685"/>
        <v>486937.52</v>
      </c>
      <c r="S1227" s="193">
        <f t="shared" si="686"/>
        <v>1317.5030000000015</v>
      </c>
      <c r="T1227" s="193">
        <v>146.09</v>
      </c>
      <c r="U1227" s="193">
        <f t="shared" si="707"/>
        <v>28.71</v>
      </c>
      <c r="V1227" s="193">
        <f t="shared" si="817"/>
        <v>61.03</v>
      </c>
      <c r="W1227" s="193">
        <f t="shared" si="735"/>
        <v>7.28</v>
      </c>
      <c r="X1227" s="193">
        <f t="shared" ref="X1227:X1236" si="826">ROUND(R1227*G$1820,2)</f>
        <v>13.39</v>
      </c>
      <c r="Y1227" s="193">
        <f t="shared" si="758"/>
        <v>0.49</v>
      </c>
      <c r="Z1227" s="193">
        <f t="shared" si="692"/>
        <v>256.99</v>
      </c>
      <c r="AA1227" s="194">
        <f t="shared" si="693"/>
        <v>1060.51</v>
      </c>
      <c r="AB1227" s="195">
        <v>1060.8399999999999</v>
      </c>
      <c r="AC1227" s="196">
        <f t="shared" si="694"/>
        <v>0.32999999999992724</v>
      </c>
      <c r="AD1227" s="197">
        <f t="shared" si="695"/>
        <v>5.4260654916088429E-3</v>
      </c>
      <c r="AE1227" s="198">
        <f t="shared" si="696"/>
        <v>5.2800000000000004E-4</v>
      </c>
      <c r="AF1227" s="193"/>
      <c r="AG1227" s="199" t="s">
        <v>416</v>
      </c>
      <c r="AH1227" s="124"/>
    </row>
    <row r="1228" spans="1:34" ht="12" hidden="1" customHeight="1">
      <c r="A1228" s="187">
        <v>44595</v>
      </c>
      <c r="B1228" s="188" t="s">
        <v>589</v>
      </c>
      <c r="C1228" s="188" t="s">
        <v>460</v>
      </c>
      <c r="D1228" s="188"/>
      <c r="E1228" s="188" t="str">
        <f t="shared" si="682"/>
        <v>DCMSHRIRAM</v>
      </c>
      <c r="F1228" s="188"/>
      <c r="G1228" s="188"/>
      <c r="H1228" s="188"/>
      <c r="I1228" s="188" t="s">
        <v>668</v>
      </c>
      <c r="J1228" s="188" t="s">
        <v>483</v>
      </c>
      <c r="K1228" s="188"/>
      <c r="L1228" s="188"/>
      <c r="M1228" s="189">
        <v>260</v>
      </c>
      <c r="N1228" s="190">
        <v>1103.2308</v>
      </c>
      <c r="O1228" s="191">
        <v>1108.1423</v>
      </c>
      <c r="P1228" s="192">
        <f t="shared" si="789"/>
        <v>20</v>
      </c>
      <c r="Q1228" s="192">
        <f t="shared" si="790"/>
        <v>20</v>
      </c>
      <c r="R1228" s="193">
        <f t="shared" si="685"/>
        <v>574957.01</v>
      </c>
      <c r="S1228" s="193">
        <f t="shared" si="686"/>
        <v>1276.9899999999825</v>
      </c>
      <c r="T1228" s="193">
        <v>146.38999999999999</v>
      </c>
      <c r="U1228" s="193">
        <f t="shared" si="707"/>
        <v>29.2</v>
      </c>
      <c r="V1228" s="193">
        <f t="shared" si="817"/>
        <v>72.03</v>
      </c>
      <c r="W1228" s="193">
        <f t="shared" si="735"/>
        <v>8.61</v>
      </c>
      <c r="X1228" s="193">
        <f t="shared" si="826"/>
        <v>15.81</v>
      </c>
      <c r="Y1228" s="193">
        <f t="shared" si="758"/>
        <v>0.56999999999999995</v>
      </c>
      <c r="Z1228" s="193">
        <f t="shared" si="692"/>
        <v>272.60999999999996</v>
      </c>
      <c r="AA1228" s="194">
        <f t="shared" si="693"/>
        <v>1004.38</v>
      </c>
      <c r="AB1228" s="195">
        <v>1004.06</v>
      </c>
      <c r="AC1228" s="196">
        <f t="shared" si="694"/>
        <v>-0.32000000000005002</v>
      </c>
      <c r="AD1228" s="197">
        <f t="shared" si="695"/>
        <v>4.4519242936291595E-3</v>
      </c>
      <c r="AE1228" s="198">
        <f t="shared" si="696"/>
        <v>4.7399999999999997E-4</v>
      </c>
      <c r="AF1228" s="193"/>
      <c r="AG1228" s="199" t="s">
        <v>416</v>
      </c>
      <c r="AH1228" s="124"/>
    </row>
    <row r="1229" spans="1:34" ht="12" hidden="1" customHeight="1">
      <c r="A1229" s="187">
        <v>44596</v>
      </c>
      <c r="B1229" s="188" t="s">
        <v>589</v>
      </c>
      <c r="C1229" s="188" t="s">
        <v>460</v>
      </c>
      <c r="D1229" s="188"/>
      <c r="E1229" s="188" t="str">
        <f t="shared" si="682"/>
        <v>DCMSHRIRAM</v>
      </c>
      <c r="F1229" s="188"/>
      <c r="G1229" s="188"/>
      <c r="H1229" s="188"/>
      <c r="I1229" s="188" t="s">
        <v>668</v>
      </c>
      <c r="J1229" s="188" t="s">
        <v>483</v>
      </c>
      <c r="K1229" s="188"/>
      <c r="L1229" s="188"/>
      <c r="M1229" s="189">
        <v>120</v>
      </c>
      <c r="N1229" s="190">
        <v>1178.375</v>
      </c>
      <c r="O1229" s="191">
        <v>1183.9417000000001</v>
      </c>
      <c r="P1229" s="192">
        <f t="shared" si="789"/>
        <v>20</v>
      </c>
      <c r="Q1229" s="192">
        <f t="shared" si="790"/>
        <v>20</v>
      </c>
      <c r="R1229" s="193">
        <f t="shared" si="685"/>
        <v>283478</v>
      </c>
      <c r="S1229" s="193">
        <f t="shared" si="686"/>
        <v>668.00400000000991</v>
      </c>
      <c r="T1229" s="193">
        <v>87.35</v>
      </c>
      <c r="U1229" s="193">
        <f t="shared" si="707"/>
        <v>17.13</v>
      </c>
      <c r="V1229" s="193">
        <f t="shared" si="817"/>
        <v>35.520000000000003</v>
      </c>
      <c r="W1229" s="193">
        <f t="shared" si="735"/>
        <v>4.24</v>
      </c>
      <c r="X1229" s="193">
        <f t="shared" si="826"/>
        <v>7.8</v>
      </c>
      <c r="Y1229" s="193">
        <f t="shared" si="758"/>
        <v>0.28000000000000003</v>
      </c>
      <c r="Z1229" s="193">
        <f t="shared" si="692"/>
        <v>152.32000000000002</v>
      </c>
      <c r="AA1229" s="194">
        <f t="shared" si="693"/>
        <v>515.67999999999995</v>
      </c>
      <c r="AB1229" s="195">
        <v>516.05999999999995</v>
      </c>
      <c r="AC1229" s="196">
        <f t="shared" si="694"/>
        <v>0.37999999999999545</v>
      </c>
      <c r="AD1229" s="197">
        <f t="shared" si="695"/>
        <v>4.72404794738524E-3</v>
      </c>
      <c r="AE1229" s="198">
        <f t="shared" si="696"/>
        <v>5.3700000000000004E-4</v>
      </c>
      <c r="AF1229" s="193"/>
      <c r="AG1229" s="199" t="s">
        <v>416</v>
      </c>
      <c r="AH1229" s="124"/>
    </row>
    <row r="1230" spans="1:34" ht="12" hidden="1" customHeight="1">
      <c r="A1230" s="187">
        <v>44600</v>
      </c>
      <c r="B1230" s="188" t="s">
        <v>589</v>
      </c>
      <c r="C1230" s="188" t="s">
        <v>460</v>
      </c>
      <c r="D1230" s="188"/>
      <c r="E1230" s="188" t="str">
        <f t="shared" si="682"/>
        <v>DCMSHRIRAM</v>
      </c>
      <c r="F1230" s="188"/>
      <c r="G1230" s="188"/>
      <c r="H1230" s="188"/>
      <c r="I1230" s="188" t="s">
        <v>668</v>
      </c>
      <c r="J1230" s="188" t="s">
        <v>483</v>
      </c>
      <c r="K1230" s="188"/>
      <c r="L1230" s="188"/>
      <c r="M1230" s="189">
        <v>160</v>
      </c>
      <c r="N1230" s="190">
        <v>1149.6875</v>
      </c>
      <c r="O1230" s="191">
        <v>1154.9375</v>
      </c>
      <c r="P1230" s="192">
        <f t="shared" si="789"/>
        <v>20</v>
      </c>
      <c r="Q1230" s="192">
        <f t="shared" si="790"/>
        <v>20</v>
      </c>
      <c r="R1230" s="193">
        <f t="shared" si="685"/>
        <v>368740</v>
      </c>
      <c r="S1230" s="193">
        <f t="shared" si="686"/>
        <v>840</v>
      </c>
      <c r="T1230" s="193">
        <v>84.05</v>
      </c>
      <c r="U1230" s="193">
        <f t="shared" si="707"/>
        <v>16.95</v>
      </c>
      <c r="V1230" s="193">
        <f t="shared" si="817"/>
        <v>46.2</v>
      </c>
      <c r="W1230" s="193">
        <f t="shared" si="735"/>
        <v>5.52</v>
      </c>
      <c r="X1230" s="193">
        <f t="shared" si="826"/>
        <v>10.14</v>
      </c>
      <c r="Y1230" s="193">
        <f t="shared" si="758"/>
        <v>0.37</v>
      </c>
      <c r="Z1230" s="193">
        <f t="shared" si="692"/>
        <v>163.23000000000002</v>
      </c>
      <c r="AA1230" s="194">
        <f t="shared" si="693"/>
        <v>676.77</v>
      </c>
      <c r="AB1230" s="195">
        <v>677.81</v>
      </c>
      <c r="AC1230" s="196">
        <f t="shared" si="694"/>
        <v>1.0399999999999636</v>
      </c>
      <c r="AD1230" s="197">
        <f t="shared" si="695"/>
        <v>4.5664582767056261E-3</v>
      </c>
      <c r="AE1230" s="198">
        <f t="shared" si="696"/>
        <v>4.4299999999999998E-4</v>
      </c>
      <c r="AF1230" s="193"/>
      <c r="AG1230" s="199" t="s">
        <v>416</v>
      </c>
      <c r="AH1230" s="124"/>
    </row>
    <row r="1231" spans="1:34" ht="12" hidden="1" customHeight="1">
      <c r="A1231" s="187">
        <v>44601</v>
      </c>
      <c r="B1231" s="188" t="s">
        <v>589</v>
      </c>
      <c r="C1231" s="188" t="s">
        <v>460</v>
      </c>
      <c r="D1231" s="188"/>
      <c r="E1231" s="188" t="str">
        <f t="shared" si="682"/>
        <v>DCMSHRIRAM</v>
      </c>
      <c r="F1231" s="188"/>
      <c r="G1231" s="188"/>
      <c r="H1231" s="188"/>
      <c r="I1231" s="188" t="s">
        <v>668</v>
      </c>
      <c r="J1231" s="188" t="s">
        <v>483</v>
      </c>
      <c r="K1231" s="188"/>
      <c r="L1231" s="188"/>
      <c r="M1231" s="189">
        <v>100</v>
      </c>
      <c r="N1231" s="190">
        <v>1126</v>
      </c>
      <c r="O1231" s="191">
        <v>1130</v>
      </c>
      <c r="P1231" s="192">
        <f t="shared" si="789"/>
        <v>20</v>
      </c>
      <c r="Q1231" s="192">
        <f t="shared" si="790"/>
        <v>20</v>
      </c>
      <c r="R1231" s="193">
        <f t="shared" si="685"/>
        <v>225600</v>
      </c>
      <c r="S1231" s="193">
        <f t="shared" si="686"/>
        <v>400</v>
      </c>
      <c r="T1231" s="193">
        <v>56.97</v>
      </c>
      <c r="U1231" s="193">
        <f t="shared" si="707"/>
        <v>11.37</v>
      </c>
      <c r="V1231" s="193">
        <f t="shared" si="817"/>
        <v>28.25</v>
      </c>
      <c r="W1231" s="193">
        <f t="shared" si="735"/>
        <v>3.38</v>
      </c>
      <c r="X1231" s="193">
        <f t="shared" si="826"/>
        <v>6.2</v>
      </c>
      <c r="Y1231" s="193">
        <f t="shared" si="758"/>
        <v>0.23</v>
      </c>
      <c r="Z1231" s="193">
        <f t="shared" si="692"/>
        <v>106.4</v>
      </c>
      <c r="AA1231" s="194">
        <f t="shared" si="693"/>
        <v>293.60000000000002</v>
      </c>
      <c r="AB1231" s="195">
        <v>293.95</v>
      </c>
      <c r="AC1231" s="196">
        <f t="shared" si="694"/>
        <v>0.34999999999996589</v>
      </c>
      <c r="AD1231" s="197">
        <f t="shared" si="695"/>
        <v>3.552397868561279E-3</v>
      </c>
      <c r="AE1231" s="198">
        <f t="shared" si="696"/>
        <v>4.7199999999999998E-4</v>
      </c>
      <c r="AF1231" s="193"/>
      <c r="AG1231" s="199" t="s">
        <v>416</v>
      </c>
      <c r="AH1231" s="124"/>
    </row>
    <row r="1232" spans="1:34" ht="12" hidden="1" customHeight="1">
      <c r="A1232" s="187">
        <v>44602</v>
      </c>
      <c r="B1232" s="188" t="s">
        <v>495</v>
      </c>
      <c r="C1232" s="188" t="s">
        <v>485</v>
      </c>
      <c r="D1232" s="188"/>
      <c r="E1232" s="188" t="str">
        <f t="shared" si="682"/>
        <v>SAIL</v>
      </c>
      <c r="F1232" s="188"/>
      <c r="G1232" s="188"/>
      <c r="H1232" s="188"/>
      <c r="I1232" s="188" t="s">
        <v>668</v>
      </c>
      <c r="J1232" s="188" t="s">
        <v>483</v>
      </c>
      <c r="K1232" s="188"/>
      <c r="L1232" s="188"/>
      <c r="M1232" s="189">
        <v>1000</v>
      </c>
      <c r="N1232" s="190">
        <v>105.875</v>
      </c>
      <c r="O1232" s="191">
        <v>106.5</v>
      </c>
      <c r="P1232" s="192">
        <f t="shared" si="789"/>
        <v>20</v>
      </c>
      <c r="Q1232" s="192">
        <f t="shared" si="790"/>
        <v>20</v>
      </c>
      <c r="R1232" s="193">
        <f t="shared" si="685"/>
        <v>212375</v>
      </c>
      <c r="S1232" s="193">
        <f t="shared" si="686"/>
        <v>625</v>
      </c>
      <c r="T1232" s="193">
        <v>51.76</v>
      </c>
      <c r="U1232" s="193">
        <f t="shared" si="707"/>
        <v>10.37</v>
      </c>
      <c r="V1232" s="193">
        <f t="shared" si="817"/>
        <v>26.63</v>
      </c>
      <c r="W1232" s="193">
        <f t="shared" si="735"/>
        <v>3.18</v>
      </c>
      <c r="X1232" s="193">
        <f t="shared" si="826"/>
        <v>5.84</v>
      </c>
      <c r="Y1232" s="193">
        <f t="shared" si="758"/>
        <v>0.21</v>
      </c>
      <c r="Z1232" s="193">
        <f t="shared" si="692"/>
        <v>97.99</v>
      </c>
      <c r="AA1232" s="194">
        <f t="shared" si="693"/>
        <v>527.01</v>
      </c>
      <c r="AB1232" s="195">
        <v>526.82000000000005</v>
      </c>
      <c r="AC1232" s="196">
        <f t="shared" si="694"/>
        <v>-0.18999999999994088</v>
      </c>
      <c r="AD1232" s="197">
        <f t="shared" si="695"/>
        <v>5.9031877213695395E-3</v>
      </c>
      <c r="AE1232" s="198">
        <f t="shared" si="696"/>
        <v>4.6099999999999998E-4</v>
      </c>
      <c r="AF1232" s="193"/>
      <c r="AG1232" s="199" t="s">
        <v>416</v>
      </c>
      <c r="AH1232" s="124"/>
    </row>
    <row r="1233" spans="1:34" ht="12" hidden="1" customHeight="1">
      <c r="A1233" s="187">
        <v>44603</v>
      </c>
      <c r="B1233" s="188" t="s">
        <v>589</v>
      </c>
      <c r="C1233" s="188" t="s">
        <v>460</v>
      </c>
      <c r="D1233" s="188"/>
      <c r="E1233" s="188" t="str">
        <f t="shared" si="682"/>
        <v>DCMSHRIRAM</v>
      </c>
      <c r="F1233" s="188"/>
      <c r="G1233" s="188"/>
      <c r="H1233" s="188"/>
      <c r="I1233" s="188" t="s">
        <v>668</v>
      </c>
      <c r="J1233" s="188" t="s">
        <v>483</v>
      </c>
      <c r="K1233" s="188"/>
      <c r="L1233" s="188"/>
      <c r="M1233" s="189">
        <v>56</v>
      </c>
      <c r="N1233" s="190">
        <v>1114.1007</v>
      </c>
      <c r="O1233" s="191">
        <v>1116.4106999999999</v>
      </c>
      <c r="P1233" s="192">
        <f t="shared" si="789"/>
        <v>18.72</v>
      </c>
      <c r="Q1233" s="192">
        <f t="shared" si="790"/>
        <v>18.760000000000002</v>
      </c>
      <c r="R1233" s="193">
        <f t="shared" si="685"/>
        <v>124908.64</v>
      </c>
      <c r="S1233" s="193">
        <f t="shared" si="686"/>
        <v>129.35999999999694</v>
      </c>
      <c r="T1233" s="193">
        <v>42.46</v>
      </c>
      <c r="U1233" s="193">
        <f t="shared" si="707"/>
        <v>8.26</v>
      </c>
      <c r="V1233" s="193">
        <f t="shared" si="817"/>
        <v>15.63</v>
      </c>
      <c r="W1233" s="193">
        <f t="shared" si="735"/>
        <v>1.87</v>
      </c>
      <c r="X1233" s="193">
        <f t="shared" si="826"/>
        <v>3.43</v>
      </c>
      <c r="Y1233" s="193">
        <f t="shared" si="758"/>
        <v>0.12</v>
      </c>
      <c r="Z1233" s="193">
        <f t="shared" si="692"/>
        <v>71.77000000000001</v>
      </c>
      <c r="AA1233" s="194">
        <f t="shared" si="693"/>
        <v>57.59</v>
      </c>
      <c r="AB1233" s="195">
        <v>58.27</v>
      </c>
      <c r="AC1233" s="196">
        <f t="shared" si="694"/>
        <v>0.67999999999999972</v>
      </c>
      <c r="AD1233" s="197">
        <f t="shared" si="695"/>
        <v>2.0734211907415061E-3</v>
      </c>
      <c r="AE1233" s="198">
        <f t="shared" si="696"/>
        <v>5.7499999999999999E-4</v>
      </c>
      <c r="AF1233" s="193"/>
      <c r="AG1233" s="199" t="s">
        <v>416</v>
      </c>
      <c r="AH1233" s="124"/>
    </row>
    <row r="1234" spans="1:34" ht="12" hidden="1" customHeight="1">
      <c r="A1234" s="187">
        <v>44606</v>
      </c>
      <c r="B1234" s="188" t="s">
        <v>589</v>
      </c>
      <c r="C1234" s="188" t="s">
        <v>460</v>
      </c>
      <c r="D1234" s="188"/>
      <c r="E1234" s="188" t="str">
        <f t="shared" si="682"/>
        <v>DCMSHRIRAM</v>
      </c>
      <c r="F1234" s="188"/>
      <c r="G1234" s="188"/>
      <c r="H1234" s="188"/>
      <c r="I1234" s="188" t="s">
        <v>668</v>
      </c>
      <c r="J1234" s="188" t="s">
        <v>483</v>
      </c>
      <c r="K1234" s="188"/>
      <c r="L1234" s="188"/>
      <c r="M1234" s="189">
        <v>105</v>
      </c>
      <c r="N1234" s="190">
        <v>1045.8095000000001</v>
      </c>
      <c r="O1234" s="191">
        <v>1048.8285000000001</v>
      </c>
      <c r="P1234" s="192">
        <f t="shared" si="789"/>
        <v>20</v>
      </c>
      <c r="Q1234" s="192">
        <f t="shared" si="790"/>
        <v>20</v>
      </c>
      <c r="R1234" s="193">
        <f t="shared" si="685"/>
        <v>219936.99</v>
      </c>
      <c r="S1234" s="193">
        <f t="shared" si="686"/>
        <v>316.99500000000057</v>
      </c>
      <c r="T1234" s="193">
        <v>65.98</v>
      </c>
      <c r="U1234" s="193">
        <f t="shared" si="707"/>
        <v>12.97</v>
      </c>
      <c r="V1234" s="193">
        <f t="shared" si="817"/>
        <v>27.53</v>
      </c>
      <c r="W1234" s="193">
        <f t="shared" si="735"/>
        <v>3.29</v>
      </c>
      <c r="X1234" s="193">
        <f t="shared" si="826"/>
        <v>6.05</v>
      </c>
      <c r="Y1234" s="193">
        <f t="shared" si="758"/>
        <v>0.22</v>
      </c>
      <c r="Z1234" s="193">
        <f t="shared" si="692"/>
        <v>116.04</v>
      </c>
      <c r="AA1234" s="194">
        <f t="shared" si="693"/>
        <v>200.96</v>
      </c>
      <c r="AB1234" s="195">
        <v>201.78</v>
      </c>
      <c r="AC1234" s="196">
        <f t="shared" si="694"/>
        <v>0.81999999999999318</v>
      </c>
      <c r="AD1234" s="197">
        <f t="shared" si="695"/>
        <v>2.8867590129942455E-3</v>
      </c>
      <c r="AE1234" s="198">
        <f t="shared" si="696"/>
        <v>5.2800000000000004E-4</v>
      </c>
      <c r="AF1234" s="193"/>
      <c r="AG1234" s="199" t="s">
        <v>416</v>
      </c>
      <c r="AH1234" s="124"/>
    </row>
    <row r="1235" spans="1:34" ht="12" hidden="1" customHeight="1">
      <c r="A1235" s="187">
        <v>44606</v>
      </c>
      <c r="B1235" s="188" t="s">
        <v>602</v>
      </c>
      <c r="C1235" s="188" t="s">
        <v>485</v>
      </c>
      <c r="D1235" s="188"/>
      <c r="E1235" s="188" t="str">
        <f t="shared" si="682"/>
        <v>JPPOWER</v>
      </c>
      <c r="F1235" s="188"/>
      <c r="G1235" s="188"/>
      <c r="H1235" s="188"/>
      <c r="I1235" s="188" t="s">
        <v>668</v>
      </c>
      <c r="J1235" s="188" t="s">
        <v>483</v>
      </c>
      <c r="K1235" s="188"/>
      <c r="L1235" s="188"/>
      <c r="M1235" s="189">
        <v>1000</v>
      </c>
      <c r="N1235" s="190">
        <v>8.8000000000000007</v>
      </c>
      <c r="O1235" s="191">
        <v>9</v>
      </c>
      <c r="P1235" s="192">
        <f t="shared" si="789"/>
        <v>2.64</v>
      </c>
      <c r="Q1235" s="192">
        <f t="shared" si="790"/>
        <v>2.7</v>
      </c>
      <c r="R1235" s="193">
        <f t="shared" si="685"/>
        <v>17800</v>
      </c>
      <c r="S1235" s="193">
        <f t="shared" si="686"/>
        <v>199.99999999999929</v>
      </c>
      <c r="T1235" s="193">
        <f>ROUND(P1235+Q1235,2)</f>
        <v>5.34</v>
      </c>
      <c r="U1235" s="193">
        <f t="shared" si="707"/>
        <v>1.05</v>
      </c>
      <c r="V1235" s="193">
        <f t="shared" si="817"/>
        <v>2.25</v>
      </c>
      <c r="W1235" s="193">
        <f t="shared" si="735"/>
        <v>0.26</v>
      </c>
      <c r="X1235" s="193">
        <f t="shared" si="826"/>
        <v>0.49</v>
      </c>
      <c r="Y1235" s="193">
        <f t="shared" si="758"/>
        <v>0.02</v>
      </c>
      <c r="Z1235" s="193">
        <f t="shared" si="692"/>
        <v>9.41</v>
      </c>
      <c r="AA1235" s="194">
        <f t="shared" si="693"/>
        <v>190.59</v>
      </c>
      <c r="AB1235" s="195">
        <v>190.3</v>
      </c>
      <c r="AC1235" s="196">
        <f t="shared" si="694"/>
        <v>-0.28999999999999204</v>
      </c>
      <c r="AD1235" s="197">
        <f t="shared" si="695"/>
        <v>2.2727272727272645E-2</v>
      </c>
      <c r="AE1235" s="198">
        <f t="shared" si="696"/>
        <v>5.2899999999999996E-4</v>
      </c>
      <c r="AF1235" s="193"/>
      <c r="AG1235" s="199" t="s">
        <v>416</v>
      </c>
      <c r="AH1235" s="124"/>
    </row>
    <row r="1236" spans="1:34" ht="12" hidden="1" customHeight="1">
      <c r="A1236" s="187">
        <v>44607</v>
      </c>
      <c r="B1236" s="188" t="s">
        <v>589</v>
      </c>
      <c r="C1236" s="188" t="s">
        <v>460</v>
      </c>
      <c r="D1236" s="188"/>
      <c r="E1236" s="188" t="str">
        <f t="shared" si="682"/>
        <v>DCMSHRIRAM</v>
      </c>
      <c r="F1236" s="188"/>
      <c r="G1236" s="188"/>
      <c r="H1236" s="188"/>
      <c r="I1236" s="188" t="s">
        <v>668</v>
      </c>
      <c r="J1236" s="188" t="s">
        <v>483</v>
      </c>
      <c r="K1236" s="188"/>
      <c r="L1236" s="188"/>
      <c r="M1236" s="189">
        <v>120</v>
      </c>
      <c r="N1236" s="190">
        <v>1041.9949999999999</v>
      </c>
      <c r="O1236" s="191">
        <v>1047</v>
      </c>
      <c r="P1236" s="192">
        <f t="shared" si="789"/>
        <v>20</v>
      </c>
      <c r="Q1236" s="192">
        <f t="shared" si="790"/>
        <v>20</v>
      </c>
      <c r="R1236" s="193">
        <f t="shared" si="685"/>
        <v>250679.4</v>
      </c>
      <c r="S1236" s="193">
        <f t="shared" si="686"/>
        <v>600.6000000000131</v>
      </c>
      <c r="T1236" s="193">
        <v>75.22</v>
      </c>
      <c r="U1236" s="193">
        <f t="shared" si="707"/>
        <v>14.78</v>
      </c>
      <c r="V1236" s="193">
        <f t="shared" si="817"/>
        <v>31.41</v>
      </c>
      <c r="W1236" s="193">
        <f t="shared" si="735"/>
        <v>3.75</v>
      </c>
      <c r="X1236" s="193">
        <f t="shared" si="826"/>
        <v>6.89</v>
      </c>
      <c r="Y1236" s="193">
        <f t="shared" si="758"/>
        <v>0.25</v>
      </c>
      <c r="Z1236" s="193">
        <f t="shared" si="692"/>
        <v>132.29999999999998</v>
      </c>
      <c r="AA1236" s="194">
        <f t="shared" si="693"/>
        <v>468.3</v>
      </c>
      <c r="AB1236" s="195">
        <v>468.79</v>
      </c>
      <c r="AC1236" s="196">
        <f t="shared" si="694"/>
        <v>0.49000000000000909</v>
      </c>
      <c r="AD1236" s="197">
        <f t="shared" si="695"/>
        <v>4.8032860042515656E-3</v>
      </c>
      <c r="AE1236" s="198">
        <f t="shared" si="696"/>
        <v>5.2800000000000004E-4</v>
      </c>
      <c r="AF1236" s="193"/>
      <c r="AG1236" s="199" t="s">
        <v>416</v>
      </c>
      <c r="AH1236" s="124"/>
    </row>
    <row r="1237" spans="1:34" ht="12" hidden="1" customHeight="1">
      <c r="A1237" s="187">
        <v>44610</v>
      </c>
      <c r="B1237" s="188" t="s">
        <v>589</v>
      </c>
      <c r="C1237" s="188" t="s">
        <v>460</v>
      </c>
      <c r="D1237" s="188"/>
      <c r="E1237" s="188" t="str">
        <f t="shared" si="682"/>
        <v>DCMSHRIRAM</v>
      </c>
      <c r="F1237" s="188"/>
      <c r="G1237" s="188"/>
      <c r="H1237" s="188"/>
      <c r="I1237" s="188" t="s">
        <v>668</v>
      </c>
      <c r="J1237" s="188" t="s">
        <v>483</v>
      </c>
      <c r="K1237" s="188"/>
      <c r="L1237" s="188"/>
      <c r="M1237" s="189">
        <v>20</v>
      </c>
      <c r="N1237" s="190">
        <v>1081</v>
      </c>
      <c r="O1237" s="191">
        <v>1085</v>
      </c>
      <c r="P1237" s="192">
        <f t="shared" si="789"/>
        <v>6.49</v>
      </c>
      <c r="Q1237" s="192">
        <f t="shared" si="790"/>
        <v>6.51</v>
      </c>
      <c r="R1237" s="193">
        <f t="shared" si="685"/>
        <v>43320</v>
      </c>
      <c r="S1237" s="193">
        <f t="shared" si="686"/>
        <v>80</v>
      </c>
      <c r="T1237" s="193">
        <f>ROUND(P1237+Q1237,2)</f>
        <v>13</v>
      </c>
      <c r="U1237" s="193">
        <f t="shared" si="707"/>
        <v>2.61</v>
      </c>
      <c r="V1237" s="193">
        <f>ROUND((O1237*M1237)*F$1818,2)+1</f>
        <v>6.43</v>
      </c>
      <c r="W1237" s="193">
        <f t="shared" si="735"/>
        <v>0.65</v>
      </c>
      <c r="X1237" s="193">
        <f>ROUND(R1237*H$1820,2)</f>
        <v>1.49</v>
      </c>
      <c r="Y1237" s="193">
        <f t="shared" si="758"/>
        <v>0.04</v>
      </c>
      <c r="Z1237" s="193">
        <f t="shared" si="692"/>
        <v>24.219999999999995</v>
      </c>
      <c r="AA1237" s="194">
        <f t="shared" si="693"/>
        <v>55.78</v>
      </c>
      <c r="AB1237" s="195">
        <v>55.71</v>
      </c>
      <c r="AC1237" s="196">
        <f t="shared" si="694"/>
        <v>-7.0000000000000284E-2</v>
      </c>
      <c r="AD1237" s="197">
        <f t="shared" si="695"/>
        <v>3.7002775208140612E-3</v>
      </c>
      <c r="AE1237" s="198">
        <f t="shared" si="696"/>
        <v>5.5900000000000004E-4</v>
      </c>
      <c r="AF1237" s="193"/>
      <c r="AG1237" s="199" t="s">
        <v>416</v>
      </c>
      <c r="AH1237" s="124"/>
    </row>
    <row r="1238" spans="1:34" ht="12" hidden="1" customHeight="1">
      <c r="A1238" s="187">
        <v>44613</v>
      </c>
      <c r="B1238" s="188" t="s">
        <v>589</v>
      </c>
      <c r="C1238" s="188" t="s">
        <v>460</v>
      </c>
      <c r="D1238" s="188"/>
      <c r="E1238" s="188" t="str">
        <f t="shared" si="682"/>
        <v>DCMSHRIRAM</v>
      </c>
      <c r="F1238" s="188"/>
      <c r="G1238" s="188"/>
      <c r="H1238" s="188"/>
      <c r="I1238" s="188" t="s">
        <v>668</v>
      </c>
      <c r="J1238" s="188" t="s">
        <v>483</v>
      </c>
      <c r="K1238" s="188"/>
      <c r="L1238" s="188"/>
      <c r="M1238" s="189">
        <v>10</v>
      </c>
      <c r="N1238" s="190">
        <v>1026</v>
      </c>
      <c r="O1238" s="191">
        <v>1032</v>
      </c>
      <c r="P1238" s="192">
        <f t="shared" si="789"/>
        <v>3.08</v>
      </c>
      <c r="Q1238" s="192">
        <f t="shared" si="790"/>
        <v>3.1</v>
      </c>
      <c r="R1238" s="193">
        <f t="shared" si="685"/>
        <v>20580</v>
      </c>
      <c r="S1238" s="193">
        <f t="shared" si="686"/>
        <v>60</v>
      </c>
      <c r="T1238" s="193">
        <v>12.47</v>
      </c>
      <c r="U1238" s="193">
        <f t="shared" si="707"/>
        <v>2.35</v>
      </c>
      <c r="V1238" s="193">
        <f t="shared" ref="V1238:V1241" si="827">ROUND((O1238*M1238)*F$1818,2)</f>
        <v>2.58</v>
      </c>
      <c r="W1238" s="193">
        <f t="shared" si="735"/>
        <v>0.31</v>
      </c>
      <c r="X1238" s="193">
        <f t="shared" ref="X1238:X1246" si="828">ROUND(R1238*G$1820,2)</f>
        <v>0.56999999999999995</v>
      </c>
      <c r="Y1238" s="193">
        <f t="shared" si="758"/>
        <v>0.02</v>
      </c>
      <c r="Z1238" s="193">
        <f t="shared" si="692"/>
        <v>18.299999999999997</v>
      </c>
      <c r="AA1238" s="194">
        <f t="shared" si="693"/>
        <v>41.7</v>
      </c>
      <c r="AB1238" s="195">
        <v>41.03</v>
      </c>
      <c r="AC1238" s="196">
        <f t="shared" si="694"/>
        <v>-0.67000000000000171</v>
      </c>
      <c r="AD1238" s="197">
        <f t="shared" si="695"/>
        <v>5.8479532163742687E-3</v>
      </c>
      <c r="AE1238" s="198">
        <f t="shared" si="696"/>
        <v>8.8900000000000003E-4</v>
      </c>
      <c r="AF1238" s="193"/>
      <c r="AG1238" s="199" t="s">
        <v>416</v>
      </c>
      <c r="AH1238" s="124"/>
    </row>
    <row r="1239" spans="1:34" ht="12" hidden="1" customHeight="1">
      <c r="A1239" s="187">
        <v>44614</v>
      </c>
      <c r="B1239" s="188" t="s">
        <v>589</v>
      </c>
      <c r="C1239" s="188" t="s">
        <v>460</v>
      </c>
      <c r="D1239" s="188"/>
      <c r="E1239" s="188" t="str">
        <f t="shared" si="682"/>
        <v>DCMSHRIRAM</v>
      </c>
      <c r="F1239" s="188"/>
      <c r="G1239" s="188"/>
      <c r="H1239" s="188"/>
      <c r="I1239" s="188" t="s">
        <v>668</v>
      </c>
      <c r="J1239" s="188" t="s">
        <v>483</v>
      </c>
      <c r="K1239" s="188"/>
      <c r="L1239" s="188"/>
      <c r="M1239" s="189">
        <v>10</v>
      </c>
      <c r="N1239" s="190">
        <v>950.2</v>
      </c>
      <c r="O1239" s="191">
        <v>962</v>
      </c>
      <c r="P1239" s="192">
        <f t="shared" si="789"/>
        <v>2.85</v>
      </c>
      <c r="Q1239" s="192">
        <f t="shared" si="790"/>
        <v>2.89</v>
      </c>
      <c r="R1239" s="193">
        <f t="shared" si="685"/>
        <v>19122</v>
      </c>
      <c r="S1239" s="193">
        <f t="shared" si="686"/>
        <v>117.99999999999955</v>
      </c>
      <c r="T1239" s="193">
        <v>21.45</v>
      </c>
      <c r="U1239" s="193">
        <f t="shared" si="707"/>
        <v>3.96</v>
      </c>
      <c r="V1239" s="193">
        <f t="shared" si="827"/>
        <v>2.41</v>
      </c>
      <c r="W1239" s="193">
        <f t="shared" si="735"/>
        <v>0.28999999999999998</v>
      </c>
      <c r="X1239" s="193">
        <f t="shared" si="828"/>
        <v>0.53</v>
      </c>
      <c r="Y1239" s="193">
        <f t="shared" si="758"/>
        <v>0.02</v>
      </c>
      <c r="Z1239" s="193">
        <f t="shared" si="692"/>
        <v>28.66</v>
      </c>
      <c r="AA1239" s="194">
        <f t="shared" si="693"/>
        <v>89.34</v>
      </c>
      <c r="AB1239" s="195">
        <v>88.28</v>
      </c>
      <c r="AC1239" s="196">
        <f t="shared" si="694"/>
        <v>-1.0600000000000023</v>
      </c>
      <c r="AD1239" s="197">
        <f t="shared" si="695"/>
        <v>1.2418438223531839E-2</v>
      </c>
      <c r="AE1239" s="198">
        <f t="shared" si="696"/>
        <v>1.4989999999999999E-3</v>
      </c>
      <c r="AF1239" s="193"/>
      <c r="AG1239" s="199" t="s">
        <v>416</v>
      </c>
      <c r="AH1239" s="124"/>
    </row>
    <row r="1240" spans="1:34" ht="12" hidden="1" customHeight="1">
      <c r="A1240" s="187">
        <v>44615</v>
      </c>
      <c r="B1240" s="188" t="s">
        <v>589</v>
      </c>
      <c r="C1240" s="188" t="s">
        <v>460</v>
      </c>
      <c r="D1240" s="188"/>
      <c r="E1240" s="188" t="str">
        <f t="shared" si="682"/>
        <v>DCMSHRIRAM</v>
      </c>
      <c r="F1240" s="188"/>
      <c r="G1240" s="188"/>
      <c r="H1240" s="188"/>
      <c r="I1240" s="188" t="s">
        <v>668</v>
      </c>
      <c r="J1240" s="188" t="s">
        <v>483</v>
      </c>
      <c r="K1240" s="188"/>
      <c r="L1240" s="188"/>
      <c r="M1240" s="189">
        <v>20</v>
      </c>
      <c r="N1240" s="190">
        <v>975.5</v>
      </c>
      <c r="O1240" s="191">
        <v>979.5</v>
      </c>
      <c r="P1240" s="192">
        <f t="shared" si="789"/>
        <v>5.85</v>
      </c>
      <c r="Q1240" s="192">
        <f t="shared" si="790"/>
        <v>5.88</v>
      </c>
      <c r="R1240" s="193">
        <f t="shared" si="685"/>
        <v>39100</v>
      </c>
      <c r="S1240" s="193">
        <f t="shared" si="686"/>
        <v>80</v>
      </c>
      <c r="T1240" s="193">
        <f>ROUND(P1240+Q1240,2)</f>
        <v>11.73</v>
      </c>
      <c r="U1240" s="193">
        <f t="shared" si="707"/>
        <v>2.31</v>
      </c>
      <c r="V1240" s="193">
        <f t="shared" si="827"/>
        <v>4.9000000000000004</v>
      </c>
      <c r="W1240" s="193">
        <f t="shared" si="735"/>
        <v>0.59</v>
      </c>
      <c r="X1240" s="193">
        <f t="shared" si="828"/>
        <v>1.08</v>
      </c>
      <c r="Y1240" s="193">
        <f t="shared" si="758"/>
        <v>0.04</v>
      </c>
      <c r="Z1240" s="193">
        <f t="shared" si="692"/>
        <v>20.65</v>
      </c>
      <c r="AA1240" s="194">
        <f t="shared" si="693"/>
        <v>59.35</v>
      </c>
      <c r="AB1240" s="195">
        <v>58.2</v>
      </c>
      <c r="AC1240" s="196">
        <f t="shared" si="694"/>
        <v>-1.1499999999999986</v>
      </c>
      <c r="AD1240" s="197">
        <f t="shared" si="695"/>
        <v>4.1004613018964632E-3</v>
      </c>
      <c r="AE1240" s="198">
        <f t="shared" si="696"/>
        <v>5.2800000000000004E-4</v>
      </c>
      <c r="AF1240" s="193"/>
      <c r="AG1240" s="199" t="s">
        <v>416</v>
      </c>
      <c r="AH1240" s="124"/>
    </row>
    <row r="1241" spans="1:34" ht="12" hidden="1" customHeight="1">
      <c r="A1241" s="187">
        <v>44616</v>
      </c>
      <c r="B1241" s="188" t="s">
        <v>589</v>
      </c>
      <c r="C1241" s="188" t="s">
        <v>460</v>
      </c>
      <c r="D1241" s="188"/>
      <c r="E1241" s="188" t="str">
        <f t="shared" si="682"/>
        <v>DCMSHRIRAM</v>
      </c>
      <c r="F1241" s="188"/>
      <c r="G1241" s="188"/>
      <c r="H1241" s="188"/>
      <c r="I1241" s="188" t="s">
        <v>668</v>
      </c>
      <c r="J1241" s="188" t="s">
        <v>483</v>
      </c>
      <c r="K1241" s="188"/>
      <c r="L1241" s="188"/>
      <c r="M1241" s="189">
        <v>30</v>
      </c>
      <c r="N1241" s="190">
        <v>948.21669999999995</v>
      </c>
      <c r="O1241" s="191">
        <v>952.21669999999995</v>
      </c>
      <c r="P1241" s="192">
        <f t="shared" si="789"/>
        <v>8.5299999999999994</v>
      </c>
      <c r="Q1241" s="192">
        <f t="shared" si="790"/>
        <v>8.57</v>
      </c>
      <c r="R1241" s="193">
        <f t="shared" si="685"/>
        <v>57013</v>
      </c>
      <c r="S1241" s="193">
        <f t="shared" si="686"/>
        <v>120</v>
      </c>
      <c r="T1241" s="193">
        <v>17.11</v>
      </c>
      <c r="U1241" s="193">
        <f t="shared" si="707"/>
        <v>3.36</v>
      </c>
      <c r="V1241" s="193">
        <f t="shared" si="827"/>
        <v>7.14</v>
      </c>
      <c r="W1241" s="193">
        <f t="shared" si="735"/>
        <v>0.85</v>
      </c>
      <c r="X1241" s="193">
        <f t="shared" si="828"/>
        <v>1.57</v>
      </c>
      <c r="Y1241" s="193">
        <f t="shared" si="758"/>
        <v>0.06</v>
      </c>
      <c r="Z1241" s="193">
        <f t="shared" si="692"/>
        <v>30.09</v>
      </c>
      <c r="AA1241" s="194">
        <f t="shared" si="693"/>
        <v>89.91</v>
      </c>
      <c r="AB1241" s="195">
        <v>89.91</v>
      </c>
      <c r="AC1241" s="196">
        <f t="shared" si="694"/>
        <v>0</v>
      </c>
      <c r="AD1241" s="197">
        <f t="shared" si="695"/>
        <v>4.2184450031306133E-3</v>
      </c>
      <c r="AE1241" s="198">
        <f t="shared" si="696"/>
        <v>5.2800000000000004E-4</v>
      </c>
      <c r="AF1241" s="193"/>
      <c r="AG1241" s="199" t="s">
        <v>416</v>
      </c>
      <c r="AH1241" s="124"/>
    </row>
    <row r="1242" spans="1:34" ht="12" hidden="1" customHeight="1">
      <c r="A1242" s="187">
        <v>44616</v>
      </c>
      <c r="B1242" s="188" t="s">
        <v>609</v>
      </c>
      <c r="C1242" s="188" t="s">
        <v>460</v>
      </c>
      <c r="D1242" s="188"/>
      <c r="E1242" s="188" t="str">
        <f t="shared" si="682"/>
        <v>SETFGOLD</v>
      </c>
      <c r="F1242" s="188"/>
      <c r="G1242" s="188"/>
      <c r="H1242" s="188"/>
      <c r="I1242" s="188" t="s">
        <v>668</v>
      </c>
      <c r="J1242" s="188" t="s">
        <v>483</v>
      </c>
      <c r="K1242" s="188"/>
      <c r="L1242" s="188"/>
      <c r="M1242" s="189">
        <v>900</v>
      </c>
      <c r="N1242" s="190">
        <v>45.4</v>
      </c>
      <c r="O1242" s="191">
        <v>45.6</v>
      </c>
      <c r="P1242" s="192">
        <f t="shared" si="789"/>
        <v>12.26</v>
      </c>
      <c r="Q1242" s="192">
        <f t="shared" si="790"/>
        <v>12.31</v>
      </c>
      <c r="R1242" s="193">
        <f t="shared" si="685"/>
        <v>81900</v>
      </c>
      <c r="S1242" s="193">
        <f t="shared" si="686"/>
        <v>180.00000000000256</v>
      </c>
      <c r="T1242" s="193">
        <v>25.92</v>
      </c>
      <c r="U1242" s="193">
        <f t="shared" si="707"/>
        <v>5.07</v>
      </c>
      <c r="V1242" s="193">
        <f>ROUND((O1242*M1242)*F$1818,2)-10.26</f>
        <v>0</v>
      </c>
      <c r="W1242" s="193">
        <f t="shared" si="735"/>
        <v>1.23</v>
      </c>
      <c r="X1242" s="193">
        <f t="shared" si="828"/>
        <v>2.25</v>
      </c>
      <c r="Y1242" s="193">
        <f t="shared" si="758"/>
        <v>0.08</v>
      </c>
      <c r="Z1242" s="193">
        <f t="shared" si="692"/>
        <v>34.549999999999997</v>
      </c>
      <c r="AA1242" s="194">
        <f t="shared" si="693"/>
        <v>145.44999999999999</v>
      </c>
      <c r="AB1242" s="195">
        <v>145.06</v>
      </c>
      <c r="AC1242" s="196">
        <f t="shared" si="694"/>
        <v>-0.38999999999998636</v>
      </c>
      <c r="AD1242" s="197">
        <f t="shared" si="695"/>
        <v>4.4052863436123977E-3</v>
      </c>
      <c r="AE1242" s="198">
        <f t="shared" si="696"/>
        <v>4.2200000000000001E-4</v>
      </c>
      <c r="AF1242" s="193"/>
      <c r="AG1242" s="199" t="s">
        <v>416</v>
      </c>
      <c r="AH1242" s="124"/>
    </row>
    <row r="1243" spans="1:34" ht="12" hidden="1" customHeight="1">
      <c r="A1243" s="187">
        <v>44617</v>
      </c>
      <c r="B1243" s="188" t="s">
        <v>589</v>
      </c>
      <c r="C1243" s="188" t="s">
        <v>460</v>
      </c>
      <c r="D1243" s="188"/>
      <c r="E1243" s="188" t="str">
        <f t="shared" si="682"/>
        <v>DCMSHRIRAM</v>
      </c>
      <c r="F1243" s="188"/>
      <c r="G1243" s="188"/>
      <c r="H1243" s="188"/>
      <c r="I1243" s="188" t="s">
        <v>668</v>
      </c>
      <c r="J1243" s="188" t="s">
        <v>483</v>
      </c>
      <c r="K1243" s="188"/>
      <c r="L1243" s="188"/>
      <c r="M1243" s="189">
        <v>20</v>
      </c>
      <c r="N1243" s="190">
        <v>975</v>
      </c>
      <c r="O1243" s="191">
        <v>981.5</v>
      </c>
      <c r="P1243" s="192">
        <f t="shared" si="789"/>
        <v>5.85</v>
      </c>
      <c r="Q1243" s="192">
        <f t="shared" si="790"/>
        <v>5.89</v>
      </c>
      <c r="R1243" s="193">
        <f t="shared" si="685"/>
        <v>39130</v>
      </c>
      <c r="S1243" s="193">
        <f t="shared" si="686"/>
        <v>130</v>
      </c>
      <c r="T1243" s="193">
        <f>ROUND(P1243+Q1243,2)</f>
        <v>11.74</v>
      </c>
      <c r="U1243" s="193">
        <f t="shared" si="707"/>
        <v>2.31</v>
      </c>
      <c r="V1243" s="193">
        <f>ROUND((O1243*M1243)*F$1818,2)</f>
        <v>4.91</v>
      </c>
      <c r="W1243" s="193">
        <f t="shared" si="735"/>
        <v>0.59</v>
      </c>
      <c r="X1243" s="193">
        <f t="shared" si="828"/>
        <v>1.08</v>
      </c>
      <c r="Y1243" s="193">
        <f t="shared" si="758"/>
        <v>0.04</v>
      </c>
      <c r="Z1243" s="193">
        <f t="shared" si="692"/>
        <v>20.67</v>
      </c>
      <c r="AA1243" s="194">
        <f t="shared" si="693"/>
        <v>109.33</v>
      </c>
      <c r="AB1243" s="195">
        <v>108.66</v>
      </c>
      <c r="AC1243" s="196">
        <f t="shared" si="694"/>
        <v>-0.67000000000000171</v>
      </c>
      <c r="AD1243" s="197">
        <f t="shared" si="695"/>
        <v>6.6666666666666671E-3</v>
      </c>
      <c r="AE1243" s="198">
        <f t="shared" si="696"/>
        <v>5.2800000000000004E-4</v>
      </c>
      <c r="AF1243" s="193"/>
      <c r="AG1243" s="199" t="s">
        <v>416</v>
      </c>
      <c r="AH1243" s="124"/>
    </row>
    <row r="1244" spans="1:34" ht="12" hidden="1" customHeight="1">
      <c r="A1244" s="187">
        <v>44617</v>
      </c>
      <c r="B1244" s="188" t="s">
        <v>609</v>
      </c>
      <c r="C1244" s="188" t="s">
        <v>460</v>
      </c>
      <c r="D1244" s="188"/>
      <c r="E1244" s="188" t="str">
        <f t="shared" si="682"/>
        <v>SETFGOLD</v>
      </c>
      <c r="F1244" s="188"/>
      <c r="G1244" s="188"/>
      <c r="H1244" s="188"/>
      <c r="I1244" s="188" t="s">
        <v>668</v>
      </c>
      <c r="J1244" s="188" t="s">
        <v>483</v>
      </c>
      <c r="K1244" s="188"/>
      <c r="L1244" s="188"/>
      <c r="M1244" s="189">
        <v>300</v>
      </c>
      <c r="N1244" s="190">
        <v>44.7</v>
      </c>
      <c r="O1244" s="191">
        <v>44.75</v>
      </c>
      <c r="P1244" s="192">
        <f t="shared" si="789"/>
        <v>4.0199999999999996</v>
      </c>
      <c r="Q1244" s="192">
        <f t="shared" si="790"/>
        <v>4.03</v>
      </c>
      <c r="R1244" s="193">
        <f t="shared" si="685"/>
        <v>26835</v>
      </c>
      <c r="S1244" s="193">
        <f t="shared" si="686"/>
        <v>14.999999999999147</v>
      </c>
      <c r="T1244" s="193">
        <v>24.03</v>
      </c>
      <c r="U1244" s="193">
        <f t="shared" si="707"/>
        <v>4.46</v>
      </c>
      <c r="V1244" s="193">
        <f>ROUND((O1244*M1244)*F$1818,2)-3.36</f>
        <v>0</v>
      </c>
      <c r="W1244" s="193">
        <f t="shared" si="735"/>
        <v>0.4</v>
      </c>
      <c r="X1244" s="193">
        <f t="shared" si="828"/>
        <v>0.74</v>
      </c>
      <c r="Y1244" s="193">
        <f t="shared" si="758"/>
        <v>0.03</v>
      </c>
      <c r="Z1244" s="193">
        <f t="shared" si="692"/>
        <v>29.66</v>
      </c>
      <c r="AA1244" s="194">
        <f t="shared" si="693"/>
        <v>-14.66</v>
      </c>
      <c r="AB1244" s="195">
        <v>-14.66</v>
      </c>
      <c r="AC1244" s="196">
        <f t="shared" si="694"/>
        <v>0</v>
      </c>
      <c r="AD1244" s="197">
        <f t="shared" si="695"/>
        <v>1.1185682326621288E-3</v>
      </c>
      <c r="AE1244" s="198">
        <f t="shared" si="696"/>
        <v>1.1050000000000001E-3</v>
      </c>
      <c r="AF1244" s="193"/>
      <c r="AG1244" s="199" t="s">
        <v>416</v>
      </c>
      <c r="AH1244" s="124"/>
    </row>
    <row r="1245" spans="1:34" ht="12" hidden="1" customHeight="1">
      <c r="A1245" s="187">
        <v>44620</v>
      </c>
      <c r="B1245" s="188" t="s">
        <v>589</v>
      </c>
      <c r="C1245" s="188" t="s">
        <v>460</v>
      </c>
      <c r="D1245" s="188"/>
      <c r="E1245" s="188" t="str">
        <f t="shared" si="682"/>
        <v>DCMSHRIRAM</v>
      </c>
      <c r="F1245" s="188"/>
      <c r="G1245" s="188"/>
      <c r="H1245" s="188"/>
      <c r="I1245" s="188" t="s">
        <v>668</v>
      </c>
      <c r="J1245" s="188" t="s">
        <v>483</v>
      </c>
      <c r="K1245" s="188"/>
      <c r="L1245" s="188"/>
      <c r="M1245" s="189">
        <v>20</v>
      </c>
      <c r="N1245" s="190">
        <v>984</v>
      </c>
      <c r="O1245" s="191">
        <v>987.5</v>
      </c>
      <c r="P1245" s="192">
        <f t="shared" si="789"/>
        <v>5.9</v>
      </c>
      <c r="Q1245" s="192">
        <f t="shared" si="790"/>
        <v>5.93</v>
      </c>
      <c r="R1245" s="193">
        <f t="shared" si="685"/>
        <v>39430</v>
      </c>
      <c r="S1245" s="193">
        <f t="shared" si="686"/>
        <v>70</v>
      </c>
      <c r="T1245" s="193">
        <v>17.75</v>
      </c>
      <c r="U1245" s="193">
        <f t="shared" si="707"/>
        <v>3.39</v>
      </c>
      <c r="V1245" s="193">
        <f>ROUND((O1245*M1245)*F$1818,2)-1</f>
        <v>3.9400000000000004</v>
      </c>
      <c r="W1245" s="193">
        <f t="shared" si="735"/>
        <v>0.59</v>
      </c>
      <c r="X1245" s="193">
        <f t="shared" si="828"/>
        <v>1.08</v>
      </c>
      <c r="Y1245" s="193">
        <f t="shared" si="758"/>
        <v>0.04</v>
      </c>
      <c r="Z1245" s="193">
        <f t="shared" si="692"/>
        <v>26.79</v>
      </c>
      <c r="AA1245" s="194">
        <f t="shared" si="693"/>
        <v>43.21</v>
      </c>
      <c r="AB1245" s="195">
        <v>43.34</v>
      </c>
      <c r="AC1245" s="196">
        <f t="shared" si="694"/>
        <v>0.13000000000000256</v>
      </c>
      <c r="AD1245" s="197">
        <f t="shared" si="695"/>
        <v>3.5569105691056909E-3</v>
      </c>
      <c r="AE1245" s="198">
        <f t="shared" si="696"/>
        <v>6.7900000000000002E-4</v>
      </c>
      <c r="AF1245" s="193"/>
      <c r="AG1245" s="199" t="s">
        <v>416</v>
      </c>
      <c r="AH1245" s="124"/>
    </row>
    <row r="1246" spans="1:34" ht="12" hidden="1" customHeight="1">
      <c r="A1246" s="187">
        <v>44622</v>
      </c>
      <c r="B1246" s="188" t="s">
        <v>609</v>
      </c>
      <c r="C1246" s="188" t="s">
        <v>460</v>
      </c>
      <c r="D1246" s="188"/>
      <c r="E1246" s="188" t="str">
        <f t="shared" si="682"/>
        <v>SETFGOLD</v>
      </c>
      <c r="F1246" s="188"/>
      <c r="G1246" s="188"/>
      <c r="H1246" s="188"/>
      <c r="I1246" s="188" t="s">
        <v>668</v>
      </c>
      <c r="J1246" s="188" t="s">
        <v>483</v>
      </c>
      <c r="K1246" s="188"/>
      <c r="L1246" s="188"/>
      <c r="M1246" s="189">
        <v>400</v>
      </c>
      <c r="N1246" s="190">
        <v>45.42</v>
      </c>
      <c r="O1246" s="191">
        <v>45.5</v>
      </c>
      <c r="P1246" s="192">
        <f t="shared" si="789"/>
        <v>5.45</v>
      </c>
      <c r="Q1246" s="192">
        <f t="shared" si="790"/>
        <v>5.46</v>
      </c>
      <c r="R1246" s="193">
        <f t="shared" si="685"/>
        <v>36368</v>
      </c>
      <c r="S1246" s="193">
        <f t="shared" si="686"/>
        <v>31.999999999999318</v>
      </c>
      <c r="T1246" s="193">
        <f t="shared" ref="T1246:T1249" si="829">ROUND(P1246+Q1246,2)</f>
        <v>10.91</v>
      </c>
      <c r="U1246" s="193">
        <f t="shared" si="707"/>
        <v>2.14</v>
      </c>
      <c r="V1246" s="193">
        <f>ROUND((O1246*M1246)*F$1818,2)-4.55</f>
        <v>0</v>
      </c>
      <c r="W1246" s="193">
        <f t="shared" si="735"/>
        <v>0.55000000000000004</v>
      </c>
      <c r="X1246" s="193">
        <f t="shared" si="828"/>
        <v>1</v>
      </c>
      <c r="Y1246" s="193">
        <f t="shared" si="758"/>
        <v>0.04</v>
      </c>
      <c r="Z1246" s="193">
        <f t="shared" si="692"/>
        <v>14.64</v>
      </c>
      <c r="AA1246" s="194">
        <f t="shared" si="693"/>
        <v>17.36</v>
      </c>
      <c r="AB1246" s="195">
        <v>16.91</v>
      </c>
      <c r="AC1246" s="196">
        <f t="shared" si="694"/>
        <v>-0.44999999999999929</v>
      </c>
      <c r="AD1246" s="197">
        <f t="shared" si="695"/>
        <v>1.7613386173491478E-3</v>
      </c>
      <c r="AE1246" s="198">
        <f t="shared" si="696"/>
        <v>4.0299999999999998E-4</v>
      </c>
      <c r="AF1246" s="193"/>
      <c r="AG1246" s="199" t="s">
        <v>416</v>
      </c>
      <c r="AH1246" s="124"/>
    </row>
    <row r="1247" spans="1:34" ht="12" hidden="1" customHeight="1">
      <c r="A1247" s="187">
        <v>44622</v>
      </c>
      <c r="B1247" s="188" t="s">
        <v>604</v>
      </c>
      <c r="C1247" s="188" t="s">
        <v>485</v>
      </c>
      <c r="D1247" s="188"/>
      <c r="E1247" s="188" t="str">
        <f t="shared" si="682"/>
        <v>TATASTEEL</v>
      </c>
      <c r="F1247" s="188"/>
      <c r="G1247" s="188"/>
      <c r="H1247" s="188"/>
      <c r="I1247" s="188" t="s">
        <v>668</v>
      </c>
      <c r="J1247" s="188" t="s">
        <v>483</v>
      </c>
      <c r="K1247" s="188"/>
      <c r="L1247" s="188"/>
      <c r="M1247" s="189">
        <v>20</v>
      </c>
      <c r="N1247" s="190">
        <v>1288.5</v>
      </c>
      <c r="O1247" s="191">
        <v>1295.5</v>
      </c>
      <c r="P1247" s="192">
        <f t="shared" si="789"/>
        <v>7.73</v>
      </c>
      <c r="Q1247" s="192">
        <f t="shared" si="790"/>
        <v>7.77</v>
      </c>
      <c r="R1247" s="193">
        <f t="shared" si="685"/>
        <v>51680</v>
      </c>
      <c r="S1247" s="193">
        <f t="shared" si="686"/>
        <v>140</v>
      </c>
      <c r="T1247" s="193">
        <f t="shared" si="829"/>
        <v>15.5</v>
      </c>
      <c r="U1247" s="193">
        <f t="shared" si="707"/>
        <v>3.11</v>
      </c>
      <c r="V1247" s="193">
        <f t="shared" ref="V1247:V1253" si="830">ROUND((O1247*M1247)*F$1818,2)</f>
        <v>6.48</v>
      </c>
      <c r="W1247" s="193">
        <f t="shared" si="735"/>
        <v>0.77</v>
      </c>
      <c r="X1247" s="193">
        <f>ROUND(R1247*H$1820,2)</f>
        <v>1.78</v>
      </c>
      <c r="Y1247" s="193">
        <f t="shared" si="758"/>
        <v>0.05</v>
      </c>
      <c r="Z1247" s="193">
        <f t="shared" si="692"/>
        <v>27.69</v>
      </c>
      <c r="AA1247" s="194">
        <f t="shared" si="693"/>
        <v>112.31</v>
      </c>
      <c r="AB1247" s="195">
        <v>111.65</v>
      </c>
      <c r="AC1247" s="196">
        <f t="shared" si="694"/>
        <v>-0.65999999999999659</v>
      </c>
      <c r="AD1247" s="197">
        <f t="shared" si="695"/>
        <v>5.4326736515327902E-3</v>
      </c>
      <c r="AE1247" s="198">
        <f t="shared" si="696"/>
        <v>5.3600000000000002E-4</v>
      </c>
      <c r="AF1247" s="193"/>
      <c r="AG1247" s="199" t="s">
        <v>416</v>
      </c>
      <c r="AH1247" s="124"/>
    </row>
    <row r="1248" spans="1:34" ht="12" hidden="1" customHeight="1">
      <c r="A1248" s="187">
        <v>44623</v>
      </c>
      <c r="B1248" s="188" t="s">
        <v>589</v>
      </c>
      <c r="C1248" s="188" t="s">
        <v>460</v>
      </c>
      <c r="D1248" s="188"/>
      <c r="E1248" s="188" t="str">
        <f t="shared" si="682"/>
        <v>DCMSHRIRAM</v>
      </c>
      <c r="F1248" s="188"/>
      <c r="G1248" s="188"/>
      <c r="H1248" s="188"/>
      <c r="I1248" s="188" t="s">
        <v>668</v>
      </c>
      <c r="J1248" s="188" t="s">
        <v>483</v>
      </c>
      <c r="K1248" s="188"/>
      <c r="L1248" s="188"/>
      <c r="M1248" s="189">
        <v>20</v>
      </c>
      <c r="N1248" s="190">
        <v>1052</v>
      </c>
      <c r="O1248" s="191">
        <v>1059.5</v>
      </c>
      <c r="P1248" s="192">
        <f t="shared" si="789"/>
        <v>6.31</v>
      </c>
      <c r="Q1248" s="192">
        <f t="shared" si="790"/>
        <v>6.36</v>
      </c>
      <c r="R1248" s="193">
        <f t="shared" si="685"/>
        <v>42230</v>
      </c>
      <c r="S1248" s="193">
        <f t="shared" si="686"/>
        <v>150</v>
      </c>
      <c r="T1248" s="193">
        <f t="shared" si="829"/>
        <v>12.67</v>
      </c>
      <c r="U1248" s="193">
        <f t="shared" si="707"/>
        <v>2.4900000000000002</v>
      </c>
      <c r="V1248" s="193">
        <f t="shared" si="830"/>
        <v>5.3</v>
      </c>
      <c r="W1248" s="193">
        <f t="shared" si="735"/>
        <v>0.63</v>
      </c>
      <c r="X1248" s="193">
        <f t="shared" ref="X1248:X1279" si="831">ROUND(R1248*G$1820,2)</f>
        <v>1.1599999999999999</v>
      </c>
      <c r="Y1248" s="193">
        <f t="shared" si="758"/>
        <v>0.04</v>
      </c>
      <c r="Z1248" s="193">
        <f t="shared" si="692"/>
        <v>22.29</v>
      </c>
      <c r="AA1248" s="194">
        <f t="shared" si="693"/>
        <v>127.71</v>
      </c>
      <c r="AB1248" s="195">
        <v>127.64</v>
      </c>
      <c r="AC1248" s="196">
        <f t="shared" si="694"/>
        <v>-6.9999999999993179E-2</v>
      </c>
      <c r="AD1248" s="197">
        <f t="shared" si="695"/>
        <v>7.1292775665399242E-3</v>
      </c>
      <c r="AE1248" s="198">
        <f t="shared" si="696"/>
        <v>5.2800000000000004E-4</v>
      </c>
      <c r="AF1248" s="193"/>
      <c r="AG1248" s="199" t="s">
        <v>416</v>
      </c>
      <c r="AH1248" s="124"/>
    </row>
    <row r="1249" spans="1:34" ht="12" hidden="1" customHeight="1">
      <c r="A1249" s="187">
        <v>44624</v>
      </c>
      <c r="B1249" s="188" t="s">
        <v>589</v>
      </c>
      <c r="C1249" s="188" t="s">
        <v>460</v>
      </c>
      <c r="D1249" s="188"/>
      <c r="E1249" s="188" t="str">
        <f t="shared" si="682"/>
        <v>DCMSHRIRAM</v>
      </c>
      <c r="F1249" s="188"/>
      <c r="G1249" s="188"/>
      <c r="H1249" s="188"/>
      <c r="I1249" s="188" t="s">
        <v>668</v>
      </c>
      <c r="J1249" s="188" t="s">
        <v>483</v>
      </c>
      <c r="K1249" s="188"/>
      <c r="L1249" s="188"/>
      <c r="M1249" s="189">
        <v>30</v>
      </c>
      <c r="N1249" s="190">
        <v>1039.6667</v>
      </c>
      <c r="O1249" s="191">
        <v>1046</v>
      </c>
      <c r="P1249" s="192">
        <f t="shared" si="789"/>
        <v>9.36</v>
      </c>
      <c r="Q1249" s="192">
        <f t="shared" si="790"/>
        <v>9.41</v>
      </c>
      <c r="R1249" s="193">
        <f t="shared" si="685"/>
        <v>62570</v>
      </c>
      <c r="S1249" s="193">
        <f t="shared" si="686"/>
        <v>189.99900000000025</v>
      </c>
      <c r="T1249" s="193">
        <f t="shared" si="829"/>
        <v>18.77</v>
      </c>
      <c r="U1249" s="193">
        <f t="shared" si="707"/>
        <v>3.69</v>
      </c>
      <c r="V1249" s="193">
        <f t="shared" si="830"/>
        <v>7.85</v>
      </c>
      <c r="W1249" s="193">
        <f t="shared" si="735"/>
        <v>0.94</v>
      </c>
      <c r="X1249" s="193">
        <f t="shared" si="831"/>
        <v>1.72</v>
      </c>
      <c r="Y1249" s="193">
        <f t="shared" si="758"/>
        <v>0.06</v>
      </c>
      <c r="Z1249" s="193">
        <f t="shared" si="692"/>
        <v>33.030000000000008</v>
      </c>
      <c r="AA1249" s="194">
        <f t="shared" si="693"/>
        <v>156.97</v>
      </c>
      <c r="AB1249" s="195">
        <v>157.07</v>
      </c>
      <c r="AC1249" s="196">
        <f t="shared" si="694"/>
        <v>9.9999999999994316E-2</v>
      </c>
      <c r="AD1249" s="197">
        <f t="shared" si="695"/>
        <v>6.0916637995619251E-3</v>
      </c>
      <c r="AE1249" s="198">
        <f t="shared" si="696"/>
        <v>5.2800000000000004E-4</v>
      </c>
      <c r="AF1249" s="193"/>
      <c r="AG1249" s="199" t="s">
        <v>416</v>
      </c>
      <c r="AH1249" s="124"/>
    </row>
    <row r="1250" spans="1:34" ht="12" hidden="1" customHeight="1">
      <c r="A1250" s="187">
        <v>44627</v>
      </c>
      <c r="B1250" s="188" t="s">
        <v>589</v>
      </c>
      <c r="C1250" s="188" t="s">
        <v>460</v>
      </c>
      <c r="D1250" s="188"/>
      <c r="E1250" s="188" t="str">
        <f t="shared" si="682"/>
        <v>DCMSHRIRAM</v>
      </c>
      <c r="F1250" s="188"/>
      <c r="G1250" s="188"/>
      <c r="H1250" s="188"/>
      <c r="I1250" s="188" t="s">
        <v>668</v>
      </c>
      <c r="J1250" s="188" t="s">
        <v>483</v>
      </c>
      <c r="K1250" s="188"/>
      <c r="L1250" s="188"/>
      <c r="M1250" s="189">
        <v>20</v>
      </c>
      <c r="N1250" s="190">
        <v>961.5</v>
      </c>
      <c r="O1250" s="191">
        <v>966</v>
      </c>
      <c r="P1250" s="192">
        <f t="shared" si="789"/>
        <v>5.77</v>
      </c>
      <c r="Q1250" s="192">
        <f t="shared" si="790"/>
        <v>5.8</v>
      </c>
      <c r="R1250" s="193">
        <f t="shared" si="685"/>
        <v>38550</v>
      </c>
      <c r="S1250" s="193">
        <f t="shared" si="686"/>
        <v>90</v>
      </c>
      <c r="T1250" s="193">
        <v>11.72</v>
      </c>
      <c r="U1250" s="193">
        <f t="shared" si="707"/>
        <v>2.2999999999999998</v>
      </c>
      <c r="V1250" s="193">
        <f t="shared" si="830"/>
        <v>4.83</v>
      </c>
      <c r="W1250" s="193">
        <f t="shared" si="735"/>
        <v>0.57999999999999996</v>
      </c>
      <c r="X1250" s="193">
        <f t="shared" si="831"/>
        <v>1.06</v>
      </c>
      <c r="Y1250" s="193">
        <f t="shared" si="758"/>
        <v>0.04</v>
      </c>
      <c r="Z1250" s="193">
        <f t="shared" si="692"/>
        <v>20.529999999999998</v>
      </c>
      <c r="AA1250" s="194">
        <f t="shared" si="693"/>
        <v>69.47</v>
      </c>
      <c r="AB1250" s="195">
        <v>69.55</v>
      </c>
      <c r="AC1250" s="196">
        <f t="shared" si="694"/>
        <v>7.9999999999998295E-2</v>
      </c>
      <c r="AD1250" s="197">
        <f t="shared" si="695"/>
        <v>4.6801872074882997E-3</v>
      </c>
      <c r="AE1250" s="198">
        <f t="shared" si="696"/>
        <v>5.3300000000000005E-4</v>
      </c>
      <c r="AF1250" s="193"/>
      <c r="AG1250" s="199" t="s">
        <v>416</v>
      </c>
      <c r="AH1250" s="124"/>
    </row>
    <row r="1251" spans="1:34" ht="12" hidden="1" customHeight="1">
      <c r="A1251" s="187">
        <v>44628</v>
      </c>
      <c r="B1251" s="188" t="s">
        <v>589</v>
      </c>
      <c r="C1251" s="188" t="s">
        <v>460</v>
      </c>
      <c r="D1251" s="188"/>
      <c r="E1251" s="188" t="str">
        <f t="shared" si="682"/>
        <v>DCMSHRIRAM</v>
      </c>
      <c r="F1251" s="188"/>
      <c r="G1251" s="188"/>
      <c r="H1251" s="188"/>
      <c r="I1251" s="188" t="s">
        <v>668</v>
      </c>
      <c r="J1251" s="188" t="s">
        <v>483</v>
      </c>
      <c r="K1251" s="188"/>
      <c r="L1251" s="188"/>
      <c r="M1251" s="189">
        <v>100</v>
      </c>
      <c r="N1251" s="190">
        <v>965.6</v>
      </c>
      <c r="O1251" s="191">
        <v>975.96</v>
      </c>
      <c r="P1251" s="192">
        <f t="shared" si="789"/>
        <v>20</v>
      </c>
      <c r="Q1251" s="192">
        <f t="shared" si="790"/>
        <v>20</v>
      </c>
      <c r="R1251" s="193">
        <f t="shared" si="685"/>
        <v>194156</v>
      </c>
      <c r="S1251" s="193">
        <f t="shared" si="686"/>
        <v>1036.0000000000014</v>
      </c>
      <c r="T1251" s="193">
        <v>58.26</v>
      </c>
      <c r="U1251" s="193">
        <f t="shared" si="707"/>
        <v>11.45</v>
      </c>
      <c r="V1251" s="193">
        <f t="shared" si="830"/>
        <v>24.4</v>
      </c>
      <c r="W1251" s="193">
        <f t="shared" si="735"/>
        <v>2.9</v>
      </c>
      <c r="X1251" s="193">
        <f t="shared" si="831"/>
        <v>5.34</v>
      </c>
      <c r="Y1251" s="193">
        <f t="shared" si="758"/>
        <v>0.19</v>
      </c>
      <c r="Z1251" s="193">
        <f t="shared" si="692"/>
        <v>102.53999999999999</v>
      </c>
      <c r="AA1251" s="194">
        <f t="shared" si="693"/>
        <v>933.46</v>
      </c>
      <c r="AB1251" s="195">
        <v>933.77</v>
      </c>
      <c r="AC1251" s="196">
        <f t="shared" si="694"/>
        <v>0.30999999999994543</v>
      </c>
      <c r="AD1251" s="197">
        <f t="shared" si="695"/>
        <v>1.0729080364540197E-2</v>
      </c>
      <c r="AE1251" s="198">
        <f t="shared" si="696"/>
        <v>5.2800000000000004E-4</v>
      </c>
      <c r="AF1251" s="193"/>
      <c r="AG1251" s="199" t="s">
        <v>416</v>
      </c>
      <c r="AH1251" s="124"/>
    </row>
    <row r="1252" spans="1:34" ht="12" hidden="1" customHeight="1">
      <c r="A1252" s="187">
        <v>44628</v>
      </c>
      <c r="B1252" s="188" t="s">
        <v>493</v>
      </c>
      <c r="C1252" s="188" t="s">
        <v>485</v>
      </c>
      <c r="D1252" s="188"/>
      <c r="E1252" s="188" t="str">
        <f t="shared" si="682"/>
        <v>SBIN</v>
      </c>
      <c r="F1252" s="188"/>
      <c r="G1252" s="188"/>
      <c r="H1252" s="188"/>
      <c r="I1252" s="188" t="s">
        <v>668</v>
      </c>
      <c r="J1252" s="188" t="s">
        <v>483</v>
      </c>
      <c r="K1252" s="188"/>
      <c r="L1252" s="188"/>
      <c r="M1252" s="189">
        <v>25</v>
      </c>
      <c r="N1252" s="190">
        <v>426</v>
      </c>
      <c r="O1252" s="191">
        <v>432</v>
      </c>
      <c r="P1252" s="192">
        <f t="shared" si="789"/>
        <v>3.2</v>
      </c>
      <c r="Q1252" s="192">
        <f t="shared" si="790"/>
        <v>3.24</v>
      </c>
      <c r="R1252" s="193">
        <f t="shared" si="685"/>
        <v>21450</v>
      </c>
      <c r="S1252" s="193">
        <f t="shared" si="686"/>
        <v>150</v>
      </c>
      <c r="T1252" s="193">
        <v>13.01</v>
      </c>
      <c r="U1252" s="193">
        <f t="shared" si="707"/>
        <v>2.4500000000000002</v>
      </c>
      <c r="V1252" s="193">
        <f t="shared" si="830"/>
        <v>2.7</v>
      </c>
      <c r="W1252" s="193">
        <f t="shared" si="735"/>
        <v>0.32</v>
      </c>
      <c r="X1252" s="193">
        <f t="shared" si="831"/>
        <v>0.59</v>
      </c>
      <c r="Y1252" s="193">
        <f t="shared" si="758"/>
        <v>0.02</v>
      </c>
      <c r="Z1252" s="193">
        <f t="shared" si="692"/>
        <v>19.09</v>
      </c>
      <c r="AA1252" s="194">
        <f t="shared" si="693"/>
        <v>130.91</v>
      </c>
      <c r="AB1252" s="195">
        <v>131.15</v>
      </c>
      <c r="AC1252" s="196">
        <f t="shared" si="694"/>
        <v>0.24000000000000909</v>
      </c>
      <c r="AD1252" s="197">
        <f t="shared" si="695"/>
        <v>1.4084507042253521E-2</v>
      </c>
      <c r="AE1252" s="198">
        <f t="shared" si="696"/>
        <v>8.8999999999999995E-4</v>
      </c>
      <c r="AF1252" s="193"/>
      <c r="AG1252" s="199" t="s">
        <v>416</v>
      </c>
      <c r="AH1252" s="124"/>
    </row>
    <row r="1253" spans="1:34" ht="12" hidden="1" customHeight="1">
      <c r="A1253" s="187">
        <v>44629</v>
      </c>
      <c r="B1253" s="188" t="s">
        <v>589</v>
      </c>
      <c r="C1253" s="188" t="s">
        <v>460</v>
      </c>
      <c r="D1253" s="188"/>
      <c r="E1253" s="188" t="str">
        <f t="shared" si="682"/>
        <v>DCMSHRIRAM</v>
      </c>
      <c r="F1253" s="188"/>
      <c r="G1253" s="188"/>
      <c r="H1253" s="188"/>
      <c r="I1253" s="188" t="s">
        <v>668</v>
      </c>
      <c r="J1253" s="188" t="s">
        <v>483</v>
      </c>
      <c r="K1253" s="188"/>
      <c r="L1253" s="188"/>
      <c r="M1253" s="189">
        <v>50</v>
      </c>
      <c r="N1253" s="190">
        <v>1020.8</v>
      </c>
      <c r="O1253" s="191">
        <v>1023.008</v>
      </c>
      <c r="P1253" s="192">
        <f t="shared" si="789"/>
        <v>15.31</v>
      </c>
      <c r="Q1253" s="192">
        <f t="shared" si="790"/>
        <v>15.35</v>
      </c>
      <c r="R1253" s="193">
        <f t="shared" si="685"/>
        <v>102190.39999999999</v>
      </c>
      <c r="S1253" s="193">
        <f t="shared" si="686"/>
        <v>110.40000000000418</v>
      </c>
      <c r="T1253" s="193">
        <v>30.46</v>
      </c>
      <c r="U1253" s="193">
        <f t="shared" si="707"/>
        <v>5.99</v>
      </c>
      <c r="V1253" s="193">
        <f t="shared" si="830"/>
        <v>12.79</v>
      </c>
      <c r="W1253" s="193">
        <f t="shared" si="735"/>
        <v>1.53</v>
      </c>
      <c r="X1253" s="193">
        <f t="shared" si="831"/>
        <v>2.81</v>
      </c>
      <c r="Y1253" s="193">
        <f t="shared" si="758"/>
        <v>0.1</v>
      </c>
      <c r="Z1253" s="193">
        <f t="shared" si="692"/>
        <v>53.680000000000007</v>
      </c>
      <c r="AA1253" s="194">
        <f t="shared" si="693"/>
        <v>56.72</v>
      </c>
      <c r="AB1253" s="195">
        <v>56.4</v>
      </c>
      <c r="AC1253" s="196">
        <f t="shared" si="694"/>
        <v>-0.32000000000000028</v>
      </c>
      <c r="AD1253" s="197">
        <f t="shared" si="695"/>
        <v>2.1630094043887968E-3</v>
      </c>
      <c r="AE1253" s="198">
        <f t="shared" si="696"/>
        <v>5.2499999999999997E-4</v>
      </c>
      <c r="AF1253" s="193"/>
      <c r="AG1253" s="199" t="s">
        <v>416</v>
      </c>
      <c r="AH1253" s="124"/>
    </row>
    <row r="1254" spans="1:34" ht="12" hidden="1" customHeight="1">
      <c r="A1254" s="187">
        <v>44629</v>
      </c>
      <c r="B1254" s="188" t="s">
        <v>609</v>
      </c>
      <c r="C1254" s="188" t="s">
        <v>460</v>
      </c>
      <c r="D1254" s="188"/>
      <c r="E1254" s="188" t="str">
        <f t="shared" si="682"/>
        <v>SETFGOLD</v>
      </c>
      <c r="F1254" s="188"/>
      <c r="G1254" s="188"/>
      <c r="H1254" s="188"/>
      <c r="I1254" s="188" t="s">
        <v>668</v>
      </c>
      <c r="J1254" s="188" t="s">
        <v>483</v>
      </c>
      <c r="K1254" s="188"/>
      <c r="L1254" s="188"/>
      <c r="M1254" s="189">
        <v>1000</v>
      </c>
      <c r="N1254" s="190">
        <v>47.4</v>
      </c>
      <c r="O1254" s="191">
        <v>47.85</v>
      </c>
      <c r="P1254" s="192">
        <f t="shared" si="789"/>
        <v>14.22</v>
      </c>
      <c r="Q1254" s="192">
        <f t="shared" si="790"/>
        <v>14.36</v>
      </c>
      <c r="R1254" s="193">
        <f t="shared" si="685"/>
        <v>95250</v>
      </c>
      <c r="S1254" s="193">
        <f t="shared" si="686"/>
        <v>450.00000000000284</v>
      </c>
      <c r="T1254" s="193">
        <f t="shared" ref="T1254:T1259" si="832">ROUND(P1254+Q1254,2)</f>
        <v>28.58</v>
      </c>
      <c r="U1254" s="193">
        <f t="shared" si="707"/>
        <v>5.62</v>
      </c>
      <c r="V1254" s="193">
        <f>ROUND((O1254*M1254)*F$1818,2)-11.96</f>
        <v>0</v>
      </c>
      <c r="W1254" s="193">
        <f t="shared" si="735"/>
        <v>1.42</v>
      </c>
      <c r="X1254" s="193">
        <f t="shared" si="831"/>
        <v>2.62</v>
      </c>
      <c r="Y1254" s="193">
        <f t="shared" si="758"/>
        <v>0.1</v>
      </c>
      <c r="Z1254" s="193">
        <f t="shared" si="692"/>
        <v>38.339999999999996</v>
      </c>
      <c r="AA1254" s="194">
        <f t="shared" si="693"/>
        <v>411.66</v>
      </c>
      <c r="AB1254" s="195">
        <v>411.66</v>
      </c>
      <c r="AC1254" s="196">
        <f t="shared" si="694"/>
        <v>0</v>
      </c>
      <c r="AD1254" s="197">
        <f t="shared" si="695"/>
        <v>9.4936708860760104E-3</v>
      </c>
      <c r="AE1254" s="198">
        <f t="shared" si="696"/>
        <v>4.0299999999999998E-4</v>
      </c>
      <c r="AF1254" s="193"/>
      <c r="AG1254" s="199" t="s">
        <v>416</v>
      </c>
      <c r="AH1254" s="124"/>
    </row>
    <row r="1255" spans="1:34" ht="12" hidden="1" customHeight="1">
      <c r="A1255" s="187">
        <v>44634</v>
      </c>
      <c r="B1255" s="188" t="s">
        <v>589</v>
      </c>
      <c r="C1255" s="188" t="s">
        <v>460</v>
      </c>
      <c r="D1255" s="188"/>
      <c r="E1255" s="188" t="str">
        <f t="shared" si="682"/>
        <v>DCMSHRIRAM</v>
      </c>
      <c r="F1255" s="188"/>
      <c r="G1255" s="188"/>
      <c r="H1255" s="188"/>
      <c r="I1255" s="188" t="s">
        <v>668</v>
      </c>
      <c r="J1255" s="188" t="s">
        <v>483</v>
      </c>
      <c r="K1255" s="188"/>
      <c r="L1255" s="188"/>
      <c r="M1255" s="189">
        <v>40</v>
      </c>
      <c r="N1255" s="190">
        <v>1085.75</v>
      </c>
      <c r="O1255" s="191">
        <v>1089.5</v>
      </c>
      <c r="P1255" s="192">
        <f t="shared" si="789"/>
        <v>13.03</v>
      </c>
      <c r="Q1255" s="192">
        <f t="shared" si="790"/>
        <v>13.07</v>
      </c>
      <c r="R1255" s="193">
        <f t="shared" si="685"/>
        <v>87010</v>
      </c>
      <c r="S1255" s="193">
        <f t="shared" si="686"/>
        <v>150</v>
      </c>
      <c r="T1255" s="193">
        <f t="shared" si="832"/>
        <v>26.1</v>
      </c>
      <c r="U1255" s="193">
        <f t="shared" si="707"/>
        <v>5.13</v>
      </c>
      <c r="V1255" s="193">
        <f t="shared" ref="V1255:V1268" si="833">ROUND((O1255*M1255)*F$1818,2)</f>
        <v>10.9</v>
      </c>
      <c r="W1255" s="193">
        <f t="shared" si="735"/>
        <v>1.3</v>
      </c>
      <c r="X1255" s="193">
        <f t="shared" si="831"/>
        <v>2.39</v>
      </c>
      <c r="Y1255" s="193">
        <f t="shared" si="758"/>
        <v>0.09</v>
      </c>
      <c r="Z1255" s="193">
        <f t="shared" si="692"/>
        <v>45.910000000000004</v>
      </c>
      <c r="AA1255" s="194">
        <f t="shared" si="693"/>
        <v>104.09</v>
      </c>
      <c r="AB1255" s="195">
        <v>104.65</v>
      </c>
      <c r="AC1255" s="196">
        <f t="shared" si="694"/>
        <v>0.56000000000000227</v>
      </c>
      <c r="AD1255" s="197">
        <f t="shared" si="695"/>
        <v>3.45383375546857E-3</v>
      </c>
      <c r="AE1255" s="198">
        <f t="shared" si="696"/>
        <v>5.2800000000000004E-4</v>
      </c>
      <c r="AF1255" s="193"/>
      <c r="AG1255" s="199" t="s">
        <v>416</v>
      </c>
      <c r="AH1255" s="124"/>
    </row>
    <row r="1256" spans="1:34" ht="12" hidden="1" customHeight="1">
      <c r="A1256" s="187">
        <v>44635</v>
      </c>
      <c r="B1256" s="188" t="s">
        <v>589</v>
      </c>
      <c r="C1256" s="188" t="s">
        <v>460</v>
      </c>
      <c r="D1256" s="188"/>
      <c r="E1256" s="188" t="str">
        <f t="shared" si="682"/>
        <v>DCMSHRIRAM</v>
      </c>
      <c r="F1256" s="188"/>
      <c r="G1256" s="188"/>
      <c r="H1256" s="188"/>
      <c r="I1256" s="188" t="s">
        <v>668</v>
      </c>
      <c r="J1256" s="188" t="s">
        <v>483</v>
      </c>
      <c r="K1256" s="188"/>
      <c r="L1256" s="188"/>
      <c r="M1256" s="189">
        <v>20</v>
      </c>
      <c r="N1256" s="190">
        <v>1029</v>
      </c>
      <c r="O1256" s="191">
        <v>1040</v>
      </c>
      <c r="P1256" s="192">
        <f t="shared" si="789"/>
        <v>6.17</v>
      </c>
      <c r="Q1256" s="192">
        <f t="shared" si="790"/>
        <v>6.24</v>
      </c>
      <c r="R1256" s="193">
        <f t="shared" si="685"/>
        <v>41380</v>
      </c>
      <c r="S1256" s="193">
        <f t="shared" si="686"/>
        <v>220</v>
      </c>
      <c r="T1256" s="193">
        <f t="shared" si="832"/>
        <v>12.41</v>
      </c>
      <c r="U1256" s="193">
        <f t="shared" si="707"/>
        <v>2.44</v>
      </c>
      <c r="V1256" s="193">
        <f t="shared" si="833"/>
        <v>5.2</v>
      </c>
      <c r="W1256" s="193">
        <f t="shared" si="735"/>
        <v>0.62</v>
      </c>
      <c r="X1256" s="193">
        <f t="shared" si="831"/>
        <v>1.1399999999999999</v>
      </c>
      <c r="Y1256" s="193">
        <f t="shared" si="758"/>
        <v>0.04</v>
      </c>
      <c r="Z1256" s="193">
        <f t="shared" si="692"/>
        <v>21.85</v>
      </c>
      <c r="AA1256" s="194">
        <f t="shared" si="693"/>
        <v>198.15</v>
      </c>
      <c r="AB1256" s="195">
        <v>197.58</v>
      </c>
      <c r="AC1256" s="196">
        <f t="shared" si="694"/>
        <v>-0.56999999999999318</v>
      </c>
      <c r="AD1256" s="197">
        <f t="shared" si="695"/>
        <v>1.0689990281827016E-2</v>
      </c>
      <c r="AE1256" s="198">
        <f t="shared" si="696"/>
        <v>5.2800000000000004E-4</v>
      </c>
      <c r="AF1256" s="193"/>
      <c r="AG1256" s="199" t="s">
        <v>416</v>
      </c>
      <c r="AH1256" s="124"/>
    </row>
    <row r="1257" spans="1:34" ht="12" hidden="1" customHeight="1">
      <c r="A1257" s="187">
        <v>44636</v>
      </c>
      <c r="B1257" s="188" t="s">
        <v>589</v>
      </c>
      <c r="C1257" s="188" t="s">
        <v>460</v>
      </c>
      <c r="D1257" s="188"/>
      <c r="E1257" s="188" t="str">
        <f t="shared" si="682"/>
        <v>DCMSHRIRAM</v>
      </c>
      <c r="F1257" s="188"/>
      <c r="G1257" s="188"/>
      <c r="H1257" s="188"/>
      <c r="I1257" s="188" t="s">
        <v>668</v>
      </c>
      <c r="J1257" s="188" t="s">
        <v>483</v>
      </c>
      <c r="K1257" s="188"/>
      <c r="L1257" s="188"/>
      <c r="M1257" s="189">
        <v>10</v>
      </c>
      <c r="N1257" s="190">
        <v>1050</v>
      </c>
      <c r="O1257" s="191">
        <v>1055</v>
      </c>
      <c r="P1257" s="192">
        <f t="shared" si="789"/>
        <v>3.15</v>
      </c>
      <c r="Q1257" s="192">
        <f t="shared" si="790"/>
        <v>3.17</v>
      </c>
      <c r="R1257" s="193">
        <f t="shared" si="685"/>
        <v>21050</v>
      </c>
      <c r="S1257" s="193">
        <f t="shared" si="686"/>
        <v>50</v>
      </c>
      <c r="T1257" s="193">
        <f t="shared" si="832"/>
        <v>6.32</v>
      </c>
      <c r="U1257" s="193">
        <f t="shared" si="707"/>
        <v>1.24</v>
      </c>
      <c r="V1257" s="193">
        <f t="shared" si="833"/>
        <v>2.64</v>
      </c>
      <c r="W1257" s="193">
        <f t="shared" si="735"/>
        <v>0.32</v>
      </c>
      <c r="X1257" s="193">
        <f t="shared" si="831"/>
        <v>0.57999999999999996</v>
      </c>
      <c r="Y1257" s="193">
        <f t="shared" si="758"/>
        <v>0.02</v>
      </c>
      <c r="Z1257" s="193">
        <f t="shared" si="692"/>
        <v>11.120000000000001</v>
      </c>
      <c r="AA1257" s="194">
        <f t="shared" si="693"/>
        <v>38.880000000000003</v>
      </c>
      <c r="AB1257" s="195">
        <v>38.85</v>
      </c>
      <c r="AC1257" s="196">
        <f t="shared" si="694"/>
        <v>-3.0000000000001137E-2</v>
      </c>
      <c r="AD1257" s="197">
        <f t="shared" si="695"/>
        <v>4.7619047619047623E-3</v>
      </c>
      <c r="AE1257" s="198">
        <f t="shared" si="696"/>
        <v>5.2800000000000004E-4</v>
      </c>
      <c r="AF1257" s="193"/>
      <c r="AG1257" s="199" t="s">
        <v>416</v>
      </c>
      <c r="AH1257" s="124"/>
    </row>
    <row r="1258" spans="1:34" ht="12" hidden="1" customHeight="1">
      <c r="A1258" s="187">
        <v>44637</v>
      </c>
      <c r="B1258" s="188" t="s">
        <v>589</v>
      </c>
      <c r="C1258" s="188" t="s">
        <v>460</v>
      </c>
      <c r="D1258" s="188"/>
      <c r="E1258" s="188" t="str">
        <f t="shared" si="682"/>
        <v>DCMSHRIRAM</v>
      </c>
      <c r="F1258" s="188"/>
      <c r="G1258" s="188"/>
      <c r="H1258" s="188"/>
      <c r="I1258" s="188" t="s">
        <v>668</v>
      </c>
      <c r="J1258" s="188" t="s">
        <v>483</v>
      </c>
      <c r="K1258" s="188"/>
      <c r="L1258" s="188"/>
      <c r="M1258" s="189">
        <v>20</v>
      </c>
      <c r="N1258" s="190">
        <v>1060</v>
      </c>
      <c r="O1258" s="191">
        <v>1067.425</v>
      </c>
      <c r="P1258" s="192">
        <f t="shared" si="789"/>
        <v>6.36</v>
      </c>
      <c r="Q1258" s="192">
        <f t="shared" si="790"/>
        <v>6.4</v>
      </c>
      <c r="R1258" s="193">
        <f t="shared" si="685"/>
        <v>42548.5</v>
      </c>
      <c r="S1258" s="193">
        <f t="shared" si="686"/>
        <v>148.49999999999909</v>
      </c>
      <c r="T1258" s="193">
        <f t="shared" si="832"/>
        <v>12.76</v>
      </c>
      <c r="U1258" s="193">
        <f t="shared" si="707"/>
        <v>2.5099999999999998</v>
      </c>
      <c r="V1258" s="193">
        <f t="shared" si="833"/>
        <v>5.34</v>
      </c>
      <c r="W1258" s="193">
        <f t="shared" si="735"/>
        <v>0.64</v>
      </c>
      <c r="X1258" s="193">
        <f t="shared" si="831"/>
        <v>1.17</v>
      </c>
      <c r="Y1258" s="193">
        <f t="shared" si="758"/>
        <v>0.04</v>
      </c>
      <c r="Z1258" s="193">
        <f t="shared" si="692"/>
        <v>22.46</v>
      </c>
      <c r="AA1258" s="194">
        <f t="shared" si="693"/>
        <v>126.04</v>
      </c>
      <c r="AB1258" s="195">
        <v>126.02</v>
      </c>
      <c r="AC1258" s="196">
        <f t="shared" si="694"/>
        <v>-2.0000000000010232E-2</v>
      </c>
      <c r="AD1258" s="197">
        <f t="shared" si="695"/>
        <v>7.0047169811320326E-3</v>
      </c>
      <c r="AE1258" s="198">
        <f t="shared" si="696"/>
        <v>5.2800000000000004E-4</v>
      </c>
      <c r="AF1258" s="193"/>
      <c r="AG1258" s="199" t="s">
        <v>416</v>
      </c>
      <c r="AH1258" s="124"/>
    </row>
    <row r="1259" spans="1:34" ht="12" hidden="1" customHeight="1">
      <c r="A1259" s="187">
        <v>44641</v>
      </c>
      <c r="B1259" s="188" t="s">
        <v>589</v>
      </c>
      <c r="C1259" s="188" t="s">
        <v>460</v>
      </c>
      <c r="D1259" s="188"/>
      <c r="E1259" s="188" t="str">
        <f t="shared" si="682"/>
        <v>DCMSHRIRAM</v>
      </c>
      <c r="F1259" s="188"/>
      <c r="G1259" s="188"/>
      <c r="H1259" s="188"/>
      <c r="I1259" s="188" t="s">
        <v>668</v>
      </c>
      <c r="J1259" s="188" t="s">
        <v>483</v>
      </c>
      <c r="K1259" s="188"/>
      <c r="L1259" s="188"/>
      <c r="M1259" s="189">
        <v>20</v>
      </c>
      <c r="N1259" s="190">
        <v>1074</v>
      </c>
      <c r="O1259" s="191">
        <v>1081</v>
      </c>
      <c r="P1259" s="192">
        <f t="shared" si="789"/>
        <v>6.44</v>
      </c>
      <c r="Q1259" s="192">
        <f t="shared" si="790"/>
        <v>6.49</v>
      </c>
      <c r="R1259" s="193">
        <f t="shared" si="685"/>
        <v>43100</v>
      </c>
      <c r="S1259" s="193">
        <f t="shared" si="686"/>
        <v>140</v>
      </c>
      <c r="T1259" s="193">
        <f t="shared" si="832"/>
        <v>12.93</v>
      </c>
      <c r="U1259" s="193">
        <f t="shared" si="707"/>
        <v>2.54</v>
      </c>
      <c r="V1259" s="193">
        <f t="shared" si="833"/>
        <v>5.41</v>
      </c>
      <c r="W1259" s="193">
        <f t="shared" si="735"/>
        <v>0.64</v>
      </c>
      <c r="X1259" s="193">
        <f t="shared" si="831"/>
        <v>1.19</v>
      </c>
      <c r="Y1259" s="193">
        <f t="shared" si="758"/>
        <v>0.04</v>
      </c>
      <c r="Z1259" s="193">
        <f t="shared" si="692"/>
        <v>22.75</v>
      </c>
      <c r="AA1259" s="194">
        <f t="shared" si="693"/>
        <v>117.25</v>
      </c>
      <c r="AB1259" s="195">
        <v>117.12</v>
      </c>
      <c r="AC1259" s="196">
        <f t="shared" si="694"/>
        <v>-0.12999999999999545</v>
      </c>
      <c r="AD1259" s="197">
        <f t="shared" si="695"/>
        <v>6.5176908752327747E-3</v>
      </c>
      <c r="AE1259" s="198">
        <f t="shared" si="696"/>
        <v>5.2800000000000004E-4</v>
      </c>
      <c r="AF1259" s="193"/>
      <c r="AG1259" s="199" t="s">
        <v>416</v>
      </c>
      <c r="AH1259" s="124"/>
    </row>
    <row r="1260" spans="1:34" ht="12" hidden="1" customHeight="1">
      <c r="A1260" s="187">
        <v>44642</v>
      </c>
      <c r="B1260" s="188" t="s">
        <v>589</v>
      </c>
      <c r="C1260" s="188" t="s">
        <v>460</v>
      </c>
      <c r="D1260" s="188"/>
      <c r="E1260" s="188" t="str">
        <f t="shared" si="682"/>
        <v>DCMSHRIRAM</v>
      </c>
      <c r="F1260" s="188"/>
      <c r="G1260" s="188"/>
      <c r="H1260" s="188"/>
      <c r="I1260" s="188" t="s">
        <v>668</v>
      </c>
      <c r="J1260" s="188" t="s">
        <v>483</v>
      </c>
      <c r="K1260" s="188"/>
      <c r="L1260" s="188"/>
      <c r="M1260" s="189">
        <v>44</v>
      </c>
      <c r="N1260" s="190">
        <v>1061.9545000000001</v>
      </c>
      <c r="O1260" s="191">
        <v>1066.8136</v>
      </c>
      <c r="P1260" s="192">
        <f t="shared" si="789"/>
        <v>14.02</v>
      </c>
      <c r="Q1260" s="192">
        <f t="shared" si="790"/>
        <v>14.08</v>
      </c>
      <c r="R1260" s="193">
        <f t="shared" si="685"/>
        <v>93665.8</v>
      </c>
      <c r="S1260" s="193">
        <f t="shared" si="686"/>
        <v>213.80039999999553</v>
      </c>
      <c r="T1260" s="193">
        <v>30.02</v>
      </c>
      <c r="U1260" s="193">
        <f t="shared" si="707"/>
        <v>5.87</v>
      </c>
      <c r="V1260" s="193">
        <f t="shared" si="833"/>
        <v>11.73</v>
      </c>
      <c r="W1260" s="193">
        <f t="shared" si="735"/>
        <v>1.4</v>
      </c>
      <c r="X1260" s="193">
        <f t="shared" si="831"/>
        <v>2.58</v>
      </c>
      <c r="Y1260" s="193">
        <f t="shared" si="758"/>
        <v>0.09</v>
      </c>
      <c r="Z1260" s="193">
        <f t="shared" si="692"/>
        <v>51.690000000000005</v>
      </c>
      <c r="AA1260" s="194">
        <f t="shared" si="693"/>
        <v>162.11000000000001</v>
      </c>
      <c r="AB1260" s="195">
        <v>161.97999999999999</v>
      </c>
      <c r="AC1260" s="196">
        <f t="shared" si="694"/>
        <v>-0.13000000000002387</v>
      </c>
      <c r="AD1260" s="197">
        <f t="shared" si="695"/>
        <v>4.5756197652534998E-3</v>
      </c>
      <c r="AE1260" s="198">
        <f t="shared" si="696"/>
        <v>5.5199999999999997E-4</v>
      </c>
      <c r="AF1260" s="193"/>
      <c r="AG1260" s="199" t="s">
        <v>416</v>
      </c>
      <c r="AH1260" s="124"/>
    </row>
    <row r="1261" spans="1:34" ht="12" hidden="1" customHeight="1">
      <c r="A1261" s="187">
        <v>44643</v>
      </c>
      <c r="B1261" s="188" t="s">
        <v>589</v>
      </c>
      <c r="C1261" s="188" t="s">
        <v>460</v>
      </c>
      <c r="D1261" s="188"/>
      <c r="E1261" s="188" t="str">
        <f t="shared" si="682"/>
        <v>DCMSHRIRAM</v>
      </c>
      <c r="F1261" s="188"/>
      <c r="G1261" s="188"/>
      <c r="H1261" s="188"/>
      <c r="I1261" s="188" t="s">
        <v>668</v>
      </c>
      <c r="J1261" s="188" t="s">
        <v>483</v>
      </c>
      <c r="K1261" s="188"/>
      <c r="L1261" s="188"/>
      <c r="M1261" s="189">
        <v>20</v>
      </c>
      <c r="N1261" s="190">
        <v>1073.25</v>
      </c>
      <c r="O1261" s="191">
        <v>1078</v>
      </c>
      <c r="P1261" s="192">
        <f t="shared" si="789"/>
        <v>6.44</v>
      </c>
      <c r="Q1261" s="192">
        <f t="shared" si="790"/>
        <v>6.47</v>
      </c>
      <c r="R1261" s="193">
        <f t="shared" si="685"/>
        <v>43025</v>
      </c>
      <c r="S1261" s="193">
        <f t="shared" si="686"/>
        <v>95</v>
      </c>
      <c r="T1261" s="193">
        <v>14.79</v>
      </c>
      <c r="U1261" s="193">
        <f t="shared" si="707"/>
        <v>2.87</v>
      </c>
      <c r="V1261" s="193">
        <f t="shared" si="833"/>
        <v>5.39</v>
      </c>
      <c r="W1261" s="193">
        <f t="shared" si="735"/>
        <v>0.64</v>
      </c>
      <c r="X1261" s="193">
        <f t="shared" si="831"/>
        <v>1.18</v>
      </c>
      <c r="Y1261" s="193">
        <f t="shared" si="758"/>
        <v>0.04</v>
      </c>
      <c r="Z1261" s="193">
        <f t="shared" si="692"/>
        <v>24.91</v>
      </c>
      <c r="AA1261" s="194">
        <f t="shared" si="693"/>
        <v>70.09</v>
      </c>
      <c r="AB1261" s="195">
        <v>69.540000000000006</v>
      </c>
      <c r="AC1261" s="196">
        <f t="shared" si="694"/>
        <v>-0.54999999999999716</v>
      </c>
      <c r="AD1261" s="197">
        <f t="shared" si="695"/>
        <v>4.425809457255998E-3</v>
      </c>
      <c r="AE1261" s="198">
        <f t="shared" si="696"/>
        <v>5.7899999999999998E-4</v>
      </c>
      <c r="AF1261" s="193"/>
      <c r="AG1261" s="199" t="s">
        <v>416</v>
      </c>
      <c r="AH1261" s="124"/>
    </row>
    <row r="1262" spans="1:34" ht="12" hidden="1" customHeight="1">
      <c r="A1262" s="187">
        <v>44644</v>
      </c>
      <c r="B1262" s="188" t="s">
        <v>589</v>
      </c>
      <c r="C1262" s="188" t="s">
        <v>460</v>
      </c>
      <c r="D1262" s="188"/>
      <c r="E1262" s="188" t="str">
        <f t="shared" si="682"/>
        <v>DCMSHRIRAM</v>
      </c>
      <c r="F1262" s="188"/>
      <c r="G1262" s="188"/>
      <c r="H1262" s="188"/>
      <c r="I1262" s="188" t="s">
        <v>668</v>
      </c>
      <c r="J1262" s="188" t="s">
        <v>483</v>
      </c>
      <c r="K1262" s="188"/>
      <c r="L1262" s="188"/>
      <c r="M1262" s="189">
        <v>10</v>
      </c>
      <c r="N1262" s="190">
        <v>1064.55</v>
      </c>
      <c r="O1262" s="191">
        <v>1068</v>
      </c>
      <c r="P1262" s="192">
        <f t="shared" si="789"/>
        <v>3.19</v>
      </c>
      <c r="Q1262" s="192">
        <f t="shared" si="790"/>
        <v>3.2</v>
      </c>
      <c r="R1262" s="193">
        <f t="shared" si="685"/>
        <v>21325.5</v>
      </c>
      <c r="S1262" s="193">
        <f t="shared" si="686"/>
        <v>34.500000000000455</v>
      </c>
      <c r="T1262" s="193">
        <f t="shared" ref="T1262:T1264" si="834">ROUND(P1262+Q1262,2)</f>
        <v>6.39</v>
      </c>
      <c r="U1262" s="193">
        <f t="shared" si="707"/>
        <v>1.26</v>
      </c>
      <c r="V1262" s="193">
        <f t="shared" si="833"/>
        <v>2.67</v>
      </c>
      <c r="W1262" s="193">
        <f t="shared" si="735"/>
        <v>0.32</v>
      </c>
      <c r="X1262" s="193">
        <f t="shared" si="831"/>
        <v>0.59</v>
      </c>
      <c r="Y1262" s="193">
        <f t="shared" si="758"/>
        <v>0.02</v>
      </c>
      <c r="Z1262" s="193">
        <f t="shared" si="692"/>
        <v>11.25</v>
      </c>
      <c r="AA1262" s="194">
        <f t="shared" si="693"/>
        <v>23.25</v>
      </c>
      <c r="AB1262" s="195">
        <v>23.23</v>
      </c>
      <c r="AC1262" s="196">
        <f t="shared" si="694"/>
        <v>-1.9999999999999574E-2</v>
      </c>
      <c r="AD1262" s="197">
        <f t="shared" si="695"/>
        <v>3.2408059743554043E-3</v>
      </c>
      <c r="AE1262" s="198">
        <f t="shared" si="696"/>
        <v>5.2800000000000004E-4</v>
      </c>
      <c r="AF1262" s="193"/>
      <c r="AG1262" s="199" t="s">
        <v>416</v>
      </c>
      <c r="AH1262" s="124"/>
    </row>
    <row r="1263" spans="1:34" ht="12" hidden="1" customHeight="1">
      <c r="A1263" s="187">
        <v>44645</v>
      </c>
      <c r="B1263" s="188" t="s">
        <v>589</v>
      </c>
      <c r="C1263" s="188" t="s">
        <v>460</v>
      </c>
      <c r="D1263" s="188"/>
      <c r="E1263" s="188" t="str">
        <f t="shared" si="682"/>
        <v>DCMSHRIRAM</v>
      </c>
      <c r="F1263" s="188"/>
      <c r="G1263" s="188"/>
      <c r="H1263" s="188"/>
      <c r="I1263" s="188" t="s">
        <v>668</v>
      </c>
      <c r="J1263" s="188" t="s">
        <v>483</v>
      </c>
      <c r="K1263" s="188"/>
      <c r="L1263" s="188"/>
      <c r="M1263" s="189">
        <v>10</v>
      </c>
      <c r="N1263" s="190">
        <v>1068</v>
      </c>
      <c r="O1263" s="191">
        <v>1074</v>
      </c>
      <c r="P1263" s="192">
        <f t="shared" si="789"/>
        <v>3.2</v>
      </c>
      <c r="Q1263" s="192">
        <f t="shared" si="790"/>
        <v>3.22</v>
      </c>
      <c r="R1263" s="193">
        <f t="shared" si="685"/>
        <v>21420</v>
      </c>
      <c r="S1263" s="193">
        <f t="shared" si="686"/>
        <v>60</v>
      </c>
      <c r="T1263" s="193">
        <f t="shared" si="834"/>
        <v>6.42</v>
      </c>
      <c r="U1263" s="193">
        <f t="shared" si="707"/>
        <v>1.26</v>
      </c>
      <c r="V1263" s="193">
        <f t="shared" si="833"/>
        <v>2.69</v>
      </c>
      <c r="W1263" s="193">
        <f t="shared" si="735"/>
        <v>0.32</v>
      </c>
      <c r="X1263" s="193">
        <f t="shared" si="831"/>
        <v>0.59</v>
      </c>
      <c r="Y1263" s="193">
        <f t="shared" si="758"/>
        <v>0.02</v>
      </c>
      <c r="Z1263" s="193">
        <f t="shared" si="692"/>
        <v>11.299999999999999</v>
      </c>
      <c r="AA1263" s="194">
        <f t="shared" si="693"/>
        <v>48.7</v>
      </c>
      <c r="AB1263" s="195">
        <v>48.7</v>
      </c>
      <c r="AC1263" s="196">
        <f t="shared" si="694"/>
        <v>0</v>
      </c>
      <c r="AD1263" s="197">
        <f t="shared" si="695"/>
        <v>5.6179775280898875E-3</v>
      </c>
      <c r="AE1263" s="198">
        <f t="shared" si="696"/>
        <v>5.2800000000000004E-4</v>
      </c>
      <c r="AF1263" s="193"/>
      <c r="AG1263" s="199" t="s">
        <v>416</v>
      </c>
      <c r="AH1263" s="124"/>
    </row>
    <row r="1264" spans="1:34" ht="12" hidden="1" customHeight="1">
      <c r="A1264" s="187">
        <v>44648</v>
      </c>
      <c r="B1264" s="188" t="s">
        <v>589</v>
      </c>
      <c r="C1264" s="188" t="s">
        <v>460</v>
      </c>
      <c r="D1264" s="188"/>
      <c r="E1264" s="188" t="str">
        <f t="shared" si="682"/>
        <v>DCMSHRIRAM</v>
      </c>
      <c r="F1264" s="188"/>
      <c r="G1264" s="188"/>
      <c r="H1264" s="188"/>
      <c r="I1264" s="188" t="s">
        <v>668</v>
      </c>
      <c r="J1264" s="188" t="s">
        <v>483</v>
      </c>
      <c r="K1264" s="188"/>
      <c r="L1264" s="188"/>
      <c r="M1264" s="189">
        <v>20</v>
      </c>
      <c r="N1264" s="190">
        <v>1042.5</v>
      </c>
      <c r="O1264" s="191">
        <v>1050</v>
      </c>
      <c r="P1264" s="192">
        <f t="shared" si="789"/>
        <v>6.26</v>
      </c>
      <c r="Q1264" s="192">
        <f t="shared" si="790"/>
        <v>6.3</v>
      </c>
      <c r="R1264" s="193">
        <f t="shared" si="685"/>
        <v>41850</v>
      </c>
      <c r="S1264" s="193">
        <f t="shared" si="686"/>
        <v>150</v>
      </c>
      <c r="T1264" s="193">
        <f t="shared" si="834"/>
        <v>12.56</v>
      </c>
      <c r="U1264" s="193">
        <f t="shared" si="707"/>
        <v>2.4700000000000002</v>
      </c>
      <c r="V1264" s="193">
        <f t="shared" si="833"/>
        <v>5.25</v>
      </c>
      <c r="W1264" s="193">
        <f t="shared" si="735"/>
        <v>0.63</v>
      </c>
      <c r="X1264" s="193">
        <f t="shared" si="831"/>
        <v>1.1499999999999999</v>
      </c>
      <c r="Y1264" s="193">
        <f t="shared" si="758"/>
        <v>0.04</v>
      </c>
      <c r="Z1264" s="193">
        <f t="shared" si="692"/>
        <v>22.099999999999998</v>
      </c>
      <c r="AA1264" s="194">
        <f t="shared" si="693"/>
        <v>127.9</v>
      </c>
      <c r="AB1264" s="195">
        <v>127.79</v>
      </c>
      <c r="AC1264" s="196">
        <f t="shared" si="694"/>
        <v>-0.10999999999999943</v>
      </c>
      <c r="AD1264" s="197">
        <f t="shared" si="695"/>
        <v>7.1942446043165471E-3</v>
      </c>
      <c r="AE1264" s="198">
        <f t="shared" si="696"/>
        <v>5.2800000000000004E-4</v>
      </c>
      <c r="AF1264" s="193"/>
      <c r="AG1264" s="199" t="s">
        <v>416</v>
      </c>
      <c r="AH1264" s="124"/>
    </row>
    <row r="1265" spans="1:34" ht="12" hidden="1" customHeight="1">
      <c r="A1265" s="187">
        <v>44649</v>
      </c>
      <c r="B1265" s="188" t="s">
        <v>589</v>
      </c>
      <c r="C1265" s="188" t="s">
        <v>460</v>
      </c>
      <c r="D1265" s="188"/>
      <c r="E1265" s="188" t="str">
        <f t="shared" si="682"/>
        <v>DCMSHRIRAM</v>
      </c>
      <c r="F1265" s="188"/>
      <c r="G1265" s="188"/>
      <c r="H1265" s="188"/>
      <c r="I1265" s="188" t="s">
        <v>668</v>
      </c>
      <c r="J1265" s="188" t="s">
        <v>483</v>
      </c>
      <c r="K1265" s="188"/>
      <c r="L1265" s="188"/>
      <c r="M1265" s="189">
        <v>40</v>
      </c>
      <c r="N1265" s="190">
        <v>1076.75</v>
      </c>
      <c r="O1265" s="191">
        <v>1086.8625</v>
      </c>
      <c r="P1265" s="192">
        <f t="shared" si="789"/>
        <v>12.92</v>
      </c>
      <c r="Q1265" s="192">
        <f t="shared" si="790"/>
        <v>13.04</v>
      </c>
      <c r="R1265" s="193">
        <f t="shared" si="685"/>
        <v>86544.5</v>
      </c>
      <c r="S1265" s="193">
        <f t="shared" si="686"/>
        <v>404.49999999999818</v>
      </c>
      <c r="T1265" s="193">
        <v>29.23</v>
      </c>
      <c r="U1265" s="193">
        <f t="shared" si="707"/>
        <v>5.69</v>
      </c>
      <c r="V1265" s="193">
        <f t="shared" si="833"/>
        <v>10.87</v>
      </c>
      <c r="W1265" s="193">
        <f t="shared" si="735"/>
        <v>1.29</v>
      </c>
      <c r="X1265" s="193">
        <f t="shared" si="831"/>
        <v>2.38</v>
      </c>
      <c r="Y1265" s="193">
        <f t="shared" si="758"/>
        <v>0.09</v>
      </c>
      <c r="Z1265" s="193">
        <f t="shared" si="692"/>
        <v>49.550000000000004</v>
      </c>
      <c r="AA1265" s="194">
        <f t="shared" si="693"/>
        <v>354.95</v>
      </c>
      <c r="AB1265" s="195">
        <v>355.47</v>
      </c>
      <c r="AC1265" s="196">
        <f t="shared" si="694"/>
        <v>0.52000000000003865</v>
      </c>
      <c r="AD1265" s="197">
        <f t="shared" si="695"/>
        <v>9.3916879498490407E-3</v>
      </c>
      <c r="AE1265" s="198">
        <f t="shared" si="696"/>
        <v>5.7300000000000005E-4</v>
      </c>
      <c r="AF1265" s="193"/>
      <c r="AG1265" s="199" t="s">
        <v>416</v>
      </c>
      <c r="AH1265" s="124"/>
    </row>
    <row r="1266" spans="1:34" ht="12" hidden="1" customHeight="1">
      <c r="A1266" s="187">
        <v>44649</v>
      </c>
      <c r="B1266" s="188" t="s">
        <v>635</v>
      </c>
      <c r="C1266" s="188" t="s">
        <v>485</v>
      </c>
      <c r="D1266" s="188"/>
      <c r="E1266" s="188" t="str">
        <f t="shared" si="682"/>
        <v>ADANIPOWER</v>
      </c>
      <c r="F1266" s="188"/>
      <c r="G1266" s="188"/>
      <c r="H1266" s="188"/>
      <c r="I1266" s="188" t="s">
        <v>668</v>
      </c>
      <c r="J1266" s="188" t="s">
        <v>483</v>
      </c>
      <c r="K1266" s="188"/>
      <c r="L1266" s="188"/>
      <c r="M1266" s="189">
        <v>30</v>
      </c>
      <c r="N1266" s="190">
        <v>158</v>
      </c>
      <c r="O1266" s="191">
        <v>168</v>
      </c>
      <c r="P1266" s="192">
        <f t="shared" si="789"/>
        <v>1.42</v>
      </c>
      <c r="Q1266" s="192">
        <f t="shared" si="790"/>
        <v>1.51</v>
      </c>
      <c r="R1266" s="193">
        <f t="shared" si="685"/>
        <v>9780</v>
      </c>
      <c r="S1266" s="193">
        <f t="shared" si="686"/>
        <v>300</v>
      </c>
      <c r="T1266" s="193">
        <f t="shared" ref="T1266:T1271" si="835">ROUND(P1266+Q1266,2)</f>
        <v>2.93</v>
      </c>
      <c r="U1266" s="193">
        <f t="shared" si="707"/>
        <v>0.57999999999999996</v>
      </c>
      <c r="V1266" s="193">
        <f t="shared" si="833"/>
        <v>1.26</v>
      </c>
      <c r="W1266" s="193">
        <f t="shared" si="735"/>
        <v>0.14000000000000001</v>
      </c>
      <c r="X1266" s="193">
        <f t="shared" si="831"/>
        <v>0.27</v>
      </c>
      <c r="Y1266" s="193">
        <f t="shared" si="758"/>
        <v>0.01</v>
      </c>
      <c r="Z1266" s="193">
        <f t="shared" si="692"/>
        <v>5.1899999999999995</v>
      </c>
      <c r="AA1266" s="194">
        <f t="shared" si="693"/>
        <v>294.81</v>
      </c>
      <c r="AB1266" s="195">
        <v>295.51</v>
      </c>
      <c r="AC1266" s="196">
        <f t="shared" si="694"/>
        <v>0.69999999999998863</v>
      </c>
      <c r="AD1266" s="197">
        <f t="shared" si="695"/>
        <v>6.3291139240506333E-2</v>
      </c>
      <c r="AE1266" s="198">
        <f t="shared" si="696"/>
        <v>5.31E-4</v>
      </c>
      <c r="AF1266" s="193"/>
      <c r="AG1266" s="199" t="s">
        <v>416</v>
      </c>
      <c r="AH1266" s="124"/>
    </row>
    <row r="1267" spans="1:34" ht="12" hidden="1" customHeight="1">
      <c r="A1267" s="187">
        <v>44650</v>
      </c>
      <c r="B1267" s="188" t="s">
        <v>589</v>
      </c>
      <c r="C1267" s="188" t="s">
        <v>460</v>
      </c>
      <c r="D1267" s="188"/>
      <c r="E1267" s="188" t="str">
        <f t="shared" si="682"/>
        <v>DCMSHRIRAM</v>
      </c>
      <c r="F1267" s="188"/>
      <c r="G1267" s="188"/>
      <c r="H1267" s="188"/>
      <c r="I1267" s="188" t="s">
        <v>668</v>
      </c>
      <c r="J1267" s="188" t="s">
        <v>483</v>
      </c>
      <c r="K1267" s="188"/>
      <c r="L1267" s="188"/>
      <c r="M1267" s="189">
        <v>114</v>
      </c>
      <c r="N1267" s="190">
        <v>1133</v>
      </c>
      <c r="O1267" s="191">
        <v>1140</v>
      </c>
      <c r="P1267" s="192">
        <f t="shared" si="789"/>
        <v>20</v>
      </c>
      <c r="Q1267" s="192">
        <f t="shared" si="790"/>
        <v>20</v>
      </c>
      <c r="R1267" s="193">
        <f t="shared" si="685"/>
        <v>259122</v>
      </c>
      <c r="S1267" s="193">
        <f t="shared" si="686"/>
        <v>798</v>
      </c>
      <c r="T1267" s="193">
        <f t="shared" si="835"/>
        <v>40</v>
      </c>
      <c r="U1267" s="193">
        <f t="shared" si="707"/>
        <v>8.48</v>
      </c>
      <c r="V1267" s="193">
        <f t="shared" si="833"/>
        <v>32.49</v>
      </c>
      <c r="W1267" s="193">
        <f t="shared" si="735"/>
        <v>3.87</v>
      </c>
      <c r="X1267" s="193">
        <f t="shared" si="831"/>
        <v>7.13</v>
      </c>
      <c r="Y1267" s="193">
        <f t="shared" si="758"/>
        <v>0.26</v>
      </c>
      <c r="Z1267" s="193">
        <f t="shared" si="692"/>
        <v>92.23</v>
      </c>
      <c r="AA1267" s="194">
        <f t="shared" si="693"/>
        <v>705.77</v>
      </c>
      <c r="AB1267" s="195">
        <v>704.31</v>
      </c>
      <c r="AC1267" s="196">
        <f t="shared" si="694"/>
        <v>-1.4600000000000364</v>
      </c>
      <c r="AD1267" s="197">
        <f t="shared" si="695"/>
        <v>6.1782877316857903E-3</v>
      </c>
      <c r="AE1267" s="198">
        <f t="shared" si="696"/>
        <v>3.5599999999999998E-4</v>
      </c>
      <c r="AF1267" s="193"/>
      <c r="AG1267" s="199" t="s">
        <v>416</v>
      </c>
      <c r="AH1267" s="124"/>
    </row>
    <row r="1268" spans="1:34" ht="12" hidden="1" customHeight="1">
      <c r="A1268" s="187">
        <v>44651</v>
      </c>
      <c r="B1268" s="188" t="s">
        <v>589</v>
      </c>
      <c r="C1268" s="188" t="s">
        <v>460</v>
      </c>
      <c r="D1268" s="188"/>
      <c r="E1268" s="188" t="str">
        <f t="shared" si="682"/>
        <v>DCMSHRIRAM</v>
      </c>
      <c r="F1268" s="188"/>
      <c r="G1268" s="188"/>
      <c r="H1268" s="188"/>
      <c r="I1268" s="188" t="s">
        <v>668</v>
      </c>
      <c r="J1268" s="188" t="s">
        <v>483</v>
      </c>
      <c r="K1268" s="188"/>
      <c r="L1268" s="188"/>
      <c r="M1268" s="189">
        <v>124</v>
      </c>
      <c r="N1268" s="190">
        <v>1123</v>
      </c>
      <c r="O1268" s="191">
        <v>1140</v>
      </c>
      <c r="P1268" s="192">
        <f t="shared" si="789"/>
        <v>20</v>
      </c>
      <c r="Q1268" s="192">
        <f t="shared" si="790"/>
        <v>20</v>
      </c>
      <c r="R1268" s="193">
        <f t="shared" si="685"/>
        <v>280612</v>
      </c>
      <c r="S1268" s="193">
        <f t="shared" si="686"/>
        <v>2108</v>
      </c>
      <c r="T1268" s="193">
        <f t="shared" si="835"/>
        <v>40</v>
      </c>
      <c r="U1268" s="193">
        <f t="shared" si="707"/>
        <v>8.59</v>
      </c>
      <c r="V1268" s="193">
        <f t="shared" si="833"/>
        <v>35.340000000000003</v>
      </c>
      <c r="W1268" s="193">
        <f t="shared" si="735"/>
        <v>4.18</v>
      </c>
      <c r="X1268" s="193">
        <f t="shared" si="831"/>
        <v>7.72</v>
      </c>
      <c r="Y1268" s="193">
        <f t="shared" si="758"/>
        <v>0.28000000000000003</v>
      </c>
      <c r="Z1268" s="193">
        <f t="shared" si="692"/>
        <v>96.110000000000014</v>
      </c>
      <c r="AA1268" s="194">
        <f t="shared" si="693"/>
        <v>2011.89</v>
      </c>
      <c r="AB1268" s="195">
        <v>2012.41</v>
      </c>
      <c r="AC1268" s="196">
        <f t="shared" si="694"/>
        <v>0.51999999999998181</v>
      </c>
      <c r="AD1268" s="197">
        <f t="shared" si="695"/>
        <v>1.5138023152270703E-2</v>
      </c>
      <c r="AE1268" s="198">
        <f t="shared" si="696"/>
        <v>3.4299999999999999E-4</v>
      </c>
      <c r="AF1268" s="193"/>
      <c r="AG1268" s="199" t="s">
        <v>416</v>
      </c>
      <c r="AH1268" s="124"/>
    </row>
    <row r="1269" spans="1:34" ht="12" hidden="1" customHeight="1">
      <c r="A1269" s="187">
        <v>44652</v>
      </c>
      <c r="B1269" s="188" t="s">
        <v>589</v>
      </c>
      <c r="C1269" s="188" t="s">
        <v>460</v>
      </c>
      <c r="D1269" s="188"/>
      <c r="E1269" s="188" t="str">
        <f t="shared" si="682"/>
        <v>DCMSHRIRAM</v>
      </c>
      <c r="F1269" s="188"/>
      <c r="G1269" s="188"/>
      <c r="H1269" s="188"/>
      <c r="I1269" s="188" t="s">
        <v>668</v>
      </c>
      <c r="J1269" s="188" t="s">
        <v>483</v>
      </c>
      <c r="K1269" s="188"/>
      <c r="L1269" s="188"/>
      <c r="M1269" s="189">
        <v>100</v>
      </c>
      <c r="N1269" s="190">
        <v>1211</v>
      </c>
      <c r="O1269" s="191">
        <v>1220</v>
      </c>
      <c r="P1269" s="192">
        <f t="shared" si="789"/>
        <v>20</v>
      </c>
      <c r="Q1269" s="192">
        <f t="shared" si="790"/>
        <v>20</v>
      </c>
      <c r="R1269" s="193">
        <f t="shared" si="685"/>
        <v>243100</v>
      </c>
      <c r="S1269" s="193">
        <f t="shared" si="686"/>
        <v>900</v>
      </c>
      <c r="T1269" s="193">
        <f t="shared" si="835"/>
        <v>40</v>
      </c>
      <c r="U1269" s="193">
        <f t="shared" si="707"/>
        <v>8.4</v>
      </c>
      <c r="V1269" s="193">
        <f>ROUND((O1269*M1269)*F$1818,2)+5</f>
        <v>35.5</v>
      </c>
      <c r="W1269" s="193">
        <f t="shared" si="735"/>
        <v>3.63</v>
      </c>
      <c r="X1269" s="193">
        <f t="shared" si="831"/>
        <v>6.69</v>
      </c>
      <c r="Y1269" s="193">
        <f t="shared" si="758"/>
        <v>0.24</v>
      </c>
      <c r="Z1269" s="193">
        <f t="shared" si="692"/>
        <v>94.46</v>
      </c>
      <c r="AA1269" s="194">
        <f t="shared" si="693"/>
        <v>805.54</v>
      </c>
      <c r="AB1269" s="195">
        <v>804.83</v>
      </c>
      <c r="AC1269" s="196">
        <f t="shared" si="694"/>
        <v>-0.70999999999992269</v>
      </c>
      <c r="AD1269" s="197">
        <f t="shared" si="695"/>
        <v>7.4318744838976049E-3</v>
      </c>
      <c r="AE1269" s="198">
        <f t="shared" si="696"/>
        <v>3.8900000000000002E-4</v>
      </c>
      <c r="AF1269" s="193"/>
      <c r="AG1269" s="199" t="s">
        <v>416</v>
      </c>
      <c r="AH1269" s="124"/>
    </row>
    <row r="1270" spans="1:34" ht="12" hidden="1" customHeight="1">
      <c r="A1270" s="187">
        <v>44655</v>
      </c>
      <c r="B1270" s="188" t="s">
        <v>297</v>
      </c>
      <c r="C1270" s="188" t="s">
        <v>485</v>
      </c>
      <c r="D1270" s="188"/>
      <c r="E1270" s="188" t="str">
        <f t="shared" si="682"/>
        <v>ONGC</v>
      </c>
      <c r="F1270" s="188"/>
      <c r="G1270" s="188"/>
      <c r="H1270" s="188"/>
      <c r="I1270" s="188" t="s">
        <v>668</v>
      </c>
      <c r="J1270" s="188" t="s">
        <v>483</v>
      </c>
      <c r="K1270" s="188"/>
      <c r="L1270" s="188"/>
      <c r="M1270" s="189">
        <v>100</v>
      </c>
      <c r="N1270" s="190">
        <v>166</v>
      </c>
      <c r="O1270" s="191">
        <v>167</v>
      </c>
      <c r="P1270" s="192">
        <f t="shared" si="789"/>
        <v>4.9800000000000004</v>
      </c>
      <c r="Q1270" s="192">
        <f t="shared" si="790"/>
        <v>5.01</v>
      </c>
      <c r="R1270" s="193">
        <f t="shared" si="685"/>
        <v>33300</v>
      </c>
      <c r="S1270" s="193">
        <f t="shared" si="686"/>
        <v>100</v>
      </c>
      <c r="T1270" s="193">
        <f t="shared" si="835"/>
        <v>9.99</v>
      </c>
      <c r="U1270" s="193">
        <f t="shared" si="707"/>
        <v>1.96</v>
      </c>
      <c r="V1270" s="193">
        <f t="shared" ref="V1270:V1284" si="836">ROUND((O1270*M1270)*F$1818,2)</f>
        <v>4.18</v>
      </c>
      <c r="W1270" s="193">
        <f t="shared" si="735"/>
        <v>0.5</v>
      </c>
      <c r="X1270" s="193">
        <f t="shared" si="831"/>
        <v>0.92</v>
      </c>
      <c r="Y1270" s="193">
        <f t="shared" si="758"/>
        <v>0.03</v>
      </c>
      <c r="Z1270" s="193">
        <f t="shared" si="692"/>
        <v>17.580000000000002</v>
      </c>
      <c r="AA1270" s="194">
        <f t="shared" si="693"/>
        <v>82.42</v>
      </c>
      <c r="AB1270" s="195">
        <v>80.650000000000006</v>
      </c>
      <c r="AC1270" s="196">
        <f t="shared" si="694"/>
        <v>-1.769999999999996</v>
      </c>
      <c r="AD1270" s="197">
        <f t="shared" si="695"/>
        <v>6.024096385542169E-3</v>
      </c>
      <c r="AE1270" s="198">
        <f t="shared" si="696"/>
        <v>5.2800000000000004E-4</v>
      </c>
      <c r="AF1270" s="193"/>
      <c r="AG1270" s="199" t="s">
        <v>416</v>
      </c>
      <c r="AH1270" s="124"/>
    </row>
    <row r="1271" spans="1:34" ht="12" hidden="1" customHeight="1">
      <c r="A1271" s="187">
        <v>44657</v>
      </c>
      <c r="B1271" s="188" t="s">
        <v>495</v>
      </c>
      <c r="C1271" s="188" t="s">
        <v>485</v>
      </c>
      <c r="D1271" s="188"/>
      <c r="E1271" s="188" t="str">
        <f t="shared" si="682"/>
        <v>SAIL</v>
      </c>
      <c r="F1271" s="188"/>
      <c r="G1271" s="188"/>
      <c r="H1271" s="188"/>
      <c r="I1271" s="188" t="s">
        <v>668</v>
      </c>
      <c r="J1271" s="188" t="s">
        <v>483</v>
      </c>
      <c r="K1271" s="188"/>
      <c r="L1271" s="188"/>
      <c r="M1271" s="189">
        <v>200</v>
      </c>
      <c r="N1271" s="190">
        <v>110.4</v>
      </c>
      <c r="O1271" s="191">
        <v>110.5</v>
      </c>
      <c r="P1271" s="192">
        <f t="shared" si="789"/>
        <v>6.62</v>
      </c>
      <c r="Q1271" s="192">
        <f t="shared" si="790"/>
        <v>6.63</v>
      </c>
      <c r="R1271" s="193">
        <f t="shared" si="685"/>
        <v>44180</v>
      </c>
      <c r="S1271" s="193">
        <f t="shared" si="686"/>
        <v>19.999999999998863</v>
      </c>
      <c r="T1271" s="193">
        <f t="shared" si="835"/>
        <v>13.25</v>
      </c>
      <c r="U1271" s="193">
        <f t="shared" si="707"/>
        <v>2.6</v>
      </c>
      <c r="V1271" s="193">
        <f t="shared" si="836"/>
        <v>5.53</v>
      </c>
      <c r="W1271" s="193">
        <f t="shared" si="735"/>
        <v>0.66</v>
      </c>
      <c r="X1271" s="193">
        <f t="shared" si="831"/>
        <v>1.21</v>
      </c>
      <c r="Y1271" s="193">
        <f t="shared" si="758"/>
        <v>0.04</v>
      </c>
      <c r="Z1271" s="193">
        <f t="shared" si="692"/>
        <v>23.29</v>
      </c>
      <c r="AA1271" s="194">
        <f t="shared" si="693"/>
        <v>-3.29</v>
      </c>
      <c r="AB1271" s="195">
        <v>-4.1900000000000004</v>
      </c>
      <c r="AC1271" s="196">
        <f t="shared" si="694"/>
        <v>-0.90000000000000036</v>
      </c>
      <c r="AD1271" s="197">
        <f t="shared" si="695"/>
        <v>9.0579710144922387E-4</v>
      </c>
      <c r="AE1271" s="198">
        <f t="shared" si="696"/>
        <v>5.2700000000000002E-4</v>
      </c>
      <c r="AF1271" s="193"/>
      <c r="AG1271" s="199" t="s">
        <v>416</v>
      </c>
      <c r="AH1271" s="124"/>
    </row>
    <row r="1272" spans="1:34" ht="12" hidden="1" customHeight="1">
      <c r="A1272" s="187">
        <v>44657</v>
      </c>
      <c r="B1272" s="188" t="s">
        <v>589</v>
      </c>
      <c r="C1272" s="188" t="s">
        <v>460</v>
      </c>
      <c r="D1272" s="188"/>
      <c r="E1272" s="188" t="str">
        <f t="shared" si="682"/>
        <v>DCMSHRIRAM</v>
      </c>
      <c r="F1272" s="188"/>
      <c r="G1272" s="188"/>
      <c r="H1272" s="188"/>
      <c r="I1272" s="188" t="s">
        <v>668</v>
      </c>
      <c r="J1272" s="188" t="s">
        <v>483</v>
      </c>
      <c r="K1272" s="188"/>
      <c r="L1272" s="188"/>
      <c r="M1272" s="189">
        <v>200</v>
      </c>
      <c r="N1272" s="190">
        <v>1193.25</v>
      </c>
      <c r="O1272" s="191">
        <v>1198.75</v>
      </c>
      <c r="P1272" s="192">
        <f t="shared" si="789"/>
        <v>20</v>
      </c>
      <c r="Q1272" s="192">
        <f t="shared" si="790"/>
        <v>20</v>
      </c>
      <c r="R1272" s="193">
        <f t="shared" si="685"/>
        <v>478400</v>
      </c>
      <c r="S1272" s="193">
        <f t="shared" si="686"/>
        <v>1100</v>
      </c>
      <c r="T1272" s="193">
        <v>127.59</v>
      </c>
      <c r="U1272" s="193">
        <f t="shared" si="707"/>
        <v>25.34</v>
      </c>
      <c r="V1272" s="193">
        <f t="shared" si="836"/>
        <v>59.94</v>
      </c>
      <c r="W1272" s="193">
        <f t="shared" si="735"/>
        <v>7.16</v>
      </c>
      <c r="X1272" s="193">
        <f t="shared" si="831"/>
        <v>13.16</v>
      </c>
      <c r="Y1272" s="193">
        <f t="shared" si="758"/>
        <v>0.48</v>
      </c>
      <c r="Z1272" s="193">
        <f t="shared" si="692"/>
        <v>233.67</v>
      </c>
      <c r="AA1272" s="194">
        <f t="shared" si="693"/>
        <v>866.33</v>
      </c>
      <c r="AB1272" s="195">
        <v>866</v>
      </c>
      <c r="AC1272" s="196">
        <f t="shared" si="694"/>
        <v>-0.33000000000004093</v>
      </c>
      <c r="AD1272" s="197">
        <f t="shared" si="695"/>
        <v>4.6092604232139114E-3</v>
      </c>
      <c r="AE1272" s="198">
        <f t="shared" si="696"/>
        <v>4.8799999999999999E-4</v>
      </c>
      <c r="AF1272" s="193"/>
      <c r="AG1272" s="199" t="s">
        <v>416</v>
      </c>
      <c r="AH1272" s="124"/>
    </row>
    <row r="1273" spans="1:34" ht="12" hidden="1" customHeight="1">
      <c r="A1273" s="187">
        <v>44658</v>
      </c>
      <c r="B1273" s="188" t="s">
        <v>589</v>
      </c>
      <c r="C1273" s="188" t="s">
        <v>460</v>
      </c>
      <c r="D1273" s="188"/>
      <c r="E1273" s="188" t="str">
        <f t="shared" si="682"/>
        <v>DCMSHRIRAM</v>
      </c>
      <c r="F1273" s="188"/>
      <c r="G1273" s="188"/>
      <c r="H1273" s="188"/>
      <c r="I1273" s="188" t="s">
        <v>668</v>
      </c>
      <c r="J1273" s="188" t="s">
        <v>483</v>
      </c>
      <c r="K1273" s="188"/>
      <c r="L1273" s="188"/>
      <c r="M1273" s="189">
        <v>250</v>
      </c>
      <c r="N1273" s="190">
        <v>1189</v>
      </c>
      <c r="O1273" s="191">
        <v>1198.48</v>
      </c>
      <c r="P1273" s="192">
        <f t="shared" si="789"/>
        <v>20</v>
      </c>
      <c r="Q1273" s="192">
        <f t="shared" si="790"/>
        <v>20</v>
      </c>
      <c r="R1273" s="193">
        <f t="shared" si="685"/>
        <v>596870</v>
      </c>
      <c r="S1273" s="193">
        <f t="shared" si="686"/>
        <v>2370.0000000000045</v>
      </c>
      <c r="T1273" s="193">
        <v>179.08</v>
      </c>
      <c r="U1273" s="193">
        <f t="shared" si="707"/>
        <v>35.19</v>
      </c>
      <c r="V1273" s="193">
        <f t="shared" si="836"/>
        <v>74.91</v>
      </c>
      <c r="W1273" s="193">
        <f t="shared" si="735"/>
        <v>8.92</v>
      </c>
      <c r="X1273" s="193">
        <f t="shared" si="831"/>
        <v>16.41</v>
      </c>
      <c r="Y1273" s="193">
        <f t="shared" si="758"/>
        <v>0.6</v>
      </c>
      <c r="Z1273" s="193">
        <f t="shared" si="692"/>
        <v>315.11000000000007</v>
      </c>
      <c r="AA1273" s="194">
        <f t="shared" si="693"/>
        <v>2054.89</v>
      </c>
      <c r="AB1273" s="195">
        <v>2055.13</v>
      </c>
      <c r="AC1273" s="196">
        <f t="shared" si="694"/>
        <v>0.24000000000023647</v>
      </c>
      <c r="AD1273" s="197">
        <f t="shared" si="695"/>
        <v>7.9730866274180141E-3</v>
      </c>
      <c r="AE1273" s="198">
        <f t="shared" si="696"/>
        <v>5.2800000000000004E-4</v>
      </c>
      <c r="AF1273" s="193"/>
      <c r="AG1273" s="199" t="s">
        <v>416</v>
      </c>
      <c r="AH1273" s="124"/>
    </row>
    <row r="1274" spans="1:34" ht="12" hidden="1" customHeight="1">
      <c r="A1274" s="187">
        <v>44659</v>
      </c>
      <c r="B1274" s="188" t="s">
        <v>589</v>
      </c>
      <c r="C1274" s="188" t="s">
        <v>460</v>
      </c>
      <c r="D1274" s="188"/>
      <c r="E1274" s="188" t="str">
        <f t="shared" si="682"/>
        <v>DCMSHRIRAM</v>
      </c>
      <c r="F1274" s="188"/>
      <c r="G1274" s="188"/>
      <c r="H1274" s="188"/>
      <c r="I1274" s="188" t="s">
        <v>668</v>
      </c>
      <c r="J1274" s="188" t="s">
        <v>483</v>
      </c>
      <c r="K1274" s="188"/>
      <c r="L1274" s="188"/>
      <c r="M1274" s="189">
        <v>169</v>
      </c>
      <c r="N1274" s="190">
        <v>1182.1124</v>
      </c>
      <c r="O1274" s="191">
        <v>1188.0716</v>
      </c>
      <c r="P1274" s="192">
        <f t="shared" si="789"/>
        <v>20</v>
      </c>
      <c r="Q1274" s="192">
        <f t="shared" si="790"/>
        <v>20</v>
      </c>
      <c r="R1274" s="193">
        <f t="shared" si="685"/>
        <v>400561.1</v>
      </c>
      <c r="S1274" s="193">
        <f t="shared" si="686"/>
        <v>1007.1048000000017</v>
      </c>
      <c r="T1274" s="193">
        <v>111.08</v>
      </c>
      <c r="U1274" s="193">
        <f t="shared" si="707"/>
        <v>21.98</v>
      </c>
      <c r="V1274" s="193">
        <f t="shared" si="836"/>
        <v>50.2</v>
      </c>
      <c r="W1274" s="193">
        <f t="shared" si="735"/>
        <v>5.99</v>
      </c>
      <c r="X1274" s="193">
        <f t="shared" si="831"/>
        <v>11.02</v>
      </c>
      <c r="Y1274" s="193">
        <f t="shared" si="758"/>
        <v>0.4</v>
      </c>
      <c r="Z1274" s="193">
        <f t="shared" si="692"/>
        <v>200.67000000000002</v>
      </c>
      <c r="AA1274" s="194">
        <f t="shared" si="693"/>
        <v>806.43</v>
      </c>
      <c r="AB1274" s="195">
        <v>806.41</v>
      </c>
      <c r="AC1274" s="196">
        <f t="shared" si="694"/>
        <v>-1.999999999998181E-2</v>
      </c>
      <c r="AD1274" s="197">
        <f t="shared" si="695"/>
        <v>5.0411449875663343E-3</v>
      </c>
      <c r="AE1274" s="198">
        <f t="shared" si="696"/>
        <v>5.0100000000000003E-4</v>
      </c>
      <c r="AF1274" s="193"/>
      <c r="AG1274" s="199" t="s">
        <v>416</v>
      </c>
      <c r="AH1274" s="124"/>
    </row>
    <row r="1275" spans="1:34" ht="12" hidden="1" customHeight="1">
      <c r="A1275" s="187">
        <v>44663</v>
      </c>
      <c r="B1275" s="188" t="s">
        <v>589</v>
      </c>
      <c r="C1275" s="188" t="s">
        <v>460</v>
      </c>
      <c r="D1275" s="188"/>
      <c r="E1275" s="188" t="str">
        <f t="shared" si="682"/>
        <v>DCMSHRIRAM</v>
      </c>
      <c r="F1275" s="188"/>
      <c r="G1275" s="188"/>
      <c r="H1275" s="188"/>
      <c r="I1275" s="188" t="s">
        <v>668</v>
      </c>
      <c r="J1275" s="188" t="s">
        <v>483</v>
      </c>
      <c r="K1275" s="188"/>
      <c r="L1275" s="188"/>
      <c r="M1275" s="189">
        <v>672</v>
      </c>
      <c r="N1275" s="190">
        <v>1128.6904999999999</v>
      </c>
      <c r="O1275" s="191">
        <v>1132.2563500000001</v>
      </c>
      <c r="P1275" s="192">
        <f t="shared" si="789"/>
        <v>20</v>
      </c>
      <c r="Q1275" s="192">
        <f t="shared" si="790"/>
        <v>20</v>
      </c>
      <c r="R1275" s="193">
        <f t="shared" si="685"/>
        <v>1519356.28</v>
      </c>
      <c r="S1275" s="193">
        <f t="shared" si="686"/>
        <v>2396.2512000001225</v>
      </c>
      <c r="T1275" s="193">
        <v>240</v>
      </c>
      <c r="U1275" s="193">
        <f t="shared" si="707"/>
        <v>50.72</v>
      </c>
      <c r="V1275" s="193">
        <f t="shared" si="836"/>
        <v>190.22</v>
      </c>
      <c r="W1275" s="193">
        <f t="shared" si="735"/>
        <v>22.75</v>
      </c>
      <c r="X1275" s="193">
        <f t="shared" si="831"/>
        <v>41.78</v>
      </c>
      <c r="Y1275" s="193">
        <f t="shared" si="758"/>
        <v>1.52</v>
      </c>
      <c r="Z1275" s="193">
        <f t="shared" si="692"/>
        <v>546.99</v>
      </c>
      <c r="AA1275" s="194">
        <f t="shared" si="693"/>
        <v>1849.26</v>
      </c>
      <c r="AB1275" s="195">
        <v>1846.83</v>
      </c>
      <c r="AC1275" s="196">
        <f t="shared" si="694"/>
        <v>-2.4300000000000637</v>
      </c>
      <c r="AD1275" s="197">
        <f t="shared" si="695"/>
        <v>3.1592805999520529E-3</v>
      </c>
      <c r="AE1275" s="198">
        <f t="shared" si="696"/>
        <v>3.6000000000000002E-4</v>
      </c>
      <c r="AF1275" s="193"/>
      <c r="AG1275" s="199" t="s">
        <v>416</v>
      </c>
      <c r="AH1275" s="124"/>
    </row>
    <row r="1276" spans="1:34" ht="12" hidden="1" customHeight="1">
      <c r="A1276" s="187">
        <v>44664</v>
      </c>
      <c r="B1276" s="188" t="s">
        <v>589</v>
      </c>
      <c r="C1276" s="188" t="s">
        <v>460</v>
      </c>
      <c r="D1276" s="188"/>
      <c r="E1276" s="188" t="str">
        <f t="shared" si="682"/>
        <v>DCMSHRIRAM</v>
      </c>
      <c r="F1276" s="188"/>
      <c r="G1276" s="188"/>
      <c r="H1276" s="188"/>
      <c r="I1276" s="188" t="s">
        <v>668</v>
      </c>
      <c r="J1276" s="188" t="s">
        <v>483</v>
      </c>
      <c r="K1276" s="188"/>
      <c r="L1276" s="188"/>
      <c r="M1276" s="189">
        <v>200</v>
      </c>
      <c r="N1276" s="190">
        <v>1126.5</v>
      </c>
      <c r="O1276" s="191">
        <v>1134.75</v>
      </c>
      <c r="P1276" s="192">
        <f t="shared" si="789"/>
        <v>20</v>
      </c>
      <c r="Q1276" s="192">
        <f t="shared" si="790"/>
        <v>20</v>
      </c>
      <c r="R1276" s="193">
        <f t="shared" si="685"/>
        <v>452250</v>
      </c>
      <c r="S1276" s="193">
        <f t="shared" si="686"/>
        <v>1650</v>
      </c>
      <c r="T1276" s="193">
        <v>121.55</v>
      </c>
      <c r="U1276" s="193">
        <f t="shared" si="707"/>
        <v>24.12</v>
      </c>
      <c r="V1276" s="193">
        <f t="shared" si="836"/>
        <v>56.74</v>
      </c>
      <c r="W1276" s="193">
        <f t="shared" si="735"/>
        <v>6.76</v>
      </c>
      <c r="X1276" s="193">
        <f t="shared" si="831"/>
        <v>12.44</v>
      </c>
      <c r="Y1276" s="193">
        <f t="shared" si="758"/>
        <v>0.45</v>
      </c>
      <c r="Z1276" s="193">
        <f t="shared" si="692"/>
        <v>222.05999999999997</v>
      </c>
      <c r="AA1276" s="194">
        <f t="shared" si="693"/>
        <v>1427.94</v>
      </c>
      <c r="AB1276" s="195">
        <v>1427.47</v>
      </c>
      <c r="AC1276" s="196">
        <f t="shared" si="694"/>
        <v>-0.47000000000002728</v>
      </c>
      <c r="AD1276" s="197">
        <f t="shared" si="695"/>
        <v>7.3235685752330226E-3</v>
      </c>
      <c r="AE1276" s="198">
        <f t="shared" si="696"/>
        <v>4.9100000000000001E-4</v>
      </c>
      <c r="AF1276" s="193"/>
      <c r="AG1276" s="199" t="s">
        <v>416</v>
      </c>
      <c r="AH1276" s="124"/>
    </row>
    <row r="1277" spans="1:34" ht="12" hidden="1" customHeight="1">
      <c r="A1277" s="187">
        <v>44670</v>
      </c>
      <c r="B1277" s="188" t="s">
        <v>589</v>
      </c>
      <c r="C1277" s="188" t="s">
        <v>460</v>
      </c>
      <c r="D1277" s="188"/>
      <c r="E1277" s="188" t="str">
        <f t="shared" si="682"/>
        <v>DCMSHRIRAM</v>
      </c>
      <c r="F1277" s="188"/>
      <c r="G1277" s="188"/>
      <c r="H1277" s="188"/>
      <c r="I1277" s="188" t="s">
        <v>668</v>
      </c>
      <c r="J1277" s="188" t="s">
        <v>483</v>
      </c>
      <c r="K1277" s="188"/>
      <c r="L1277" s="188"/>
      <c r="M1277" s="189">
        <v>50</v>
      </c>
      <c r="N1277" s="190">
        <v>1144.2</v>
      </c>
      <c r="O1277" s="191">
        <v>1155.2</v>
      </c>
      <c r="P1277" s="192">
        <f t="shared" si="789"/>
        <v>17.16</v>
      </c>
      <c r="Q1277" s="192">
        <f t="shared" si="790"/>
        <v>17.329999999999998</v>
      </c>
      <c r="R1277" s="193">
        <f t="shared" si="685"/>
        <v>114970</v>
      </c>
      <c r="S1277" s="193">
        <f t="shared" si="686"/>
        <v>550</v>
      </c>
      <c r="T1277" s="193">
        <f>ROUND(P1277+Q1277,2)</f>
        <v>34.49</v>
      </c>
      <c r="U1277" s="193">
        <f t="shared" si="707"/>
        <v>6.78</v>
      </c>
      <c r="V1277" s="193">
        <f t="shared" si="836"/>
        <v>14.44</v>
      </c>
      <c r="W1277" s="193">
        <f t="shared" si="735"/>
        <v>1.72</v>
      </c>
      <c r="X1277" s="193">
        <f t="shared" si="831"/>
        <v>3.16</v>
      </c>
      <c r="Y1277" s="193">
        <f t="shared" si="758"/>
        <v>0.11</v>
      </c>
      <c r="Z1277" s="193">
        <f t="shared" si="692"/>
        <v>60.7</v>
      </c>
      <c r="AA1277" s="194">
        <f t="shared" si="693"/>
        <v>489.3</v>
      </c>
      <c r="AB1277" s="195">
        <v>489</v>
      </c>
      <c r="AC1277" s="196">
        <f t="shared" si="694"/>
        <v>-0.30000000000001137</v>
      </c>
      <c r="AD1277" s="197">
        <f t="shared" si="695"/>
        <v>9.6137038979199445E-3</v>
      </c>
      <c r="AE1277" s="198">
        <f t="shared" si="696"/>
        <v>5.2800000000000004E-4</v>
      </c>
      <c r="AF1277" s="193"/>
      <c r="AG1277" s="199" t="s">
        <v>416</v>
      </c>
      <c r="AH1277" s="124"/>
    </row>
    <row r="1278" spans="1:34" ht="12" hidden="1" customHeight="1">
      <c r="A1278" s="187">
        <v>44671</v>
      </c>
      <c r="B1278" s="188" t="s">
        <v>589</v>
      </c>
      <c r="C1278" s="188" t="s">
        <v>460</v>
      </c>
      <c r="D1278" s="188"/>
      <c r="E1278" s="188" t="str">
        <f t="shared" si="682"/>
        <v>DCMSHRIRAM</v>
      </c>
      <c r="F1278" s="188"/>
      <c r="G1278" s="188"/>
      <c r="H1278" s="188"/>
      <c r="I1278" s="188" t="s">
        <v>668</v>
      </c>
      <c r="J1278" s="188" t="s">
        <v>483</v>
      </c>
      <c r="K1278" s="188"/>
      <c r="L1278" s="188"/>
      <c r="M1278" s="189">
        <v>80</v>
      </c>
      <c r="N1278" s="190">
        <v>1170.6763000000001</v>
      </c>
      <c r="O1278" s="191">
        <v>1175.375</v>
      </c>
      <c r="P1278" s="192">
        <f t="shared" si="789"/>
        <v>20</v>
      </c>
      <c r="Q1278" s="192">
        <f t="shared" si="790"/>
        <v>20</v>
      </c>
      <c r="R1278" s="193">
        <f t="shared" si="685"/>
        <v>187684.1</v>
      </c>
      <c r="S1278" s="193">
        <f t="shared" si="686"/>
        <v>375.89599999999336</v>
      </c>
      <c r="T1278" s="193">
        <v>54.97</v>
      </c>
      <c r="U1278" s="193">
        <f t="shared" si="707"/>
        <v>10.82</v>
      </c>
      <c r="V1278" s="193">
        <f t="shared" si="836"/>
        <v>23.51</v>
      </c>
      <c r="W1278" s="193">
        <f t="shared" si="735"/>
        <v>2.81</v>
      </c>
      <c r="X1278" s="193">
        <f t="shared" si="831"/>
        <v>5.16</v>
      </c>
      <c r="Y1278" s="193">
        <f t="shared" si="758"/>
        <v>0.19</v>
      </c>
      <c r="Z1278" s="193">
        <f t="shared" si="692"/>
        <v>97.46</v>
      </c>
      <c r="AA1278" s="194">
        <f t="shared" si="693"/>
        <v>278.44</v>
      </c>
      <c r="AB1278" s="195">
        <v>278.54000000000002</v>
      </c>
      <c r="AC1278" s="196">
        <f t="shared" si="694"/>
        <v>0.10000000000002274</v>
      </c>
      <c r="AD1278" s="197">
        <f t="shared" si="695"/>
        <v>4.0136628716237925E-3</v>
      </c>
      <c r="AE1278" s="198">
        <f t="shared" si="696"/>
        <v>5.1900000000000004E-4</v>
      </c>
      <c r="AF1278" s="193"/>
      <c r="AG1278" s="199" t="s">
        <v>416</v>
      </c>
      <c r="AH1278" s="124"/>
    </row>
    <row r="1279" spans="1:34" ht="12" hidden="1" customHeight="1">
      <c r="A1279" s="187">
        <v>44672</v>
      </c>
      <c r="B1279" s="188" t="s">
        <v>589</v>
      </c>
      <c r="C1279" s="188" t="s">
        <v>460</v>
      </c>
      <c r="D1279" s="188"/>
      <c r="E1279" s="188" t="str">
        <f t="shared" si="682"/>
        <v>DCMSHRIRAM</v>
      </c>
      <c r="F1279" s="188"/>
      <c r="G1279" s="188"/>
      <c r="H1279" s="188"/>
      <c r="I1279" s="188" t="s">
        <v>668</v>
      </c>
      <c r="J1279" s="188" t="s">
        <v>483</v>
      </c>
      <c r="K1279" s="188"/>
      <c r="L1279" s="188"/>
      <c r="M1279" s="189">
        <v>100</v>
      </c>
      <c r="N1279" s="190">
        <v>1178.5</v>
      </c>
      <c r="O1279" s="191">
        <v>1187.5</v>
      </c>
      <c r="P1279" s="192">
        <f t="shared" si="789"/>
        <v>20</v>
      </c>
      <c r="Q1279" s="192">
        <f t="shared" si="790"/>
        <v>20</v>
      </c>
      <c r="R1279" s="193">
        <f t="shared" si="685"/>
        <v>236600</v>
      </c>
      <c r="S1279" s="193">
        <f t="shared" si="686"/>
        <v>900</v>
      </c>
      <c r="T1279" s="193">
        <v>82.1</v>
      </c>
      <c r="U1279" s="193">
        <f t="shared" si="707"/>
        <v>15.95</v>
      </c>
      <c r="V1279" s="193">
        <f t="shared" si="836"/>
        <v>29.69</v>
      </c>
      <c r="W1279" s="193">
        <f t="shared" si="735"/>
        <v>3.54</v>
      </c>
      <c r="X1279" s="193">
        <f t="shared" si="831"/>
        <v>6.51</v>
      </c>
      <c r="Y1279" s="193">
        <f t="shared" si="758"/>
        <v>0.24</v>
      </c>
      <c r="Z1279" s="193">
        <f t="shared" si="692"/>
        <v>138.03</v>
      </c>
      <c r="AA1279" s="194">
        <f t="shared" si="693"/>
        <v>761.97</v>
      </c>
      <c r="AB1279" s="195">
        <v>761.97</v>
      </c>
      <c r="AC1279" s="196">
        <f t="shared" si="694"/>
        <v>0</v>
      </c>
      <c r="AD1279" s="197">
        <f t="shared" si="695"/>
        <v>7.6368264743317781E-3</v>
      </c>
      <c r="AE1279" s="198">
        <f t="shared" si="696"/>
        <v>5.8299999999999997E-4</v>
      </c>
      <c r="AF1279" s="193"/>
      <c r="AG1279" s="199" t="s">
        <v>416</v>
      </c>
      <c r="AH1279" s="124"/>
    </row>
    <row r="1280" spans="1:34" ht="12" hidden="1" customHeight="1">
      <c r="A1280" s="187">
        <v>44673</v>
      </c>
      <c r="B1280" s="188" t="s">
        <v>589</v>
      </c>
      <c r="C1280" s="188" t="s">
        <v>460</v>
      </c>
      <c r="D1280" s="188"/>
      <c r="E1280" s="188" t="str">
        <f t="shared" si="682"/>
        <v>DCMSHRIRAM</v>
      </c>
      <c r="F1280" s="188"/>
      <c r="G1280" s="188"/>
      <c r="H1280" s="188"/>
      <c r="I1280" s="188" t="s">
        <v>668</v>
      </c>
      <c r="J1280" s="188" t="s">
        <v>483</v>
      </c>
      <c r="K1280" s="188"/>
      <c r="L1280" s="188"/>
      <c r="M1280" s="189">
        <v>50</v>
      </c>
      <c r="N1280" s="190">
        <v>1138</v>
      </c>
      <c r="O1280" s="191">
        <v>1150</v>
      </c>
      <c r="P1280" s="192">
        <f t="shared" si="789"/>
        <v>17.07</v>
      </c>
      <c r="Q1280" s="192">
        <f t="shared" si="790"/>
        <v>17.25</v>
      </c>
      <c r="R1280" s="193">
        <f t="shared" si="685"/>
        <v>114400</v>
      </c>
      <c r="S1280" s="193">
        <f t="shared" si="686"/>
        <v>600</v>
      </c>
      <c r="T1280" s="193">
        <f>ROUND(P1280+Q1280,2)</f>
        <v>34.32</v>
      </c>
      <c r="U1280" s="193">
        <f t="shared" si="707"/>
        <v>7.1</v>
      </c>
      <c r="V1280" s="193">
        <f t="shared" si="836"/>
        <v>14.38</v>
      </c>
      <c r="W1280" s="193">
        <f t="shared" si="735"/>
        <v>1.71</v>
      </c>
      <c r="X1280" s="193">
        <f>ROUND(R1280*G$1820,2)+2</f>
        <v>5.15</v>
      </c>
      <c r="Y1280" s="193">
        <f t="shared" si="758"/>
        <v>0.11</v>
      </c>
      <c r="Z1280" s="193">
        <f t="shared" si="692"/>
        <v>62.77</v>
      </c>
      <c r="AA1280" s="194">
        <f t="shared" si="693"/>
        <v>537.23</v>
      </c>
      <c r="AB1280" s="195">
        <v>537.89</v>
      </c>
      <c r="AC1280" s="196">
        <f t="shared" si="694"/>
        <v>0.65999999999996817</v>
      </c>
      <c r="AD1280" s="197">
        <f t="shared" si="695"/>
        <v>1.054481546572935E-2</v>
      </c>
      <c r="AE1280" s="198">
        <f t="shared" si="696"/>
        <v>5.4900000000000001E-4</v>
      </c>
      <c r="AF1280" s="193"/>
      <c r="AG1280" s="199" t="s">
        <v>416</v>
      </c>
      <c r="AH1280" s="124"/>
    </row>
    <row r="1281" spans="1:34" ht="12" hidden="1" customHeight="1">
      <c r="A1281" s="187">
        <v>44676</v>
      </c>
      <c r="B1281" s="188" t="s">
        <v>589</v>
      </c>
      <c r="C1281" s="188" t="s">
        <v>460</v>
      </c>
      <c r="D1281" s="188"/>
      <c r="E1281" s="188" t="str">
        <f t="shared" si="682"/>
        <v>DCMSHRIRAM</v>
      </c>
      <c r="F1281" s="188"/>
      <c r="G1281" s="188"/>
      <c r="H1281" s="188"/>
      <c r="I1281" s="188" t="s">
        <v>668</v>
      </c>
      <c r="J1281" s="188" t="s">
        <v>483</v>
      </c>
      <c r="K1281" s="188"/>
      <c r="L1281" s="188"/>
      <c r="M1281" s="189">
        <v>270</v>
      </c>
      <c r="N1281" s="190">
        <v>1133.6074000000001</v>
      </c>
      <c r="O1281" s="191">
        <v>1139.14815</v>
      </c>
      <c r="P1281" s="192">
        <f t="shared" si="789"/>
        <v>20</v>
      </c>
      <c r="Q1281" s="192">
        <f t="shared" si="790"/>
        <v>20</v>
      </c>
      <c r="R1281" s="193">
        <f t="shared" si="685"/>
        <v>613644</v>
      </c>
      <c r="S1281" s="193">
        <f t="shared" si="686"/>
        <v>1496.00249999997</v>
      </c>
      <c r="T1281" s="193">
        <v>169.84</v>
      </c>
      <c r="U1281" s="193">
        <f t="shared" si="707"/>
        <v>33.79</v>
      </c>
      <c r="V1281" s="193">
        <f t="shared" si="836"/>
        <v>76.89</v>
      </c>
      <c r="W1281" s="193">
        <f t="shared" si="735"/>
        <v>9.18</v>
      </c>
      <c r="X1281" s="193">
        <f>ROUND(R1281*G$1820,2)+1</f>
        <v>17.88</v>
      </c>
      <c r="Y1281" s="193">
        <f t="shared" si="758"/>
        <v>0.61</v>
      </c>
      <c r="Z1281" s="193">
        <f t="shared" si="692"/>
        <v>308.19</v>
      </c>
      <c r="AA1281" s="194">
        <f t="shared" si="693"/>
        <v>1187.81</v>
      </c>
      <c r="AB1281" s="195">
        <v>1188</v>
      </c>
      <c r="AC1281" s="196">
        <f t="shared" si="694"/>
        <v>0.19000000000005457</v>
      </c>
      <c r="AD1281" s="197">
        <f t="shared" si="695"/>
        <v>4.8877150943085661E-3</v>
      </c>
      <c r="AE1281" s="198">
        <f t="shared" si="696"/>
        <v>5.0199999999999995E-4</v>
      </c>
      <c r="AF1281" s="193"/>
      <c r="AG1281" s="199" t="s">
        <v>416</v>
      </c>
      <c r="AH1281" s="124"/>
    </row>
    <row r="1282" spans="1:34" ht="12" hidden="1" customHeight="1">
      <c r="A1282" s="187">
        <v>44677</v>
      </c>
      <c r="B1282" s="188" t="s">
        <v>589</v>
      </c>
      <c r="C1282" s="188" t="s">
        <v>460</v>
      </c>
      <c r="D1282" s="188"/>
      <c r="E1282" s="188" t="str">
        <f t="shared" si="682"/>
        <v>DCMSHRIRAM</v>
      </c>
      <c r="F1282" s="188"/>
      <c r="G1282" s="188"/>
      <c r="H1282" s="188"/>
      <c r="I1282" s="188" t="s">
        <v>668</v>
      </c>
      <c r="J1282" s="188" t="s">
        <v>483</v>
      </c>
      <c r="K1282" s="188"/>
      <c r="L1282" s="188"/>
      <c r="M1282" s="189">
        <v>250</v>
      </c>
      <c r="N1282" s="190">
        <v>1159</v>
      </c>
      <c r="O1282" s="191">
        <v>1166.25</v>
      </c>
      <c r="P1282" s="192">
        <f t="shared" si="789"/>
        <v>20</v>
      </c>
      <c r="Q1282" s="192">
        <f t="shared" si="790"/>
        <v>20</v>
      </c>
      <c r="R1282" s="193">
        <f t="shared" si="685"/>
        <v>581312.5</v>
      </c>
      <c r="S1282" s="193">
        <f t="shared" si="686"/>
        <v>1812.5</v>
      </c>
      <c r="T1282" s="193">
        <v>174.42</v>
      </c>
      <c r="U1282" s="193">
        <f t="shared" si="707"/>
        <v>34.270000000000003</v>
      </c>
      <c r="V1282" s="193">
        <f t="shared" si="836"/>
        <v>72.89</v>
      </c>
      <c r="W1282" s="193">
        <f t="shared" si="735"/>
        <v>8.69</v>
      </c>
      <c r="X1282" s="193">
        <f t="shared" ref="X1282:X1289" si="837">ROUND(R1282*G$1820,2)</f>
        <v>15.99</v>
      </c>
      <c r="Y1282" s="193">
        <f t="shared" si="758"/>
        <v>0.57999999999999996</v>
      </c>
      <c r="Z1282" s="193">
        <f t="shared" si="692"/>
        <v>306.83999999999997</v>
      </c>
      <c r="AA1282" s="194">
        <f t="shared" si="693"/>
        <v>1505.66</v>
      </c>
      <c r="AB1282" s="195">
        <v>1506</v>
      </c>
      <c r="AC1282" s="196">
        <f t="shared" si="694"/>
        <v>0.33999999999991815</v>
      </c>
      <c r="AD1282" s="197">
        <f t="shared" si="695"/>
        <v>6.255392579810181E-3</v>
      </c>
      <c r="AE1282" s="198">
        <f t="shared" si="696"/>
        <v>5.2800000000000004E-4</v>
      </c>
      <c r="AF1282" s="193"/>
      <c r="AG1282" s="199" t="s">
        <v>416</v>
      </c>
      <c r="AH1282" s="124"/>
    </row>
    <row r="1283" spans="1:34" ht="12" hidden="1" customHeight="1">
      <c r="A1283" s="187">
        <v>44678</v>
      </c>
      <c r="B1283" s="188" t="s">
        <v>589</v>
      </c>
      <c r="C1283" s="188" t="s">
        <v>460</v>
      </c>
      <c r="D1283" s="188"/>
      <c r="E1283" s="188" t="str">
        <f t="shared" si="682"/>
        <v>DCMSHRIRAM</v>
      </c>
      <c r="F1283" s="188"/>
      <c r="G1283" s="188"/>
      <c r="H1283" s="188"/>
      <c r="I1283" s="188" t="s">
        <v>668</v>
      </c>
      <c r="J1283" s="188" t="s">
        <v>483</v>
      </c>
      <c r="K1283" s="188"/>
      <c r="L1283" s="188"/>
      <c r="M1283" s="189">
        <v>120</v>
      </c>
      <c r="N1283" s="190">
        <v>1142.0833</v>
      </c>
      <c r="O1283" s="191">
        <v>1147.5</v>
      </c>
      <c r="P1283" s="192">
        <f t="shared" si="789"/>
        <v>20</v>
      </c>
      <c r="Q1283" s="192">
        <f t="shared" si="790"/>
        <v>20</v>
      </c>
      <c r="R1283" s="193">
        <f t="shared" si="685"/>
        <v>274750</v>
      </c>
      <c r="S1283" s="193">
        <f t="shared" si="686"/>
        <v>650.003999999999</v>
      </c>
      <c r="T1283" s="193">
        <v>82.42</v>
      </c>
      <c r="U1283" s="193">
        <f t="shared" si="707"/>
        <v>16.2</v>
      </c>
      <c r="V1283" s="193">
        <f t="shared" si="836"/>
        <v>34.43</v>
      </c>
      <c r="W1283" s="193">
        <f t="shared" si="735"/>
        <v>4.1100000000000003</v>
      </c>
      <c r="X1283" s="193">
        <f t="shared" si="837"/>
        <v>7.56</v>
      </c>
      <c r="Y1283" s="193">
        <f t="shared" si="758"/>
        <v>0.27</v>
      </c>
      <c r="Z1283" s="193">
        <f t="shared" si="692"/>
        <v>144.99000000000004</v>
      </c>
      <c r="AA1283" s="194">
        <f t="shared" si="693"/>
        <v>505.01</v>
      </c>
      <c r="AB1283" s="195">
        <v>505.19</v>
      </c>
      <c r="AC1283" s="196">
        <f t="shared" si="694"/>
        <v>0.18000000000000682</v>
      </c>
      <c r="AD1283" s="197">
        <f t="shared" si="695"/>
        <v>4.7428239253651562E-3</v>
      </c>
      <c r="AE1283" s="198">
        <f t="shared" si="696"/>
        <v>5.2800000000000004E-4</v>
      </c>
      <c r="AF1283" s="193"/>
      <c r="AG1283" s="199" t="s">
        <v>416</v>
      </c>
      <c r="AH1283" s="124"/>
    </row>
    <row r="1284" spans="1:34" ht="12" hidden="1" customHeight="1">
      <c r="A1284" s="187">
        <v>44678</v>
      </c>
      <c r="B1284" s="188" t="s">
        <v>308</v>
      </c>
      <c r="C1284" s="188" t="s">
        <v>485</v>
      </c>
      <c r="D1284" s="188"/>
      <c r="E1284" s="188" t="str">
        <f t="shared" si="682"/>
        <v>INEOSSTYRO</v>
      </c>
      <c r="F1284" s="188"/>
      <c r="G1284" s="188"/>
      <c r="H1284" s="188"/>
      <c r="I1284" s="188" t="s">
        <v>668</v>
      </c>
      <c r="J1284" s="188" t="s">
        <v>483</v>
      </c>
      <c r="K1284" s="188"/>
      <c r="L1284" s="188"/>
      <c r="M1284" s="189">
        <v>55</v>
      </c>
      <c r="N1284" s="190">
        <v>866.36360000000002</v>
      </c>
      <c r="O1284" s="191">
        <v>874.09090000000003</v>
      </c>
      <c r="P1284" s="192">
        <f t="shared" si="789"/>
        <v>14.29</v>
      </c>
      <c r="Q1284" s="192">
        <f t="shared" si="790"/>
        <v>14.42</v>
      </c>
      <c r="R1284" s="193">
        <f t="shared" si="685"/>
        <v>95725</v>
      </c>
      <c r="S1284" s="193">
        <f t="shared" si="686"/>
        <v>425.00150000000076</v>
      </c>
      <c r="T1284" s="193">
        <f>ROUND(P1284+Q1284,2)+1.25</f>
        <v>29.96</v>
      </c>
      <c r="U1284" s="193">
        <f t="shared" si="707"/>
        <v>5.87</v>
      </c>
      <c r="V1284" s="193">
        <f t="shared" si="836"/>
        <v>12.02</v>
      </c>
      <c r="W1284" s="193">
        <f t="shared" si="735"/>
        <v>1.43</v>
      </c>
      <c r="X1284" s="193">
        <f t="shared" si="837"/>
        <v>2.63</v>
      </c>
      <c r="Y1284" s="193">
        <f t="shared" si="758"/>
        <v>0.1</v>
      </c>
      <c r="Z1284" s="193">
        <f t="shared" si="692"/>
        <v>52.01</v>
      </c>
      <c r="AA1284" s="194">
        <f t="shared" si="693"/>
        <v>372.99</v>
      </c>
      <c r="AB1284" s="195">
        <v>372.19</v>
      </c>
      <c r="AC1284" s="196">
        <f t="shared" si="694"/>
        <v>-0.80000000000001137</v>
      </c>
      <c r="AD1284" s="197">
        <f t="shared" si="695"/>
        <v>8.9192343722658864E-3</v>
      </c>
      <c r="AE1284" s="198">
        <f t="shared" si="696"/>
        <v>5.4299999999999997E-4</v>
      </c>
      <c r="AF1284" s="193"/>
      <c r="AG1284" s="199" t="s">
        <v>416</v>
      </c>
      <c r="AH1284" s="124"/>
    </row>
    <row r="1285" spans="1:34" ht="12" hidden="1" customHeight="1">
      <c r="A1285" s="187">
        <v>44679</v>
      </c>
      <c r="B1285" s="188" t="s">
        <v>589</v>
      </c>
      <c r="C1285" s="188" t="s">
        <v>460</v>
      </c>
      <c r="D1285" s="188"/>
      <c r="E1285" s="188" t="str">
        <f t="shared" si="682"/>
        <v>DCMSHRIRAM</v>
      </c>
      <c r="F1285" s="188"/>
      <c r="G1285" s="188"/>
      <c r="H1285" s="188"/>
      <c r="I1285" s="188" t="s">
        <v>668</v>
      </c>
      <c r="J1285" s="188" t="s">
        <v>483</v>
      </c>
      <c r="K1285" s="188"/>
      <c r="L1285" s="188"/>
      <c r="M1285" s="189">
        <v>800</v>
      </c>
      <c r="N1285" s="190">
        <v>1201.4844000000001</v>
      </c>
      <c r="O1285" s="191">
        <v>1209.1169</v>
      </c>
      <c r="P1285" s="192">
        <f t="shared" si="789"/>
        <v>20</v>
      </c>
      <c r="Q1285" s="192">
        <f t="shared" si="790"/>
        <v>20</v>
      </c>
      <c r="R1285" s="193">
        <f t="shared" si="685"/>
        <v>1928481.04</v>
      </c>
      <c r="S1285" s="193">
        <f t="shared" si="686"/>
        <v>6105.9999999999491</v>
      </c>
      <c r="T1285" s="193">
        <f>561.19+71</f>
        <v>632.19000000000005</v>
      </c>
      <c r="U1285" s="193">
        <f t="shared" si="707"/>
        <v>123.34</v>
      </c>
      <c r="V1285" s="193">
        <f>ROUND((O1285*M1285)*F$1818,2)-209</f>
        <v>32.819999999999993</v>
      </c>
      <c r="W1285" s="193">
        <f>ROUND((N1285*M1285)*G$1824,2)-15</f>
        <v>13.84</v>
      </c>
      <c r="X1285" s="193">
        <f t="shared" si="837"/>
        <v>53.03</v>
      </c>
      <c r="Y1285" s="193">
        <f t="shared" si="758"/>
        <v>1.93</v>
      </c>
      <c r="Z1285" s="193">
        <f t="shared" si="692"/>
        <v>857.15000000000009</v>
      </c>
      <c r="AA1285" s="194">
        <f t="shared" si="693"/>
        <v>5248.85</v>
      </c>
      <c r="AB1285" s="195">
        <v>5248.44</v>
      </c>
      <c r="AC1285" s="196">
        <f t="shared" si="694"/>
        <v>-0.41000000000076398</v>
      </c>
      <c r="AD1285" s="197">
        <f t="shared" si="695"/>
        <v>6.352558551738113E-3</v>
      </c>
      <c r="AE1285" s="198">
        <f t="shared" si="696"/>
        <v>4.44E-4</v>
      </c>
      <c r="AF1285" s="193"/>
      <c r="AG1285" s="199" t="s">
        <v>416</v>
      </c>
      <c r="AH1285" s="124"/>
    </row>
    <row r="1286" spans="1:34" ht="12" hidden="1" customHeight="1">
      <c r="A1286" s="187">
        <v>44679</v>
      </c>
      <c r="B1286" s="188" t="s">
        <v>308</v>
      </c>
      <c r="C1286" s="188" t="s">
        <v>485</v>
      </c>
      <c r="D1286" s="188"/>
      <c r="E1286" s="188" t="str">
        <f t="shared" si="682"/>
        <v>INEOSSTYRO</v>
      </c>
      <c r="F1286" s="188"/>
      <c r="G1286" s="188"/>
      <c r="H1286" s="188"/>
      <c r="I1286" s="188" t="s">
        <v>668</v>
      </c>
      <c r="J1286" s="188" t="s">
        <v>483</v>
      </c>
      <c r="K1286" s="188"/>
      <c r="L1286" s="188"/>
      <c r="M1286" s="189">
        <v>25</v>
      </c>
      <c r="N1286" s="190">
        <v>877</v>
      </c>
      <c r="O1286" s="191">
        <v>883</v>
      </c>
      <c r="P1286" s="192">
        <f t="shared" si="789"/>
        <v>6.58</v>
      </c>
      <c r="Q1286" s="192">
        <f t="shared" si="790"/>
        <v>6.62</v>
      </c>
      <c r="R1286" s="193">
        <f t="shared" si="685"/>
        <v>44000</v>
      </c>
      <c r="S1286" s="193">
        <f t="shared" si="686"/>
        <v>150</v>
      </c>
      <c r="T1286" s="193">
        <f>ROUND(P1286+Q1286,2)</f>
        <v>13.2</v>
      </c>
      <c r="U1286" s="193">
        <f t="shared" si="707"/>
        <v>2.59</v>
      </c>
      <c r="V1286" s="193">
        <f t="shared" ref="V1286:V1288" si="838">ROUND((O1286*M1286)*F$1818,2)</f>
        <v>5.52</v>
      </c>
      <c r="W1286" s="193">
        <f t="shared" ref="W1286:W1427" si="839">ROUND((N1286*M1286)*G$1824,2)</f>
        <v>0.66</v>
      </c>
      <c r="X1286" s="193">
        <f t="shared" si="837"/>
        <v>1.21</v>
      </c>
      <c r="Y1286" s="193">
        <f t="shared" si="758"/>
        <v>0.04</v>
      </c>
      <c r="Z1286" s="193">
        <f t="shared" si="692"/>
        <v>23.22</v>
      </c>
      <c r="AA1286" s="194">
        <f t="shared" si="693"/>
        <v>126.78</v>
      </c>
      <c r="AB1286" s="195">
        <v>126.07</v>
      </c>
      <c r="AC1286" s="196">
        <f t="shared" si="694"/>
        <v>-0.71000000000000796</v>
      </c>
      <c r="AD1286" s="197">
        <f t="shared" si="695"/>
        <v>6.8415051311288486E-3</v>
      </c>
      <c r="AE1286" s="198">
        <f t="shared" si="696"/>
        <v>5.2800000000000004E-4</v>
      </c>
      <c r="AF1286" s="193"/>
      <c r="AG1286" s="199" t="s">
        <v>416</v>
      </c>
      <c r="AH1286" s="124"/>
    </row>
    <row r="1287" spans="1:34" ht="12" hidden="1" customHeight="1">
      <c r="A1287" s="187">
        <v>44680</v>
      </c>
      <c r="B1287" s="188" t="s">
        <v>589</v>
      </c>
      <c r="C1287" s="188" t="s">
        <v>460</v>
      </c>
      <c r="D1287" s="188"/>
      <c r="E1287" s="188" t="str">
        <f t="shared" si="682"/>
        <v>DCMSHRIRAM</v>
      </c>
      <c r="F1287" s="188"/>
      <c r="G1287" s="188"/>
      <c r="H1287" s="188"/>
      <c r="I1287" s="188" t="s">
        <v>668</v>
      </c>
      <c r="J1287" s="188" t="s">
        <v>483</v>
      </c>
      <c r="K1287" s="188"/>
      <c r="L1287" s="188"/>
      <c r="M1287" s="189">
        <v>950</v>
      </c>
      <c r="N1287" s="190">
        <v>1209.06845</v>
      </c>
      <c r="O1287" s="191">
        <v>1214.1795</v>
      </c>
      <c r="P1287" s="192">
        <f t="shared" si="789"/>
        <v>20</v>
      </c>
      <c r="Q1287" s="192">
        <f t="shared" si="790"/>
        <v>20</v>
      </c>
      <c r="R1287" s="193">
        <f t="shared" si="685"/>
        <v>2302085.5499999998</v>
      </c>
      <c r="S1287" s="193">
        <f t="shared" si="686"/>
        <v>4855.4974999999786</v>
      </c>
      <c r="T1287" s="193">
        <v>432.61</v>
      </c>
      <c r="U1287" s="193">
        <f t="shared" si="707"/>
        <v>89.27</v>
      </c>
      <c r="V1287" s="193">
        <f t="shared" si="838"/>
        <v>288.37</v>
      </c>
      <c r="W1287" s="193">
        <f t="shared" si="839"/>
        <v>34.46</v>
      </c>
      <c r="X1287" s="193">
        <f t="shared" si="837"/>
        <v>63.31</v>
      </c>
      <c r="Y1287" s="193">
        <f t="shared" si="758"/>
        <v>2.2999999999999998</v>
      </c>
      <c r="Z1287" s="193">
        <f t="shared" si="692"/>
        <v>910.31999999999994</v>
      </c>
      <c r="AA1287" s="194">
        <f t="shared" si="693"/>
        <v>3945.18</v>
      </c>
      <c r="AB1287" s="195">
        <v>3945.05</v>
      </c>
      <c r="AC1287" s="196">
        <f t="shared" si="694"/>
        <v>-0.12999999999965439</v>
      </c>
      <c r="AD1287" s="197">
        <f t="shared" si="695"/>
        <v>4.2272627327261557E-3</v>
      </c>
      <c r="AE1287" s="198">
        <f t="shared" si="696"/>
        <v>3.9500000000000001E-4</v>
      </c>
      <c r="AF1287" s="193"/>
      <c r="AG1287" s="199" t="s">
        <v>416</v>
      </c>
      <c r="AH1287" s="124"/>
    </row>
    <row r="1288" spans="1:34" ht="12" hidden="1" customHeight="1">
      <c r="A1288" s="187">
        <v>44683</v>
      </c>
      <c r="B1288" s="188" t="s">
        <v>589</v>
      </c>
      <c r="C1288" s="188" t="s">
        <v>460</v>
      </c>
      <c r="D1288" s="188"/>
      <c r="E1288" s="188" t="str">
        <f t="shared" si="682"/>
        <v>DCMSHRIRAM</v>
      </c>
      <c r="F1288" s="188"/>
      <c r="G1288" s="188"/>
      <c r="H1288" s="188"/>
      <c r="I1288" s="188" t="s">
        <v>668</v>
      </c>
      <c r="J1288" s="188" t="s">
        <v>483</v>
      </c>
      <c r="K1288" s="188"/>
      <c r="L1288" s="188"/>
      <c r="M1288" s="189">
        <v>600</v>
      </c>
      <c r="N1288" s="190">
        <v>1159.8086000000001</v>
      </c>
      <c r="O1288" s="191">
        <v>1165.7666999999999</v>
      </c>
      <c r="P1288" s="192">
        <f t="shared" si="789"/>
        <v>20</v>
      </c>
      <c r="Q1288" s="192">
        <f t="shared" si="790"/>
        <v>20</v>
      </c>
      <c r="R1288" s="193">
        <f t="shared" si="685"/>
        <v>1395345.18</v>
      </c>
      <c r="S1288" s="193">
        <f t="shared" si="686"/>
        <v>3574.8599999998987</v>
      </c>
      <c r="T1288" s="193">
        <v>269.7</v>
      </c>
      <c r="U1288" s="193">
        <f t="shared" si="707"/>
        <v>55.45</v>
      </c>
      <c r="V1288" s="193">
        <f t="shared" si="838"/>
        <v>174.87</v>
      </c>
      <c r="W1288" s="193">
        <f t="shared" si="839"/>
        <v>20.88</v>
      </c>
      <c r="X1288" s="193">
        <f t="shared" si="837"/>
        <v>38.369999999999997</v>
      </c>
      <c r="Y1288" s="193">
        <f t="shared" si="758"/>
        <v>1.4</v>
      </c>
      <c r="Z1288" s="193">
        <f t="shared" si="692"/>
        <v>560.66999999999996</v>
      </c>
      <c r="AA1288" s="194">
        <f t="shared" si="693"/>
        <v>3014.19</v>
      </c>
      <c r="AB1288" s="195">
        <v>3014</v>
      </c>
      <c r="AC1288" s="196">
        <f t="shared" si="694"/>
        <v>-0.19000000000005457</v>
      </c>
      <c r="AD1288" s="197">
        <f t="shared" si="695"/>
        <v>5.1371407316688558E-3</v>
      </c>
      <c r="AE1288" s="198">
        <f t="shared" si="696"/>
        <v>4.0200000000000001E-4</v>
      </c>
      <c r="AF1288" s="193"/>
      <c r="AG1288" s="199" t="s">
        <v>416</v>
      </c>
      <c r="AH1288" s="124"/>
    </row>
    <row r="1289" spans="1:34" ht="12" hidden="1" customHeight="1">
      <c r="A1289" s="187">
        <v>44685</v>
      </c>
      <c r="B1289" s="188" t="s">
        <v>589</v>
      </c>
      <c r="C1289" s="188" t="s">
        <v>460</v>
      </c>
      <c r="D1289" s="188"/>
      <c r="E1289" s="188" t="str">
        <f t="shared" si="682"/>
        <v>DCMSHRIRAM</v>
      </c>
      <c r="F1289" s="188"/>
      <c r="G1289" s="188"/>
      <c r="H1289" s="188"/>
      <c r="I1289" s="188" t="s">
        <v>668</v>
      </c>
      <c r="J1289" s="188" t="s">
        <v>483</v>
      </c>
      <c r="K1289" s="188"/>
      <c r="L1289" s="188"/>
      <c r="M1289" s="189">
        <v>950</v>
      </c>
      <c r="N1289" s="190">
        <v>1190.125</v>
      </c>
      <c r="O1289" s="191">
        <v>1195.9952000000001</v>
      </c>
      <c r="P1289" s="192">
        <f t="shared" si="789"/>
        <v>20</v>
      </c>
      <c r="Q1289" s="192">
        <f t="shared" si="790"/>
        <v>20</v>
      </c>
      <c r="R1289" s="193">
        <f t="shared" si="685"/>
        <v>2266814.19</v>
      </c>
      <c r="S1289" s="193">
        <f t="shared" si="686"/>
        <v>5576.6900000000642</v>
      </c>
      <c r="T1289" s="193">
        <v>456.42</v>
      </c>
      <c r="U1289" s="193">
        <f t="shared" si="707"/>
        <v>93.38</v>
      </c>
      <c r="V1289" s="193">
        <f>ROUND((O1289*M1289)*F$1818,2)-1</f>
        <v>283.05</v>
      </c>
      <c r="W1289" s="193">
        <f t="shared" si="839"/>
        <v>33.92</v>
      </c>
      <c r="X1289" s="193">
        <f t="shared" si="837"/>
        <v>62.34</v>
      </c>
      <c r="Y1289" s="193">
        <f t="shared" si="758"/>
        <v>2.27</v>
      </c>
      <c r="Z1289" s="193">
        <f t="shared" si="692"/>
        <v>931.37999999999988</v>
      </c>
      <c r="AA1289" s="194">
        <f t="shared" si="693"/>
        <v>4645.3100000000004</v>
      </c>
      <c r="AB1289" s="195">
        <v>4645.3</v>
      </c>
      <c r="AC1289" s="196">
        <f t="shared" si="694"/>
        <v>-1.0000000000218279E-2</v>
      </c>
      <c r="AD1289" s="197">
        <f t="shared" si="695"/>
        <v>4.9324230648041742E-3</v>
      </c>
      <c r="AE1289" s="198">
        <f t="shared" si="696"/>
        <v>4.1100000000000002E-4</v>
      </c>
      <c r="AF1289" s="193"/>
      <c r="AG1289" s="199" t="s">
        <v>416</v>
      </c>
      <c r="AH1289" s="124"/>
    </row>
    <row r="1290" spans="1:34" ht="12" hidden="1" customHeight="1">
      <c r="A1290" s="187">
        <v>44686</v>
      </c>
      <c r="B1290" s="188" t="s">
        <v>589</v>
      </c>
      <c r="C1290" s="188" t="s">
        <v>460</v>
      </c>
      <c r="D1290" s="188"/>
      <c r="E1290" s="188" t="str">
        <f t="shared" si="682"/>
        <v>DCMSHRIRAM</v>
      </c>
      <c r="F1290" s="188"/>
      <c r="G1290" s="188"/>
      <c r="H1290" s="188"/>
      <c r="I1290" s="188" t="s">
        <v>668</v>
      </c>
      <c r="J1290" s="188" t="s">
        <v>483</v>
      </c>
      <c r="K1290" s="188"/>
      <c r="L1290" s="188"/>
      <c r="M1290" s="189">
        <v>1320</v>
      </c>
      <c r="N1290" s="190">
        <v>1212.3893</v>
      </c>
      <c r="O1290" s="191">
        <v>1217.6552999999999</v>
      </c>
      <c r="P1290" s="192">
        <f t="shared" si="789"/>
        <v>20</v>
      </c>
      <c r="Q1290" s="192">
        <f t="shared" si="790"/>
        <v>20</v>
      </c>
      <c r="R1290" s="193">
        <f t="shared" si="685"/>
        <v>3207658.87</v>
      </c>
      <c r="S1290" s="193">
        <f t="shared" si="686"/>
        <v>6951.1199999998007</v>
      </c>
      <c r="T1290" s="193">
        <v>599.97</v>
      </c>
      <c r="U1290" s="193">
        <f t="shared" si="707"/>
        <v>125.31</v>
      </c>
      <c r="V1290" s="193">
        <f>ROUND((O1290*M1290)*F$1818,2)</f>
        <v>401.83</v>
      </c>
      <c r="W1290" s="193">
        <f t="shared" si="839"/>
        <v>48.01</v>
      </c>
      <c r="X1290" s="193">
        <f>ROUND(R1290*G$1820,2)+8</f>
        <v>96.21</v>
      </c>
      <c r="Y1290" s="193">
        <f t="shared" si="758"/>
        <v>3.21</v>
      </c>
      <c r="Z1290" s="193">
        <f t="shared" si="692"/>
        <v>1274.54</v>
      </c>
      <c r="AA1290" s="194">
        <f t="shared" si="693"/>
        <v>5676.58</v>
      </c>
      <c r="AB1290" s="195">
        <v>5676.71</v>
      </c>
      <c r="AC1290" s="196">
        <f t="shared" si="694"/>
        <v>0.13000000000010914</v>
      </c>
      <c r="AD1290" s="197">
        <f t="shared" si="695"/>
        <v>4.3434893396039117E-3</v>
      </c>
      <c r="AE1290" s="198">
        <f t="shared" si="696"/>
        <v>3.97E-4</v>
      </c>
      <c r="AF1290" s="193"/>
      <c r="AG1290" s="199" t="s">
        <v>416</v>
      </c>
      <c r="AH1290" s="124"/>
    </row>
    <row r="1291" spans="1:34" ht="12" hidden="1" customHeight="1">
      <c r="A1291" s="187">
        <v>44687</v>
      </c>
      <c r="B1291" s="188" t="s">
        <v>589</v>
      </c>
      <c r="C1291" s="188" t="s">
        <v>460</v>
      </c>
      <c r="D1291" s="188"/>
      <c r="E1291" s="188" t="str">
        <f t="shared" si="682"/>
        <v>DCMSHRIRAM</v>
      </c>
      <c r="F1291" s="188"/>
      <c r="G1291" s="188"/>
      <c r="H1291" s="188"/>
      <c r="I1291" s="188" t="s">
        <v>668</v>
      </c>
      <c r="J1291" s="188" t="s">
        <v>483</v>
      </c>
      <c r="K1291" s="188"/>
      <c r="L1291" s="188"/>
      <c r="M1291" s="189">
        <v>350</v>
      </c>
      <c r="N1291" s="190">
        <v>1117.0450000000001</v>
      </c>
      <c r="O1291" s="191">
        <v>1123.5714</v>
      </c>
      <c r="P1291" s="192">
        <f t="shared" si="789"/>
        <v>20</v>
      </c>
      <c r="Q1291" s="192">
        <f t="shared" si="790"/>
        <v>20</v>
      </c>
      <c r="R1291" s="193">
        <f t="shared" si="685"/>
        <v>784215.74</v>
      </c>
      <c r="S1291" s="193">
        <f t="shared" si="686"/>
        <v>2284.2399999999884</v>
      </c>
      <c r="T1291" s="193">
        <v>184.11</v>
      </c>
      <c r="U1291" s="193">
        <f t="shared" si="707"/>
        <v>37.020000000000003</v>
      </c>
      <c r="V1291" s="193">
        <f>ROUND((O1291*M1291)*F$1818,2)-3</f>
        <v>95.31</v>
      </c>
      <c r="W1291" s="193">
        <f t="shared" si="839"/>
        <v>11.73</v>
      </c>
      <c r="X1291" s="193">
        <f>ROUND(R1291*G$1820,2)</f>
        <v>21.57</v>
      </c>
      <c r="Y1291" s="193">
        <f t="shared" si="758"/>
        <v>0.78</v>
      </c>
      <c r="Z1291" s="193">
        <f t="shared" si="692"/>
        <v>350.52000000000004</v>
      </c>
      <c r="AA1291" s="194">
        <f t="shared" si="693"/>
        <v>1933.72</v>
      </c>
      <c r="AB1291" s="195">
        <v>1934.36</v>
      </c>
      <c r="AC1291" s="196">
        <f t="shared" si="694"/>
        <v>0.63999999999987267</v>
      </c>
      <c r="AD1291" s="197">
        <f t="shared" si="695"/>
        <v>5.8425578199624607E-3</v>
      </c>
      <c r="AE1291" s="198">
        <f t="shared" si="696"/>
        <v>4.4700000000000002E-4</v>
      </c>
      <c r="AF1291" s="193"/>
      <c r="AG1291" s="199" t="s">
        <v>416</v>
      </c>
      <c r="AH1291" s="124"/>
    </row>
    <row r="1292" spans="1:34" ht="12" hidden="1" customHeight="1">
      <c r="A1292" s="187">
        <v>44690</v>
      </c>
      <c r="B1292" s="188" t="s">
        <v>589</v>
      </c>
      <c r="C1292" s="188" t="s">
        <v>460</v>
      </c>
      <c r="D1292" s="188"/>
      <c r="E1292" s="188" t="str">
        <f t="shared" si="682"/>
        <v>DCMSHRIRAM</v>
      </c>
      <c r="F1292" s="188"/>
      <c r="G1292" s="188"/>
      <c r="H1292" s="188"/>
      <c r="I1292" s="188" t="s">
        <v>668</v>
      </c>
      <c r="J1292" s="188" t="s">
        <v>483</v>
      </c>
      <c r="K1292" s="188"/>
      <c r="L1292" s="188"/>
      <c r="M1292" s="189">
        <v>390</v>
      </c>
      <c r="N1292" s="190">
        <v>1022.2308</v>
      </c>
      <c r="O1292" s="191">
        <v>1027.6667</v>
      </c>
      <c r="P1292" s="192">
        <f t="shared" si="789"/>
        <v>20</v>
      </c>
      <c r="Q1292" s="192">
        <f t="shared" si="790"/>
        <v>20</v>
      </c>
      <c r="R1292" s="193">
        <f t="shared" si="685"/>
        <v>799460.03</v>
      </c>
      <c r="S1292" s="193">
        <f t="shared" si="686"/>
        <v>2120.0009999999793</v>
      </c>
      <c r="T1292" s="193">
        <v>196.75</v>
      </c>
      <c r="U1292" s="193">
        <f t="shared" si="707"/>
        <v>39.549999999999997</v>
      </c>
      <c r="V1292" s="193">
        <f t="shared" ref="V1292:V1294" si="840">ROUND((O1292*M1292)*F$1818,2)</f>
        <v>100.2</v>
      </c>
      <c r="W1292" s="193">
        <f t="shared" si="839"/>
        <v>11.96</v>
      </c>
      <c r="X1292" s="193">
        <f>ROUND(R1292*G$1820,2)+1</f>
        <v>22.99</v>
      </c>
      <c r="Y1292" s="193">
        <f t="shared" si="758"/>
        <v>0.8</v>
      </c>
      <c r="Z1292" s="193">
        <f t="shared" si="692"/>
        <v>372.25</v>
      </c>
      <c r="AA1292" s="194">
        <f t="shared" si="693"/>
        <v>1747.75</v>
      </c>
      <c r="AB1292" s="195">
        <v>1748.45</v>
      </c>
      <c r="AC1292" s="196">
        <f t="shared" si="694"/>
        <v>0.70000000000004547</v>
      </c>
      <c r="AD1292" s="197">
        <f t="shared" si="695"/>
        <v>5.3176836385676763E-3</v>
      </c>
      <c r="AE1292" s="198">
        <f t="shared" si="696"/>
        <v>4.66E-4</v>
      </c>
      <c r="AF1292" s="193"/>
      <c r="AG1292" s="199" t="s">
        <v>416</v>
      </c>
      <c r="AH1292" s="124"/>
    </row>
    <row r="1293" spans="1:34" ht="12" hidden="1" customHeight="1">
      <c r="A1293" s="187">
        <v>44691</v>
      </c>
      <c r="B1293" s="188" t="s">
        <v>589</v>
      </c>
      <c r="C1293" s="188" t="s">
        <v>460</v>
      </c>
      <c r="D1293" s="188"/>
      <c r="E1293" s="188" t="str">
        <f t="shared" si="682"/>
        <v>DCMSHRIRAM</v>
      </c>
      <c r="F1293" s="188"/>
      <c r="G1293" s="188"/>
      <c r="H1293" s="188"/>
      <c r="I1293" s="188" t="s">
        <v>668</v>
      </c>
      <c r="J1293" s="188" t="s">
        <v>483</v>
      </c>
      <c r="K1293" s="188"/>
      <c r="L1293" s="188"/>
      <c r="M1293" s="189">
        <v>510</v>
      </c>
      <c r="N1293" s="190">
        <v>1027.3088</v>
      </c>
      <c r="O1293" s="191">
        <v>1033.1609000000001</v>
      </c>
      <c r="P1293" s="192">
        <f t="shared" si="789"/>
        <v>20</v>
      </c>
      <c r="Q1293" s="192">
        <f t="shared" si="790"/>
        <v>20</v>
      </c>
      <c r="R1293" s="193">
        <f t="shared" si="685"/>
        <v>1050839.55</v>
      </c>
      <c r="S1293" s="193">
        <f t="shared" si="686"/>
        <v>2984.5710000000327</v>
      </c>
      <c r="T1293" s="193">
        <v>253.09</v>
      </c>
      <c r="U1293" s="193">
        <f t="shared" si="707"/>
        <v>50.76</v>
      </c>
      <c r="V1293" s="193">
        <f t="shared" si="840"/>
        <v>131.72999999999999</v>
      </c>
      <c r="W1293" s="193">
        <f t="shared" si="839"/>
        <v>15.72</v>
      </c>
      <c r="X1293" s="193">
        <f t="shared" ref="X1293:X1317" si="841">ROUND(R1293*G$1820,2)</f>
        <v>28.9</v>
      </c>
      <c r="Y1293" s="193">
        <f t="shared" si="758"/>
        <v>1.05</v>
      </c>
      <c r="Z1293" s="193">
        <f t="shared" si="692"/>
        <v>481.25000000000006</v>
      </c>
      <c r="AA1293" s="194">
        <f t="shared" si="693"/>
        <v>2503.3200000000002</v>
      </c>
      <c r="AB1293" s="195">
        <v>2503.46</v>
      </c>
      <c r="AC1293" s="196">
        <f t="shared" si="694"/>
        <v>0.13999999999987267</v>
      </c>
      <c r="AD1293" s="197">
        <f t="shared" si="695"/>
        <v>5.6965344792141021E-3</v>
      </c>
      <c r="AE1293" s="198">
        <f t="shared" si="696"/>
        <v>4.5800000000000002E-4</v>
      </c>
      <c r="AF1293" s="193"/>
      <c r="AG1293" s="199" t="s">
        <v>416</v>
      </c>
      <c r="AH1293" s="124"/>
    </row>
    <row r="1294" spans="1:34" ht="12" hidden="1" customHeight="1">
      <c r="A1294" s="187">
        <v>44692</v>
      </c>
      <c r="B1294" s="188" t="s">
        <v>589</v>
      </c>
      <c r="C1294" s="188" t="s">
        <v>460</v>
      </c>
      <c r="D1294" s="188"/>
      <c r="E1294" s="188" t="str">
        <f t="shared" si="682"/>
        <v>DCMSHRIRAM</v>
      </c>
      <c r="F1294" s="188"/>
      <c r="G1294" s="188"/>
      <c r="H1294" s="188"/>
      <c r="I1294" s="188" t="s">
        <v>668</v>
      </c>
      <c r="J1294" s="188" t="s">
        <v>483</v>
      </c>
      <c r="K1294" s="188"/>
      <c r="L1294" s="188"/>
      <c r="M1294" s="189">
        <v>470</v>
      </c>
      <c r="N1294" s="190">
        <v>1010.9681</v>
      </c>
      <c r="O1294" s="191">
        <v>1018.2702</v>
      </c>
      <c r="P1294" s="192">
        <f t="shared" si="789"/>
        <v>20</v>
      </c>
      <c r="Q1294" s="192">
        <f t="shared" si="790"/>
        <v>20</v>
      </c>
      <c r="R1294" s="193">
        <f t="shared" si="685"/>
        <v>953742</v>
      </c>
      <c r="S1294" s="193">
        <f t="shared" si="686"/>
        <v>3431.9869999999983</v>
      </c>
      <c r="T1294" s="193">
        <v>244.35</v>
      </c>
      <c r="U1294" s="193">
        <f t="shared" si="707"/>
        <v>48.7</v>
      </c>
      <c r="V1294" s="193">
        <f t="shared" si="840"/>
        <v>119.65</v>
      </c>
      <c r="W1294" s="193">
        <f t="shared" si="839"/>
        <v>14.25</v>
      </c>
      <c r="X1294" s="193">
        <f t="shared" si="841"/>
        <v>26.23</v>
      </c>
      <c r="Y1294" s="193">
        <f t="shared" si="758"/>
        <v>0.95</v>
      </c>
      <c r="Z1294" s="193">
        <f t="shared" si="692"/>
        <v>454.13000000000005</v>
      </c>
      <c r="AA1294" s="194">
        <f t="shared" si="693"/>
        <v>2977.86</v>
      </c>
      <c r="AB1294" s="195">
        <v>2978.78</v>
      </c>
      <c r="AC1294" s="196">
        <f t="shared" si="694"/>
        <v>0.92000000000007276</v>
      </c>
      <c r="AD1294" s="197">
        <f t="shared" si="695"/>
        <v>7.222878743651749E-3</v>
      </c>
      <c r="AE1294" s="198">
        <f t="shared" si="696"/>
        <v>4.7600000000000002E-4</v>
      </c>
      <c r="AF1294" s="193"/>
      <c r="AG1294" s="199" t="s">
        <v>416</v>
      </c>
      <c r="AH1294" s="124"/>
    </row>
    <row r="1295" spans="1:34" ht="12" hidden="1" customHeight="1">
      <c r="A1295" s="187">
        <v>44693</v>
      </c>
      <c r="B1295" s="188" t="s">
        <v>589</v>
      </c>
      <c r="C1295" s="188" t="s">
        <v>460</v>
      </c>
      <c r="D1295" s="188"/>
      <c r="E1295" s="188" t="str">
        <f t="shared" si="682"/>
        <v>DCMSHRIRAM</v>
      </c>
      <c r="F1295" s="188"/>
      <c r="G1295" s="188"/>
      <c r="H1295" s="188"/>
      <c r="I1295" s="188" t="s">
        <v>668</v>
      </c>
      <c r="J1295" s="188" t="s">
        <v>483</v>
      </c>
      <c r="K1295" s="188"/>
      <c r="L1295" s="188"/>
      <c r="M1295" s="189">
        <v>550</v>
      </c>
      <c r="N1295" s="190">
        <v>1036.17362</v>
      </c>
      <c r="O1295" s="191">
        <v>1041.4431</v>
      </c>
      <c r="P1295" s="192">
        <f t="shared" si="789"/>
        <v>20</v>
      </c>
      <c r="Q1295" s="192">
        <f t="shared" si="790"/>
        <v>20</v>
      </c>
      <c r="R1295" s="193">
        <f t="shared" si="685"/>
        <v>1142689.2</v>
      </c>
      <c r="S1295" s="193">
        <f t="shared" si="686"/>
        <v>2898.2139999999617</v>
      </c>
      <c r="T1295" s="193">
        <v>342.83</v>
      </c>
      <c r="U1295" s="193">
        <f t="shared" si="707"/>
        <v>67.37</v>
      </c>
      <c r="V1295" s="193">
        <f>ROUND((O1295*M1295)*F$1818,2)+3.25</f>
        <v>146.44999999999999</v>
      </c>
      <c r="W1295" s="193">
        <f t="shared" si="839"/>
        <v>17.100000000000001</v>
      </c>
      <c r="X1295" s="193">
        <f t="shared" si="841"/>
        <v>31.42</v>
      </c>
      <c r="Y1295" s="193">
        <f t="shared" si="758"/>
        <v>1.1399999999999999</v>
      </c>
      <c r="Z1295" s="193">
        <f t="shared" si="692"/>
        <v>606.30999999999995</v>
      </c>
      <c r="AA1295" s="194">
        <f t="shared" si="693"/>
        <v>2291.9</v>
      </c>
      <c r="AB1295" s="195">
        <v>2291.62</v>
      </c>
      <c r="AC1295" s="196">
        <f t="shared" si="694"/>
        <v>-0.28000000000020009</v>
      </c>
      <c r="AD1295" s="197">
        <f t="shared" si="695"/>
        <v>5.0855183902480845E-3</v>
      </c>
      <c r="AE1295" s="198">
        <f t="shared" si="696"/>
        <v>5.31E-4</v>
      </c>
      <c r="AF1295" s="193"/>
      <c r="AG1295" s="199" t="s">
        <v>416</v>
      </c>
      <c r="AH1295" s="124"/>
    </row>
    <row r="1296" spans="1:34" ht="12" hidden="1" customHeight="1">
      <c r="A1296" s="187">
        <v>44694</v>
      </c>
      <c r="B1296" s="188" t="s">
        <v>589</v>
      </c>
      <c r="C1296" s="188" t="s">
        <v>460</v>
      </c>
      <c r="D1296" s="188"/>
      <c r="E1296" s="188" t="str">
        <f t="shared" si="682"/>
        <v>DCMSHRIRAM</v>
      </c>
      <c r="F1296" s="188"/>
      <c r="G1296" s="188"/>
      <c r="H1296" s="188"/>
      <c r="I1296" s="188" t="s">
        <v>668</v>
      </c>
      <c r="J1296" s="188" t="s">
        <v>483</v>
      </c>
      <c r="K1296" s="188"/>
      <c r="L1296" s="188"/>
      <c r="M1296" s="189">
        <v>20</v>
      </c>
      <c r="N1296" s="190">
        <v>995</v>
      </c>
      <c r="O1296" s="191">
        <v>998</v>
      </c>
      <c r="P1296" s="192">
        <f t="shared" si="789"/>
        <v>5.97</v>
      </c>
      <c r="Q1296" s="192">
        <f t="shared" si="790"/>
        <v>5.99</v>
      </c>
      <c r="R1296" s="193">
        <f t="shared" si="685"/>
        <v>39860</v>
      </c>
      <c r="S1296" s="193">
        <f t="shared" si="686"/>
        <v>60</v>
      </c>
      <c r="T1296" s="193">
        <v>21.43</v>
      </c>
      <c r="U1296" s="193">
        <f t="shared" si="707"/>
        <v>4.0599999999999996</v>
      </c>
      <c r="V1296" s="193">
        <f t="shared" ref="V1296:V1301" si="842">ROUND((O1296*M1296)*F$1818,2)</f>
        <v>4.99</v>
      </c>
      <c r="W1296" s="193">
        <f t="shared" si="839"/>
        <v>0.6</v>
      </c>
      <c r="X1296" s="193">
        <f t="shared" si="841"/>
        <v>1.1000000000000001</v>
      </c>
      <c r="Y1296" s="193">
        <f t="shared" si="758"/>
        <v>0.04</v>
      </c>
      <c r="Z1296" s="193">
        <f t="shared" si="692"/>
        <v>32.22</v>
      </c>
      <c r="AA1296" s="194">
        <f t="shared" si="693"/>
        <v>27.78</v>
      </c>
      <c r="AB1296" s="195">
        <v>28.62</v>
      </c>
      <c r="AC1296" s="196">
        <f t="shared" si="694"/>
        <v>0.83999999999999986</v>
      </c>
      <c r="AD1296" s="197">
        <f t="shared" si="695"/>
        <v>3.015075376884422E-3</v>
      </c>
      <c r="AE1296" s="198">
        <f t="shared" si="696"/>
        <v>8.0800000000000002E-4</v>
      </c>
      <c r="AF1296" s="193"/>
      <c r="AG1296" s="199" t="s">
        <v>416</v>
      </c>
      <c r="AH1296" s="124"/>
    </row>
    <row r="1297" spans="1:34" ht="12" hidden="1" customHeight="1">
      <c r="A1297" s="187">
        <v>44698</v>
      </c>
      <c r="B1297" s="188" t="s">
        <v>589</v>
      </c>
      <c r="C1297" s="188" t="s">
        <v>460</v>
      </c>
      <c r="D1297" s="188"/>
      <c r="E1297" s="188" t="str">
        <f t="shared" si="682"/>
        <v>DCMSHRIRAM</v>
      </c>
      <c r="F1297" s="188"/>
      <c r="G1297" s="188"/>
      <c r="H1297" s="188"/>
      <c r="I1297" s="188" t="s">
        <v>668</v>
      </c>
      <c r="J1297" s="188" t="s">
        <v>483</v>
      </c>
      <c r="K1297" s="188"/>
      <c r="L1297" s="188"/>
      <c r="M1297" s="189">
        <v>50</v>
      </c>
      <c r="N1297" s="190">
        <v>916.76</v>
      </c>
      <c r="O1297" s="191">
        <v>923.6</v>
      </c>
      <c r="P1297" s="192">
        <f t="shared" si="789"/>
        <v>13.75</v>
      </c>
      <c r="Q1297" s="192">
        <f t="shared" si="790"/>
        <v>13.85</v>
      </c>
      <c r="R1297" s="193">
        <f t="shared" si="685"/>
        <v>92018</v>
      </c>
      <c r="S1297" s="193">
        <f t="shared" si="686"/>
        <v>342.00000000000159</v>
      </c>
      <c r="T1297" s="193">
        <v>27.52</v>
      </c>
      <c r="U1297" s="193">
        <f t="shared" si="707"/>
        <v>5.41</v>
      </c>
      <c r="V1297" s="193">
        <f t="shared" si="842"/>
        <v>11.55</v>
      </c>
      <c r="W1297" s="193">
        <f t="shared" si="839"/>
        <v>1.38</v>
      </c>
      <c r="X1297" s="193">
        <f t="shared" si="841"/>
        <v>2.5299999999999998</v>
      </c>
      <c r="Y1297" s="193">
        <f t="shared" si="758"/>
        <v>0.09</v>
      </c>
      <c r="Z1297" s="193">
        <f t="shared" si="692"/>
        <v>48.480000000000011</v>
      </c>
      <c r="AA1297" s="194">
        <f t="shared" si="693"/>
        <v>293.52</v>
      </c>
      <c r="AB1297" s="195">
        <v>293.83</v>
      </c>
      <c r="AC1297" s="196">
        <f t="shared" si="694"/>
        <v>0.31000000000000227</v>
      </c>
      <c r="AD1297" s="197">
        <f t="shared" si="695"/>
        <v>7.4610585104062481E-3</v>
      </c>
      <c r="AE1297" s="198">
        <f t="shared" si="696"/>
        <v>5.2700000000000002E-4</v>
      </c>
      <c r="AF1297" s="193"/>
      <c r="AG1297" s="199" t="s">
        <v>416</v>
      </c>
      <c r="AH1297" s="124"/>
    </row>
    <row r="1298" spans="1:34" ht="12" hidden="1" customHeight="1">
      <c r="A1298" s="187">
        <v>44698</v>
      </c>
      <c r="B1298" s="188" t="s">
        <v>603</v>
      </c>
      <c r="C1298" s="188" t="s">
        <v>485</v>
      </c>
      <c r="D1298" s="188"/>
      <c r="E1298" s="188" t="str">
        <f t="shared" si="682"/>
        <v>MCX</v>
      </c>
      <c r="F1298" s="188"/>
      <c r="G1298" s="188"/>
      <c r="H1298" s="188"/>
      <c r="I1298" s="188" t="s">
        <v>668</v>
      </c>
      <c r="J1298" s="188" t="s">
        <v>483</v>
      </c>
      <c r="K1298" s="188"/>
      <c r="L1298" s="188"/>
      <c r="M1298" s="189">
        <v>20</v>
      </c>
      <c r="N1298" s="190">
        <v>1248.8625</v>
      </c>
      <c r="O1298" s="191">
        <v>1267</v>
      </c>
      <c r="P1298" s="192">
        <f t="shared" si="789"/>
        <v>7.49</v>
      </c>
      <c r="Q1298" s="192">
        <f t="shared" si="790"/>
        <v>7.6</v>
      </c>
      <c r="R1298" s="193">
        <f t="shared" si="685"/>
        <v>50317.25</v>
      </c>
      <c r="S1298" s="193">
        <f t="shared" si="686"/>
        <v>362.75000000000091</v>
      </c>
      <c r="T1298" s="193">
        <f>ROUND(P1298+Q1298,2)</f>
        <v>15.09</v>
      </c>
      <c r="U1298" s="193">
        <f t="shared" si="707"/>
        <v>2.96</v>
      </c>
      <c r="V1298" s="193">
        <f t="shared" si="842"/>
        <v>6.34</v>
      </c>
      <c r="W1298" s="193">
        <f t="shared" si="839"/>
        <v>0.75</v>
      </c>
      <c r="X1298" s="193">
        <f t="shared" si="841"/>
        <v>1.38</v>
      </c>
      <c r="Y1298" s="193">
        <f t="shared" si="758"/>
        <v>0.05</v>
      </c>
      <c r="Z1298" s="193">
        <f t="shared" si="692"/>
        <v>26.57</v>
      </c>
      <c r="AA1298" s="194">
        <f t="shared" si="693"/>
        <v>336.18</v>
      </c>
      <c r="AB1298" s="195">
        <v>336.25</v>
      </c>
      <c r="AC1298" s="196">
        <f t="shared" si="694"/>
        <v>6.9999999999993179E-2</v>
      </c>
      <c r="AD1298" s="197">
        <f t="shared" si="695"/>
        <v>1.4523216126675311E-2</v>
      </c>
      <c r="AE1298" s="198">
        <f t="shared" si="696"/>
        <v>5.2800000000000004E-4</v>
      </c>
      <c r="AF1298" s="193"/>
      <c r="AG1298" s="199" t="s">
        <v>416</v>
      </c>
      <c r="AH1298" s="124"/>
    </row>
    <row r="1299" spans="1:34" ht="12" hidden="1" customHeight="1">
      <c r="A1299" s="187">
        <v>44699</v>
      </c>
      <c r="B1299" s="188" t="s">
        <v>589</v>
      </c>
      <c r="C1299" s="188" t="s">
        <v>460</v>
      </c>
      <c r="D1299" s="188"/>
      <c r="E1299" s="188" t="str">
        <f t="shared" si="682"/>
        <v>DCMSHRIRAM</v>
      </c>
      <c r="F1299" s="188"/>
      <c r="G1299" s="188"/>
      <c r="H1299" s="188"/>
      <c r="I1299" s="188" t="s">
        <v>668</v>
      </c>
      <c r="J1299" s="188" t="s">
        <v>483</v>
      </c>
      <c r="K1299" s="188"/>
      <c r="L1299" s="188"/>
      <c r="M1299" s="189">
        <v>125</v>
      </c>
      <c r="N1299" s="190">
        <v>947.6</v>
      </c>
      <c r="O1299" s="191">
        <v>951.6</v>
      </c>
      <c r="P1299" s="192">
        <f t="shared" si="789"/>
        <v>20</v>
      </c>
      <c r="Q1299" s="192">
        <f t="shared" si="790"/>
        <v>20</v>
      </c>
      <c r="R1299" s="193">
        <f t="shared" si="685"/>
        <v>237400</v>
      </c>
      <c r="S1299" s="193">
        <f t="shared" si="686"/>
        <v>500</v>
      </c>
      <c r="T1299" s="193">
        <v>71.23</v>
      </c>
      <c r="U1299" s="193">
        <f t="shared" si="707"/>
        <v>14</v>
      </c>
      <c r="V1299" s="193">
        <f t="shared" si="842"/>
        <v>29.74</v>
      </c>
      <c r="W1299" s="193">
        <f t="shared" si="839"/>
        <v>3.55</v>
      </c>
      <c r="X1299" s="193">
        <f t="shared" si="841"/>
        <v>6.53</v>
      </c>
      <c r="Y1299" s="193">
        <f t="shared" si="758"/>
        <v>0.24</v>
      </c>
      <c r="Z1299" s="193">
        <f t="shared" si="692"/>
        <v>125.28999999999999</v>
      </c>
      <c r="AA1299" s="194">
        <f t="shared" si="693"/>
        <v>374.71</v>
      </c>
      <c r="AB1299" s="195">
        <v>374.02</v>
      </c>
      <c r="AC1299" s="196">
        <f t="shared" si="694"/>
        <v>-0.68999999999999773</v>
      </c>
      <c r="AD1299" s="197">
        <f t="shared" si="695"/>
        <v>4.221190375685943E-3</v>
      </c>
      <c r="AE1299" s="198">
        <f t="shared" si="696"/>
        <v>5.2800000000000004E-4</v>
      </c>
      <c r="AF1299" s="193"/>
      <c r="AG1299" s="199" t="s">
        <v>416</v>
      </c>
      <c r="AH1299" s="124"/>
    </row>
    <row r="1300" spans="1:34" ht="12" hidden="1" customHeight="1">
      <c r="A1300" s="187">
        <v>44699</v>
      </c>
      <c r="B1300" s="188" t="s">
        <v>615</v>
      </c>
      <c r="C1300" s="188" t="s">
        <v>485</v>
      </c>
      <c r="D1300" s="188"/>
      <c r="E1300" s="188" t="str">
        <f t="shared" si="682"/>
        <v>RUCHI</v>
      </c>
      <c r="F1300" s="188"/>
      <c r="G1300" s="188"/>
      <c r="H1300" s="188"/>
      <c r="I1300" s="188" t="s">
        <v>668</v>
      </c>
      <c r="J1300" s="188" t="s">
        <v>483</v>
      </c>
      <c r="K1300" s="188"/>
      <c r="L1300" s="188"/>
      <c r="M1300" s="189">
        <v>50</v>
      </c>
      <c r="N1300" s="190">
        <v>1154.152</v>
      </c>
      <c r="O1300" s="191">
        <v>1157.202</v>
      </c>
      <c r="P1300" s="192">
        <f t="shared" si="789"/>
        <v>17.309999999999999</v>
      </c>
      <c r="Q1300" s="192">
        <f t="shared" si="790"/>
        <v>17.36</v>
      </c>
      <c r="R1300" s="193">
        <f t="shared" si="685"/>
        <v>115567.7</v>
      </c>
      <c r="S1300" s="193">
        <f t="shared" si="686"/>
        <v>152.49999999999773</v>
      </c>
      <c r="T1300" s="193">
        <v>37.99</v>
      </c>
      <c r="U1300" s="193">
        <f t="shared" si="707"/>
        <v>7.41</v>
      </c>
      <c r="V1300" s="193">
        <f t="shared" si="842"/>
        <v>14.47</v>
      </c>
      <c r="W1300" s="193">
        <f t="shared" si="839"/>
        <v>1.73</v>
      </c>
      <c r="X1300" s="193">
        <f t="shared" si="841"/>
        <v>3.18</v>
      </c>
      <c r="Y1300" s="193">
        <f t="shared" si="758"/>
        <v>0.12</v>
      </c>
      <c r="Z1300" s="193">
        <f t="shared" si="692"/>
        <v>64.900000000000006</v>
      </c>
      <c r="AA1300" s="194">
        <f t="shared" si="693"/>
        <v>87.6</v>
      </c>
      <c r="AB1300" s="195">
        <v>86.6</v>
      </c>
      <c r="AC1300" s="196">
        <f t="shared" si="694"/>
        <v>-1</v>
      </c>
      <c r="AD1300" s="197">
        <f t="shared" si="695"/>
        <v>2.6426328594500157E-3</v>
      </c>
      <c r="AE1300" s="198">
        <f t="shared" si="696"/>
        <v>5.62E-4</v>
      </c>
      <c r="AF1300" s="193"/>
      <c r="AG1300" s="199" t="s">
        <v>416</v>
      </c>
      <c r="AH1300" s="124"/>
    </row>
    <row r="1301" spans="1:34" ht="12" hidden="1" customHeight="1">
      <c r="A1301" s="187">
        <v>44700</v>
      </c>
      <c r="B1301" s="188" t="s">
        <v>589</v>
      </c>
      <c r="C1301" s="188" t="s">
        <v>460</v>
      </c>
      <c r="D1301" s="188"/>
      <c r="E1301" s="188" t="str">
        <f t="shared" si="682"/>
        <v>DCMSHRIRAM</v>
      </c>
      <c r="F1301" s="188"/>
      <c r="G1301" s="188"/>
      <c r="H1301" s="188"/>
      <c r="I1301" s="188" t="s">
        <v>668</v>
      </c>
      <c r="J1301" s="188" t="s">
        <v>483</v>
      </c>
      <c r="K1301" s="188"/>
      <c r="L1301" s="188"/>
      <c r="M1301" s="189">
        <v>120</v>
      </c>
      <c r="N1301" s="190">
        <v>955.66669999999999</v>
      </c>
      <c r="O1301" s="191">
        <v>960.83339999999998</v>
      </c>
      <c r="P1301" s="192">
        <f t="shared" si="789"/>
        <v>20</v>
      </c>
      <c r="Q1301" s="192">
        <f t="shared" si="790"/>
        <v>20</v>
      </c>
      <c r="R1301" s="193">
        <f t="shared" si="685"/>
        <v>229980.01</v>
      </c>
      <c r="S1301" s="193">
        <f t="shared" si="686"/>
        <v>620.003999999999</v>
      </c>
      <c r="T1301" s="193">
        <v>80.27</v>
      </c>
      <c r="U1301" s="193">
        <f t="shared" si="707"/>
        <v>15.59</v>
      </c>
      <c r="V1301" s="193">
        <f t="shared" si="842"/>
        <v>28.83</v>
      </c>
      <c r="W1301" s="193">
        <f t="shared" si="839"/>
        <v>3.44</v>
      </c>
      <c r="X1301" s="193">
        <f t="shared" si="841"/>
        <v>6.32</v>
      </c>
      <c r="Y1301" s="193">
        <f t="shared" si="758"/>
        <v>0.23</v>
      </c>
      <c r="Z1301" s="193">
        <f t="shared" si="692"/>
        <v>134.67999999999998</v>
      </c>
      <c r="AA1301" s="194">
        <f t="shared" si="693"/>
        <v>485.32</v>
      </c>
      <c r="AB1301" s="195">
        <v>485.33</v>
      </c>
      <c r="AC1301" s="196">
        <f t="shared" si="694"/>
        <v>9.9999999999909051E-3</v>
      </c>
      <c r="AD1301" s="197">
        <f t="shared" si="695"/>
        <v>5.4063827901505738E-3</v>
      </c>
      <c r="AE1301" s="198">
        <f t="shared" si="696"/>
        <v>5.8600000000000004E-4</v>
      </c>
      <c r="AF1301" s="193"/>
      <c r="AG1301" s="199" t="s">
        <v>416</v>
      </c>
      <c r="AH1301" s="124"/>
    </row>
    <row r="1302" spans="1:34" ht="12" hidden="1" customHeight="1">
      <c r="A1302" s="187">
        <v>44701</v>
      </c>
      <c r="B1302" s="188" t="s">
        <v>589</v>
      </c>
      <c r="C1302" s="188" t="s">
        <v>460</v>
      </c>
      <c r="D1302" s="188"/>
      <c r="E1302" s="188" t="str">
        <f t="shared" si="682"/>
        <v>DCMSHRIRAM</v>
      </c>
      <c r="F1302" s="188"/>
      <c r="G1302" s="188"/>
      <c r="H1302" s="188"/>
      <c r="I1302" s="188" t="s">
        <v>668</v>
      </c>
      <c r="J1302" s="188" t="s">
        <v>483</v>
      </c>
      <c r="K1302" s="188"/>
      <c r="L1302" s="188"/>
      <c r="M1302" s="189">
        <v>225</v>
      </c>
      <c r="N1302" s="190">
        <v>984.96669999999995</v>
      </c>
      <c r="O1302" s="191">
        <v>989.77779999999996</v>
      </c>
      <c r="P1302" s="192">
        <f t="shared" si="789"/>
        <v>20</v>
      </c>
      <c r="Q1302" s="192">
        <f t="shared" si="790"/>
        <v>20</v>
      </c>
      <c r="R1302" s="193">
        <f t="shared" si="685"/>
        <v>444317.51</v>
      </c>
      <c r="S1302" s="193">
        <f t="shared" si="686"/>
        <v>1082.4975000000022</v>
      </c>
      <c r="T1302" s="193">
        <v>124.27</v>
      </c>
      <c r="U1302" s="193">
        <f t="shared" si="707"/>
        <v>24.57</v>
      </c>
      <c r="V1302" s="193">
        <f>ROUND((O1302*M1302)*F$1818,2)+1</f>
        <v>56.68</v>
      </c>
      <c r="W1302" s="193">
        <f t="shared" si="839"/>
        <v>6.65</v>
      </c>
      <c r="X1302" s="193">
        <f t="shared" si="841"/>
        <v>12.22</v>
      </c>
      <c r="Y1302" s="193">
        <f t="shared" si="758"/>
        <v>0.44</v>
      </c>
      <c r="Z1302" s="193">
        <f t="shared" si="692"/>
        <v>224.83</v>
      </c>
      <c r="AA1302" s="194">
        <f t="shared" si="693"/>
        <v>857.67</v>
      </c>
      <c r="AB1302" s="195">
        <v>857.32</v>
      </c>
      <c r="AC1302" s="196">
        <f t="shared" si="694"/>
        <v>-0.34999999999990905</v>
      </c>
      <c r="AD1302" s="197">
        <f t="shared" si="695"/>
        <v>4.8845306140806698E-3</v>
      </c>
      <c r="AE1302" s="198">
        <f t="shared" si="696"/>
        <v>5.0600000000000005E-4</v>
      </c>
      <c r="AF1302" s="193"/>
      <c r="AG1302" s="199" t="s">
        <v>416</v>
      </c>
      <c r="AH1302" s="124"/>
    </row>
    <row r="1303" spans="1:34" ht="12" hidden="1" customHeight="1">
      <c r="A1303" s="187">
        <v>44704</v>
      </c>
      <c r="B1303" s="188" t="s">
        <v>727</v>
      </c>
      <c r="C1303" s="188" t="s">
        <v>485</v>
      </c>
      <c r="D1303" s="188"/>
      <c r="E1303" s="188" t="str">
        <f t="shared" si="682"/>
        <v>PAYTM</v>
      </c>
      <c r="F1303" s="188"/>
      <c r="G1303" s="188"/>
      <c r="H1303" s="188"/>
      <c r="I1303" s="188" t="s">
        <v>668</v>
      </c>
      <c r="J1303" s="188" t="s">
        <v>483</v>
      </c>
      <c r="K1303" s="188"/>
      <c r="L1303" s="188"/>
      <c r="M1303" s="189">
        <v>6</v>
      </c>
      <c r="N1303" s="190">
        <v>620</v>
      </c>
      <c r="O1303" s="191">
        <v>628</v>
      </c>
      <c r="P1303" s="192">
        <f t="shared" si="789"/>
        <v>1.1200000000000001</v>
      </c>
      <c r="Q1303" s="192">
        <f t="shared" si="790"/>
        <v>1.1299999999999999</v>
      </c>
      <c r="R1303" s="193">
        <f t="shared" si="685"/>
        <v>7488</v>
      </c>
      <c r="S1303" s="193">
        <f t="shared" si="686"/>
        <v>48</v>
      </c>
      <c r="T1303" s="193">
        <f>ROUND(P1303+Q1303,2)</f>
        <v>2.25</v>
      </c>
      <c r="U1303" s="193">
        <f t="shared" si="707"/>
        <v>0.44</v>
      </c>
      <c r="V1303" s="193">
        <f>ROUND((O1303*M1303)*F$1818,2)</f>
        <v>0.94</v>
      </c>
      <c r="W1303" s="193">
        <f t="shared" si="839"/>
        <v>0.11</v>
      </c>
      <c r="X1303" s="193">
        <f t="shared" si="841"/>
        <v>0.21</v>
      </c>
      <c r="Y1303" s="193">
        <f t="shared" si="758"/>
        <v>0.01</v>
      </c>
      <c r="Z1303" s="193">
        <f t="shared" si="692"/>
        <v>3.9599999999999995</v>
      </c>
      <c r="AA1303" s="194">
        <f t="shared" si="693"/>
        <v>44.04</v>
      </c>
      <c r="AB1303" s="195">
        <v>44.09</v>
      </c>
      <c r="AC1303" s="196">
        <f t="shared" si="694"/>
        <v>5.0000000000004263E-2</v>
      </c>
      <c r="AD1303" s="197">
        <f t="shared" si="695"/>
        <v>1.2903225806451613E-2</v>
      </c>
      <c r="AE1303" s="198">
        <f t="shared" si="696"/>
        <v>5.2899999999999996E-4</v>
      </c>
      <c r="AF1303" s="193"/>
      <c r="AG1303" s="199" t="s">
        <v>416</v>
      </c>
      <c r="AH1303" s="124"/>
    </row>
    <row r="1304" spans="1:34" ht="12" hidden="1" customHeight="1">
      <c r="A1304" s="187">
        <v>44704</v>
      </c>
      <c r="B1304" s="188" t="s">
        <v>589</v>
      </c>
      <c r="C1304" s="188" t="s">
        <v>460</v>
      </c>
      <c r="D1304" s="188"/>
      <c r="E1304" s="188" t="str">
        <f t="shared" si="682"/>
        <v>DCMSHRIRAM</v>
      </c>
      <c r="F1304" s="188"/>
      <c r="G1304" s="188"/>
      <c r="H1304" s="188"/>
      <c r="I1304" s="188" t="s">
        <v>668</v>
      </c>
      <c r="J1304" s="188" t="s">
        <v>483</v>
      </c>
      <c r="K1304" s="188"/>
      <c r="L1304" s="188"/>
      <c r="M1304" s="189">
        <v>150</v>
      </c>
      <c r="N1304" s="190">
        <v>1001</v>
      </c>
      <c r="O1304" s="191">
        <v>1006</v>
      </c>
      <c r="P1304" s="192">
        <f t="shared" si="789"/>
        <v>20</v>
      </c>
      <c r="Q1304" s="192">
        <f t="shared" si="790"/>
        <v>20</v>
      </c>
      <c r="R1304" s="193">
        <f t="shared" si="685"/>
        <v>301050</v>
      </c>
      <c r="S1304" s="193">
        <f t="shared" si="686"/>
        <v>750</v>
      </c>
      <c r="T1304" s="193">
        <v>90.33</v>
      </c>
      <c r="U1304" s="193">
        <f t="shared" si="707"/>
        <v>17.75</v>
      </c>
      <c r="V1304" s="193">
        <f t="shared" ref="V1304:V1305" si="843">ROUND((O1304*M1304)*F$1818,2)+1</f>
        <v>38.729999999999997</v>
      </c>
      <c r="W1304" s="193">
        <f t="shared" si="839"/>
        <v>4.5</v>
      </c>
      <c r="X1304" s="193">
        <f t="shared" si="841"/>
        <v>8.2799999999999994</v>
      </c>
      <c r="Y1304" s="193">
        <f t="shared" si="758"/>
        <v>0.3</v>
      </c>
      <c r="Z1304" s="193">
        <f t="shared" si="692"/>
        <v>159.89000000000001</v>
      </c>
      <c r="AA1304" s="194">
        <f t="shared" si="693"/>
        <v>590.11</v>
      </c>
      <c r="AB1304" s="195">
        <v>589.71</v>
      </c>
      <c r="AC1304" s="196">
        <f t="shared" si="694"/>
        <v>-0.39999999999997726</v>
      </c>
      <c r="AD1304" s="197">
        <f t="shared" si="695"/>
        <v>4.995004995004995E-3</v>
      </c>
      <c r="AE1304" s="198">
        <f t="shared" si="696"/>
        <v>5.31E-4</v>
      </c>
      <c r="AF1304" s="193"/>
      <c r="AG1304" s="199" t="s">
        <v>416</v>
      </c>
      <c r="AH1304" s="124"/>
    </row>
    <row r="1305" spans="1:34" ht="12" hidden="1" customHeight="1">
      <c r="A1305" s="187">
        <v>44705</v>
      </c>
      <c r="B1305" s="188" t="s">
        <v>589</v>
      </c>
      <c r="C1305" s="188" t="s">
        <v>460</v>
      </c>
      <c r="D1305" s="188"/>
      <c r="E1305" s="188" t="str">
        <f t="shared" si="682"/>
        <v>DCMSHRIRAM</v>
      </c>
      <c r="F1305" s="188"/>
      <c r="G1305" s="188"/>
      <c r="H1305" s="188"/>
      <c r="I1305" s="188" t="s">
        <v>668</v>
      </c>
      <c r="J1305" s="188" t="s">
        <v>483</v>
      </c>
      <c r="K1305" s="188"/>
      <c r="L1305" s="188"/>
      <c r="M1305" s="189">
        <v>75</v>
      </c>
      <c r="N1305" s="190">
        <v>985</v>
      </c>
      <c r="O1305" s="191">
        <v>992</v>
      </c>
      <c r="P1305" s="192">
        <f t="shared" si="789"/>
        <v>20</v>
      </c>
      <c r="Q1305" s="192">
        <f t="shared" si="790"/>
        <v>20</v>
      </c>
      <c r="R1305" s="193">
        <f t="shared" si="685"/>
        <v>148275</v>
      </c>
      <c r="S1305" s="193">
        <f t="shared" si="686"/>
        <v>525</v>
      </c>
      <c r="T1305" s="193">
        <v>44.48</v>
      </c>
      <c r="U1305" s="193">
        <f t="shared" si="707"/>
        <v>8.74</v>
      </c>
      <c r="V1305" s="193">
        <f t="shared" si="843"/>
        <v>19.600000000000001</v>
      </c>
      <c r="W1305" s="193">
        <f t="shared" si="839"/>
        <v>2.2200000000000002</v>
      </c>
      <c r="X1305" s="193">
        <f t="shared" si="841"/>
        <v>4.08</v>
      </c>
      <c r="Y1305" s="193">
        <f t="shared" si="758"/>
        <v>0.15</v>
      </c>
      <c r="Z1305" s="193">
        <f t="shared" si="692"/>
        <v>79.27</v>
      </c>
      <c r="AA1305" s="194">
        <f t="shared" si="693"/>
        <v>445.73</v>
      </c>
      <c r="AB1305" s="195">
        <v>445.93</v>
      </c>
      <c r="AC1305" s="196">
        <f t="shared" si="694"/>
        <v>0.19999999999998863</v>
      </c>
      <c r="AD1305" s="197">
        <f t="shared" si="695"/>
        <v>7.1065989847715737E-3</v>
      </c>
      <c r="AE1305" s="198">
        <f t="shared" si="696"/>
        <v>5.3499999999999999E-4</v>
      </c>
      <c r="AF1305" s="193"/>
      <c r="AG1305" s="199" t="s">
        <v>416</v>
      </c>
      <c r="AH1305" s="124"/>
    </row>
    <row r="1306" spans="1:34" ht="12" hidden="1" customHeight="1">
      <c r="A1306" s="187">
        <v>44705</v>
      </c>
      <c r="B1306" s="188" t="s">
        <v>727</v>
      </c>
      <c r="C1306" s="188" t="s">
        <v>485</v>
      </c>
      <c r="D1306" s="188"/>
      <c r="E1306" s="188" t="str">
        <f t="shared" si="682"/>
        <v>PAYTM</v>
      </c>
      <c r="F1306" s="188"/>
      <c r="G1306" s="188"/>
      <c r="H1306" s="188"/>
      <c r="I1306" s="188" t="s">
        <v>668</v>
      </c>
      <c r="J1306" s="188" t="s">
        <v>483</v>
      </c>
      <c r="K1306" s="188"/>
      <c r="L1306" s="188"/>
      <c r="M1306" s="189">
        <v>6</v>
      </c>
      <c r="N1306" s="190">
        <v>631</v>
      </c>
      <c r="O1306" s="191">
        <v>644</v>
      </c>
      <c r="P1306" s="192">
        <f t="shared" si="789"/>
        <v>1.1399999999999999</v>
      </c>
      <c r="Q1306" s="192">
        <f t="shared" si="790"/>
        <v>1.1599999999999999</v>
      </c>
      <c r="R1306" s="193">
        <f t="shared" si="685"/>
        <v>7650</v>
      </c>
      <c r="S1306" s="193">
        <f t="shared" si="686"/>
        <v>78</v>
      </c>
      <c r="T1306" s="193">
        <f t="shared" ref="T1306:T1307" si="844">ROUND(P1306+Q1306,2)</f>
        <v>2.2999999999999998</v>
      </c>
      <c r="U1306" s="193">
        <f t="shared" si="707"/>
        <v>0.45</v>
      </c>
      <c r="V1306" s="193">
        <f t="shared" ref="V1306:V1370" si="845">ROUND((O1306*M1306)*F$1818,2)</f>
        <v>0.97</v>
      </c>
      <c r="W1306" s="193">
        <f t="shared" si="839"/>
        <v>0.11</v>
      </c>
      <c r="X1306" s="193">
        <f t="shared" si="841"/>
        <v>0.21</v>
      </c>
      <c r="Y1306" s="193">
        <f t="shared" si="758"/>
        <v>0.01</v>
      </c>
      <c r="Z1306" s="193">
        <f t="shared" si="692"/>
        <v>4.05</v>
      </c>
      <c r="AA1306" s="194">
        <f t="shared" si="693"/>
        <v>73.95</v>
      </c>
      <c r="AB1306" s="195">
        <v>74</v>
      </c>
      <c r="AC1306" s="196">
        <f t="shared" si="694"/>
        <v>4.9999999999997158E-2</v>
      </c>
      <c r="AD1306" s="197">
        <f t="shared" si="695"/>
        <v>2.0602218700475437E-2</v>
      </c>
      <c r="AE1306" s="198">
        <f t="shared" si="696"/>
        <v>5.2899999999999996E-4</v>
      </c>
      <c r="AF1306" s="193"/>
      <c r="AG1306" s="199" t="s">
        <v>416</v>
      </c>
      <c r="AH1306" s="124"/>
    </row>
    <row r="1307" spans="1:34" ht="12" hidden="1" customHeight="1">
      <c r="A1307" s="187">
        <v>44705</v>
      </c>
      <c r="B1307" s="188" t="s">
        <v>616</v>
      </c>
      <c r="C1307" s="188" t="s">
        <v>485</v>
      </c>
      <c r="D1307" s="188"/>
      <c r="E1307" s="188" t="str">
        <f t="shared" si="682"/>
        <v>RCF</v>
      </c>
      <c r="F1307" s="188"/>
      <c r="G1307" s="188"/>
      <c r="H1307" s="188"/>
      <c r="I1307" s="188" t="s">
        <v>668</v>
      </c>
      <c r="J1307" s="188" t="s">
        <v>483</v>
      </c>
      <c r="K1307" s="188"/>
      <c r="L1307" s="188"/>
      <c r="M1307" s="189">
        <v>100</v>
      </c>
      <c r="N1307" s="190">
        <v>99.55</v>
      </c>
      <c r="O1307" s="191">
        <v>102.8</v>
      </c>
      <c r="P1307" s="192">
        <f t="shared" si="789"/>
        <v>2.99</v>
      </c>
      <c r="Q1307" s="192">
        <f t="shared" si="790"/>
        <v>3.08</v>
      </c>
      <c r="R1307" s="193">
        <f t="shared" si="685"/>
        <v>20235</v>
      </c>
      <c r="S1307" s="193">
        <f t="shared" si="686"/>
        <v>325</v>
      </c>
      <c r="T1307" s="193">
        <f t="shared" si="844"/>
        <v>6.07</v>
      </c>
      <c r="U1307" s="193">
        <f t="shared" si="707"/>
        <v>1.19</v>
      </c>
      <c r="V1307" s="193">
        <f t="shared" si="845"/>
        <v>2.57</v>
      </c>
      <c r="W1307" s="193">
        <f t="shared" si="839"/>
        <v>0.3</v>
      </c>
      <c r="X1307" s="193">
        <f t="shared" si="841"/>
        <v>0.56000000000000005</v>
      </c>
      <c r="Y1307" s="193">
        <f t="shared" si="758"/>
        <v>0.02</v>
      </c>
      <c r="Z1307" s="193">
        <f t="shared" si="692"/>
        <v>10.71</v>
      </c>
      <c r="AA1307" s="194">
        <f t="shared" si="693"/>
        <v>314.29000000000002</v>
      </c>
      <c r="AB1307" s="195">
        <v>314.95999999999998</v>
      </c>
      <c r="AC1307" s="196">
        <f t="shared" si="694"/>
        <v>0.66999999999995907</v>
      </c>
      <c r="AD1307" s="197">
        <f t="shared" si="695"/>
        <v>3.2646911099949778E-2</v>
      </c>
      <c r="AE1307" s="198">
        <f t="shared" si="696"/>
        <v>5.2899999999999996E-4</v>
      </c>
      <c r="AF1307" s="193"/>
      <c r="AG1307" s="199" t="s">
        <v>416</v>
      </c>
      <c r="AH1307" s="124"/>
    </row>
    <row r="1308" spans="1:34" ht="12" hidden="1" customHeight="1">
      <c r="A1308" s="187">
        <v>44706</v>
      </c>
      <c r="B1308" s="188" t="s">
        <v>589</v>
      </c>
      <c r="C1308" s="188" t="s">
        <v>460</v>
      </c>
      <c r="D1308" s="188"/>
      <c r="E1308" s="188" t="str">
        <f t="shared" si="682"/>
        <v>DCMSHRIRAM</v>
      </c>
      <c r="F1308" s="188"/>
      <c r="G1308" s="188"/>
      <c r="H1308" s="188"/>
      <c r="I1308" s="188" t="s">
        <v>668</v>
      </c>
      <c r="J1308" s="188" t="s">
        <v>483</v>
      </c>
      <c r="K1308" s="188"/>
      <c r="L1308" s="188"/>
      <c r="M1308" s="189">
        <v>20</v>
      </c>
      <c r="N1308" s="190">
        <v>961.54</v>
      </c>
      <c r="O1308" s="191">
        <v>974.75</v>
      </c>
      <c r="P1308" s="192">
        <f t="shared" si="789"/>
        <v>5.77</v>
      </c>
      <c r="Q1308" s="192">
        <f t="shared" si="790"/>
        <v>5.85</v>
      </c>
      <c r="R1308" s="193">
        <f t="shared" si="685"/>
        <v>38725.800000000003</v>
      </c>
      <c r="S1308" s="193">
        <f t="shared" si="686"/>
        <v>264.20000000000073</v>
      </c>
      <c r="T1308" s="193">
        <v>14.7</v>
      </c>
      <c r="U1308" s="193">
        <f t="shared" si="707"/>
        <v>2.84</v>
      </c>
      <c r="V1308" s="193">
        <f t="shared" si="845"/>
        <v>4.87</v>
      </c>
      <c r="W1308" s="193">
        <f t="shared" si="839"/>
        <v>0.57999999999999996</v>
      </c>
      <c r="X1308" s="193">
        <f t="shared" si="841"/>
        <v>1.06</v>
      </c>
      <c r="Y1308" s="193">
        <f t="shared" si="758"/>
        <v>0.04</v>
      </c>
      <c r="Z1308" s="193">
        <f t="shared" si="692"/>
        <v>24.089999999999996</v>
      </c>
      <c r="AA1308" s="194">
        <f t="shared" si="693"/>
        <v>240.11</v>
      </c>
      <c r="AB1308" s="195">
        <v>239.74</v>
      </c>
      <c r="AC1308" s="196">
        <f t="shared" si="694"/>
        <v>-0.37000000000000455</v>
      </c>
      <c r="AD1308" s="197">
        <f t="shared" si="695"/>
        <v>1.3738378018595209E-2</v>
      </c>
      <c r="AE1308" s="198">
        <f t="shared" si="696"/>
        <v>6.2200000000000005E-4</v>
      </c>
      <c r="AF1308" s="193"/>
      <c r="AG1308" s="199" t="s">
        <v>416</v>
      </c>
      <c r="AH1308" s="124"/>
    </row>
    <row r="1309" spans="1:34" ht="12" hidden="1" customHeight="1">
      <c r="A1309" s="187">
        <v>44707</v>
      </c>
      <c r="B1309" s="188" t="s">
        <v>589</v>
      </c>
      <c r="C1309" s="188" t="s">
        <v>460</v>
      </c>
      <c r="D1309" s="188"/>
      <c r="E1309" s="188" t="str">
        <f t="shared" si="682"/>
        <v>DCMSHRIRAM</v>
      </c>
      <c r="F1309" s="188"/>
      <c r="G1309" s="188"/>
      <c r="H1309" s="188"/>
      <c r="I1309" s="188" t="s">
        <v>668</v>
      </c>
      <c r="J1309" s="188" t="s">
        <v>483</v>
      </c>
      <c r="K1309" s="188"/>
      <c r="L1309" s="188"/>
      <c r="M1309" s="189">
        <v>55</v>
      </c>
      <c r="N1309" s="190">
        <v>976.86360000000002</v>
      </c>
      <c r="O1309" s="191">
        <v>980.90909999999997</v>
      </c>
      <c r="P1309" s="192">
        <f t="shared" si="789"/>
        <v>16.12</v>
      </c>
      <c r="Q1309" s="192">
        <f t="shared" si="790"/>
        <v>16.190000000000001</v>
      </c>
      <c r="R1309" s="193">
        <f t="shared" si="685"/>
        <v>107677.5</v>
      </c>
      <c r="S1309" s="193">
        <f t="shared" si="686"/>
        <v>222.5024999999971</v>
      </c>
      <c r="T1309" s="193">
        <v>38.01</v>
      </c>
      <c r="U1309" s="193">
        <f t="shared" si="707"/>
        <v>7.37</v>
      </c>
      <c r="V1309" s="193">
        <f t="shared" si="845"/>
        <v>13.49</v>
      </c>
      <c r="W1309" s="193">
        <f t="shared" si="839"/>
        <v>1.61</v>
      </c>
      <c r="X1309" s="193">
        <f t="shared" si="841"/>
        <v>2.96</v>
      </c>
      <c r="Y1309" s="193">
        <f t="shared" si="758"/>
        <v>0.11</v>
      </c>
      <c r="Z1309" s="193">
        <f t="shared" si="692"/>
        <v>63.55</v>
      </c>
      <c r="AA1309" s="194">
        <f t="shared" si="693"/>
        <v>158.94999999999999</v>
      </c>
      <c r="AB1309" s="195">
        <v>158.4</v>
      </c>
      <c r="AC1309" s="196">
        <f t="shared" si="694"/>
        <v>-0.54999999999998295</v>
      </c>
      <c r="AD1309" s="197">
        <f t="shared" si="695"/>
        <v>4.1413151232167393E-3</v>
      </c>
      <c r="AE1309" s="198">
        <f t="shared" si="696"/>
        <v>5.9000000000000003E-4</v>
      </c>
      <c r="AF1309" s="193"/>
      <c r="AG1309" s="199" t="s">
        <v>416</v>
      </c>
      <c r="AH1309" s="124"/>
    </row>
    <row r="1310" spans="1:34" ht="12" hidden="1" customHeight="1">
      <c r="A1310" s="187">
        <v>44708</v>
      </c>
      <c r="B1310" s="188" t="s">
        <v>308</v>
      </c>
      <c r="C1310" s="188" t="s">
        <v>485</v>
      </c>
      <c r="D1310" s="188"/>
      <c r="E1310" s="188" t="str">
        <f t="shared" si="682"/>
        <v>INEOSSTYRO</v>
      </c>
      <c r="F1310" s="188"/>
      <c r="G1310" s="188"/>
      <c r="H1310" s="188"/>
      <c r="I1310" s="188" t="s">
        <v>668</v>
      </c>
      <c r="J1310" s="188" t="s">
        <v>483</v>
      </c>
      <c r="K1310" s="188"/>
      <c r="L1310" s="188"/>
      <c r="M1310" s="189">
        <v>125</v>
      </c>
      <c r="N1310" s="190">
        <v>873.4</v>
      </c>
      <c r="O1310" s="191">
        <v>878.6</v>
      </c>
      <c r="P1310" s="192">
        <f t="shared" si="789"/>
        <v>20</v>
      </c>
      <c r="Q1310" s="192">
        <f t="shared" si="790"/>
        <v>20</v>
      </c>
      <c r="R1310" s="193">
        <f t="shared" si="685"/>
        <v>219000</v>
      </c>
      <c r="S1310" s="193">
        <f t="shared" si="686"/>
        <v>650.00000000000568</v>
      </c>
      <c r="T1310" s="193">
        <v>79.02</v>
      </c>
      <c r="U1310" s="193">
        <f t="shared" si="707"/>
        <v>15.31</v>
      </c>
      <c r="V1310" s="193">
        <f t="shared" si="845"/>
        <v>27.46</v>
      </c>
      <c r="W1310" s="193">
        <f t="shared" si="839"/>
        <v>3.28</v>
      </c>
      <c r="X1310" s="193">
        <f t="shared" si="841"/>
        <v>6.02</v>
      </c>
      <c r="Y1310" s="193">
        <f t="shared" si="758"/>
        <v>0.22</v>
      </c>
      <c r="Z1310" s="193">
        <f t="shared" si="692"/>
        <v>131.31</v>
      </c>
      <c r="AA1310" s="194">
        <f t="shared" si="693"/>
        <v>518.69000000000005</v>
      </c>
      <c r="AB1310" s="195">
        <v>519.05999999999995</v>
      </c>
      <c r="AC1310" s="196">
        <f t="shared" si="694"/>
        <v>0.36999999999989086</v>
      </c>
      <c r="AD1310" s="197">
        <f t="shared" si="695"/>
        <v>5.9537439890085244E-3</v>
      </c>
      <c r="AE1310" s="198">
        <f t="shared" si="696"/>
        <v>5.9999999999999995E-4</v>
      </c>
      <c r="AF1310" s="193"/>
      <c r="AG1310" s="199" t="s">
        <v>416</v>
      </c>
      <c r="AH1310" s="124"/>
    </row>
    <row r="1311" spans="1:34" ht="12" hidden="1" customHeight="1">
      <c r="A1311" s="187">
        <v>44708</v>
      </c>
      <c r="B1311" s="188" t="s">
        <v>589</v>
      </c>
      <c r="C1311" s="188" t="s">
        <v>460</v>
      </c>
      <c r="D1311" s="188"/>
      <c r="E1311" s="188" t="str">
        <f t="shared" si="682"/>
        <v>DCMSHRIRAM</v>
      </c>
      <c r="F1311" s="188"/>
      <c r="G1311" s="188"/>
      <c r="H1311" s="188"/>
      <c r="I1311" s="188" t="s">
        <v>668</v>
      </c>
      <c r="J1311" s="188" t="s">
        <v>483</v>
      </c>
      <c r="K1311" s="188"/>
      <c r="L1311" s="188"/>
      <c r="M1311" s="189">
        <v>50</v>
      </c>
      <c r="N1311" s="190">
        <v>971.66</v>
      </c>
      <c r="O1311" s="191">
        <v>977</v>
      </c>
      <c r="P1311" s="192">
        <f t="shared" si="789"/>
        <v>14.57</v>
      </c>
      <c r="Q1311" s="192">
        <f t="shared" si="790"/>
        <v>14.66</v>
      </c>
      <c r="R1311" s="193">
        <f t="shared" si="685"/>
        <v>97433</v>
      </c>
      <c r="S1311" s="193">
        <f t="shared" si="686"/>
        <v>267.00000000000159</v>
      </c>
      <c r="T1311" s="193">
        <v>29.42</v>
      </c>
      <c r="U1311" s="193">
        <f t="shared" si="707"/>
        <v>5.78</v>
      </c>
      <c r="V1311" s="193">
        <f t="shared" si="845"/>
        <v>12.21</v>
      </c>
      <c r="W1311" s="193">
        <f t="shared" si="839"/>
        <v>1.46</v>
      </c>
      <c r="X1311" s="193">
        <f t="shared" si="841"/>
        <v>2.68</v>
      </c>
      <c r="Y1311" s="193">
        <f t="shared" si="758"/>
        <v>0.1</v>
      </c>
      <c r="Z1311" s="193">
        <f t="shared" si="692"/>
        <v>51.650000000000006</v>
      </c>
      <c r="AA1311" s="194">
        <f t="shared" si="693"/>
        <v>215.35</v>
      </c>
      <c r="AB1311" s="195">
        <v>214.99</v>
      </c>
      <c r="AC1311" s="196">
        <f t="shared" si="694"/>
        <v>-0.35999999999998522</v>
      </c>
      <c r="AD1311" s="197">
        <f t="shared" si="695"/>
        <v>5.4957495420209041E-3</v>
      </c>
      <c r="AE1311" s="198">
        <f t="shared" si="696"/>
        <v>5.2999999999999998E-4</v>
      </c>
      <c r="AF1311" s="193"/>
      <c r="AG1311" s="199" t="s">
        <v>416</v>
      </c>
      <c r="AH1311" s="124"/>
    </row>
    <row r="1312" spans="1:34" ht="12" hidden="1" customHeight="1">
      <c r="A1312" s="187">
        <v>44712</v>
      </c>
      <c r="B1312" s="188" t="s">
        <v>589</v>
      </c>
      <c r="C1312" s="188" t="s">
        <v>460</v>
      </c>
      <c r="D1312" s="188"/>
      <c r="E1312" s="188" t="str">
        <f t="shared" si="682"/>
        <v>DCMSHRIRAM</v>
      </c>
      <c r="F1312" s="188"/>
      <c r="G1312" s="188"/>
      <c r="H1312" s="188"/>
      <c r="I1312" s="188" t="s">
        <v>668</v>
      </c>
      <c r="J1312" s="188" t="s">
        <v>483</v>
      </c>
      <c r="K1312" s="188"/>
      <c r="L1312" s="188"/>
      <c r="M1312" s="189">
        <v>25</v>
      </c>
      <c r="N1312" s="190">
        <v>993</v>
      </c>
      <c r="O1312" s="191">
        <v>1002</v>
      </c>
      <c r="P1312" s="192">
        <f t="shared" si="789"/>
        <v>7.45</v>
      </c>
      <c r="Q1312" s="192">
        <f t="shared" si="790"/>
        <v>7.52</v>
      </c>
      <c r="R1312" s="193">
        <f t="shared" si="685"/>
        <v>49875</v>
      </c>
      <c r="S1312" s="193">
        <f t="shared" si="686"/>
        <v>225</v>
      </c>
      <c r="T1312" s="193">
        <f>ROUND(P1312+Q1312,2)</f>
        <v>14.97</v>
      </c>
      <c r="U1312" s="193">
        <f t="shared" si="707"/>
        <v>2.94</v>
      </c>
      <c r="V1312" s="193">
        <f t="shared" si="845"/>
        <v>6.26</v>
      </c>
      <c r="W1312" s="193">
        <f t="shared" si="839"/>
        <v>0.74</v>
      </c>
      <c r="X1312" s="193">
        <f t="shared" si="841"/>
        <v>1.37</v>
      </c>
      <c r="Y1312" s="193">
        <f t="shared" si="758"/>
        <v>0.05</v>
      </c>
      <c r="Z1312" s="193">
        <f t="shared" si="692"/>
        <v>26.330000000000002</v>
      </c>
      <c r="AA1312" s="194">
        <f t="shared" si="693"/>
        <v>198.67</v>
      </c>
      <c r="AB1312" s="195">
        <v>198.68</v>
      </c>
      <c r="AC1312" s="196">
        <f t="shared" si="694"/>
        <v>1.0000000000019327E-2</v>
      </c>
      <c r="AD1312" s="197">
        <f t="shared" si="695"/>
        <v>9.0634441087613302E-3</v>
      </c>
      <c r="AE1312" s="198">
        <f t="shared" si="696"/>
        <v>5.2800000000000004E-4</v>
      </c>
      <c r="AF1312" s="193"/>
      <c r="AG1312" s="199" t="s">
        <v>416</v>
      </c>
      <c r="AH1312" s="124"/>
    </row>
    <row r="1313" spans="1:34" ht="12" hidden="1" customHeight="1">
      <c r="A1313" s="187">
        <v>44713</v>
      </c>
      <c r="B1313" s="188" t="s">
        <v>589</v>
      </c>
      <c r="C1313" s="188" t="s">
        <v>460</v>
      </c>
      <c r="D1313" s="188"/>
      <c r="E1313" s="188" t="str">
        <f t="shared" si="682"/>
        <v>DCMSHRIRAM</v>
      </c>
      <c r="F1313" s="188"/>
      <c r="G1313" s="188"/>
      <c r="H1313" s="188"/>
      <c r="I1313" s="188" t="s">
        <v>668</v>
      </c>
      <c r="J1313" s="188" t="s">
        <v>483</v>
      </c>
      <c r="K1313" s="188"/>
      <c r="L1313" s="188"/>
      <c r="M1313" s="189">
        <v>75</v>
      </c>
      <c r="N1313" s="190">
        <v>996</v>
      </c>
      <c r="O1313" s="191">
        <v>1003.3333</v>
      </c>
      <c r="P1313" s="192">
        <f t="shared" si="789"/>
        <v>20</v>
      </c>
      <c r="Q1313" s="192">
        <f t="shared" si="790"/>
        <v>20</v>
      </c>
      <c r="R1313" s="193">
        <f t="shared" si="685"/>
        <v>149950</v>
      </c>
      <c r="S1313" s="193">
        <f t="shared" si="686"/>
        <v>549.99750000000063</v>
      </c>
      <c r="T1313" s="193">
        <v>44.98</v>
      </c>
      <c r="U1313" s="193">
        <f t="shared" si="707"/>
        <v>8.84</v>
      </c>
      <c r="V1313" s="193">
        <f t="shared" si="845"/>
        <v>18.809999999999999</v>
      </c>
      <c r="W1313" s="193">
        <f t="shared" si="839"/>
        <v>2.2400000000000002</v>
      </c>
      <c r="X1313" s="193">
        <f t="shared" si="841"/>
        <v>4.12</v>
      </c>
      <c r="Y1313" s="193">
        <f t="shared" si="758"/>
        <v>0.15</v>
      </c>
      <c r="Z1313" s="193">
        <f t="shared" si="692"/>
        <v>79.14</v>
      </c>
      <c r="AA1313" s="194">
        <f t="shared" si="693"/>
        <v>470.86</v>
      </c>
      <c r="AB1313" s="195">
        <v>470.91</v>
      </c>
      <c r="AC1313" s="196">
        <f t="shared" si="694"/>
        <v>5.0000000000011369E-2</v>
      </c>
      <c r="AD1313" s="197">
        <f t="shared" si="695"/>
        <v>7.3627510040160729E-3</v>
      </c>
      <c r="AE1313" s="198">
        <f t="shared" si="696"/>
        <v>5.2800000000000004E-4</v>
      </c>
      <c r="AF1313" s="193"/>
      <c r="AG1313" s="199" t="s">
        <v>416</v>
      </c>
      <c r="AH1313" s="124"/>
    </row>
    <row r="1314" spans="1:34" ht="12" hidden="1" customHeight="1">
      <c r="A1314" s="187">
        <v>44713</v>
      </c>
      <c r="B1314" s="188" t="s">
        <v>308</v>
      </c>
      <c r="C1314" s="188" t="s">
        <v>485</v>
      </c>
      <c r="D1314" s="188"/>
      <c r="E1314" s="188" t="str">
        <f t="shared" si="682"/>
        <v>INEOSSTYRO</v>
      </c>
      <c r="F1314" s="188"/>
      <c r="G1314" s="188"/>
      <c r="H1314" s="188"/>
      <c r="I1314" s="188" t="s">
        <v>668</v>
      </c>
      <c r="J1314" s="188" t="s">
        <v>483</v>
      </c>
      <c r="K1314" s="188"/>
      <c r="L1314" s="188"/>
      <c r="M1314" s="189">
        <v>23</v>
      </c>
      <c r="N1314" s="190">
        <v>906</v>
      </c>
      <c r="O1314" s="191">
        <v>912</v>
      </c>
      <c r="P1314" s="192">
        <f t="shared" si="789"/>
        <v>6.25</v>
      </c>
      <c r="Q1314" s="192">
        <f t="shared" si="790"/>
        <v>6.29</v>
      </c>
      <c r="R1314" s="193">
        <f t="shared" si="685"/>
        <v>41814</v>
      </c>
      <c r="S1314" s="193">
        <f t="shared" si="686"/>
        <v>138</v>
      </c>
      <c r="T1314" s="193">
        <f>ROUND(P1314+Q1314,2)</f>
        <v>12.54</v>
      </c>
      <c r="U1314" s="193">
        <f t="shared" si="707"/>
        <v>2.46</v>
      </c>
      <c r="V1314" s="193">
        <f t="shared" si="845"/>
        <v>5.24</v>
      </c>
      <c r="W1314" s="193">
        <f t="shared" si="839"/>
        <v>0.63</v>
      </c>
      <c r="X1314" s="193">
        <f t="shared" si="841"/>
        <v>1.1499999999999999</v>
      </c>
      <c r="Y1314" s="193">
        <f t="shared" si="758"/>
        <v>0.04</v>
      </c>
      <c r="Z1314" s="193">
        <f t="shared" si="692"/>
        <v>22.06</v>
      </c>
      <c r="AA1314" s="194">
        <f t="shared" si="693"/>
        <v>115.94</v>
      </c>
      <c r="AB1314" s="195">
        <v>115.8</v>
      </c>
      <c r="AC1314" s="196">
        <f t="shared" si="694"/>
        <v>-0.14000000000000057</v>
      </c>
      <c r="AD1314" s="197">
        <f t="shared" si="695"/>
        <v>6.6225165562913907E-3</v>
      </c>
      <c r="AE1314" s="198">
        <f t="shared" si="696"/>
        <v>5.2800000000000004E-4</v>
      </c>
      <c r="AF1314" s="193"/>
      <c r="AG1314" s="199" t="s">
        <v>416</v>
      </c>
      <c r="AH1314" s="124"/>
    </row>
    <row r="1315" spans="1:34" ht="12" hidden="1" customHeight="1">
      <c r="A1315" s="187">
        <v>44714</v>
      </c>
      <c r="B1315" s="188" t="s">
        <v>589</v>
      </c>
      <c r="C1315" s="188" t="s">
        <v>460</v>
      </c>
      <c r="D1315" s="188"/>
      <c r="E1315" s="188" t="str">
        <f t="shared" si="682"/>
        <v>DCMSHRIRAM</v>
      </c>
      <c r="F1315" s="188"/>
      <c r="G1315" s="188"/>
      <c r="H1315" s="188"/>
      <c r="I1315" s="188" t="s">
        <v>668</v>
      </c>
      <c r="J1315" s="188" t="s">
        <v>483</v>
      </c>
      <c r="K1315" s="188"/>
      <c r="L1315" s="188"/>
      <c r="M1315" s="189">
        <v>125</v>
      </c>
      <c r="N1315" s="190">
        <v>1000.46</v>
      </c>
      <c r="O1315" s="191">
        <v>1005.76</v>
      </c>
      <c r="P1315" s="192">
        <f t="shared" si="789"/>
        <v>20</v>
      </c>
      <c r="Q1315" s="192">
        <f t="shared" si="790"/>
        <v>20</v>
      </c>
      <c r="R1315" s="193">
        <f t="shared" si="685"/>
        <v>250777.5</v>
      </c>
      <c r="S1315" s="193">
        <f t="shared" si="686"/>
        <v>662.49999999999432</v>
      </c>
      <c r="T1315" s="193">
        <v>75.239999999999995</v>
      </c>
      <c r="U1315" s="193">
        <f t="shared" si="707"/>
        <v>14.79</v>
      </c>
      <c r="V1315" s="193">
        <f t="shared" si="845"/>
        <v>31.43</v>
      </c>
      <c r="W1315" s="193">
        <f t="shared" si="839"/>
        <v>3.75</v>
      </c>
      <c r="X1315" s="193">
        <f t="shared" si="841"/>
        <v>6.9</v>
      </c>
      <c r="Y1315" s="193">
        <f t="shared" si="758"/>
        <v>0.25</v>
      </c>
      <c r="Z1315" s="193">
        <f t="shared" si="692"/>
        <v>132.36000000000001</v>
      </c>
      <c r="AA1315" s="194">
        <f t="shared" si="693"/>
        <v>530.14</v>
      </c>
      <c r="AB1315" s="195">
        <v>530.34</v>
      </c>
      <c r="AC1315" s="196">
        <f t="shared" si="694"/>
        <v>0.20000000000004547</v>
      </c>
      <c r="AD1315" s="197">
        <f t="shared" si="695"/>
        <v>5.2975631209643105E-3</v>
      </c>
      <c r="AE1315" s="198">
        <f t="shared" si="696"/>
        <v>5.2800000000000004E-4</v>
      </c>
      <c r="AF1315" s="193"/>
      <c r="AG1315" s="199" t="s">
        <v>416</v>
      </c>
      <c r="AH1315" s="124"/>
    </row>
    <row r="1316" spans="1:34" ht="12" hidden="1" customHeight="1">
      <c r="A1316" s="187">
        <v>44714</v>
      </c>
      <c r="B1316" s="188" t="s">
        <v>308</v>
      </c>
      <c r="C1316" s="188" t="s">
        <v>485</v>
      </c>
      <c r="D1316" s="188"/>
      <c r="E1316" s="188" t="str">
        <f t="shared" si="682"/>
        <v>INEOSSTYRO</v>
      </c>
      <c r="F1316" s="188"/>
      <c r="G1316" s="188"/>
      <c r="H1316" s="188"/>
      <c r="I1316" s="188" t="s">
        <v>668</v>
      </c>
      <c r="J1316" s="188" t="s">
        <v>483</v>
      </c>
      <c r="K1316" s="188"/>
      <c r="L1316" s="188"/>
      <c r="M1316" s="189">
        <v>50</v>
      </c>
      <c r="N1316" s="190">
        <v>915</v>
      </c>
      <c r="O1316" s="191">
        <v>918.5</v>
      </c>
      <c r="P1316" s="192">
        <f t="shared" si="789"/>
        <v>13.73</v>
      </c>
      <c r="Q1316" s="192">
        <f t="shared" si="790"/>
        <v>13.78</v>
      </c>
      <c r="R1316" s="193">
        <f t="shared" si="685"/>
        <v>91675</v>
      </c>
      <c r="S1316" s="193">
        <f t="shared" si="686"/>
        <v>175</v>
      </c>
      <c r="T1316" s="193">
        <f>ROUND(P1316+Q1316,2)</f>
        <v>27.51</v>
      </c>
      <c r="U1316" s="193">
        <f t="shared" si="707"/>
        <v>5.41</v>
      </c>
      <c r="V1316" s="193">
        <f t="shared" si="845"/>
        <v>11.48</v>
      </c>
      <c r="W1316" s="193">
        <f t="shared" si="839"/>
        <v>1.37</v>
      </c>
      <c r="X1316" s="193">
        <f t="shared" si="841"/>
        <v>2.52</v>
      </c>
      <c r="Y1316" s="193">
        <f t="shared" si="758"/>
        <v>0.09</v>
      </c>
      <c r="Z1316" s="193">
        <f t="shared" si="692"/>
        <v>48.38000000000001</v>
      </c>
      <c r="AA1316" s="194">
        <f t="shared" si="693"/>
        <v>126.62</v>
      </c>
      <c r="AB1316" s="195">
        <v>126.77</v>
      </c>
      <c r="AC1316" s="196">
        <f t="shared" si="694"/>
        <v>0.14999999999999147</v>
      </c>
      <c r="AD1316" s="197">
        <f t="shared" si="695"/>
        <v>3.8251366120218579E-3</v>
      </c>
      <c r="AE1316" s="198">
        <f t="shared" si="696"/>
        <v>5.2800000000000004E-4</v>
      </c>
      <c r="AF1316" s="193"/>
      <c r="AG1316" s="199" t="s">
        <v>416</v>
      </c>
      <c r="AH1316" s="124"/>
    </row>
    <row r="1317" spans="1:34" ht="12" hidden="1" customHeight="1">
      <c r="A1317" s="187">
        <v>44715</v>
      </c>
      <c r="B1317" s="188" t="s">
        <v>589</v>
      </c>
      <c r="C1317" s="188" t="s">
        <v>460</v>
      </c>
      <c r="D1317" s="188"/>
      <c r="E1317" s="188" t="str">
        <f t="shared" si="682"/>
        <v>DCMSHRIRAM</v>
      </c>
      <c r="F1317" s="188"/>
      <c r="G1317" s="188"/>
      <c r="H1317" s="188"/>
      <c r="I1317" s="188" t="s">
        <v>668</v>
      </c>
      <c r="J1317" s="188" t="s">
        <v>483</v>
      </c>
      <c r="K1317" s="188"/>
      <c r="L1317" s="188"/>
      <c r="M1317" s="189">
        <v>50</v>
      </c>
      <c r="N1317" s="190">
        <v>1006</v>
      </c>
      <c r="O1317" s="191">
        <v>1011</v>
      </c>
      <c r="P1317" s="192">
        <f t="shared" si="789"/>
        <v>15.09</v>
      </c>
      <c r="Q1317" s="192">
        <f t="shared" si="790"/>
        <v>15.17</v>
      </c>
      <c r="R1317" s="193">
        <f t="shared" si="685"/>
        <v>100850</v>
      </c>
      <c r="S1317" s="193">
        <f t="shared" si="686"/>
        <v>250</v>
      </c>
      <c r="T1317" s="193">
        <v>38.020000000000003</v>
      </c>
      <c r="U1317" s="193">
        <f t="shared" si="707"/>
        <v>7.34</v>
      </c>
      <c r="V1317" s="193">
        <f t="shared" si="845"/>
        <v>12.64</v>
      </c>
      <c r="W1317" s="193">
        <f t="shared" si="839"/>
        <v>1.51</v>
      </c>
      <c r="X1317" s="193">
        <f t="shared" si="841"/>
        <v>2.77</v>
      </c>
      <c r="Y1317" s="193">
        <f t="shared" si="758"/>
        <v>0.1</v>
      </c>
      <c r="Z1317" s="193">
        <f t="shared" si="692"/>
        <v>62.38</v>
      </c>
      <c r="AA1317" s="194">
        <f t="shared" si="693"/>
        <v>187.62</v>
      </c>
      <c r="AB1317" s="195">
        <v>187.24</v>
      </c>
      <c r="AC1317" s="196">
        <f t="shared" si="694"/>
        <v>-0.37999999999999545</v>
      </c>
      <c r="AD1317" s="197">
        <f t="shared" si="695"/>
        <v>4.970178926441352E-3</v>
      </c>
      <c r="AE1317" s="198">
        <f t="shared" si="696"/>
        <v>6.1899999999999998E-4</v>
      </c>
      <c r="AF1317" s="193"/>
      <c r="AG1317" s="199" t="s">
        <v>416</v>
      </c>
      <c r="AH1317" s="124"/>
    </row>
    <row r="1318" spans="1:34" ht="12" hidden="1" customHeight="1">
      <c r="A1318" s="187">
        <v>44715</v>
      </c>
      <c r="B1318" s="188" t="s">
        <v>308</v>
      </c>
      <c r="C1318" s="188" t="s">
        <v>485</v>
      </c>
      <c r="D1318" s="188"/>
      <c r="E1318" s="188" t="str">
        <f t="shared" si="682"/>
        <v>INEOSSTYRO</v>
      </c>
      <c r="F1318" s="188"/>
      <c r="G1318" s="188"/>
      <c r="H1318" s="188"/>
      <c r="I1318" s="188" t="s">
        <v>668</v>
      </c>
      <c r="J1318" s="188" t="s">
        <v>483</v>
      </c>
      <c r="K1318" s="188"/>
      <c r="L1318" s="188"/>
      <c r="M1318" s="189">
        <v>100</v>
      </c>
      <c r="N1318" s="190">
        <v>948.21950000000004</v>
      </c>
      <c r="O1318" s="191">
        <v>955.5</v>
      </c>
      <c r="P1318" s="192">
        <f t="shared" si="789"/>
        <v>20</v>
      </c>
      <c r="Q1318" s="192">
        <f t="shared" si="790"/>
        <v>20</v>
      </c>
      <c r="R1318" s="193">
        <f t="shared" si="685"/>
        <v>190371.95</v>
      </c>
      <c r="S1318" s="193">
        <f t="shared" si="686"/>
        <v>728.04999999999609</v>
      </c>
      <c r="T1318" s="193">
        <v>57.11</v>
      </c>
      <c r="U1318" s="193">
        <f t="shared" si="707"/>
        <v>11.4</v>
      </c>
      <c r="V1318" s="193">
        <f t="shared" si="845"/>
        <v>23.89</v>
      </c>
      <c r="W1318" s="193">
        <f t="shared" si="839"/>
        <v>2.84</v>
      </c>
      <c r="X1318" s="193">
        <f>ROUND(R1318*G$1820,2)+1</f>
        <v>6.24</v>
      </c>
      <c r="Y1318" s="193">
        <f t="shared" si="758"/>
        <v>0.19</v>
      </c>
      <c r="Z1318" s="193">
        <f t="shared" si="692"/>
        <v>101.67</v>
      </c>
      <c r="AA1318" s="194">
        <f t="shared" si="693"/>
        <v>626.38</v>
      </c>
      <c r="AB1318" s="195">
        <v>625.72</v>
      </c>
      <c r="AC1318" s="196">
        <f t="shared" si="694"/>
        <v>-0.65999999999996817</v>
      </c>
      <c r="AD1318" s="197">
        <f t="shared" si="695"/>
        <v>7.6780745386484462E-3</v>
      </c>
      <c r="AE1318" s="198">
        <f t="shared" si="696"/>
        <v>5.3399999999999997E-4</v>
      </c>
      <c r="AF1318" s="193"/>
      <c r="AG1318" s="199" t="s">
        <v>416</v>
      </c>
      <c r="AH1318" s="124"/>
    </row>
    <row r="1319" spans="1:34" ht="12" hidden="1" customHeight="1">
      <c r="A1319" s="187">
        <v>44718</v>
      </c>
      <c r="B1319" s="188" t="s">
        <v>589</v>
      </c>
      <c r="C1319" s="188" t="s">
        <v>460</v>
      </c>
      <c r="D1319" s="188"/>
      <c r="E1319" s="188" t="str">
        <f t="shared" si="682"/>
        <v>DCMSHRIRAM</v>
      </c>
      <c r="F1319" s="188"/>
      <c r="G1319" s="188"/>
      <c r="H1319" s="188"/>
      <c r="I1319" s="188" t="s">
        <v>668</v>
      </c>
      <c r="J1319" s="188" t="s">
        <v>483</v>
      </c>
      <c r="K1319" s="188"/>
      <c r="L1319" s="188"/>
      <c r="M1319" s="189">
        <v>75</v>
      </c>
      <c r="N1319" s="190">
        <v>981.8</v>
      </c>
      <c r="O1319" s="191">
        <v>987</v>
      </c>
      <c r="P1319" s="192">
        <f t="shared" si="789"/>
        <v>20</v>
      </c>
      <c r="Q1319" s="192">
        <f t="shared" si="790"/>
        <v>20</v>
      </c>
      <c r="R1319" s="193">
        <f t="shared" si="685"/>
        <v>147660</v>
      </c>
      <c r="S1319" s="193">
        <f t="shared" si="686"/>
        <v>390.00000000000341</v>
      </c>
      <c r="T1319" s="193">
        <v>44.3</v>
      </c>
      <c r="U1319" s="193">
        <f t="shared" si="707"/>
        <v>8.6999999999999993</v>
      </c>
      <c r="V1319" s="193">
        <f t="shared" si="845"/>
        <v>18.510000000000002</v>
      </c>
      <c r="W1319" s="193">
        <f t="shared" si="839"/>
        <v>2.21</v>
      </c>
      <c r="X1319" s="193">
        <f t="shared" ref="X1319:X1339" si="846">ROUND(R1319*G$1820,2)</f>
        <v>4.0599999999999996</v>
      </c>
      <c r="Y1319" s="193">
        <f t="shared" si="758"/>
        <v>0.15</v>
      </c>
      <c r="Z1319" s="193">
        <f t="shared" si="692"/>
        <v>77.930000000000007</v>
      </c>
      <c r="AA1319" s="194">
        <f t="shared" si="693"/>
        <v>312.07</v>
      </c>
      <c r="AB1319" s="195">
        <v>312.79000000000002</v>
      </c>
      <c r="AC1319" s="196">
        <f t="shared" si="694"/>
        <v>0.72000000000002728</v>
      </c>
      <c r="AD1319" s="197">
        <f t="shared" si="695"/>
        <v>5.2963943776737068E-3</v>
      </c>
      <c r="AE1319" s="198">
        <f t="shared" si="696"/>
        <v>5.2800000000000004E-4</v>
      </c>
      <c r="AF1319" s="193"/>
      <c r="AG1319" s="199" t="s">
        <v>416</v>
      </c>
      <c r="AH1319" s="124"/>
    </row>
    <row r="1320" spans="1:34" ht="12" hidden="1" customHeight="1">
      <c r="A1320" s="187">
        <v>44719</v>
      </c>
      <c r="B1320" s="188" t="s">
        <v>589</v>
      </c>
      <c r="C1320" s="188" t="s">
        <v>460</v>
      </c>
      <c r="D1320" s="188"/>
      <c r="E1320" s="188" t="str">
        <f t="shared" si="682"/>
        <v>DCMSHRIRAM</v>
      </c>
      <c r="F1320" s="188"/>
      <c r="G1320" s="188"/>
      <c r="H1320" s="188"/>
      <c r="I1320" s="188" t="s">
        <v>668</v>
      </c>
      <c r="J1320" s="188" t="s">
        <v>483</v>
      </c>
      <c r="K1320" s="188"/>
      <c r="L1320" s="188"/>
      <c r="M1320" s="189">
        <v>175</v>
      </c>
      <c r="N1320" s="190">
        <v>981.42859999999996</v>
      </c>
      <c r="O1320" s="191">
        <v>987.27139999999997</v>
      </c>
      <c r="P1320" s="192">
        <f t="shared" si="789"/>
        <v>20</v>
      </c>
      <c r="Q1320" s="192">
        <f t="shared" si="790"/>
        <v>20</v>
      </c>
      <c r="R1320" s="193">
        <f t="shared" si="685"/>
        <v>344522.5</v>
      </c>
      <c r="S1320" s="193">
        <f t="shared" si="686"/>
        <v>1022.4900000000019</v>
      </c>
      <c r="T1320" s="193">
        <v>93.91</v>
      </c>
      <c r="U1320" s="193">
        <f t="shared" si="707"/>
        <v>18.61</v>
      </c>
      <c r="V1320" s="193">
        <f t="shared" si="845"/>
        <v>43.19</v>
      </c>
      <c r="W1320" s="193">
        <f t="shared" si="839"/>
        <v>5.15</v>
      </c>
      <c r="X1320" s="193">
        <f t="shared" si="846"/>
        <v>9.4700000000000006</v>
      </c>
      <c r="Y1320" s="193">
        <f t="shared" si="758"/>
        <v>0.34</v>
      </c>
      <c r="Z1320" s="193">
        <f t="shared" si="692"/>
        <v>170.67</v>
      </c>
      <c r="AA1320" s="194">
        <f t="shared" si="693"/>
        <v>851.82</v>
      </c>
      <c r="AB1320" s="195">
        <v>851.54</v>
      </c>
      <c r="AC1320" s="196">
        <f t="shared" si="694"/>
        <v>-0.2800000000000864</v>
      </c>
      <c r="AD1320" s="197">
        <f t="shared" si="695"/>
        <v>5.953362272100091E-3</v>
      </c>
      <c r="AE1320" s="198">
        <f t="shared" si="696"/>
        <v>4.95E-4</v>
      </c>
      <c r="AF1320" s="193"/>
      <c r="AG1320" s="199" t="s">
        <v>416</v>
      </c>
      <c r="AH1320" s="124"/>
    </row>
    <row r="1321" spans="1:34" ht="12" hidden="1" customHeight="1">
      <c r="A1321" s="187">
        <v>44720</v>
      </c>
      <c r="B1321" s="188" t="s">
        <v>589</v>
      </c>
      <c r="C1321" s="188" t="s">
        <v>460</v>
      </c>
      <c r="D1321" s="188"/>
      <c r="E1321" s="188" t="str">
        <f t="shared" si="682"/>
        <v>DCMSHRIRAM</v>
      </c>
      <c r="F1321" s="188"/>
      <c r="G1321" s="188"/>
      <c r="H1321" s="188"/>
      <c r="I1321" s="188" t="s">
        <v>668</v>
      </c>
      <c r="J1321" s="188" t="s">
        <v>483</v>
      </c>
      <c r="K1321" s="188"/>
      <c r="L1321" s="188"/>
      <c r="M1321" s="189">
        <v>100</v>
      </c>
      <c r="N1321" s="190">
        <v>991.25</v>
      </c>
      <c r="O1321" s="191">
        <v>996.07500000000005</v>
      </c>
      <c r="P1321" s="192">
        <f t="shared" si="789"/>
        <v>20</v>
      </c>
      <c r="Q1321" s="192">
        <f t="shared" si="790"/>
        <v>20</v>
      </c>
      <c r="R1321" s="193">
        <f t="shared" si="685"/>
        <v>198732.5</v>
      </c>
      <c r="S1321" s="193">
        <f t="shared" si="686"/>
        <v>482.50000000000455</v>
      </c>
      <c r="T1321" s="193">
        <v>59.63</v>
      </c>
      <c r="U1321" s="193">
        <f t="shared" si="707"/>
        <v>11.72</v>
      </c>
      <c r="V1321" s="193">
        <f t="shared" si="845"/>
        <v>24.9</v>
      </c>
      <c r="W1321" s="193">
        <f t="shared" si="839"/>
        <v>2.97</v>
      </c>
      <c r="X1321" s="193">
        <f t="shared" si="846"/>
        <v>5.47</v>
      </c>
      <c r="Y1321" s="193">
        <f t="shared" si="758"/>
        <v>0.2</v>
      </c>
      <c r="Z1321" s="193">
        <f t="shared" si="692"/>
        <v>104.89</v>
      </c>
      <c r="AA1321" s="194">
        <f t="shared" si="693"/>
        <v>377.61</v>
      </c>
      <c r="AB1321" s="195">
        <v>378.05</v>
      </c>
      <c r="AC1321" s="196">
        <f t="shared" si="694"/>
        <v>0.43999999999999773</v>
      </c>
      <c r="AD1321" s="197">
        <f t="shared" si="695"/>
        <v>4.8675914249685197E-3</v>
      </c>
      <c r="AE1321" s="198">
        <f t="shared" si="696"/>
        <v>5.2800000000000004E-4</v>
      </c>
      <c r="AF1321" s="193"/>
      <c r="AG1321" s="199" t="s">
        <v>416</v>
      </c>
      <c r="AH1321" s="124"/>
    </row>
    <row r="1322" spans="1:34" ht="12" hidden="1" customHeight="1">
      <c r="A1322" s="187">
        <v>44721</v>
      </c>
      <c r="B1322" s="188" t="s">
        <v>589</v>
      </c>
      <c r="C1322" s="188" t="s">
        <v>460</v>
      </c>
      <c r="D1322" s="188"/>
      <c r="E1322" s="188" t="str">
        <f t="shared" si="682"/>
        <v>DCMSHRIRAM</v>
      </c>
      <c r="F1322" s="188"/>
      <c r="G1322" s="188"/>
      <c r="H1322" s="188"/>
      <c r="I1322" s="188" t="s">
        <v>668</v>
      </c>
      <c r="J1322" s="188" t="s">
        <v>483</v>
      </c>
      <c r="K1322" s="188"/>
      <c r="L1322" s="188"/>
      <c r="M1322" s="189">
        <v>225</v>
      </c>
      <c r="N1322" s="190">
        <v>981.5</v>
      </c>
      <c r="O1322" s="191">
        <v>987.86670000000004</v>
      </c>
      <c r="P1322" s="192">
        <f t="shared" si="789"/>
        <v>20</v>
      </c>
      <c r="Q1322" s="192">
        <f t="shared" si="790"/>
        <v>20</v>
      </c>
      <c r="R1322" s="193">
        <f t="shared" si="685"/>
        <v>443107.51</v>
      </c>
      <c r="S1322" s="193">
        <f t="shared" si="686"/>
        <v>1432.5075000000083</v>
      </c>
      <c r="T1322" s="193">
        <v>111.77</v>
      </c>
      <c r="U1322" s="193">
        <f t="shared" si="707"/>
        <v>22.31</v>
      </c>
      <c r="V1322" s="193">
        <f t="shared" si="845"/>
        <v>55.57</v>
      </c>
      <c r="W1322" s="193">
        <f t="shared" si="839"/>
        <v>6.63</v>
      </c>
      <c r="X1322" s="193">
        <f t="shared" si="846"/>
        <v>12.19</v>
      </c>
      <c r="Y1322" s="193">
        <f t="shared" si="758"/>
        <v>0.44</v>
      </c>
      <c r="Z1322" s="193">
        <f t="shared" si="692"/>
        <v>208.90999999999997</v>
      </c>
      <c r="AA1322" s="194">
        <f t="shared" si="693"/>
        <v>1223.5999999999999</v>
      </c>
      <c r="AB1322" s="195">
        <v>1223.6600000000001</v>
      </c>
      <c r="AC1322" s="196">
        <f t="shared" si="694"/>
        <v>6.0000000000172804E-2</v>
      </c>
      <c r="AD1322" s="197">
        <f t="shared" si="695"/>
        <v>6.4867040244524065E-3</v>
      </c>
      <c r="AE1322" s="198">
        <f t="shared" si="696"/>
        <v>4.7100000000000001E-4</v>
      </c>
      <c r="AF1322" s="193"/>
      <c r="AG1322" s="199" t="s">
        <v>416</v>
      </c>
      <c r="AH1322" s="124"/>
    </row>
    <row r="1323" spans="1:34" ht="12" hidden="1" customHeight="1">
      <c r="A1323" s="187">
        <v>44722</v>
      </c>
      <c r="B1323" s="188" t="s">
        <v>589</v>
      </c>
      <c r="C1323" s="188" t="s">
        <v>460</v>
      </c>
      <c r="D1323" s="188"/>
      <c r="E1323" s="188" t="str">
        <f t="shared" si="682"/>
        <v>DCMSHRIRAM</v>
      </c>
      <c r="F1323" s="188"/>
      <c r="G1323" s="188"/>
      <c r="H1323" s="188"/>
      <c r="I1323" s="188" t="s">
        <v>668</v>
      </c>
      <c r="J1323" s="188" t="s">
        <v>483</v>
      </c>
      <c r="K1323" s="188"/>
      <c r="L1323" s="188"/>
      <c r="M1323" s="189">
        <v>50</v>
      </c>
      <c r="N1323" s="190">
        <v>982.25</v>
      </c>
      <c r="O1323" s="191">
        <v>990</v>
      </c>
      <c r="P1323" s="192">
        <f t="shared" si="789"/>
        <v>14.73</v>
      </c>
      <c r="Q1323" s="192">
        <f t="shared" si="790"/>
        <v>14.85</v>
      </c>
      <c r="R1323" s="193">
        <f t="shared" si="685"/>
        <v>98612.5</v>
      </c>
      <c r="S1323" s="193">
        <f t="shared" si="686"/>
        <v>387.5</v>
      </c>
      <c r="T1323" s="193">
        <f>ROUND(P1323+Q1323,2)</f>
        <v>29.58</v>
      </c>
      <c r="U1323" s="193">
        <f t="shared" si="707"/>
        <v>5.81</v>
      </c>
      <c r="V1323" s="193">
        <f t="shared" si="845"/>
        <v>12.38</v>
      </c>
      <c r="W1323" s="193">
        <f t="shared" si="839"/>
        <v>1.47</v>
      </c>
      <c r="X1323" s="193">
        <f t="shared" si="846"/>
        <v>2.71</v>
      </c>
      <c r="Y1323" s="193">
        <f t="shared" si="758"/>
        <v>0.1</v>
      </c>
      <c r="Z1323" s="193">
        <f t="shared" si="692"/>
        <v>52.050000000000004</v>
      </c>
      <c r="AA1323" s="194">
        <f t="shared" si="693"/>
        <v>335.45</v>
      </c>
      <c r="AB1323" s="195">
        <v>336.3</v>
      </c>
      <c r="AC1323" s="196">
        <f t="shared" si="694"/>
        <v>0.85000000000002274</v>
      </c>
      <c r="AD1323" s="197">
        <f t="shared" si="695"/>
        <v>7.8900483583609054E-3</v>
      </c>
      <c r="AE1323" s="198">
        <f t="shared" si="696"/>
        <v>5.2800000000000004E-4</v>
      </c>
      <c r="AF1323" s="193"/>
      <c r="AG1323" s="199" t="s">
        <v>416</v>
      </c>
      <c r="AH1323" s="124"/>
    </row>
    <row r="1324" spans="1:34" ht="12" hidden="1" customHeight="1">
      <c r="A1324" s="187">
        <v>44725</v>
      </c>
      <c r="B1324" s="188" t="s">
        <v>589</v>
      </c>
      <c r="C1324" s="188" t="s">
        <v>460</v>
      </c>
      <c r="D1324" s="188"/>
      <c r="E1324" s="188" t="str">
        <f t="shared" si="682"/>
        <v>DCMSHRIRAM</v>
      </c>
      <c r="F1324" s="188"/>
      <c r="G1324" s="188"/>
      <c r="H1324" s="188"/>
      <c r="I1324" s="188" t="s">
        <v>668</v>
      </c>
      <c r="J1324" s="188" t="s">
        <v>483</v>
      </c>
      <c r="K1324" s="188"/>
      <c r="L1324" s="188"/>
      <c r="M1324" s="189">
        <v>230</v>
      </c>
      <c r="N1324" s="190">
        <v>941.73910000000001</v>
      </c>
      <c r="O1324" s="191">
        <v>947.20799999999997</v>
      </c>
      <c r="P1324" s="192">
        <f t="shared" si="789"/>
        <v>20</v>
      </c>
      <c r="Q1324" s="192">
        <f t="shared" si="790"/>
        <v>20</v>
      </c>
      <c r="R1324" s="193">
        <f t="shared" si="685"/>
        <v>434457.83</v>
      </c>
      <c r="S1324" s="193">
        <f t="shared" si="686"/>
        <v>1257.8469999999913</v>
      </c>
      <c r="T1324" s="193">
        <v>125.48</v>
      </c>
      <c r="U1324" s="193">
        <f t="shared" si="707"/>
        <v>24.74</v>
      </c>
      <c r="V1324" s="193">
        <f t="shared" si="845"/>
        <v>54.46</v>
      </c>
      <c r="W1324" s="193">
        <f t="shared" si="839"/>
        <v>6.5</v>
      </c>
      <c r="X1324" s="193">
        <f t="shared" si="846"/>
        <v>11.95</v>
      </c>
      <c r="Y1324" s="193">
        <f t="shared" si="758"/>
        <v>0.43</v>
      </c>
      <c r="Z1324" s="193">
        <f t="shared" si="692"/>
        <v>223.56</v>
      </c>
      <c r="AA1324" s="194">
        <f t="shared" si="693"/>
        <v>1034.29</v>
      </c>
      <c r="AB1324" s="195">
        <v>1034.1300000000001</v>
      </c>
      <c r="AC1324" s="196">
        <f t="shared" si="694"/>
        <v>-0.15999999999985448</v>
      </c>
      <c r="AD1324" s="197">
        <f t="shared" si="695"/>
        <v>5.8072347213787368E-3</v>
      </c>
      <c r="AE1324" s="198">
        <f t="shared" si="696"/>
        <v>5.1500000000000005E-4</v>
      </c>
      <c r="AF1324" s="193"/>
      <c r="AG1324" s="199" t="s">
        <v>416</v>
      </c>
      <c r="AH1324" s="124"/>
    </row>
    <row r="1325" spans="1:34" ht="12" hidden="1" customHeight="1">
      <c r="A1325" s="187">
        <v>44726</v>
      </c>
      <c r="B1325" s="188" t="s">
        <v>589</v>
      </c>
      <c r="C1325" s="188" t="s">
        <v>460</v>
      </c>
      <c r="D1325" s="188"/>
      <c r="E1325" s="188" t="str">
        <f t="shared" si="682"/>
        <v>DCMSHRIRAM</v>
      </c>
      <c r="F1325" s="188"/>
      <c r="G1325" s="188"/>
      <c r="H1325" s="188"/>
      <c r="I1325" s="188" t="s">
        <v>668</v>
      </c>
      <c r="J1325" s="188" t="s">
        <v>483</v>
      </c>
      <c r="K1325" s="188"/>
      <c r="L1325" s="188"/>
      <c r="M1325" s="189">
        <v>200</v>
      </c>
      <c r="N1325" s="190">
        <v>933.125</v>
      </c>
      <c r="O1325" s="191">
        <v>939.00329999999997</v>
      </c>
      <c r="P1325" s="192">
        <f t="shared" si="789"/>
        <v>20</v>
      </c>
      <c r="Q1325" s="192">
        <f t="shared" si="790"/>
        <v>20</v>
      </c>
      <c r="R1325" s="193">
        <f t="shared" si="685"/>
        <v>374425.66</v>
      </c>
      <c r="S1325" s="193">
        <f t="shared" si="686"/>
        <v>1175.6599999999935</v>
      </c>
      <c r="T1325" s="193">
        <v>112.35999999999999</v>
      </c>
      <c r="U1325" s="193">
        <f t="shared" si="707"/>
        <v>22.08</v>
      </c>
      <c r="V1325" s="193">
        <f t="shared" si="845"/>
        <v>46.95</v>
      </c>
      <c r="W1325" s="193">
        <f t="shared" si="839"/>
        <v>5.6</v>
      </c>
      <c r="X1325" s="193">
        <f t="shared" si="846"/>
        <v>10.3</v>
      </c>
      <c r="Y1325" s="193">
        <f t="shared" si="758"/>
        <v>0.37</v>
      </c>
      <c r="Z1325" s="193">
        <f t="shared" si="692"/>
        <v>197.66</v>
      </c>
      <c r="AA1325" s="194">
        <f t="shared" si="693"/>
        <v>978</v>
      </c>
      <c r="AB1325" s="195">
        <v>977.58</v>
      </c>
      <c r="AC1325" s="196">
        <f t="shared" si="694"/>
        <v>-0.41999999999995907</v>
      </c>
      <c r="AD1325" s="197">
        <f t="shared" si="695"/>
        <v>6.2995847287340579E-3</v>
      </c>
      <c r="AE1325" s="198">
        <f t="shared" si="696"/>
        <v>5.2800000000000004E-4</v>
      </c>
      <c r="AF1325" s="193"/>
      <c r="AG1325" s="199" t="s">
        <v>416</v>
      </c>
      <c r="AH1325" s="124"/>
    </row>
    <row r="1326" spans="1:34" ht="12" hidden="1" customHeight="1">
      <c r="A1326" s="187">
        <v>44727</v>
      </c>
      <c r="B1326" s="188" t="s">
        <v>589</v>
      </c>
      <c r="C1326" s="188" t="s">
        <v>460</v>
      </c>
      <c r="D1326" s="188"/>
      <c r="E1326" s="188" t="str">
        <f t="shared" si="682"/>
        <v>DCMSHRIRAM</v>
      </c>
      <c r="F1326" s="188"/>
      <c r="G1326" s="188"/>
      <c r="H1326" s="188"/>
      <c r="I1326" s="188" t="s">
        <v>668</v>
      </c>
      <c r="J1326" s="188" t="s">
        <v>483</v>
      </c>
      <c r="K1326" s="188"/>
      <c r="L1326" s="188"/>
      <c r="M1326" s="189">
        <v>150</v>
      </c>
      <c r="N1326" s="190">
        <v>962.64835000000005</v>
      </c>
      <c r="O1326" s="191">
        <v>967.35</v>
      </c>
      <c r="P1326" s="192">
        <f t="shared" si="789"/>
        <v>20</v>
      </c>
      <c r="Q1326" s="192">
        <f t="shared" si="790"/>
        <v>20</v>
      </c>
      <c r="R1326" s="193">
        <f t="shared" si="685"/>
        <v>289499.75</v>
      </c>
      <c r="S1326" s="193">
        <f t="shared" si="686"/>
        <v>705.24749999999585</v>
      </c>
      <c r="T1326" s="193">
        <v>84.9</v>
      </c>
      <c r="U1326" s="193">
        <f t="shared" si="707"/>
        <v>16.71</v>
      </c>
      <c r="V1326" s="193">
        <f t="shared" si="845"/>
        <v>36.28</v>
      </c>
      <c r="W1326" s="193">
        <f t="shared" si="839"/>
        <v>4.33</v>
      </c>
      <c r="X1326" s="193">
        <f t="shared" si="846"/>
        <v>7.96</v>
      </c>
      <c r="Y1326" s="193">
        <f t="shared" si="758"/>
        <v>0.28999999999999998</v>
      </c>
      <c r="Z1326" s="193">
        <f t="shared" si="692"/>
        <v>150.47000000000003</v>
      </c>
      <c r="AA1326" s="194">
        <f t="shared" si="693"/>
        <v>554.78</v>
      </c>
      <c r="AB1326" s="195">
        <v>554.95000000000005</v>
      </c>
      <c r="AC1326" s="196">
        <f t="shared" si="694"/>
        <v>0.17000000000007276</v>
      </c>
      <c r="AD1326" s="197">
        <f t="shared" si="695"/>
        <v>4.88407838646373E-3</v>
      </c>
      <c r="AE1326" s="198">
        <f t="shared" si="696"/>
        <v>5.1999999999999995E-4</v>
      </c>
      <c r="AF1326" s="193"/>
      <c r="AG1326" s="199" t="s">
        <v>416</v>
      </c>
      <c r="AH1326" s="124"/>
    </row>
    <row r="1327" spans="1:34" ht="12" hidden="1" customHeight="1">
      <c r="A1327" s="187">
        <v>44729</v>
      </c>
      <c r="B1327" s="188" t="s">
        <v>589</v>
      </c>
      <c r="C1327" s="188" t="s">
        <v>460</v>
      </c>
      <c r="D1327" s="188"/>
      <c r="E1327" s="188" t="str">
        <f t="shared" si="682"/>
        <v>DCMSHRIRAM</v>
      </c>
      <c r="F1327" s="188"/>
      <c r="G1327" s="188"/>
      <c r="H1327" s="188"/>
      <c r="I1327" s="188" t="s">
        <v>668</v>
      </c>
      <c r="J1327" s="188" t="s">
        <v>483</v>
      </c>
      <c r="K1327" s="188"/>
      <c r="L1327" s="188"/>
      <c r="M1327" s="189">
        <v>50</v>
      </c>
      <c r="N1327" s="190">
        <v>948.85599999999999</v>
      </c>
      <c r="O1327" s="191">
        <v>955</v>
      </c>
      <c r="P1327" s="192">
        <f t="shared" si="789"/>
        <v>14.23</v>
      </c>
      <c r="Q1327" s="192">
        <f t="shared" si="790"/>
        <v>14.33</v>
      </c>
      <c r="R1327" s="193">
        <f t="shared" si="685"/>
        <v>95192.8</v>
      </c>
      <c r="S1327" s="193">
        <f t="shared" si="686"/>
        <v>307.20000000000027</v>
      </c>
      <c r="T1327" s="193">
        <f>ROUND(P1327+Q1327,2)</f>
        <v>28.56</v>
      </c>
      <c r="U1327" s="193">
        <f t="shared" si="707"/>
        <v>5.61</v>
      </c>
      <c r="V1327" s="193">
        <f t="shared" si="845"/>
        <v>11.94</v>
      </c>
      <c r="W1327" s="193">
        <f t="shared" si="839"/>
        <v>1.42</v>
      </c>
      <c r="X1327" s="193">
        <f t="shared" si="846"/>
        <v>2.62</v>
      </c>
      <c r="Y1327" s="193">
        <f t="shared" si="758"/>
        <v>0.1</v>
      </c>
      <c r="Z1327" s="193">
        <f t="shared" si="692"/>
        <v>50.25</v>
      </c>
      <c r="AA1327" s="194">
        <f t="shared" si="693"/>
        <v>256.95</v>
      </c>
      <c r="AB1327" s="195">
        <v>257.31</v>
      </c>
      <c r="AC1327" s="196">
        <f t="shared" si="694"/>
        <v>0.36000000000001364</v>
      </c>
      <c r="AD1327" s="197">
        <f t="shared" si="695"/>
        <v>6.4751658839697548E-3</v>
      </c>
      <c r="AE1327" s="198">
        <f t="shared" si="696"/>
        <v>5.2800000000000004E-4</v>
      </c>
      <c r="AF1327" s="193"/>
      <c r="AG1327" s="199" t="s">
        <v>416</v>
      </c>
      <c r="AH1327" s="124"/>
    </row>
    <row r="1328" spans="1:34" ht="12" hidden="1" customHeight="1">
      <c r="A1328" s="187">
        <v>44732</v>
      </c>
      <c r="B1328" s="188" t="s">
        <v>589</v>
      </c>
      <c r="C1328" s="188" t="s">
        <v>460</v>
      </c>
      <c r="D1328" s="188"/>
      <c r="E1328" s="188" t="str">
        <f t="shared" si="682"/>
        <v>DCMSHRIRAM</v>
      </c>
      <c r="F1328" s="188"/>
      <c r="G1328" s="188"/>
      <c r="H1328" s="188"/>
      <c r="I1328" s="188" t="s">
        <v>668</v>
      </c>
      <c r="J1328" s="188" t="s">
        <v>483</v>
      </c>
      <c r="K1328" s="188"/>
      <c r="L1328" s="188"/>
      <c r="M1328" s="189">
        <v>130</v>
      </c>
      <c r="N1328" s="190">
        <v>949.71540000000005</v>
      </c>
      <c r="O1328" s="191">
        <v>954.69230000000005</v>
      </c>
      <c r="P1328" s="192">
        <f t="shared" si="789"/>
        <v>20</v>
      </c>
      <c r="Q1328" s="192">
        <f t="shared" si="790"/>
        <v>20</v>
      </c>
      <c r="R1328" s="193">
        <f t="shared" si="685"/>
        <v>247573</v>
      </c>
      <c r="S1328" s="193">
        <f t="shared" si="686"/>
        <v>646.99700000000007</v>
      </c>
      <c r="T1328" s="193">
        <v>71.31</v>
      </c>
      <c r="U1328" s="193">
        <f t="shared" si="707"/>
        <v>14.06</v>
      </c>
      <c r="V1328" s="193">
        <f t="shared" si="845"/>
        <v>31.03</v>
      </c>
      <c r="W1328" s="193">
        <f t="shared" si="839"/>
        <v>3.7</v>
      </c>
      <c r="X1328" s="193">
        <f t="shared" si="846"/>
        <v>6.81</v>
      </c>
      <c r="Y1328" s="193">
        <f t="shared" si="758"/>
        <v>0.25</v>
      </c>
      <c r="Z1328" s="193">
        <f t="shared" si="692"/>
        <v>127.16000000000001</v>
      </c>
      <c r="AA1328" s="194">
        <f t="shared" si="693"/>
        <v>519.84</v>
      </c>
      <c r="AB1328" s="195">
        <v>519.58000000000004</v>
      </c>
      <c r="AC1328" s="196">
        <f t="shared" si="694"/>
        <v>-0.25999999999999091</v>
      </c>
      <c r="AD1328" s="197">
        <f t="shared" si="695"/>
        <v>5.2404120223805998E-3</v>
      </c>
      <c r="AE1328" s="198">
        <f t="shared" si="696"/>
        <v>5.1400000000000003E-4</v>
      </c>
      <c r="AF1328" s="193"/>
      <c r="AG1328" s="199" t="s">
        <v>416</v>
      </c>
      <c r="AH1328" s="124"/>
    </row>
    <row r="1329" spans="1:34" ht="12" hidden="1" customHeight="1">
      <c r="A1329" s="187">
        <v>44733</v>
      </c>
      <c r="B1329" s="188" t="s">
        <v>589</v>
      </c>
      <c r="C1329" s="188" t="s">
        <v>460</v>
      </c>
      <c r="D1329" s="188"/>
      <c r="E1329" s="188" t="str">
        <f t="shared" si="682"/>
        <v>DCMSHRIRAM</v>
      </c>
      <c r="F1329" s="188"/>
      <c r="G1329" s="188"/>
      <c r="H1329" s="188"/>
      <c r="I1329" s="188" t="s">
        <v>668</v>
      </c>
      <c r="J1329" s="188" t="s">
        <v>483</v>
      </c>
      <c r="K1329" s="188"/>
      <c r="L1329" s="188"/>
      <c r="M1329" s="189">
        <v>150</v>
      </c>
      <c r="N1329" s="190">
        <v>949.31500000000005</v>
      </c>
      <c r="O1329" s="191">
        <v>955.80100000000004</v>
      </c>
      <c r="P1329" s="192">
        <f t="shared" si="789"/>
        <v>20</v>
      </c>
      <c r="Q1329" s="192">
        <f t="shared" si="790"/>
        <v>20</v>
      </c>
      <c r="R1329" s="193">
        <f t="shared" si="685"/>
        <v>285767.40000000002</v>
      </c>
      <c r="S1329" s="193">
        <f t="shared" si="686"/>
        <v>972.8999999999985</v>
      </c>
      <c r="T1329" s="193">
        <v>82.82</v>
      </c>
      <c r="U1329" s="193">
        <f t="shared" si="707"/>
        <v>16.32</v>
      </c>
      <c r="V1329" s="193">
        <f t="shared" si="845"/>
        <v>35.840000000000003</v>
      </c>
      <c r="W1329" s="193">
        <f t="shared" si="839"/>
        <v>4.2699999999999996</v>
      </c>
      <c r="X1329" s="193">
        <f t="shared" si="846"/>
        <v>7.86</v>
      </c>
      <c r="Y1329" s="193">
        <f t="shared" si="758"/>
        <v>0.28999999999999998</v>
      </c>
      <c r="Z1329" s="193">
        <f t="shared" si="692"/>
        <v>147.4</v>
      </c>
      <c r="AA1329" s="194">
        <f t="shared" si="693"/>
        <v>825.5</v>
      </c>
      <c r="AB1329" s="195">
        <v>825.62</v>
      </c>
      <c r="AC1329" s="196">
        <f t="shared" si="694"/>
        <v>0.12000000000000455</v>
      </c>
      <c r="AD1329" s="197">
        <f t="shared" si="695"/>
        <v>6.8322948652449287E-3</v>
      </c>
      <c r="AE1329" s="198">
        <f t="shared" si="696"/>
        <v>5.1599999999999997E-4</v>
      </c>
      <c r="AF1329" s="193"/>
      <c r="AG1329" s="199" t="s">
        <v>416</v>
      </c>
      <c r="AH1329" s="124"/>
    </row>
    <row r="1330" spans="1:34" ht="12" hidden="1" customHeight="1">
      <c r="A1330" s="187">
        <v>44734</v>
      </c>
      <c r="B1330" s="188" t="s">
        <v>589</v>
      </c>
      <c r="C1330" s="188" t="s">
        <v>460</v>
      </c>
      <c r="D1330" s="188"/>
      <c r="E1330" s="188" t="str">
        <f t="shared" si="682"/>
        <v>DCMSHRIRAM</v>
      </c>
      <c r="F1330" s="188"/>
      <c r="G1330" s="188"/>
      <c r="H1330" s="188"/>
      <c r="I1330" s="188" t="s">
        <v>668</v>
      </c>
      <c r="J1330" s="188" t="s">
        <v>483</v>
      </c>
      <c r="K1330" s="188"/>
      <c r="L1330" s="188"/>
      <c r="M1330" s="189">
        <v>50</v>
      </c>
      <c r="N1330" s="190">
        <v>935.84</v>
      </c>
      <c r="O1330" s="191">
        <v>938.5</v>
      </c>
      <c r="P1330" s="192">
        <f t="shared" si="789"/>
        <v>14.04</v>
      </c>
      <c r="Q1330" s="192">
        <f t="shared" si="790"/>
        <v>14.08</v>
      </c>
      <c r="R1330" s="193">
        <f t="shared" si="685"/>
        <v>93717</v>
      </c>
      <c r="S1330" s="193">
        <f t="shared" si="686"/>
        <v>132.99999999999841</v>
      </c>
      <c r="T1330" s="193">
        <f>ROUND(P1330+Q1330,2)</f>
        <v>28.12</v>
      </c>
      <c r="U1330" s="193">
        <f t="shared" si="707"/>
        <v>5.53</v>
      </c>
      <c r="V1330" s="193">
        <f t="shared" si="845"/>
        <v>11.73</v>
      </c>
      <c r="W1330" s="193">
        <f t="shared" si="839"/>
        <v>1.4</v>
      </c>
      <c r="X1330" s="193">
        <f t="shared" si="846"/>
        <v>2.58</v>
      </c>
      <c r="Y1330" s="193">
        <f t="shared" si="758"/>
        <v>0.09</v>
      </c>
      <c r="Z1330" s="193">
        <f t="shared" si="692"/>
        <v>49.449999999999996</v>
      </c>
      <c r="AA1330" s="194">
        <f t="shared" si="693"/>
        <v>83.55</v>
      </c>
      <c r="AB1330" s="195">
        <v>83.69</v>
      </c>
      <c r="AC1330" s="196">
        <f t="shared" si="694"/>
        <v>0.14000000000000057</v>
      </c>
      <c r="AD1330" s="197">
        <f t="shared" si="695"/>
        <v>2.8423662164472219E-3</v>
      </c>
      <c r="AE1330" s="198">
        <f t="shared" si="696"/>
        <v>5.2800000000000004E-4</v>
      </c>
      <c r="AF1330" s="193"/>
      <c r="AG1330" s="199" t="s">
        <v>416</v>
      </c>
      <c r="AH1330" s="124"/>
    </row>
    <row r="1331" spans="1:34" ht="12" hidden="1" customHeight="1">
      <c r="A1331" s="187">
        <v>44736</v>
      </c>
      <c r="B1331" s="188" t="s">
        <v>589</v>
      </c>
      <c r="C1331" s="188" t="s">
        <v>460</v>
      </c>
      <c r="D1331" s="188"/>
      <c r="E1331" s="188" t="str">
        <f t="shared" si="682"/>
        <v>DCMSHRIRAM</v>
      </c>
      <c r="F1331" s="188"/>
      <c r="G1331" s="188"/>
      <c r="H1331" s="188"/>
      <c r="I1331" s="188" t="s">
        <v>668</v>
      </c>
      <c r="J1331" s="188" t="s">
        <v>483</v>
      </c>
      <c r="K1331" s="188"/>
      <c r="L1331" s="188"/>
      <c r="M1331" s="189">
        <v>150</v>
      </c>
      <c r="N1331" s="190">
        <v>944.80634999999995</v>
      </c>
      <c r="O1331" s="191">
        <v>950</v>
      </c>
      <c r="P1331" s="192">
        <f t="shared" si="789"/>
        <v>20</v>
      </c>
      <c r="Q1331" s="192">
        <f t="shared" si="790"/>
        <v>20</v>
      </c>
      <c r="R1331" s="193">
        <f t="shared" si="685"/>
        <v>284220.95</v>
      </c>
      <c r="S1331" s="193">
        <f t="shared" si="686"/>
        <v>779.04750000000718</v>
      </c>
      <c r="T1331" s="193">
        <v>82.57</v>
      </c>
      <c r="U1331" s="193">
        <f t="shared" si="707"/>
        <v>16.27</v>
      </c>
      <c r="V1331" s="193">
        <f t="shared" si="845"/>
        <v>35.630000000000003</v>
      </c>
      <c r="W1331" s="193">
        <f t="shared" si="839"/>
        <v>4.25</v>
      </c>
      <c r="X1331" s="193">
        <f t="shared" si="846"/>
        <v>7.82</v>
      </c>
      <c r="Y1331" s="193">
        <f t="shared" si="758"/>
        <v>0.28000000000000003</v>
      </c>
      <c r="Z1331" s="193">
        <f t="shared" si="692"/>
        <v>146.82</v>
      </c>
      <c r="AA1331" s="194">
        <f t="shared" si="693"/>
        <v>632.23</v>
      </c>
      <c r="AB1331" s="195">
        <v>632.12</v>
      </c>
      <c r="AC1331" s="196">
        <f t="shared" si="694"/>
        <v>-0.11000000000001364</v>
      </c>
      <c r="AD1331" s="197">
        <f t="shared" si="695"/>
        <v>5.4970523853909836E-3</v>
      </c>
      <c r="AE1331" s="198">
        <f t="shared" si="696"/>
        <v>5.1699999999999999E-4</v>
      </c>
      <c r="AF1331" s="193"/>
      <c r="AG1331" s="199" t="s">
        <v>416</v>
      </c>
      <c r="AH1331" s="124"/>
    </row>
    <row r="1332" spans="1:34" ht="12" hidden="1" customHeight="1">
      <c r="A1332" s="187">
        <v>44736</v>
      </c>
      <c r="B1332" s="188" t="s">
        <v>308</v>
      </c>
      <c r="C1332" s="188" t="s">
        <v>485</v>
      </c>
      <c r="D1332" s="188"/>
      <c r="E1332" s="188" t="str">
        <f t="shared" si="682"/>
        <v>INEOSSTYRO</v>
      </c>
      <c r="F1332" s="188"/>
      <c r="G1332" s="188"/>
      <c r="H1332" s="188"/>
      <c r="I1332" s="188" t="s">
        <v>668</v>
      </c>
      <c r="J1332" s="188" t="s">
        <v>483</v>
      </c>
      <c r="K1332" s="188"/>
      <c r="L1332" s="188"/>
      <c r="M1332" s="189">
        <v>55</v>
      </c>
      <c r="N1332" s="190">
        <v>777</v>
      </c>
      <c r="O1332" s="191">
        <v>780</v>
      </c>
      <c r="P1332" s="192">
        <f t="shared" si="789"/>
        <v>12.82</v>
      </c>
      <c r="Q1332" s="192">
        <f t="shared" si="790"/>
        <v>12.87</v>
      </c>
      <c r="R1332" s="193">
        <f t="shared" si="685"/>
        <v>85635</v>
      </c>
      <c r="S1332" s="193">
        <f t="shared" si="686"/>
        <v>165</v>
      </c>
      <c r="T1332" s="193">
        <f t="shared" ref="T1332:T1333" si="847">ROUND(P1332+Q1332,2)</f>
        <v>25.69</v>
      </c>
      <c r="U1332" s="193">
        <f t="shared" si="707"/>
        <v>5.05</v>
      </c>
      <c r="V1332" s="193">
        <f t="shared" si="845"/>
        <v>10.73</v>
      </c>
      <c r="W1332" s="193">
        <f t="shared" si="839"/>
        <v>1.28</v>
      </c>
      <c r="X1332" s="193">
        <f t="shared" si="846"/>
        <v>2.35</v>
      </c>
      <c r="Y1332" s="193">
        <f t="shared" si="758"/>
        <v>0.09</v>
      </c>
      <c r="Z1332" s="193">
        <f t="shared" si="692"/>
        <v>45.190000000000005</v>
      </c>
      <c r="AA1332" s="194">
        <f t="shared" si="693"/>
        <v>119.81</v>
      </c>
      <c r="AB1332" s="195">
        <v>119.82</v>
      </c>
      <c r="AC1332" s="196">
        <f t="shared" si="694"/>
        <v>9.9999999999909051E-3</v>
      </c>
      <c r="AD1332" s="197">
        <f t="shared" si="695"/>
        <v>3.8610038610038611E-3</v>
      </c>
      <c r="AE1332" s="198">
        <f t="shared" si="696"/>
        <v>5.2800000000000004E-4</v>
      </c>
      <c r="AF1332" s="193"/>
      <c r="AG1332" s="199" t="s">
        <v>416</v>
      </c>
      <c r="AH1332" s="124"/>
    </row>
    <row r="1333" spans="1:34" ht="12" hidden="1" customHeight="1">
      <c r="A1333" s="187">
        <v>44739</v>
      </c>
      <c r="B1333" s="188" t="s">
        <v>589</v>
      </c>
      <c r="C1333" s="188" t="s">
        <v>460</v>
      </c>
      <c r="D1333" s="188"/>
      <c r="E1333" s="188" t="str">
        <f t="shared" si="682"/>
        <v>DCMSHRIRAM</v>
      </c>
      <c r="F1333" s="188"/>
      <c r="G1333" s="188"/>
      <c r="H1333" s="188"/>
      <c r="I1333" s="188" t="s">
        <v>668</v>
      </c>
      <c r="J1333" s="188" t="s">
        <v>483</v>
      </c>
      <c r="K1333" s="188"/>
      <c r="L1333" s="188"/>
      <c r="M1333" s="189">
        <v>50</v>
      </c>
      <c r="N1333" s="190">
        <v>949.67</v>
      </c>
      <c r="O1333" s="191">
        <v>955.02</v>
      </c>
      <c r="P1333" s="192">
        <f t="shared" si="789"/>
        <v>14.25</v>
      </c>
      <c r="Q1333" s="192">
        <f t="shared" si="790"/>
        <v>14.33</v>
      </c>
      <c r="R1333" s="193">
        <f t="shared" si="685"/>
        <v>95234.5</v>
      </c>
      <c r="S1333" s="193">
        <f t="shared" si="686"/>
        <v>267.50000000000114</v>
      </c>
      <c r="T1333" s="193">
        <f t="shared" si="847"/>
        <v>28.58</v>
      </c>
      <c r="U1333" s="193">
        <f t="shared" si="707"/>
        <v>5.62</v>
      </c>
      <c r="V1333" s="193">
        <f t="shared" si="845"/>
        <v>11.94</v>
      </c>
      <c r="W1333" s="193">
        <f t="shared" si="839"/>
        <v>1.42</v>
      </c>
      <c r="X1333" s="193">
        <f t="shared" si="846"/>
        <v>2.62</v>
      </c>
      <c r="Y1333" s="193">
        <f t="shared" si="758"/>
        <v>0.1</v>
      </c>
      <c r="Z1333" s="193">
        <f t="shared" si="692"/>
        <v>50.279999999999994</v>
      </c>
      <c r="AA1333" s="194">
        <f t="shared" si="693"/>
        <v>217.22</v>
      </c>
      <c r="AB1333" s="195">
        <v>218.16</v>
      </c>
      <c r="AC1333" s="196">
        <f t="shared" si="694"/>
        <v>0.93999999999999773</v>
      </c>
      <c r="AD1333" s="197">
        <f t="shared" si="695"/>
        <v>5.6335358598250162E-3</v>
      </c>
      <c r="AE1333" s="198">
        <f t="shared" si="696"/>
        <v>5.2800000000000004E-4</v>
      </c>
      <c r="AF1333" s="193"/>
      <c r="AG1333" s="199" t="s">
        <v>416</v>
      </c>
      <c r="AH1333" s="124"/>
    </row>
    <row r="1334" spans="1:34" ht="12" hidden="1" customHeight="1">
      <c r="A1334" s="187">
        <v>44740</v>
      </c>
      <c r="B1334" s="188" t="s">
        <v>589</v>
      </c>
      <c r="C1334" s="188" t="s">
        <v>460</v>
      </c>
      <c r="D1334" s="188"/>
      <c r="E1334" s="188" t="str">
        <f t="shared" si="682"/>
        <v>DCMSHRIRAM</v>
      </c>
      <c r="F1334" s="188"/>
      <c r="G1334" s="188"/>
      <c r="H1334" s="188"/>
      <c r="I1334" s="188" t="s">
        <v>668</v>
      </c>
      <c r="J1334" s="188" t="s">
        <v>483</v>
      </c>
      <c r="K1334" s="188"/>
      <c r="L1334" s="188"/>
      <c r="M1334" s="189">
        <v>123</v>
      </c>
      <c r="N1334" s="190">
        <v>952.01419999999996</v>
      </c>
      <c r="O1334" s="191">
        <v>958.05</v>
      </c>
      <c r="P1334" s="192">
        <f t="shared" si="789"/>
        <v>20</v>
      </c>
      <c r="Q1334" s="192">
        <f t="shared" si="790"/>
        <v>20</v>
      </c>
      <c r="R1334" s="193">
        <f t="shared" si="685"/>
        <v>234937.9</v>
      </c>
      <c r="S1334" s="193">
        <f t="shared" si="686"/>
        <v>742.40339999999935</v>
      </c>
      <c r="T1334" s="193">
        <v>70.48</v>
      </c>
      <c r="U1334" s="193">
        <f t="shared" si="707"/>
        <v>13.85</v>
      </c>
      <c r="V1334" s="193">
        <f t="shared" si="845"/>
        <v>29.46</v>
      </c>
      <c r="W1334" s="193">
        <f t="shared" si="839"/>
        <v>3.51</v>
      </c>
      <c r="X1334" s="193">
        <f t="shared" si="846"/>
        <v>6.46</v>
      </c>
      <c r="Y1334" s="193">
        <f t="shared" si="758"/>
        <v>0.23</v>
      </c>
      <c r="Z1334" s="193">
        <f t="shared" si="692"/>
        <v>123.99</v>
      </c>
      <c r="AA1334" s="194">
        <f t="shared" si="693"/>
        <v>618.41</v>
      </c>
      <c r="AB1334" s="195">
        <v>618.37</v>
      </c>
      <c r="AC1334" s="196">
        <f t="shared" si="694"/>
        <v>-3.999999999996362E-2</v>
      </c>
      <c r="AD1334" s="197">
        <f t="shared" si="695"/>
        <v>6.3400314827236764E-3</v>
      </c>
      <c r="AE1334" s="198">
        <f t="shared" si="696"/>
        <v>5.2800000000000004E-4</v>
      </c>
      <c r="AF1334" s="193"/>
      <c r="AG1334" s="199" t="s">
        <v>416</v>
      </c>
      <c r="AH1334" s="124"/>
    </row>
    <row r="1335" spans="1:34" ht="12" hidden="1" customHeight="1">
      <c r="A1335" s="187">
        <v>44743</v>
      </c>
      <c r="B1335" s="188" t="s">
        <v>589</v>
      </c>
      <c r="C1335" s="188" t="s">
        <v>460</v>
      </c>
      <c r="D1335" s="188"/>
      <c r="E1335" s="188" t="str">
        <f t="shared" si="682"/>
        <v>DCMSHRIRAM</v>
      </c>
      <c r="F1335" s="188"/>
      <c r="G1335" s="188"/>
      <c r="H1335" s="188"/>
      <c r="I1335" s="188" t="s">
        <v>668</v>
      </c>
      <c r="J1335" s="188" t="s">
        <v>483</v>
      </c>
      <c r="K1335" s="188"/>
      <c r="L1335" s="188"/>
      <c r="M1335" s="189">
        <v>77</v>
      </c>
      <c r="N1335" s="190">
        <v>946.46749999999997</v>
      </c>
      <c r="O1335" s="191">
        <v>950.45320000000004</v>
      </c>
      <c r="P1335" s="192">
        <f t="shared" si="789"/>
        <v>20</v>
      </c>
      <c r="Q1335" s="192">
        <f t="shared" si="790"/>
        <v>20</v>
      </c>
      <c r="R1335" s="193">
        <f t="shared" si="685"/>
        <v>146062.89000000001</v>
      </c>
      <c r="S1335" s="193">
        <f t="shared" si="686"/>
        <v>306.89890000000503</v>
      </c>
      <c r="T1335" s="193">
        <v>54.61</v>
      </c>
      <c r="U1335" s="193">
        <f t="shared" si="707"/>
        <v>10.55</v>
      </c>
      <c r="V1335" s="193">
        <f t="shared" si="845"/>
        <v>18.3</v>
      </c>
      <c r="W1335" s="193">
        <f t="shared" si="839"/>
        <v>2.19</v>
      </c>
      <c r="X1335" s="193">
        <f t="shared" si="846"/>
        <v>4.0199999999999996</v>
      </c>
      <c r="Y1335" s="193">
        <f t="shared" si="758"/>
        <v>0.15</v>
      </c>
      <c r="Z1335" s="193">
        <f t="shared" si="692"/>
        <v>89.82</v>
      </c>
      <c r="AA1335" s="194">
        <f t="shared" si="693"/>
        <v>217.08</v>
      </c>
      <c r="AB1335" s="195">
        <v>217.37</v>
      </c>
      <c r="AC1335" s="196">
        <f t="shared" si="694"/>
        <v>0.28999999999999204</v>
      </c>
      <c r="AD1335" s="197">
        <f t="shared" si="695"/>
        <v>4.2111324477597653E-3</v>
      </c>
      <c r="AE1335" s="198">
        <f t="shared" si="696"/>
        <v>6.1499999999999999E-4</v>
      </c>
      <c r="AF1335" s="193"/>
      <c r="AG1335" s="199" t="s">
        <v>416</v>
      </c>
      <c r="AH1335" s="124"/>
    </row>
    <row r="1336" spans="1:34" ht="12" hidden="1" customHeight="1">
      <c r="A1336" s="187">
        <v>44746</v>
      </c>
      <c r="B1336" s="188" t="s">
        <v>589</v>
      </c>
      <c r="C1336" s="188" t="s">
        <v>460</v>
      </c>
      <c r="D1336" s="188"/>
      <c r="E1336" s="188" t="str">
        <f t="shared" si="682"/>
        <v>DCMSHRIRAM</v>
      </c>
      <c r="F1336" s="188"/>
      <c r="G1336" s="188"/>
      <c r="H1336" s="188"/>
      <c r="I1336" s="188" t="s">
        <v>668</v>
      </c>
      <c r="J1336" s="188" t="s">
        <v>483</v>
      </c>
      <c r="K1336" s="188"/>
      <c r="L1336" s="188"/>
      <c r="M1336" s="189">
        <v>50</v>
      </c>
      <c r="N1336" s="190">
        <v>952.5</v>
      </c>
      <c r="O1336" s="191">
        <v>955.66</v>
      </c>
      <c r="P1336" s="192">
        <f t="shared" si="789"/>
        <v>14.29</v>
      </c>
      <c r="Q1336" s="192">
        <f t="shared" si="790"/>
        <v>14.33</v>
      </c>
      <c r="R1336" s="193">
        <f t="shared" si="685"/>
        <v>95408</v>
      </c>
      <c r="S1336" s="193">
        <f t="shared" si="686"/>
        <v>157.99999999999841</v>
      </c>
      <c r="T1336" s="193">
        <f>ROUND(P1336+Q1336,2)</f>
        <v>28.62</v>
      </c>
      <c r="U1336" s="193">
        <f t="shared" si="707"/>
        <v>5.62</v>
      </c>
      <c r="V1336" s="193">
        <f t="shared" si="845"/>
        <v>11.95</v>
      </c>
      <c r="W1336" s="193">
        <f t="shared" si="839"/>
        <v>1.43</v>
      </c>
      <c r="X1336" s="193">
        <f t="shared" si="846"/>
        <v>2.62</v>
      </c>
      <c r="Y1336" s="193">
        <f t="shared" si="758"/>
        <v>0.1</v>
      </c>
      <c r="Z1336" s="193">
        <f t="shared" si="692"/>
        <v>50.339999999999996</v>
      </c>
      <c r="AA1336" s="194">
        <f t="shared" si="693"/>
        <v>107.66</v>
      </c>
      <c r="AB1336" s="195">
        <v>107.09</v>
      </c>
      <c r="AC1336" s="196">
        <f t="shared" si="694"/>
        <v>-0.56999999999999318</v>
      </c>
      <c r="AD1336" s="197">
        <f t="shared" si="695"/>
        <v>3.3175853018372371E-3</v>
      </c>
      <c r="AE1336" s="198">
        <f t="shared" si="696"/>
        <v>5.2800000000000004E-4</v>
      </c>
      <c r="AF1336" s="193"/>
      <c r="AG1336" s="199" t="s">
        <v>416</v>
      </c>
      <c r="AH1336" s="124"/>
    </row>
    <row r="1337" spans="1:34" ht="12" hidden="1" customHeight="1">
      <c r="A1337" s="187">
        <v>44747</v>
      </c>
      <c r="B1337" s="188" t="s">
        <v>589</v>
      </c>
      <c r="C1337" s="188" t="s">
        <v>460</v>
      </c>
      <c r="D1337" s="188"/>
      <c r="E1337" s="188" t="str">
        <f t="shared" si="682"/>
        <v>DCMSHRIRAM</v>
      </c>
      <c r="F1337" s="188"/>
      <c r="G1337" s="188"/>
      <c r="H1337" s="188"/>
      <c r="I1337" s="188" t="s">
        <v>668</v>
      </c>
      <c r="J1337" s="188" t="s">
        <v>483</v>
      </c>
      <c r="K1337" s="188"/>
      <c r="L1337" s="188"/>
      <c r="M1337" s="189">
        <v>100</v>
      </c>
      <c r="N1337" s="190">
        <v>953.32500000000005</v>
      </c>
      <c r="O1337" s="191">
        <v>958.5</v>
      </c>
      <c r="P1337" s="192">
        <f t="shared" si="789"/>
        <v>20</v>
      </c>
      <c r="Q1337" s="192">
        <f t="shared" si="790"/>
        <v>20</v>
      </c>
      <c r="R1337" s="193">
        <f t="shared" si="685"/>
        <v>191182.5</v>
      </c>
      <c r="S1337" s="193">
        <f t="shared" si="686"/>
        <v>517.49999999999545</v>
      </c>
      <c r="T1337" s="193">
        <v>64.52</v>
      </c>
      <c r="U1337" s="193">
        <f t="shared" si="707"/>
        <v>12.56</v>
      </c>
      <c r="V1337" s="193">
        <f t="shared" si="845"/>
        <v>23.96</v>
      </c>
      <c r="W1337" s="193">
        <f t="shared" si="839"/>
        <v>2.86</v>
      </c>
      <c r="X1337" s="193">
        <f t="shared" si="846"/>
        <v>5.26</v>
      </c>
      <c r="Y1337" s="193">
        <f t="shared" si="758"/>
        <v>0.19</v>
      </c>
      <c r="Z1337" s="193">
        <f t="shared" si="692"/>
        <v>109.35</v>
      </c>
      <c r="AA1337" s="194">
        <f t="shared" si="693"/>
        <v>408.15</v>
      </c>
      <c r="AB1337" s="195">
        <v>408.18</v>
      </c>
      <c r="AC1337" s="196">
        <f t="shared" si="694"/>
        <v>3.0000000000029559E-2</v>
      </c>
      <c r="AD1337" s="197">
        <f t="shared" si="695"/>
        <v>5.4283691291007307E-3</v>
      </c>
      <c r="AE1337" s="198">
        <f t="shared" si="696"/>
        <v>5.7200000000000003E-4</v>
      </c>
      <c r="AF1337" s="193"/>
      <c r="AG1337" s="199" t="s">
        <v>416</v>
      </c>
      <c r="AH1337" s="124"/>
    </row>
    <row r="1338" spans="1:34" ht="12" hidden="1" customHeight="1">
      <c r="A1338" s="187">
        <v>44748</v>
      </c>
      <c r="B1338" s="188" t="s">
        <v>589</v>
      </c>
      <c r="C1338" s="188" t="s">
        <v>460</v>
      </c>
      <c r="D1338" s="188"/>
      <c r="E1338" s="188" t="str">
        <f t="shared" si="682"/>
        <v>DCMSHRIRAM</v>
      </c>
      <c r="F1338" s="188"/>
      <c r="G1338" s="188"/>
      <c r="H1338" s="188"/>
      <c r="I1338" s="188" t="s">
        <v>668</v>
      </c>
      <c r="J1338" s="188" t="s">
        <v>483</v>
      </c>
      <c r="K1338" s="188"/>
      <c r="L1338" s="188"/>
      <c r="M1338" s="189">
        <v>50</v>
      </c>
      <c r="N1338" s="190">
        <v>974</v>
      </c>
      <c r="O1338" s="191">
        <v>977</v>
      </c>
      <c r="P1338" s="192">
        <f t="shared" si="789"/>
        <v>14.61</v>
      </c>
      <c r="Q1338" s="192">
        <f t="shared" si="790"/>
        <v>14.66</v>
      </c>
      <c r="R1338" s="193">
        <f t="shared" si="685"/>
        <v>97550</v>
      </c>
      <c r="S1338" s="193">
        <f t="shared" si="686"/>
        <v>150</v>
      </c>
      <c r="T1338" s="193">
        <f>ROUND(P1338+Q1338,2)</f>
        <v>29.27</v>
      </c>
      <c r="U1338" s="193">
        <f t="shared" si="707"/>
        <v>5.75</v>
      </c>
      <c r="V1338" s="193">
        <f t="shared" si="845"/>
        <v>12.21</v>
      </c>
      <c r="W1338" s="193">
        <f t="shared" si="839"/>
        <v>1.46</v>
      </c>
      <c r="X1338" s="193">
        <f t="shared" si="846"/>
        <v>2.68</v>
      </c>
      <c r="Y1338" s="193">
        <f t="shared" si="758"/>
        <v>0.1</v>
      </c>
      <c r="Z1338" s="193">
        <f t="shared" si="692"/>
        <v>51.47</v>
      </c>
      <c r="AA1338" s="194">
        <f t="shared" si="693"/>
        <v>98.53</v>
      </c>
      <c r="AB1338" s="195">
        <v>98.31</v>
      </c>
      <c r="AC1338" s="196">
        <f t="shared" si="694"/>
        <v>-0.21999999999999886</v>
      </c>
      <c r="AD1338" s="197">
        <f t="shared" si="695"/>
        <v>3.0800821355236141E-3</v>
      </c>
      <c r="AE1338" s="198">
        <f t="shared" si="696"/>
        <v>5.2800000000000004E-4</v>
      </c>
      <c r="AF1338" s="193"/>
      <c r="AG1338" s="199" t="s">
        <v>416</v>
      </c>
      <c r="AH1338" s="124"/>
    </row>
    <row r="1339" spans="1:34" ht="12" hidden="1" customHeight="1">
      <c r="A1339" s="187">
        <v>44753</v>
      </c>
      <c r="B1339" s="188" t="s">
        <v>589</v>
      </c>
      <c r="C1339" s="188" t="s">
        <v>460</v>
      </c>
      <c r="D1339" s="188"/>
      <c r="E1339" s="188" t="str">
        <f t="shared" si="682"/>
        <v>DCMSHRIRAM</v>
      </c>
      <c r="F1339" s="188"/>
      <c r="G1339" s="188"/>
      <c r="H1339" s="188"/>
      <c r="I1339" s="188" t="s">
        <v>668</v>
      </c>
      <c r="J1339" s="188" t="s">
        <v>483</v>
      </c>
      <c r="K1339" s="188"/>
      <c r="L1339" s="188"/>
      <c r="M1339" s="189">
        <v>10</v>
      </c>
      <c r="N1339" s="190">
        <v>967</v>
      </c>
      <c r="O1339" s="191">
        <v>972.82</v>
      </c>
      <c r="P1339" s="192">
        <f t="shared" si="789"/>
        <v>2.9</v>
      </c>
      <c r="Q1339" s="192">
        <f t="shared" si="790"/>
        <v>2.92</v>
      </c>
      <c r="R1339" s="193">
        <f t="shared" si="685"/>
        <v>19398.2</v>
      </c>
      <c r="S1339" s="193">
        <f t="shared" si="686"/>
        <v>58.2000000000005</v>
      </c>
      <c r="T1339" s="193">
        <v>17.28</v>
      </c>
      <c r="U1339" s="193">
        <f t="shared" si="707"/>
        <v>3.21</v>
      </c>
      <c r="V1339" s="193">
        <f t="shared" si="845"/>
        <v>2.4300000000000002</v>
      </c>
      <c r="W1339" s="193">
        <f t="shared" si="839"/>
        <v>0.28999999999999998</v>
      </c>
      <c r="X1339" s="193">
        <f t="shared" si="846"/>
        <v>0.53</v>
      </c>
      <c r="Y1339" s="193">
        <f t="shared" si="758"/>
        <v>0.02</v>
      </c>
      <c r="Z1339" s="193">
        <f t="shared" si="692"/>
        <v>23.76</v>
      </c>
      <c r="AA1339" s="194">
        <f t="shared" si="693"/>
        <v>34.44</v>
      </c>
      <c r="AB1339" s="195">
        <v>34</v>
      </c>
      <c r="AC1339" s="196">
        <f t="shared" si="694"/>
        <v>-0.43999999999999773</v>
      </c>
      <c r="AD1339" s="197">
        <f t="shared" si="695"/>
        <v>6.0186142709411066E-3</v>
      </c>
      <c r="AE1339" s="198">
        <f t="shared" si="696"/>
        <v>1.225E-3</v>
      </c>
      <c r="AF1339" s="193"/>
      <c r="AG1339" s="199" t="s">
        <v>416</v>
      </c>
      <c r="AH1339" s="124"/>
    </row>
    <row r="1340" spans="1:34" ht="12" hidden="1" customHeight="1">
      <c r="A1340" s="187">
        <v>44753</v>
      </c>
      <c r="B1340" s="188" t="s">
        <v>308</v>
      </c>
      <c r="C1340" s="188" t="s">
        <v>485</v>
      </c>
      <c r="D1340" s="188"/>
      <c r="E1340" s="188" t="str">
        <f t="shared" si="682"/>
        <v>INEOSSTYRO</v>
      </c>
      <c r="F1340" s="188"/>
      <c r="G1340" s="188"/>
      <c r="H1340" s="188"/>
      <c r="I1340" s="188" t="s">
        <v>668</v>
      </c>
      <c r="J1340" s="188" t="s">
        <v>483</v>
      </c>
      <c r="K1340" s="188"/>
      <c r="L1340" s="188"/>
      <c r="M1340" s="189">
        <v>9</v>
      </c>
      <c r="N1340" s="190">
        <v>860</v>
      </c>
      <c r="O1340" s="191">
        <v>880</v>
      </c>
      <c r="P1340" s="192">
        <f t="shared" si="789"/>
        <v>2.3199999999999998</v>
      </c>
      <c r="Q1340" s="192">
        <f t="shared" si="790"/>
        <v>2.38</v>
      </c>
      <c r="R1340" s="193">
        <f t="shared" si="685"/>
        <v>15660</v>
      </c>
      <c r="S1340" s="193">
        <f t="shared" si="686"/>
        <v>180</v>
      </c>
      <c r="T1340" s="193">
        <v>7.42</v>
      </c>
      <c r="U1340" s="193">
        <f t="shared" si="707"/>
        <v>1.48</v>
      </c>
      <c r="V1340" s="193">
        <f t="shared" si="845"/>
        <v>1.98</v>
      </c>
      <c r="W1340" s="193">
        <f t="shared" si="839"/>
        <v>0.23</v>
      </c>
      <c r="X1340" s="193">
        <f>ROUND(R1340*G$1820,2)+0.35</f>
        <v>0.78</v>
      </c>
      <c r="Y1340" s="193">
        <f t="shared" si="758"/>
        <v>0.02</v>
      </c>
      <c r="Z1340" s="193">
        <f t="shared" si="692"/>
        <v>11.91</v>
      </c>
      <c r="AA1340" s="194">
        <f t="shared" si="693"/>
        <v>168.09</v>
      </c>
      <c r="AB1340" s="195">
        <v>167.87</v>
      </c>
      <c r="AC1340" s="196">
        <f t="shared" si="694"/>
        <v>-0.21999999999999886</v>
      </c>
      <c r="AD1340" s="197">
        <f t="shared" si="695"/>
        <v>2.3255813953488372E-2</v>
      </c>
      <c r="AE1340" s="198">
        <f t="shared" si="696"/>
        <v>7.6099999999999996E-4</v>
      </c>
      <c r="AF1340" s="193"/>
      <c r="AG1340" s="199" t="s">
        <v>416</v>
      </c>
      <c r="AH1340" s="124"/>
    </row>
    <row r="1341" spans="1:34" ht="12" hidden="1" customHeight="1">
      <c r="A1341" s="187">
        <v>44754</v>
      </c>
      <c r="B1341" s="188" t="s">
        <v>589</v>
      </c>
      <c r="C1341" s="188" t="s">
        <v>460</v>
      </c>
      <c r="D1341" s="188"/>
      <c r="E1341" s="188" t="str">
        <f t="shared" si="682"/>
        <v>DCMSHRIRAM</v>
      </c>
      <c r="F1341" s="188"/>
      <c r="G1341" s="188"/>
      <c r="H1341" s="188"/>
      <c r="I1341" s="188" t="s">
        <v>668</v>
      </c>
      <c r="J1341" s="188" t="s">
        <v>483</v>
      </c>
      <c r="K1341" s="188"/>
      <c r="L1341" s="188"/>
      <c r="M1341" s="189">
        <v>100</v>
      </c>
      <c r="N1341" s="190">
        <v>985</v>
      </c>
      <c r="O1341" s="191">
        <v>989.375</v>
      </c>
      <c r="P1341" s="192">
        <f t="shared" si="789"/>
        <v>20</v>
      </c>
      <c r="Q1341" s="192">
        <f t="shared" si="790"/>
        <v>20</v>
      </c>
      <c r="R1341" s="193">
        <f t="shared" si="685"/>
        <v>197437.5</v>
      </c>
      <c r="S1341" s="193">
        <f t="shared" si="686"/>
        <v>437.5</v>
      </c>
      <c r="T1341" s="193">
        <v>119.97</v>
      </c>
      <c r="U1341" s="193">
        <f t="shared" si="707"/>
        <v>22.57</v>
      </c>
      <c r="V1341" s="193">
        <f t="shared" si="845"/>
        <v>24.73</v>
      </c>
      <c r="W1341" s="193">
        <f t="shared" si="839"/>
        <v>2.96</v>
      </c>
      <c r="X1341" s="193">
        <f t="shared" ref="X1341:X1346" si="848">ROUND(R1341*G$1820,2)</f>
        <v>5.43</v>
      </c>
      <c r="Y1341" s="193">
        <f t="shared" si="758"/>
        <v>0.2</v>
      </c>
      <c r="Z1341" s="193">
        <f t="shared" si="692"/>
        <v>175.85999999999999</v>
      </c>
      <c r="AA1341" s="194">
        <f t="shared" si="693"/>
        <v>261.64</v>
      </c>
      <c r="AB1341" s="195">
        <v>262.45999999999998</v>
      </c>
      <c r="AC1341" s="196">
        <f t="shared" si="694"/>
        <v>0.81999999999999318</v>
      </c>
      <c r="AD1341" s="197">
        <f t="shared" si="695"/>
        <v>4.4416243654822338E-3</v>
      </c>
      <c r="AE1341" s="198">
        <f t="shared" si="696"/>
        <v>8.9099999999999997E-4</v>
      </c>
      <c r="AF1341" s="193"/>
      <c r="AG1341" s="199" t="s">
        <v>416</v>
      </c>
      <c r="AH1341" s="124"/>
    </row>
    <row r="1342" spans="1:34" ht="12" hidden="1" customHeight="1">
      <c r="A1342" s="187">
        <v>44756</v>
      </c>
      <c r="B1342" s="188" t="s">
        <v>589</v>
      </c>
      <c r="C1342" s="188" t="s">
        <v>460</v>
      </c>
      <c r="D1342" s="188"/>
      <c r="E1342" s="188" t="str">
        <f t="shared" si="682"/>
        <v>DCMSHRIRAM</v>
      </c>
      <c r="F1342" s="188"/>
      <c r="G1342" s="188"/>
      <c r="H1342" s="188"/>
      <c r="I1342" s="188" t="s">
        <v>668</v>
      </c>
      <c r="J1342" s="188" t="s">
        <v>483</v>
      </c>
      <c r="K1342" s="188"/>
      <c r="L1342" s="188"/>
      <c r="M1342" s="189">
        <v>50</v>
      </c>
      <c r="N1342" s="190">
        <v>963.22699999999998</v>
      </c>
      <c r="O1342" s="191">
        <v>977</v>
      </c>
      <c r="P1342" s="192">
        <f t="shared" si="789"/>
        <v>14.45</v>
      </c>
      <c r="Q1342" s="192">
        <f t="shared" si="790"/>
        <v>14.66</v>
      </c>
      <c r="R1342" s="193">
        <f t="shared" si="685"/>
        <v>97011.35</v>
      </c>
      <c r="S1342" s="193">
        <f t="shared" si="686"/>
        <v>688.65000000000123</v>
      </c>
      <c r="T1342" s="193">
        <f>ROUND(P1342+Q1342,2)</f>
        <v>29.11</v>
      </c>
      <c r="U1342" s="193">
        <f t="shared" si="707"/>
        <v>5.72</v>
      </c>
      <c r="V1342" s="193">
        <f t="shared" si="845"/>
        <v>12.21</v>
      </c>
      <c r="W1342" s="193">
        <f t="shared" si="839"/>
        <v>1.44</v>
      </c>
      <c r="X1342" s="193">
        <f t="shared" si="848"/>
        <v>2.67</v>
      </c>
      <c r="Y1342" s="193">
        <f t="shared" si="758"/>
        <v>0.1</v>
      </c>
      <c r="Z1342" s="193">
        <f t="shared" si="692"/>
        <v>51.25</v>
      </c>
      <c r="AA1342" s="194">
        <f t="shared" si="693"/>
        <v>637.4</v>
      </c>
      <c r="AB1342" s="195">
        <v>638.05999999999995</v>
      </c>
      <c r="AC1342" s="196">
        <f t="shared" si="694"/>
        <v>0.65999999999996817</v>
      </c>
      <c r="AD1342" s="197">
        <f t="shared" si="695"/>
        <v>1.4298810145479752E-2</v>
      </c>
      <c r="AE1342" s="198">
        <f t="shared" si="696"/>
        <v>5.2800000000000004E-4</v>
      </c>
      <c r="AF1342" s="193"/>
      <c r="AG1342" s="199" t="s">
        <v>416</v>
      </c>
      <c r="AH1342" s="124"/>
    </row>
    <row r="1343" spans="1:34" ht="12" hidden="1" customHeight="1">
      <c r="A1343" s="187">
        <v>44757</v>
      </c>
      <c r="B1343" s="188" t="s">
        <v>589</v>
      </c>
      <c r="C1343" s="188" t="s">
        <v>460</v>
      </c>
      <c r="D1343" s="188"/>
      <c r="E1343" s="188" t="str">
        <f t="shared" si="682"/>
        <v>DCMSHRIRAM</v>
      </c>
      <c r="F1343" s="188"/>
      <c r="G1343" s="188"/>
      <c r="H1343" s="188"/>
      <c r="I1343" s="188" t="s">
        <v>668</v>
      </c>
      <c r="J1343" s="188" t="s">
        <v>483</v>
      </c>
      <c r="K1343" s="188"/>
      <c r="L1343" s="188"/>
      <c r="M1343" s="189">
        <v>130</v>
      </c>
      <c r="N1343" s="190">
        <v>984.38459999999998</v>
      </c>
      <c r="O1343" s="191">
        <v>989.94230000000005</v>
      </c>
      <c r="P1343" s="192">
        <f t="shared" si="789"/>
        <v>20</v>
      </c>
      <c r="Q1343" s="192">
        <f t="shared" si="790"/>
        <v>20</v>
      </c>
      <c r="R1343" s="193">
        <f t="shared" si="685"/>
        <v>256662.5</v>
      </c>
      <c r="S1343" s="193">
        <f t="shared" si="686"/>
        <v>722.50100000000884</v>
      </c>
      <c r="T1343" s="193">
        <v>79.400000000000006</v>
      </c>
      <c r="U1343" s="193">
        <f t="shared" si="707"/>
        <v>15.56</v>
      </c>
      <c r="V1343" s="193">
        <f t="shared" si="845"/>
        <v>32.17</v>
      </c>
      <c r="W1343" s="193">
        <f t="shared" si="839"/>
        <v>3.84</v>
      </c>
      <c r="X1343" s="193">
        <f t="shared" si="848"/>
        <v>7.06</v>
      </c>
      <c r="Y1343" s="193">
        <f t="shared" si="758"/>
        <v>0.26</v>
      </c>
      <c r="Z1343" s="193">
        <f t="shared" si="692"/>
        <v>138.29</v>
      </c>
      <c r="AA1343" s="194">
        <f t="shared" si="693"/>
        <v>584.21</v>
      </c>
      <c r="AB1343" s="195">
        <v>584.59</v>
      </c>
      <c r="AC1343" s="196">
        <f t="shared" si="694"/>
        <v>0.37999999999999545</v>
      </c>
      <c r="AD1343" s="197">
        <f t="shared" si="695"/>
        <v>5.6458623997166025E-3</v>
      </c>
      <c r="AE1343" s="198">
        <f t="shared" si="696"/>
        <v>5.3899999999999998E-4</v>
      </c>
      <c r="AF1343" s="193"/>
      <c r="AG1343" s="199" t="s">
        <v>416</v>
      </c>
      <c r="AH1343" s="124"/>
    </row>
    <row r="1344" spans="1:34" ht="12" hidden="1" customHeight="1">
      <c r="A1344" s="187">
        <v>44761</v>
      </c>
      <c r="B1344" s="188" t="s">
        <v>308</v>
      </c>
      <c r="C1344" s="188" t="s">
        <v>485</v>
      </c>
      <c r="D1344" s="188"/>
      <c r="E1344" s="188" t="str">
        <f t="shared" si="682"/>
        <v>INEOSSTYRO</v>
      </c>
      <c r="F1344" s="188"/>
      <c r="G1344" s="188"/>
      <c r="H1344" s="188"/>
      <c r="I1344" s="188" t="s">
        <v>668</v>
      </c>
      <c r="J1344" s="188" t="s">
        <v>483</v>
      </c>
      <c r="K1344" s="188"/>
      <c r="L1344" s="188"/>
      <c r="M1344" s="189">
        <v>19</v>
      </c>
      <c r="N1344" s="190">
        <v>860</v>
      </c>
      <c r="O1344" s="191">
        <v>865.31579999999997</v>
      </c>
      <c r="P1344" s="192">
        <f t="shared" si="789"/>
        <v>4.9000000000000004</v>
      </c>
      <c r="Q1344" s="192">
        <f t="shared" si="790"/>
        <v>4.93</v>
      </c>
      <c r="R1344" s="193">
        <f t="shared" si="685"/>
        <v>32781</v>
      </c>
      <c r="S1344" s="193">
        <f t="shared" si="686"/>
        <v>101.00019999999938</v>
      </c>
      <c r="T1344" s="193">
        <v>9.83</v>
      </c>
      <c r="U1344" s="193">
        <f t="shared" si="707"/>
        <v>1.93</v>
      </c>
      <c r="V1344" s="193">
        <f t="shared" si="845"/>
        <v>4.1100000000000003</v>
      </c>
      <c r="W1344" s="193">
        <f t="shared" si="839"/>
        <v>0.49</v>
      </c>
      <c r="X1344" s="193">
        <f t="shared" si="848"/>
        <v>0.9</v>
      </c>
      <c r="Y1344" s="193">
        <f t="shared" si="758"/>
        <v>0.03</v>
      </c>
      <c r="Z1344" s="193">
        <f t="shared" si="692"/>
        <v>17.29</v>
      </c>
      <c r="AA1344" s="194">
        <f t="shared" si="693"/>
        <v>83.71</v>
      </c>
      <c r="AB1344" s="195">
        <v>84.29</v>
      </c>
      <c r="AC1344" s="196">
        <f t="shared" si="694"/>
        <v>0.58000000000001251</v>
      </c>
      <c r="AD1344" s="197">
        <f t="shared" si="695"/>
        <v>6.1811627906976363E-3</v>
      </c>
      <c r="AE1344" s="198">
        <f t="shared" si="696"/>
        <v>5.2700000000000002E-4</v>
      </c>
      <c r="AF1344" s="193"/>
      <c r="AG1344" s="199" t="s">
        <v>416</v>
      </c>
      <c r="AH1344" s="124"/>
    </row>
    <row r="1345" spans="1:34" ht="12" hidden="1" customHeight="1">
      <c r="A1345" s="187">
        <v>44762</v>
      </c>
      <c r="B1345" s="188" t="s">
        <v>601</v>
      </c>
      <c r="C1345" s="188" t="s">
        <v>485</v>
      </c>
      <c r="D1345" s="188"/>
      <c r="E1345" s="188" t="str">
        <f t="shared" si="682"/>
        <v>FEDERALBNK</v>
      </c>
      <c r="F1345" s="188"/>
      <c r="G1345" s="188"/>
      <c r="H1345" s="188"/>
      <c r="I1345" s="188" t="s">
        <v>668</v>
      </c>
      <c r="J1345" s="188" t="s">
        <v>483</v>
      </c>
      <c r="K1345" s="188"/>
      <c r="L1345" s="188"/>
      <c r="M1345" s="189">
        <v>50</v>
      </c>
      <c r="N1345" s="190">
        <v>108</v>
      </c>
      <c r="O1345" s="191">
        <v>109.25</v>
      </c>
      <c r="P1345" s="192">
        <f t="shared" si="789"/>
        <v>1.62</v>
      </c>
      <c r="Q1345" s="192">
        <f t="shared" si="790"/>
        <v>1.64</v>
      </c>
      <c r="R1345" s="193">
        <f t="shared" si="685"/>
        <v>10862.5</v>
      </c>
      <c r="S1345" s="193">
        <f t="shared" si="686"/>
        <v>62.5</v>
      </c>
      <c r="T1345" s="193">
        <f t="shared" ref="T1345:T1346" si="849">ROUND(P1345+Q1345,2)</f>
        <v>3.26</v>
      </c>
      <c r="U1345" s="193">
        <f t="shared" si="707"/>
        <v>0.64</v>
      </c>
      <c r="V1345" s="193">
        <f t="shared" si="845"/>
        <v>1.37</v>
      </c>
      <c r="W1345" s="193">
        <f t="shared" si="839"/>
        <v>0.16</v>
      </c>
      <c r="X1345" s="193">
        <f t="shared" si="848"/>
        <v>0.3</v>
      </c>
      <c r="Y1345" s="193">
        <f t="shared" si="758"/>
        <v>0.01</v>
      </c>
      <c r="Z1345" s="193">
        <f t="shared" si="692"/>
        <v>5.7399999999999993</v>
      </c>
      <c r="AA1345" s="194">
        <f t="shared" si="693"/>
        <v>56.76</v>
      </c>
      <c r="AB1345" s="195">
        <v>56.57</v>
      </c>
      <c r="AC1345" s="196">
        <f t="shared" si="694"/>
        <v>-0.18999999999999773</v>
      </c>
      <c r="AD1345" s="197">
        <f t="shared" si="695"/>
        <v>1.1574074074074073E-2</v>
      </c>
      <c r="AE1345" s="198">
        <f t="shared" si="696"/>
        <v>5.2800000000000004E-4</v>
      </c>
      <c r="AF1345" s="193"/>
      <c r="AG1345" s="199" t="s">
        <v>416</v>
      </c>
      <c r="AH1345" s="124"/>
    </row>
    <row r="1346" spans="1:34" ht="12" hidden="1" customHeight="1">
      <c r="A1346" s="187">
        <v>44762</v>
      </c>
      <c r="B1346" s="188" t="s">
        <v>308</v>
      </c>
      <c r="C1346" s="188" t="s">
        <v>485</v>
      </c>
      <c r="D1346" s="188"/>
      <c r="E1346" s="188" t="str">
        <f t="shared" si="682"/>
        <v>INEOSSTYRO</v>
      </c>
      <c r="F1346" s="188"/>
      <c r="G1346" s="188"/>
      <c r="H1346" s="188"/>
      <c r="I1346" s="188" t="s">
        <v>668</v>
      </c>
      <c r="J1346" s="188" t="s">
        <v>483</v>
      </c>
      <c r="K1346" s="188"/>
      <c r="L1346" s="188"/>
      <c r="M1346" s="189">
        <v>10</v>
      </c>
      <c r="N1346" s="190">
        <v>865</v>
      </c>
      <c r="O1346" s="191">
        <v>869</v>
      </c>
      <c r="P1346" s="192">
        <f t="shared" si="789"/>
        <v>2.6</v>
      </c>
      <c r="Q1346" s="192">
        <f t="shared" si="790"/>
        <v>2.61</v>
      </c>
      <c r="R1346" s="193">
        <f t="shared" si="685"/>
        <v>17340</v>
      </c>
      <c r="S1346" s="193">
        <f t="shared" si="686"/>
        <v>40</v>
      </c>
      <c r="T1346" s="193">
        <f t="shared" si="849"/>
        <v>5.21</v>
      </c>
      <c r="U1346" s="193">
        <f t="shared" si="707"/>
        <v>1.02</v>
      </c>
      <c r="V1346" s="193">
        <f t="shared" si="845"/>
        <v>2.17</v>
      </c>
      <c r="W1346" s="193">
        <f t="shared" si="839"/>
        <v>0.26</v>
      </c>
      <c r="X1346" s="193">
        <f t="shared" si="848"/>
        <v>0.48</v>
      </c>
      <c r="Y1346" s="193">
        <f t="shared" si="758"/>
        <v>0.02</v>
      </c>
      <c r="Z1346" s="193">
        <f t="shared" si="692"/>
        <v>9.16</v>
      </c>
      <c r="AA1346" s="194">
        <f t="shared" si="693"/>
        <v>30.84</v>
      </c>
      <c r="AB1346" s="195">
        <v>31</v>
      </c>
      <c r="AC1346" s="196">
        <f t="shared" si="694"/>
        <v>0.16000000000000014</v>
      </c>
      <c r="AD1346" s="197">
        <f t="shared" si="695"/>
        <v>4.6242774566473991E-3</v>
      </c>
      <c r="AE1346" s="198">
        <f t="shared" si="696"/>
        <v>5.2800000000000004E-4</v>
      </c>
      <c r="AF1346" s="193"/>
      <c r="AG1346" s="199" t="s">
        <v>416</v>
      </c>
      <c r="AH1346" s="124"/>
    </row>
    <row r="1347" spans="1:34" ht="12" hidden="1" customHeight="1">
      <c r="A1347" s="187">
        <v>44763</v>
      </c>
      <c r="B1347" s="188" t="s">
        <v>589</v>
      </c>
      <c r="C1347" s="188" t="s">
        <v>460</v>
      </c>
      <c r="D1347" s="188"/>
      <c r="E1347" s="188" t="str">
        <f t="shared" si="682"/>
        <v>DCMSHRIRAM</v>
      </c>
      <c r="F1347" s="188"/>
      <c r="G1347" s="188"/>
      <c r="H1347" s="188"/>
      <c r="I1347" s="188" t="s">
        <v>668</v>
      </c>
      <c r="J1347" s="188" t="s">
        <v>483</v>
      </c>
      <c r="K1347" s="188"/>
      <c r="L1347" s="188"/>
      <c r="M1347" s="189">
        <v>450</v>
      </c>
      <c r="N1347" s="190">
        <v>973.77779999999996</v>
      </c>
      <c r="O1347" s="191">
        <v>975.91221900000005</v>
      </c>
      <c r="P1347" s="192">
        <f t="shared" si="789"/>
        <v>20</v>
      </c>
      <c r="Q1347" s="192">
        <f t="shared" si="790"/>
        <v>20</v>
      </c>
      <c r="R1347" s="193">
        <f t="shared" si="685"/>
        <v>877360.51</v>
      </c>
      <c r="S1347" s="193">
        <f t="shared" si="686"/>
        <v>960.4885500000421</v>
      </c>
      <c r="T1347" s="193">
        <v>98.7</v>
      </c>
      <c r="U1347" s="193">
        <f t="shared" si="707"/>
        <v>22.38</v>
      </c>
      <c r="V1347" s="193">
        <f t="shared" si="845"/>
        <v>109.79</v>
      </c>
      <c r="W1347" s="193">
        <f t="shared" si="839"/>
        <v>13.15</v>
      </c>
      <c r="X1347" s="193">
        <f>ROUND(R1347*G$1820,2)+1.5</f>
        <v>25.63</v>
      </c>
      <c r="Y1347" s="193">
        <f t="shared" si="758"/>
        <v>0.88</v>
      </c>
      <c r="Z1347" s="193">
        <f t="shared" si="692"/>
        <v>270.53000000000003</v>
      </c>
      <c r="AA1347" s="194">
        <f t="shared" si="693"/>
        <v>689.96</v>
      </c>
      <c r="AB1347" s="195">
        <v>690</v>
      </c>
      <c r="AC1347" s="196">
        <f t="shared" si="694"/>
        <v>3.999999999996362E-2</v>
      </c>
      <c r="AD1347" s="197">
        <f t="shared" si="695"/>
        <v>2.1918953173918052E-3</v>
      </c>
      <c r="AE1347" s="198">
        <f t="shared" si="696"/>
        <v>3.0800000000000001E-4</v>
      </c>
      <c r="AF1347" s="193"/>
      <c r="AG1347" s="199" t="s">
        <v>416</v>
      </c>
      <c r="AH1347" s="124"/>
    </row>
    <row r="1348" spans="1:34" ht="12" hidden="1" customHeight="1">
      <c r="A1348" s="187">
        <v>44764</v>
      </c>
      <c r="B1348" s="188" t="s">
        <v>601</v>
      </c>
      <c r="C1348" s="188" t="s">
        <v>485</v>
      </c>
      <c r="D1348" s="188"/>
      <c r="E1348" s="188" t="str">
        <f t="shared" si="682"/>
        <v>FEDERALBNK</v>
      </c>
      <c r="F1348" s="188"/>
      <c r="G1348" s="188"/>
      <c r="H1348" s="188"/>
      <c r="I1348" s="188" t="s">
        <v>668</v>
      </c>
      <c r="J1348" s="188" t="s">
        <v>483</v>
      </c>
      <c r="K1348" s="188"/>
      <c r="L1348" s="188"/>
      <c r="M1348" s="189">
        <v>50</v>
      </c>
      <c r="N1348" s="190">
        <v>107</v>
      </c>
      <c r="O1348" s="191">
        <v>108</v>
      </c>
      <c r="P1348" s="192">
        <f t="shared" si="789"/>
        <v>1.61</v>
      </c>
      <c r="Q1348" s="192">
        <f t="shared" si="790"/>
        <v>1.62</v>
      </c>
      <c r="R1348" s="193">
        <f t="shared" si="685"/>
        <v>10750</v>
      </c>
      <c r="S1348" s="193">
        <f t="shared" si="686"/>
        <v>50</v>
      </c>
      <c r="T1348" s="193">
        <f t="shared" ref="T1348:T1353" si="850">ROUND(P1348+Q1348,2)</f>
        <v>3.23</v>
      </c>
      <c r="U1348" s="193">
        <f t="shared" si="707"/>
        <v>0.64</v>
      </c>
      <c r="V1348" s="193">
        <f t="shared" si="845"/>
        <v>1.35</v>
      </c>
      <c r="W1348" s="193">
        <f t="shared" si="839"/>
        <v>0.16</v>
      </c>
      <c r="X1348" s="193">
        <f t="shared" ref="X1348:X1374" si="851">ROUND(R1348*G$1820,2)</f>
        <v>0.3</v>
      </c>
      <c r="Y1348" s="193">
        <f t="shared" si="758"/>
        <v>0.01</v>
      </c>
      <c r="Z1348" s="193">
        <f t="shared" si="692"/>
        <v>5.69</v>
      </c>
      <c r="AA1348" s="194">
        <f t="shared" si="693"/>
        <v>44.31</v>
      </c>
      <c r="AB1348" s="195">
        <v>44</v>
      </c>
      <c r="AC1348" s="196">
        <f t="shared" si="694"/>
        <v>-0.31000000000000227</v>
      </c>
      <c r="AD1348" s="197">
        <f t="shared" si="695"/>
        <v>9.3457943925233638E-3</v>
      </c>
      <c r="AE1348" s="198">
        <f t="shared" si="696"/>
        <v>5.2899999999999996E-4</v>
      </c>
      <c r="AF1348" s="193"/>
      <c r="AG1348" s="199" t="s">
        <v>416</v>
      </c>
      <c r="AH1348" s="124"/>
    </row>
    <row r="1349" spans="1:34" ht="12" hidden="1" customHeight="1">
      <c r="A1349" s="187">
        <v>44764</v>
      </c>
      <c r="B1349" s="188" t="s">
        <v>566</v>
      </c>
      <c r="C1349" s="188" t="s">
        <v>485</v>
      </c>
      <c r="D1349" s="188"/>
      <c r="E1349" s="188" t="str">
        <f t="shared" si="682"/>
        <v>NOCIL</v>
      </c>
      <c r="F1349" s="188"/>
      <c r="G1349" s="188"/>
      <c r="H1349" s="188"/>
      <c r="I1349" s="188" t="s">
        <v>668</v>
      </c>
      <c r="J1349" s="188" t="s">
        <v>483</v>
      </c>
      <c r="K1349" s="188"/>
      <c r="L1349" s="188"/>
      <c r="M1349" s="189">
        <v>50</v>
      </c>
      <c r="N1349" s="190">
        <v>287</v>
      </c>
      <c r="O1349" s="191">
        <v>291</v>
      </c>
      <c r="P1349" s="192">
        <f t="shared" si="789"/>
        <v>4.3099999999999996</v>
      </c>
      <c r="Q1349" s="192">
        <f t="shared" si="790"/>
        <v>4.37</v>
      </c>
      <c r="R1349" s="193">
        <f t="shared" si="685"/>
        <v>28900</v>
      </c>
      <c r="S1349" s="193">
        <f t="shared" si="686"/>
        <v>200</v>
      </c>
      <c r="T1349" s="193">
        <f t="shared" si="850"/>
        <v>8.68</v>
      </c>
      <c r="U1349" s="193">
        <f t="shared" si="707"/>
        <v>1.7</v>
      </c>
      <c r="V1349" s="193">
        <f t="shared" si="845"/>
        <v>3.64</v>
      </c>
      <c r="W1349" s="193">
        <f t="shared" si="839"/>
        <v>0.43</v>
      </c>
      <c r="X1349" s="193">
        <f t="shared" si="851"/>
        <v>0.79</v>
      </c>
      <c r="Y1349" s="193">
        <f t="shared" si="758"/>
        <v>0.03</v>
      </c>
      <c r="Z1349" s="193">
        <f t="shared" si="692"/>
        <v>15.269999999999998</v>
      </c>
      <c r="AA1349" s="194">
        <f t="shared" si="693"/>
        <v>184.73</v>
      </c>
      <c r="AB1349" s="195">
        <v>184.04</v>
      </c>
      <c r="AC1349" s="196">
        <f t="shared" si="694"/>
        <v>-0.68999999999999773</v>
      </c>
      <c r="AD1349" s="197">
        <f t="shared" si="695"/>
        <v>1.3937282229965157E-2</v>
      </c>
      <c r="AE1349" s="198">
        <f t="shared" si="696"/>
        <v>5.2800000000000004E-4</v>
      </c>
      <c r="AF1349" s="193"/>
      <c r="AG1349" s="199" t="s">
        <v>416</v>
      </c>
      <c r="AH1349" s="124"/>
    </row>
    <row r="1350" spans="1:34" ht="12" hidden="1" customHeight="1">
      <c r="A1350" s="187">
        <v>44767</v>
      </c>
      <c r="B1350" s="188" t="s">
        <v>589</v>
      </c>
      <c r="C1350" s="188" t="s">
        <v>460</v>
      </c>
      <c r="D1350" s="188"/>
      <c r="E1350" s="188" t="str">
        <f t="shared" si="682"/>
        <v>DCMSHRIRAM</v>
      </c>
      <c r="F1350" s="188"/>
      <c r="G1350" s="188"/>
      <c r="H1350" s="188"/>
      <c r="I1350" s="188" t="s">
        <v>668</v>
      </c>
      <c r="J1350" s="188" t="s">
        <v>483</v>
      </c>
      <c r="K1350" s="188"/>
      <c r="L1350" s="188"/>
      <c r="M1350" s="189">
        <v>25</v>
      </c>
      <c r="N1350" s="190">
        <v>965</v>
      </c>
      <c r="O1350" s="191">
        <v>969</v>
      </c>
      <c r="P1350" s="192">
        <f t="shared" si="789"/>
        <v>7.24</v>
      </c>
      <c r="Q1350" s="192">
        <f t="shared" si="790"/>
        <v>7.27</v>
      </c>
      <c r="R1350" s="193">
        <f t="shared" si="685"/>
        <v>48350</v>
      </c>
      <c r="S1350" s="193">
        <f t="shared" si="686"/>
        <v>100</v>
      </c>
      <c r="T1350" s="193">
        <f t="shared" si="850"/>
        <v>14.51</v>
      </c>
      <c r="U1350" s="193">
        <f t="shared" si="707"/>
        <v>2.85</v>
      </c>
      <c r="V1350" s="193">
        <f t="shared" si="845"/>
        <v>6.06</v>
      </c>
      <c r="W1350" s="193">
        <f t="shared" si="839"/>
        <v>0.72</v>
      </c>
      <c r="X1350" s="193">
        <f t="shared" si="851"/>
        <v>1.33</v>
      </c>
      <c r="Y1350" s="193">
        <f t="shared" si="758"/>
        <v>0.05</v>
      </c>
      <c r="Z1350" s="193">
        <f t="shared" si="692"/>
        <v>25.52</v>
      </c>
      <c r="AA1350" s="194">
        <f t="shared" si="693"/>
        <v>74.48</v>
      </c>
      <c r="AB1350" s="195">
        <v>74.260000000000005</v>
      </c>
      <c r="AC1350" s="196">
        <f t="shared" si="694"/>
        <v>-0.21999999999999886</v>
      </c>
      <c r="AD1350" s="197">
        <f t="shared" si="695"/>
        <v>4.1450777202072537E-3</v>
      </c>
      <c r="AE1350" s="198">
        <f t="shared" si="696"/>
        <v>5.2800000000000004E-4</v>
      </c>
      <c r="AF1350" s="193"/>
      <c r="AG1350" s="199" t="s">
        <v>416</v>
      </c>
      <c r="AH1350" s="124"/>
    </row>
    <row r="1351" spans="1:34" ht="12" hidden="1" customHeight="1">
      <c r="A1351" s="187">
        <v>44768</v>
      </c>
      <c r="B1351" s="188" t="s">
        <v>589</v>
      </c>
      <c r="C1351" s="188" t="s">
        <v>460</v>
      </c>
      <c r="D1351" s="188"/>
      <c r="E1351" s="188" t="str">
        <f t="shared" si="682"/>
        <v>DCMSHRIRAM</v>
      </c>
      <c r="F1351" s="188"/>
      <c r="G1351" s="188"/>
      <c r="H1351" s="188"/>
      <c r="I1351" s="188" t="s">
        <v>668</v>
      </c>
      <c r="J1351" s="188" t="s">
        <v>483</v>
      </c>
      <c r="K1351" s="188"/>
      <c r="L1351" s="188"/>
      <c r="M1351" s="189">
        <v>25</v>
      </c>
      <c r="N1351" s="190">
        <v>964.8</v>
      </c>
      <c r="O1351" s="191">
        <v>974</v>
      </c>
      <c r="P1351" s="192">
        <f t="shared" si="789"/>
        <v>7.24</v>
      </c>
      <c r="Q1351" s="192">
        <f t="shared" si="790"/>
        <v>7.31</v>
      </c>
      <c r="R1351" s="193">
        <f t="shared" si="685"/>
        <v>48470</v>
      </c>
      <c r="S1351" s="193">
        <f t="shared" si="686"/>
        <v>230.00000000000114</v>
      </c>
      <c r="T1351" s="193">
        <f t="shared" si="850"/>
        <v>14.55</v>
      </c>
      <c r="U1351" s="193">
        <f t="shared" si="707"/>
        <v>2.86</v>
      </c>
      <c r="V1351" s="193">
        <f t="shared" si="845"/>
        <v>6.09</v>
      </c>
      <c r="W1351" s="193">
        <f t="shared" si="839"/>
        <v>0.72</v>
      </c>
      <c r="X1351" s="193">
        <f t="shared" si="851"/>
        <v>1.33</v>
      </c>
      <c r="Y1351" s="193">
        <f t="shared" si="758"/>
        <v>0.05</v>
      </c>
      <c r="Z1351" s="193">
        <f t="shared" si="692"/>
        <v>25.599999999999998</v>
      </c>
      <c r="AA1351" s="194">
        <f t="shared" si="693"/>
        <v>204.4</v>
      </c>
      <c r="AB1351" s="195">
        <v>204.17</v>
      </c>
      <c r="AC1351" s="196">
        <f t="shared" si="694"/>
        <v>-0.23000000000001819</v>
      </c>
      <c r="AD1351" s="197">
        <f t="shared" si="695"/>
        <v>9.5356550580431645E-3</v>
      </c>
      <c r="AE1351" s="198">
        <f t="shared" si="696"/>
        <v>5.2800000000000004E-4</v>
      </c>
      <c r="AF1351" s="193"/>
      <c r="AG1351" s="199" t="s">
        <v>416</v>
      </c>
      <c r="AH1351" s="124"/>
    </row>
    <row r="1352" spans="1:34" ht="12" hidden="1" customHeight="1">
      <c r="A1352" s="187">
        <v>44770</v>
      </c>
      <c r="B1352" s="188" t="s">
        <v>498</v>
      </c>
      <c r="C1352" s="188" t="s">
        <v>485</v>
      </c>
      <c r="D1352" s="188"/>
      <c r="E1352" s="188" t="str">
        <f t="shared" si="682"/>
        <v>BAJFINANCE</v>
      </c>
      <c r="F1352" s="188"/>
      <c r="G1352" s="188"/>
      <c r="H1352" s="188"/>
      <c r="I1352" s="188" t="s">
        <v>668</v>
      </c>
      <c r="J1352" s="188" t="s">
        <v>483</v>
      </c>
      <c r="K1352" s="188"/>
      <c r="L1352" s="188"/>
      <c r="M1352" s="189">
        <v>5</v>
      </c>
      <c r="N1352" s="190">
        <v>7020</v>
      </c>
      <c r="O1352" s="191">
        <v>7043</v>
      </c>
      <c r="P1352" s="192">
        <f t="shared" si="789"/>
        <v>10.53</v>
      </c>
      <c r="Q1352" s="192">
        <f t="shared" si="790"/>
        <v>10.56</v>
      </c>
      <c r="R1352" s="193">
        <f t="shared" si="685"/>
        <v>70315</v>
      </c>
      <c r="S1352" s="193">
        <f t="shared" si="686"/>
        <v>115</v>
      </c>
      <c r="T1352" s="193">
        <f t="shared" si="850"/>
        <v>21.09</v>
      </c>
      <c r="U1352" s="193">
        <f t="shared" si="707"/>
        <v>4.1399999999999997</v>
      </c>
      <c r="V1352" s="193">
        <f t="shared" si="845"/>
        <v>8.8000000000000007</v>
      </c>
      <c r="W1352" s="193">
        <f t="shared" si="839"/>
        <v>1.05</v>
      </c>
      <c r="X1352" s="193">
        <f t="shared" si="851"/>
        <v>1.93</v>
      </c>
      <c r="Y1352" s="193">
        <f t="shared" si="758"/>
        <v>7.0000000000000007E-2</v>
      </c>
      <c r="Z1352" s="193">
        <f t="shared" si="692"/>
        <v>37.08</v>
      </c>
      <c r="AA1352" s="194">
        <f t="shared" si="693"/>
        <v>77.92</v>
      </c>
      <c r="AB1352" s="195">
        <f t="shared" ref="AB1352:AB1353" si="852">ROUND(AA1352,0)</f>
        <v>78</v>
      </c>
      <c r="AC1352" s="196">
        <f t="shared" si="694"/>
        <v>7.9999999999998295E-2</v>
      </c>
      <c r="AD1352" s="197">
        <f t="shared" si="695"/>
        <v>3.2763532763532763E-3</v>
      </c>
      <c r="AE1352" s="198">
        <f t="shared" si="696"/>
        <v>5.2700000000000002E-4</v>
      </c>
      <c r="AF1352" s="193"/>
      <c r="AG1352" s="199" t="s">
        <v>416</v>
      </c>
      <c r="AH1352" s="124"/>
    </row>
    <row r="1353" spans="1:34" ht="12" hidden="1" customHeight="1">
      <c r="A1353" s="187">
        <v>44770</v>
      </c>
      <c r="B1353" s="188" t="s">
        <v>601</v>
      </c>
      <c r="C1353" s="188" t="s">
        <v>485</v>
      </c>
      <c r="D1353" s="188"/>
      <c r="E1353" s="188" t="str">
        <f t="shared" si="682"/>
        <v>FEDERALBNK</v>
      </c>
      <c r="F1353" s="188"/>
      <c r="G1353" s="188"/>
      <c r="H1353" s="188"/>
      <c r="I1353" s="188" t="s">
        <v>668</v>
      </c>
      <c r="J1353" s="188" t="s">
        <v>483</v>
      </c>
      <c r="K1353" s="188"/>
      <c r="L1353" s="188"/>
      <c r="M1353" s="189">
        <v>25</v>
      </c>
      <c r="N1353" s="190">
        <v>107</v>
      </c>
      <c r="O1353" s="191">
        <v>109</v>
      </c>
      <c r="P1353" s="192">
        <f t="shared" si="789"/>
        <v>0.8</v>
      </c>
      <c r="Q1353" s="192">
        <f t="shared" si="790"/>
        <v>0.82</v>
      </c>
      <c r="R1353" s="193">
        <f t="shared" si="685"/>
        <v>5400</v>
      </c>
      <c r="S1353" s="193">
        <f t="shared" si="686"/>
        <v>50</v>
      </c>
      <c r="T1353" s="193">
        <f t="shared" si="850"/>
        <v>1.62</v>
      </c>
      <c r="U1353" s="193">
        <f t="shared" si="707"/>
        <v>0.32</v>
      </c>
      <c r="V1353" s="193">
        <f t="shared" si="845"/>
        <v>0.68</v>
      </c>
      <c r="W1353" s="193">
        <f t="shared" si="839"/>
        <v>0.08</v>
      </c>
      <c r="X1353" s="193">
        <f t="shared" si="851"/>
        <v>0.15</v>
      </c>
      <c r="Y1353" s="193">
        <f t="shared" si="758"/>
        <v>0.01</v>
      </c>
      <c r="Z1353" s="193">
        <f t="shared" si="692"/>
        <v>2.86</v>
      </c>
      <c r="AA1353" s="194">
        <f t="shared" si="693"/>
        <v>47.14</v>
      </c>
      <c r="AB1353" s="195">
        <f t="shared" si="852"/>
        <v>47</v>
      </c>
      <c r="AC1353" s="196">
        <f t="shared" si="694"/>
        <v>-0.14000000000000057</v>
      </c>
      <c r="AD1353" s="197">
        <f t="shared" si="695"/>
        <v>1.8691588785046728E-2</v>
      </c>
      <c r="AE1353" s="198">
        <f t="shared" si="696"/>
        <v>5.2999999999999998E-4</v>
      </c>
      <c r="AF1353" s="193"/>
      <c r="AG1353" s="199" t="s">
        <v>416</v>
      </c>
      <c r="AH1353" s="124"/>
    </row>
    <row r="1354" spans="1:34" ht="12" hidden="1" customHeight="1">
      <c r="A1354" s="187">
        <v>44771</v>
      </c>
      <c r="B1354" s="188" t="s">
        <v>589</v>
      </c>
      <c r="C1354" s="188" t="s">
        <v>460</v>
      </c>
      <c r="D1354" s="188"/>
      <c r="E1354" s="188" t="str">
        <f t="shared" si="682"/>
        <v>DCMSHRIRAM</v>
      </c>
      <c r="F1354" s="188"/>
      <c r="G1354" s="188"/>
      <c r="H1354" s="188"/>
      <c r="I1354" s="188" t="s">
        <v>668</v>
      </c>
      <c r="J1354" s="188" t="s">
        <v>483</v>
      </c>
      <c r="K1354" s="188"/>
      <c r="L1354" s="188"/>
      <c r="M1354" s="189">
        <v>100</v>
      </c>
      <c r="N1354" s="190">
        <v>984</v>
      </c>
      <c r="O1354" s="191">
        <v>987.97500000000002</v>
      </c>
      <c r="P1354" s="192">
        <f t="shared" si="789"/>
        <v>20</v>
      </c>
      <c r="Q1354" s="192">
        <f t="shared" si="790"/>
        <v>20</v>
      </c>
      <c r="R1354" s="193">
        <f t="shared" si="685"/>
        <v>197197.5</v>
      </c>
      <c r="S1354" s="193">
        <f t="shared" si="686"/>
        <v>397.50000000000227</v>
      </c>
      <c r="T1354" s="193">
        <v>70.83</v>
      </c>
      <c r="U1354" s="193">
        <f t="shared" si="707"/>
        <v>13.73</v>
      </c>
      <c r="V1354" s="193">
        <f t="shared" si="845"/>
        <v>24.7</v>
      </c>
      <c r="W1354" s="193">
        <f t="shared" si="839"/>
        <v>2.95</v>
      </c>
      <c r="X1354" s="193">
        <f t="shared" si="851"/>
        <v>5.42</v>
      </c>
      <c r="Y1354" s="193">
        <f t="shared" si="758"/>
        <v>0.2</v>
      </c>
      <c r="Z1354" s="193">
        <f t="shared" si="692"/>
        <v>117.83000000000001</v>
      </c>
      <c r="AA1354" s="194">
        <f t="shared" si="693"/>
        <v>279.67</v>
      </c>
      <c r="AB1354" s="195">
        <v>279.76</v>
      </c>
      <c r="AC1354" s="196">
        <f t="shared" si="694"/>
        <v>8.9999999999974989E-2</v>
      </c>
      <c r="AD1354" s="197">
        <f t="shared" si="695"/>
        <v>4.039634146341487E-3</v>
      </c>
      <c r="AE1354" s="198">
        <f t="shared" si="696"/>
        <v>5.9800000000000001E-4</v>
      </c>
      <c r="AF1354" s="193"/>
      <c r="AG1354" s="199" t="s">
        <v>416</v>
      </c>
      <c r="AH1354" s="124"/>
    </row>
    <row r="1355" spans="1:34" ht="12" hidden="1" customHeight="1">
      <c r="A1355" s="187">
        <v>44774</v>
      </c>
      <c r="B1355" s="188" t="s">
        <v>589</v>
      </c>
      <c r="C1355" s="188" t="s">
        <v>460</v>
      </c>
      <c r="D1355" s="188"/>
      <c r="E1355" s="188" t="str">
        <f t="shared" si="682"/>
        <v>DCMSHRIRAM</v>
      </c>
      <c r="F1355" s="188"/>
      <c r="G1355" s="188"/>
      <c r="H1355" s="188"/>
      <c r="I1355" s="188" t="s">
        <v>668</v>
      </c>
      <c r="J1355" s="188" t="s">
        <v>483</v>
      </c>
      <c r="K1355" s="188"/>
      <c r="L1355" s="188"/>
      <c r="M1355" s="189">
        <v>100</v>
      </c>
      <c r="N1355" s="190">
        <v>1012</v>
      </c>
      <c r="O1355" s="191">
        <v>1017.1625</v>
      </c>
      <c r="P1355" s="192">
        <f t="shared" si="789"/>
        <v>20</v>
      </c>
      <c r="Q1355" s="192">
        <f t="shared" si="790"/>
        <v>20</v>
      </c>
      <c r="R1355" s="193">
        <f t="shared" si="685"/>
        <v>202916.25</v>
      </c>
      <c r="S1355" s="193">
        <f t="shared" si="686"/>
        <v>516.25000000000227</v>
      </c>
      <c r="T1355" s="193">
        <v>60.88</v>
      </c>
      <c r="U1355" s="193">
        <f t="shared" si="707"/>
        <v>11.96</v>
      </c>
      <c r="V1355" s="193">
        <f t="shared" si="845"/>
        <v>25.43</v>
      </c>
      <c r="W1355" s="193">
        <f t="shared" si="839"/>
        <v>3.04</v>
      </c>
      <c r="X1355" s="193">
        <f t="shared" si="851"/>
        <v>5.58</v>
      </c>
      <c r="Y1355" s="193">
        <f t="shared" si="758"/>
        <v>0.2</v>
      </c>
      <c r="Z1355" s="193">
        <f t="shared" si="692"/>
        <v>107.09000000000002</v>
      </c>
      <c r="AA1355" s="194">
        <f t="shared" si="693"/>
        <v>409.16</v>
      </c>
      <c r="AB1355" s="195">
        <v>409.59</v>
      </c>
      <c r="AC1355" s="196">
        <f t="shared" si="694"/>
        <v>0.42999999999994998</v>
      </c>
      <c r="AD1355" s="197">
        <f t="shared" si="695"/>
        <v>5.1012845849802597E-3</v>
      </c>
      <c r="AE1355" s="198">
        <f t="shared" si="696"/>
        <v>5.2800000000000004E-4</v>
      </c>
      <c r="AF1355" s="193"/>
      <c r="AG1355" s="199" t="s">
        <v>416</v>
      </c>
      <c r="AH1355" s="124"/>
    </row>
    <row r="1356" spans="1:34" ht="12" hidden="1" customHeight="1">
      <c r="A1356" s="187">
        <v>44775</v>
      </c>
      <c r="B1356" s="188" t="s">
        <v>589</v>
      </c>
      <c r="C1356" s="188" t="s">
        <v>460</v>
      </c>
      <c r="D1356" s="188"/>
      <c r="E1356" s="188" t="str">
        <f t="shared" si="682"/>
        <v>DCMSHRIRAM</v>
      </c>
      <c r="F1356" s="188"/>
      <c r="G1356" s="188"/>
      <c r="H1356" s="188"/>
      <c r="I1356" s="188" t="s">
        <v>668</v>
      </c>
      <c r="J1356" s="188" t="s">
        <v>483</v>
      </c>
      <c r="K1356" s="188"/>
      <c r="L1356" s="188"/>
      <c r="M1356" s="189">
        <v>225</v>
      </c>
      <c r="N1356" s="190">
        <v>1011.4167</v>
      </c>
      <c r="O1356" s="191">
        <v>1018.4444</v>
      </c>
      <c r="P1356" s="192">
        <f t="shared" si="789"/>
        <v>20</v>
      </c>
      <c r="Q1356" s="192">
        <f t="shared" si="790"/>
        <v>20</v>
      </c>
      <c r="R1356" s="193">
        <f t="shared" si="685"/>
        <v>456718.75</v>
      </c>
      <c r="S1356" s="193">
        <f t="shared" si="686"/>
        <v>1581.232499999996</v>
      </c>
      <c r="T1356" s="193">
        <v>116.05</v>
      </c>
      <c r="U1356" s="193">
        <f t="shared" si="707"/>
        <v>23.15</v>
      </c>
      <c r="V1356" s="193">
        <f t="shared" si="845"/>
        <v>57.29</v>
      </c>
      <c r="W1356" s="193">
        <f t="shared" si="839"/>
        <v>6.83</v>
      </c>
      <c r="X1356" s="193">
        <f t="shared" si="851"/>
        <v>12.56</v>
      </c>
      <c r="Y1356" s="193">
        <f t="shared" si="758"/>
        <v>0.46</v>
      </c>
      <c r="Z1356" s="193">
        <f t="shared" si="692"/>
        <v>216.34</v>
      </c>
      <c r="AA1356" s="194">
        <f t="shared" si="693"/>
        <v>1364.89</v>
      </c>
      <c r="AB1356" s="195">
        <v>1364.95</v>
      </c>
      <c r="AC1356" s="196">
        <f t="shared" si="694"/>
        <v>5.999999999994543E-2</v>
      </c>
      <c r="AD1356" s="197">
        <f t="shared" si="695"/>
        <v>6.9483725155022472E-3</v>
      </c>
      <c r="AE1356" s="198">
        <f t="shared" si="696"/>
        <v>4.7399999999999997E-4</v>
      </c>
      <c r="AF1356" s="193"/>
      <c r="AG1356" s="199" t="s">
        <v>416</v>
      </c>
      <c r="AH1356" s="124"/>
    </row>
    <row r="1357" spans="1:34" ht="12" hidden="1" customHeight="1">
      <c r="A1357" s="187">
        <v>44776</v>
      </c>
      <c r="B1357" s="188" t="s">
        <v>589</v>
      </c>
      <c r="C1357" s="188" t="s">
        <v>460</v>
      </c>
      <c r="D1357" s="188"/>
      <c r="E1357" s="188" t="str">
        <f t="shared" si="682"/>
        <v>DCMSHRIRAM</v>
      </c>
      <c r="F1357" s="188"/>
      <c r="G1357" s="188"/>
      <c r="H1357" s="188"/>
      <c r="I1357" s="188" t="s">
        <v>668</v>
      </c>
      <c r="J1357" s="188" t="s">
        <v>483</v>
      </c>
      <c r="K1357" s="188"/>
      <c r="L1357" s="188"/>
      <c r="M1357" s="189">
        <v>50</v>
      </c>
      <c r="N1357" s="190">
        <v>1005</v>
      </c>
      <c r="O1357" s="191">
        <v>1011</v>
      </c>
      <c r="P1357" s="192">
        <f t="shared" si="789"/>
        <v>15.08</v>
      </c>
      <c r="Q1357" s="192">
        <f t="shared" si="790"/>
        <v>15.17</v>
      </c>
      <c r="R1357" s="193">
        <f t="shared" si="685"/>
        <v>100800</v>
      </c>
      <c r="S1357" s="193">
        <f t="shared" si="686"/>
        <v>300</v>
      </c>
      <c r="T1357" s="193">
        <f t="shared" ref="T1357:T1359" si="853">ROUND(P1357+Q1357,2)</f>
        <v>30.25</v>
      </c>
      <c r="U1357" s="193">
        <f t="shared" si="707"/>
        <v>5.94</v>
      </c>
      <c r="V1357" s="193">
        <f t="shared" si="845"/>
        <v>12.64</v>
      </c>
      <c r="W1357" s="193">
        <f t="shared" si="839"/>
        <v>1.51</v>
      </c>
      <c r="X1357" s="193">
        <f t="shared" si="851"/>
        <v>2.77</v>
      </c>
      <c r="Y1357" s="193">
        <f t="shared" si="758"/>
        <v>0.1</v>
      </c>
      <c r="Z1357" s="193">
        <f t="shared" si="692"/>
        <v>53.21</v>
      </c>
      <c r="AA1357" s="194">
        <f t="shared" si="693"/>
        <v>246.79</v>
      </c>
      <c r="AB1357" s="195">
        <v>245.93</v>
      </c>
      <c r="AC1357" s="196">
        <f t="shared" si="694"/>
        <v>-0.85999999999998522</v>
      </c>
      <c r="AD1357" s="197">
        <f t="shared" si="695"/>
        <v>5.9701492537313433E-3</v>
      </c>
      <c r="AE1357" s="198">
        <f t="shared" si="696"/>
        <v>5.2800000000000004E-4</v>
      </c>
      <c r="AF1357" s="193"/>
      <c r="AG1357" s="199" t="s">
        <v>416</v>
      </c>
      <c r="AH1357" s="124"/>
    </row>
    <row r="1358" spans="1:34" ht="12" hidden="1" customHeight="1">
      <c r="A1358" s="187">
        <v>44776</v>
      </c>
      <c r="B1358" s="188" t="s">
        <v>614</v>
      </c>
      <c r="C1358" s="188" t="s">
        <v>485</v>
      </c>
      <c r="D1358" s="188"/>
      <c r="E1358" s="188" t="str">
        <f t="shared" si="682"/>
        <v>CARBORUNIN</v>
      </c>
      <c r="F1358" s="188"/>
      <c r="G1358" s="188"/>
      <c r="H1358" s="188"/>
      <c r="I1358" s="188" t="s">
        <v>668</v>
      </c>
      <c r="J1358" s="188" t="s">
        <v>483</v>
      </c>
      <c r="K1358" s="188"/>
      <c r="L1358" s="188"/>
      <c r="M1358" s="189">
        <v>10</v>
      </c>
      <c r="N1358" s="190">
        <v>855</v>
      </c>
      <c r="O1358" s="191">
        <v>865</v>
      </c>
      <c r="P1358" s="192">
        <f t="shared" si="789"/>
        <v>2.57</v>
      </c>
      <c r="Q1358" s="192">
        <f t="shared" si="790"/>
        <v>2.6</v>
      </c>
      <c r="R1358" s="193">
        <f t="shared" si="685"/>
        <v>17200</v>
      </c>
      <c r="S1358" s="193">
        <f t="shared" si="686"/>
        <v>100</v>
      </c>
      <c r="T1358" s="193">
        <f t="shared" si="853"/>
        <v>5.17</v>
      </c>
      <c r="U1358" s="193">
        <f t="shared" si="707"/>
        <v>1.02</v>
      </c>
      <c r="V1358" s="193">
        <f t="shared" si="845"/>
        <v>2.16</v>
      </c>
      <c r="W1358" s="193">
        <f t="shared" si="839"/>
        <v>0.26</v>
      </c>
      <c r="X1358" s="193">
        <f t="shared" si="851"/>
        <v>0.47</v>
      </c>
      <c r="Y1358" s="193">
        <f t="shared" si="758"/>
        <v>0.02</v>
      </c>
      <c r="Z1358" s="193">
        <f t="shared" si="692"/>
        <v>9.1</v>
      </c>
      <c r="AA1358" s="194">
        <f t="shared" si="693"/>
        <v>90.9</v>
      </c>
      <c r="AB1358" s="195">
        <v>91</v>
      </c>
      <c r="AC1358" s="196">
        <f t="shared" si="694"/>
        <v>9.9999999999994316E-2</v>
      </c>
      <c r="AD1358" s="197">
        <f t="shared" si="695"/>
        <v>1.1695906432748537E-2</v>
      </c>
      <c r="AE1358" s="198">
        <f t="shared" si="696"/>
        <v>5.2899999999999996E-4</v>
      </c>
      <c r="AF1358" s="193"/>
      <c r="AG1358" s="199" t="s">
        <v>416</v>
      </c>
      <c r="AH1358" s="124"/>
    </row>
    <row r="1359" spans="1:34" ht="12" hidden="1" customHeight="1">
      <c r="A1359" s="187">
        <v>44776</v>
      </c>
      <c r="B1359" s="188" t="s">
        <v>598</v>
      </c>
      <c r="C1359" s="188" t="s">
        <v>485</v>
      </c>
      <c r="D1359" s="188"/>
      <c r="E1359" s="188" t="str">
        <f t="shared" si="682"/>
        <v>A2ZINFRA</v>
      </c>
      <c r="F1359" s="188"/>
      <c r="G1359" s="188"/>
      <c r="H1359" s="188"/>
      <c r="I1359" s="188" t="s">
        <v>668</v>
      </c>
      <c r="J1359" s="188" t="s">
        <v>483</v>
      </c>
      <c r="K1359" s="188"/>
      <c r="L1359" s="188"/>
      <c r="M1359" s="189">
        <v>1000</v>
      </c>
      <c r="N1359" s="190">
        <v>13.5</v>
      </c>
      <c r="O1359" s="191">
        <v>13.7</v>
      </c>
      <c r="P1359" s="192">
        <f t="shared" si="789"/>
        <v>4.05</v>
      </c>
      <c r="Q1359" s="192">
        <f t="shared" si="790"/>
        <v>4.1100000000000003</v>
      </c>
      <c r="R1359" s="193">
        <f t="shared" si="685"/>
        <v>27200</v>
      </c>
      <c r="S1359" s="193">
        <f t="shared" si="686"/>
        <v>199.99999999999929</v>
      </c>
      <c r="T1359" s="193">
        <f t="shared" si="853"/>
        <v>8.16</v>
      </c>
      <c r="U1359" s="193">
        <f t="shared" si="707"/>
        <v>1.6</v>
      </c>
      <c r="V1359" s="193">
        <f t="shared" si="845"/>
        <v>3.43</v>
      </c>
      <c r="W1359" s="193">
        <f t="shared" si="839"/>
        <v>0.41</v>
      </c>
      <c r="X1359" s="193">
        <f t="shared" si="851"/>
        <v>0.75</v>
      </c>
      <c r="Y1359" s="193">
        <f t="shared" si="758"/>
        <v>0.03</v>
      </c>
      <c r="Z1359" s="193">
        <f t="shared" si="692"/>
        <v>14.379999999999999</v>
      </c>
      <c r="AA1359" s="194">
        <f t="shared" si="693"/>
        <v>185.62</v>
      </c>
      <c r="AB1359" s="195">
        <v>186</v>
      </c>
      <c r="AC1359" s="196">
        <f t="shared" si="694"/>
        <v>0.37999999999999545</v>
      </c>
      <c r="AD1359" s="197">
        <f t="shared" si="695"/>
        <v>1.4814814814814762E-2</v>
      </c>
      <c r="AE1359" s="198">
        <f t="shared" si="696"/>
        <v>5.2899999999999996E-4</v>
      </c>
      <c r="AF1359" s="193"/>
      <c r="AG1359" s="199" t="s">
        <v>416</v>
      </c>
      <c r="AH1359" s="124"/>
    </row>
    <row r="1360" spans="1:34" ht="12" hidden="1" customHeight="1">
      <c r="A1360" s="187">
        <v>44776</v>
      </c>
      <c r="B1360" s="188" t="s">
        <v>727</v>
      </c>
      <c r="C1360" s="188" t="s">
        <v>485</v>
      </c>
      <c r="D1360" s="188"/>
      <c r="E1360" s="188" t="str">
        <f t="shared" si="682"/>
        <v>PAYTM</v>
      </c>
      <c r="F1360" s="188"/>
      <c r="G1360" s="188"/>
      <c r="H1360" s="188"/>
      <c r="I1360" s="188" t="s">
        <v>668</v>
      </c>
      <c r="J1360" s="188" t="s">
        <v>483</v>
      </c>
      <c r="K1360" s="188"/>
      <c r="L1360" s="188"/>
      <c r="M1360" s="189">
        <v>6</v>
      </c>
      <c r="N1360" s="190">
        <v>805</v>
      </c>
      <c r="O1360" s="191">
        <v>795</v>
      </c>
      <c r="P1360" s="192">
        <f t="shared" si="789"/>
        <v>1.45</v>
      </c>
      <c r="Q1360" s="192">
        <f t="shared" si="790"/>
        <v>1.43</v>
      </c>
      <c r="R1360" s="193">
        <f t="shared" si="685"/>
        <v>9600</v>
      </c>
      <c r="S1360" s="193">
        <f t="shared" si="686"/>
        <v>-60</v>
      </c>
      <c r="T1360" s="193">
        <v>3.3983999999999996</v>
      </c>
      <c r="U1360" s="193">
        <f t="shared" si="707"/>
        <v>0.66</v>
      </c>
      <c r="V1360" s="193">
        <f t="shared" si="845"/>
        <v>1.19</v>
      </c>
      <c r="W1360" s="193">
        <f t="shared" si="839"/>
        <v>0.14000000000000001</v>
      </c>
      <c r="X1360" s="193">
        <f t="shared" si="851"/>
        <v>0.26</v>
      </c>
      <c r="Y1360" s="193">
        <f t="shared" si="758"/>
        <v>0.01</v>
      </c>
      <c r="Z1360" s="193">
        <f t="shared" si="692"/>
        <v>5.6583999999999994</v>
      </c>
      <c r="AA1360" s="194">
        <f t="shared" si="693"/>
        <v>-65.66</v>
      </c>
      <c r="AB1360" s="195">
        <v>-66.040000000000006</v>
      </c>
      <c r="AC1360" s="196">
        <f t="shared" si="694"/>
        <v>-0.38000000000000966</v>
      </c>
      <c r="AD1360" s="197">
        <f t="shared" si="695"/>
        <v>-1.2422360248447204E-2</v>
      </c>
      <c r="AE1360" s="198">
        <f t="shared" si="696"/>
        <v>5.8900000000000001E-4</v>
      </c>
      <c r="AF1360" s="193"/>
      <c r="AG1360" s="199" t="s">
        <v>416</v>
      </c>
      <c r="AH1360" s="124"/>
    </row>
    <row r="1361" spans="1:34" ht="12" hidden="1" customHeight="1">
      <c r="A1361" s="187">
        <v>44777</v>
      </c>
      <c r="B1361" s="188" t="s">
        <v>589</v>
      </c>
      <c r="C1361" s="188" t="s">
        <v>460</v>
      </c>
      <c r="D1361" s="188"/>
      <c r="E1361" s="188" t="str">
        <f t="shared" si="682"/>
        <v>DCMSHRIRAM</v>
      </c>
      <c r="F1361" s="188"/>
      <c r="G1361" s="188"/>
      <c r="H1361" s="188"/>
      <c r="I1361" s="188" t="s">
        <v>668</v>
      </c>
      <c r="J1361" s="188" t="s">
        <v>483</v>
      </c>
      <c r="K1361" s="188"/>
      <c r="L1361" s="188"/>
      <c r="M1361" s="189">
        <v>100</v>
      </c>
      <c r="N1361" s="190">
        <v>1009.25</v>
      </c>
      <c r="O1361" s="191">
        <v>1015.5</v>
      </c>
      <c r="P1361" s="192">
        <f t="shared" si="789"/>
        <v>20</v>
      </c>
      <c r="Q1361" s="192">
        <f t="shared" si="790"/>
        <v>20</v>
      </c>
      <c r="R1361" s="193">
        <f t="shared" si="685"/>
        <v>202475</v>
      </c>
      <c r="S1361" s="193">
        <f t="shared" si="686"/>
        <v>625</v>
      </c>
      <c r="T1361" s="193">
        <v>60.75</v>
      </c>
      <c r="U1361" s="193">
        <f t="shared" si="707"/>
        <v>11.94</v>
      </c>
      <c r="V1361" s="193">
        <f t="shared" si="845"/>
        <v>25.39</v>
      </c>
      <c r="W1361" s="193">
        <f t="shared" si="839"/>
        <v>3.03</v>
      </c>
      <c r="X1361" s="193">
        <f t="shared" si="851"/>
        <v>5.57</v>
      </c>
      <c r="Y1361" s="193">
        <f t="shared" si="758"/>
        <v>0.2</v>
      </c>
      <c r="Z1361" s="193">
        <f t="shared" si="692"/>
        <v>106.88000000000001</v>
      </c>
      <c r="AA1361" s="194">
        <f t="shared" si="693"/>
        <v>518.12</v>
      </c>
      <c r="AB1361" s="195">
        <v>519.49</v>
      </c>
      <c r="AC1361" s="196">
        <f t="shared" si="694"/>
        <v>1.3700000000000045</v>
      </c>
      <c r="AD1361" s="197">
        <f t="shared" si="695"/>
        <v>6.1927173643794896E-3</v>
      </c>
      <c r="AE1361" s="198">
        <f t="shared" si="696"/>
        <v>5.2800000000000004E-4</v>
      </c>
      <c r="AF1361" s="193"/>
      <c r="AG1361" s="199" t="s">
        <v>416</v>
      </c>
      <c r="AH1361" s="124"/>
    </row>
    <row r="1362" spans="1:34" ht="12" hidden="1" customHeight="1">
      <c r="A1362" s="187">
        <v>44777</v>
      </c>
      <c r="B1362" s="188" t="s">
        <v>598</v>
      </c>
      <c r="C1362" s="188" t="s">
        <v>485</v>
      </c>
      <c r="D1362" s="188"/>
      <c r="E1362" s="188" t="str">
        <f t="shared" si="682"/>
        <v>A2ZINFRA</v>
      </c>
      <c r="F1362" s="188"/>
      <c r="G1362" s="188"/>
      <c r="H1362" s="188"/>
      <c r="I1362" s="188" t="s">
        <v>668</v>
      </c>
      <c r="J1362" s="188" t="s">
        <v>483</v>
      </c>
      <c r="K1362" s="188"/>
      <c r="L1362" s="188"/>
      <c r="M1362" s="189">
        <v>500</v>
      </c>
      <c r="N1362" s="190">
        <v>13.8</v>
      </c>
      <c r="O1362" s="191">
        <v>14.3</v>
      </c>
      <c r="P1362" s="192">
        <f t="shared" si="789"/>
        <v>2.0699999999999998</v>
      </c>
      <c r="Q1362" s="192">
        <f t="shared" si="790"/>
        <v>2.15</v>
      </c>
      <c r="R1362" s="193">
        <f t="shared" si="685"/>
        <v>14050</v>
      </c>
      <c r="S1362" s="193">
        <f t="shared" si="686"/>
        <v>250</v>
      </c>
      <c r="T1362" s="193">
        <f t="shared" ref="T1362:T1370" si="854">ROUND(P1362+Q1362,2)</f>
        <v>4.22</v>
      </c>
      <c r="U1362" s="193">
        <f t="shared" si="707"/>
        <v>0.83</v>
      </c>
      <c r="V1362" s="193">
        <f t="shared" si="845"/>
        <v>1.79</v>
      </c>
      <c r="W1362" s="193">
        <f t="shared" si="839"/>
        <v>0.21</v>
      </c>
      <c r="X1362" s="193">
        <f t="shared" si="851"/>
        <v>0.39</v>
      </c>
      <c r="Y1362" s="193">
        <f t="shared" si="758"/>
        <v>0.01</v>
      </c>
      <c r="Z1362" s="193">
        <f t="shared" si="692"/>
        <v>7.4499999999999993</v>
      </c>
      <c r="AA1362" s="194">
        <f t="shared" si="693"/>
        <v>242.55</v>
      </c>
      <c r="AB1362" s="195">
        <v>242.55</v>
      </c>
      <c r="AC1362" s="196">
        <f t="shared" si="694"/>
        <v>0</v>
      </c>
      <c r="AD1362" s="197">
        <f t="shared" si="695"/>
        <v>3.6231884057971016E-2</v>
      </c>
      <c r="AE1362" s="198">
        <f t="shared" si="696"/>
        <v>5.2999999999999998E-4</v>
      </c>
      <c r="AF1362" s="193"/>
      <c r="AG1362" s="199" t="s">
        <v>416</v>
      </c>
      <c r="AH1362" s="124"/>
    </row>
    <row r="1363" spans="1:34" ht="12" hidden="1" customHeight="1">
      <c r="A1363" s="187">
        <v>44781</v>
      </c>
      <c r="B1363" s="188" t="s">
        <v>589</v>
      </c>
      <c r="C1363" s="188" t="s">
        <v>460</v>
      </c>
      <c r="D1363" s="188"/>
      <c r="E1363" s="188" t="str">
        <f t="shared" si="682"/>
        <v>DCMSHRIRAM</v>
      </c>
      <c r="F1363" s="188"/>
      <c r="G1363" s="188"/>
      <c r="H1363" s="188"/>
      <c r="I1363" s="188" t="s">
        <v>668</v>
      </c>
      <c r="J1363" s="188" t="s">
        <v>483</v>
      </c>
      <c r="K1363" s="188"/>
      <c r="L1363" s="188"/>
      <c r="M1363" s="189">
        <v>25</v>
      </c>
      <c r="N1363" s="190">
        <v>1039</v>
      </c>
      <c r="O1363" s="191">
        <v>1061</v>
      </c>
      <c r="P1363" s="192">
        <f t="shared" si="789"/>
        <v>7.79</v>
      </c>
      <c r="Q1363" s="192">
        <f t="shared" si="790"/>
        <v>7.96</v>
      </c>
      <c r="R1363" s="193">
        <f t="shared" si="685"/>
        <v>52500</v>
      </c>
      <c r="S1363" s="193">
        <f t="shared" si="686"/>
        <v>550</v>
      </c>
      <c r="T1363" s="193">
        <f t="shared" si="854"/>
        <v>15.75</v>
      </c>
      <c r="U1363" s="193">
        <f t="shared" si="707"/>
        <v>3.09</v>
      </c>
      <c r="V1363" s="193">
        <f t="shared" si="845"/>
        <v>6.63</v>
      </c>
      <c r="W1363" s="193">
        <f t="shared" si="839"/>
        <v>0.78</v>
      </c>
      <c r="X1363" s="193">
        <f t="shared" si="851"/>
        <v>1.44</v>
      </c>
      <c r="Y1363" s="193">
        <f t="shared" si="758"/>
        <v>0.05</v>
      </c>
      <c r="Z1363" s="193">
        <f t="shared" si="692"/>
        <v>27.740000000000002</v>
      </c>
      <c r="AA1363" s="194">
        <f t="shared" si="693"/>
        <v>522.26</v>
      </c>
      <c r="AB1363" s="195">
        <v>522.5</v>
      </c>
      <c r="AC1363" s="196">
        <f t="shared" si="694"/>
        <v>0.24000000000000909</v>
      </c>
      <c r="AD1363" s="197">
        <f t="shared" si="695"/>
        <v>2.1174205967276226E-2</v>
      </c>
      <c r="AE1363" s="198">
        <f t="shared" si="696"/>
        <v>5.2800000000000004E-4</v>
      </c>
      <c r="AF1363" s="193"/>
      <c r="AG1363" s="199" t="s">
        <v>416</v>
      </c>
      <c r="AH1363" s="124"/>
    </row>
    <row r="1364" spans="1:34" ht="12" hidden="1" customHeight="1">
      <c r="A1364" s="187">
        <v>44785</v>
      </c>
      <c r="B1364" s="188" t="s">
        <v>614</v>
      </c>
      <c r="C1364" s="188" t="s">
        <v>485</v>
      </c>
      <c r="D1364" s="188"/>
      <c r="E1364" s="188" t="str">
        <f t="shared" si="682"/>
        <v>CARBORUNIN</v>
      </c>
      <c r="F1364" s="188"/>
      <c r="G1364" s="188"/>
      <c r="H1364" s="188"/>
      <c r="I1364" s="188" t="s">
        <v>668</v>
      </c>
      <c r="J1364" s="188" t="s">
        <v>483</v>
      </c>
      <c r="K1364" s="188"/>
      <c r="L1364" s="188"/>
      <c r="M1364" s="189">
        <v>20</v>
      </c>
      <c r="N1364" s="190">
        <v>843.5</v>
      </c>
      <c r="O1364" s="191">
        <v>849</v>
      </c>
      <c r="P1364" s="192">
        <f t="shared" si="789"/>
        <v>5.0599999999999996</v>
      </c>
      <c r="Q1364" s="192">
        <f t="shared" si="790"/>
        <v>5.09</v>
      </c>
      <c r="R1364" s="193">
        <f t="shared" si="685"/>
        <v>33850</v>
      </c>
      <c r="S1364" s="193">
        <f t="shared" si="686"/>
        <v>110</v>
      </c>
      <c r="T1364" s="193">
        <f t="shared" si="854"/>
        <v>10.15</v>
      </c>
      <c r="U1364" s="193">
        <f t="shared" si="707"/>
        <v>1.99</v>
      </c>
      <c r="V1364" s="193">
        <f t="shared" si="845"/>
        <v>4.25</v>
      </c>
      <c r="W1364" s="193">
        <f t="shared" si="839"/>
        <v>0.51</v>
      </c>
      <c r="X1364" s="193">
        <f t="shared" si="851"/>
        <v>0.93</v>
      </c>
      <c r="Y1364" s="193">
        <f t="shared" si="758"/>
        <v>0.03</v>
      </c>
      <c r="Z1364" s="193">
        <f t="shared" si="692"/>
        <v>17.860000000000003</v>
      </c>
      <c r="AA1364" s="194">
        <f t="shared" si="693"/>
        <v>92.14</v>
      </c>
      <c r="AB1364" s="195">
        <v>90.53</v>
      </c>
      <c r="AC1364" s="196">
        <f t="shared" si="694"/>
        <v>-1.6099999999999994</v>
      </c>
      <c r="AD1364" s="197">
        <f t="shared" si="695"/>
        <v>6.5204505038529937E-3</v>
      </c>
      <c r="AE1364" s="198">
        <f t="shared" si="696"/>
        <v>5.2800000000000004E-4</v>
      </c>
      <c r="AF1364" s="193"/>
      <c r="AG1364" s="199" t="s">
        <v>416</v>
      </c>
      <c r="AH1364" s="124"/>
    </row>
    <row r="1365" spans="1:34" ht="12" hidden="1" customHeight="1">
      <c r="A1365" s="187">
        <v>44785</v>
      </c>
      <c r="B1365" s="188" t="s">
        <v>589</v>
      </c>
      <c r="C1365" s="188" t="s">
        <v>460</v>
      </c>
      <c r="D1365" s="188"/>
      <c r="E1365" s="188" t="str">
        <f t="shared" si="682"/>
        <v>DCMSHRIRAM</v>
      </c>
      <c r="F1365" s="188"/>
      <c r="G1365" s="188"/>
      <c r="H1365" s="188"/>
      <c r="I1365" s="188" t="s">
        <v>668</v>
      </c>
      <c r="J1365" s="188" t="s">
        <v>483</v>
      </c>
      <c r="K1365" s="188"/>
      <c r="L1365" s="188"/>
      <c r="M1365" s="189">
        <v>50</v>
      </c>
      <c r="N1365" s="190">
        <v>1024</v>
      </c>
      <c r="O1365" s="191">
        <v>1028</v>
      </c>
      <c r="P1365" s="192">
        <f t="shared" si="789"/>
        <v>15.36</v>
      </c>
      <c r="Q1365" s="192">
        <f t="shared" si="790"/>
        <v>15.42</v>
      </c>
      <c r="R1365" s="193">
        <f t="shared" si="685"/>
        <v>102600</v>
      </c>
      <c r="S1365" s="193">
        <f t="shared" si="686"/>
        <v>200</v>
      </c>
      <c r="T1365" s="193">
        <f t="shared" si="854"/>
        <v>30.78</v>
      </c>
      <c r="U1365" s="193">
        <f t="shared" si="707"/>
        <v>6.05</v>
      </c>
      <c r="V1365" s="193">
        <f t="shared" si="845"/>
        <v>12.85</v>
      </c>
      <c r="W1365" s="193">
        <f t="shared" si="839"/>
        <v>1.54</v>
      </c>
      <c r="X1365" s="193">
        <f t="shared" si="851"/>
        <v>2.82</v>
      </c>
      <c r="Y1365" s="193">
        <f t="shared" si="758"/>
        <v>0.1</v>
      </c>
      <c r="Z1365" s="193">
        <f t="shared" si="692"/>
        <v>54.14</v>
      </c>
      <c r="AA1365" s="194">
        <f t="shared" si="693"/>
        <v>145.86000000000001</v>
      </c>
      <c r="AB1365" s="195">
        <v>145.22999999999999</v>
      </c>
      <c r="AC1365" s="196">
        <f t="shared" si="694"/>
        <v>-0.63000000000002387</v>
      </c>
      <c r="AD1365" s="197">
        <f t="shared" si="695"/>
        <v>3.90625E-3</v>
      </c>
      <c r="AE1365" s="198">
        <f t="shared" si="696"/>
        <v>5.2800000000000004E-4</v>
      </c>
      <c r="AF1365" s="193"/>
      <c r="AG1365" s="199" t="s">
        <v>416</v>
      </c>
      <c r="AH1365" s="124"/>
    </row>
    <row r="1366" spans="1:34" ht="12" hidden="1" customHeight="1">
      <c r="A1366" s="187">
        <v>44789</v>
      </c>
      <c r="B1366" s="188" t="s">
        <v>614</v>
      </c>
      <c r="C1366" s="188" t="s">
        <v>485</v>
      </c>
      <c r="D1366" s="188"/>
      <c r="E1366" s="188" t="str">
        <f t="shared" si="682"/>
        <v>CARBORUNIN</v>
      </c>
      <c r="F1366" s="188"/>
      <c r="G1366" s="188"/>
      <c r="H1366" s="188"/>
      <c r="I1366" s="188" t="s">
        <v>668</v>
      </c>
      <c r="J1366" s="188" t="s">
        <v>483</v>
      </c>
      <c r="K1366" s="188"/>
      <c r="L1366" s="188"/>
      <c r="M1366" s="189">
        <v>10</v>
      </c>
      <c r="N1366" s="190">
        <v>851</v>
      </c>
      <c r="O1366" s="191">
        <v>859</v>
      </c>
      <c r="P1366" s="192">
        <f t="shared" si="789"/>
        <v>2.5499999999999998</v>
      </c>
      <c r="Q1366" s="192">
        <f t="shared" si="790"/>
        <v>2.58</v>
      </c>
      <c r="R1366" s="193">
        <f t="shared" si="685"/>
        <v>17100</v>
      </c>
      <c r="S1366" s="193">
        <f t="shared" si="686"/>
        <v>80</v>
      </c>
      <c r="T1366" s="193">
        <f t="shared" si="854"/>
        <v>5.13</v>
      </c>
      <c r="U1366" s="193">
        <f t="shared" si="707"/>
        <v>1.01</v>
      </c>
      <c r="V1366" s="193">
        <f t="shared" si="845"/>
        <v>2.15</v>
      </c>
      <c r="W1366" s="193">
        <f t="shared" si="839"/>
        <v>0.26</v>
      </c>
      <c r="X1366" s="193">
        <f t="shared" si="851"/>
        <v>0.47</v>
      </c>
      <c r="Y1366" s="193">
        <f t="shared" si="758"/>
        <v>0.02</v>
      </c>
      <c r="Z1366" s="193">
        <f t="shared" si="692"/>
        <v>9.0399999999999991</v>
      </c>
      <c r="AA1366" s="194">
        <f t="shared" si="693"/>
        <v>70.959999999999994</v>
      </c>
      <c r="AB1366" s="195">
        <v>71.23</v>
      </c>
      <c r="AC1366" s="196">
        <f t="shared" si="694"/>
        <v>0.27000000000001023</v>
      </c>
      <c r="AD1366" s="197">
        <f t="shared" si="695"/>
        <v>9.4007050528789656E-3</v>
      </c>
      <c r="AE1366" s="198">
        <f t="shared" si="696"/>
        <v>5.2899999999999996E-4</v>
      </c>
      <c r="AF1366" s="193"/>
      <c r="AG1366" s="199" t="s">
        <v>416</v>
      </c>
      <c r="AH1366" s="124"/>
    </row>
    <row r="1367" spans="1:34" ht="12" hidden="1" customHeight="1">
      <c r="A1367" s="187">
        <v>44790</v>
      </c>
      <c r="B1367" s="188" t="s">
        <v>498</v>
      </c>
      <c r="C1367" s="188" t="s">
        <v>485</v>
      </c>
      <c r="D1367" s="188"/>
      <c r="E1367" s="188" t="str">
        <f t="shared" si="682"/>
        <v>BAJFINANCE</v>
      </c>
      <c r="F1367" s="188"/>
      <c r="G1367" s="188"/>
      <c r="H1367" s="188"/>
      <c r="I1367" s="188" t="s">
        <v>668</v>
      </c>
      <c r="J1367" s="188" t="s">
        <v>483</v>
      </c>
      <c r="K1367" s="188"/>
      <c r="L1367" s="188"/>
      <c r="M1367" s="189">
        <v>5</v>
      </c>
      <c r="N1367" s="190">
        <v>7515</v>
      </c>
      <c r="O1367" s="191">
        <v>7575</v>
      </c>
      <c r="P1367" s="192">
        <f t="shared" si="789"/>
        <v>11.27</v>
      </c>
      <c r="Q1367" s="192">
        <f t="shared" si="790"/>
        <v>11.36</v>
      </c>
      <c r="R1367" s="193">
        <f t="shared" si="685"/>
        <v>75450</v>
      </c>
      <c r="S1367" s="193">
        <f t="shared" si="686"/>
        <v>300</v>
      </c>
      <c r="T1367" s="193">
        <f t="shared" si="854"/>
        <v>22.63</v>
      </c>
      <c r="U1367" s="193">
        <f t="shared" si="707"/>
        <v>4.45</v>
      </c>
      <c r="V1367" s="193">
        <f t="shared" si="845"/>
        <v>9.4700000000000006</v>
      </c>
      <c r="W1367" s="193">
        <f t="shared" si="839"/>
        <v>1.1299999999999999</v>
      </c>
      <c r="X1367" s="193">
        <f t="shared" si="851"/>
        <v>2.0699999999999998</v>
      </c>
      <c r="Y1367" s="193">
        <f t="shared" si="758"/>
        <v>0.08</v>
      </c>
      <c r="Z1367" s="193">
        <f t="shared" si="692"/>
        <v>39.83</v>
      </c>
      <c r="AA1367" s="194">
        <f t="shared" si="693"/>
        <v>260.17</v>
      </c>
      <c r="AB1367" s="195">
        <v>259.57</v>
      </c>
      <c r="AC1367" s="196">
        <f t="shared" si="694"/>
        <v>-0.60000000000002274</v>
      </c>
      <c r="AD1367" s="197">
        <f t="shared" si="695"/>
        <v>7.9840319361277438E-3</v>
      </c>
      <c r="AE1367" s="198">
        <f t="shared" si="696"/>
        <v>5.2800000000000004E-4</v>
      </c>
      <c r="AF1367" s="193"/>
      <c r="AG1367" s="199" t="s">
        <v>416</v>
      </c>
      <c r="AH1367" s="124"/>
    </row>
    <row r="1368" spans="1:34" ht="12" hidden="1" customHeight="1">
      <c r="A1368" s="187">
        <v>44795</v>
      </c>
      <c r="B1368" s="188" t="s">
        <v>628</v>
      </c>
      <c r="C1368" s="188" t="s">
        <v>485</v>
      </c>
      <c r="D1368" s="188"/>
      <c r="E1368" s="188" t="str">
        <f t="shared" si="682"/>
        <v>EXCELINDUS</v>
      </c>
      <c r="F1368" s="188"/>
      <c r="G1368" s="188"/>
      <c r="H1368" s="188"/>
      <c r="I1368" s="188" t="s">
        <v>668</v>
      </c>
      <c r="J1368" s="188" t="s">
        <v>483</v>
      </c>
      <c r="K1368" s="188"/>
      <c r="L1368" s="188"/>
      <c r="M1368" s="189">
        <v>10</v>
      </c>
      <c r="N1368" s="190">
        <v>1326</v>
      </c>
      <c r="O1368" s="191">
        <v>1337.5</v>
      </c>
      <c r="P1368" s="192">
        <f t="shared" si="789"/>
        <v>3.98</v>
      </c>
      <c r="Q1368" s="192">
        <f t="shared" si="790"/>
        <v>4.01</v>
      </c>
      <c r="R1368" s="193">
        <f t="shared" si="685"/>
        <v>26635</v>
      </c>
      <c r="S1368" s="193">
        <f t="shared" si="686"/>
        <v>115</v>
      </c>
      <c r="T1368" s="193">
        <f t="shared" si="854"/>
        <v>7.99</v>
      </c>
      <c r="U1368" s="193">
        <f t="shared" si="707"/>
        <v>1.57</v>
      </c>
      <c r="V1368" s="193">
        <f t="shared" si="845"/>
        <v>3.34</v>
      </c>
      <c r="W1368" s="193">
        <f t="shared" si="839"/>
        <v>0.4</v>
      </c>
      <c r="X1368" s="193">
        <f t="shared" si="851"/>
        <v>0.73</v>
      </c>
      <c r="Y1368" s="193">
        <f t="shared" si="758"/>
        <v>0.03</v>
      </c>
      <c r="Z1368" s="193">
        <f t="shared" si="692"/>
        <v>14.06</v>
      </c>
      <c r="AA1368" s="194">
        <f t="shared" si="693"/>
        <v>100.94</v>
      </c>
      <c r="AB1368" s="195">
        <v>100.54</v>
      </c>
      <c r="AC1368" s="196">
        <f t="shared" si="694"/>
        <v>-0.39999999999999147</v>
      </c>
      <c r="AD1368" s="197">
        <f t="shared" si="695"/>
        <v>8.6726998491704378E-3</v>
      </c>
      <c r="AE1368" s="198">
        <f t="shared" si="696"/>
        <v>5.2800000000000004E-4</v>
      </c>
      <c r="AF1368" s="193"/>
      <c r="AG1368" s="199" t="s">
        <v>416</v>
      </c>
      <c r="AH1368" s="124"/>
    </row>
    <row r="1369" spans="1:34" ht="12" hidden="1" customHeight="1">
      <c r="A1369" s="187">
        <v>44795</v>
      </c>
      <c r="B1369" s="188" t="s">
        <v>589</v>
      </c>
      <c r="C1369" s="188" t="s">
        <v>460</v>
      </c>
      <c r="D1369" s="188"/>
      <c r="E1369" s="188" t="str">
        <f t="shared" si="682"/>
        <v>DCMSHRIRAM</v>
      </c>
      <c r="F1369" s="188"/>
      <c r="G1369" s="188"/>
      <c r="H1369" s="188"/>
      <c r="I1369" s="188" t="s">
        <v>668</v>
      </c>
      <c r="J1369" s="188" t="s">
        <v>483</v>
      </c>
      <c r="K1369" s="188"/>
      <c r="L1369" s="188"/>
      <c r="M1369" s="189">
        <v>221</v>
      </c>
      <c r="N1369" s="190">
        <v>1021.5635</v>
      </c>
      <c r="O1369" s="191">
        <v>1029.95</v>
      </c>
      <c r="P1369" s="192">
        <f t="shared" si="789"/>
        <v>20</v>
      </c>
      <c r="Q1369" s="192">
        <f t="shared" si="790"/>
        <v>20</v>
      </c>
      <c r="R1369" s="193">
        <f t="shared" si="685"/>
        <v>453384.48</v>
      </c>
      <c r="S1369" s="193">
        <f t="shared" si="686"/>
        <v>1853.4165000000153</v>
      </c>
      <c r="T1369" s="193">
        <f t="shared" si="854"/>
        <v>40</v>
      </c>
      <c r="U1369" s="193">
        <f t="shared" si="707"/>
        <v>9.44</v>
      </c>
      <c r="V1369" s="193">
        <f t="shared" si="845"/>
        <v>56.9</v>
      </c>
      <c r="W1369" s="193">
        <f t="shared" si="839"/>
        <v>6.77</v>
      </c>
      <c r="X1369" s="193">
        <f t="shared" si="851"/>
        <v>12.47</v>
      </c>
      <c r="Y1369" s="193">
        <f t="shared" si="758"/>
        <v>0.45</v>
      </c>
      <c r="Z1369" s="193">
        <f t="shared" si="692"/>
        <v>126.03</v>
      </c>
      <c r="AA1369" s="194">
        <f t="shared" si="693"/>
        <v>1727.39</v>
      </c>
      <c r="AB1369" s="195">
        <v>1726.2</v>
      </c>
      <c r="AC1369" s="196">
        <f t="shared" si="694"/>
        <v>-1.1900000000000546</v>
      </c>
      <c r="AD1369" s="197">
        <f t="shared" si="695"/>
        <v>8.2094749861365141E-3</v>
      </c>
      <c r="AE1369" s="198">
        <f t="shared" si="696"/>
        <v>2.7799999999999998E-4</v>
      </c>
      <c r="AF1369" s="193"/>
      <c r="AG1369" s="199" t="s">
        <v>416</v>
      </c>
      <c r="AH1369" s="124"/>
    </row>
    <row r="1370" spans="1:34" ht="12" hidden="1" customHeight="1">
      <c r="A1370" s="187">
        <v>44796</v>
      </c>
      <c r="B1370" s="188" t="s">
        <v>628</v>
      </c>
      <c r="C1370" s="188" t="s">
        <v>485</v>
      </c>
      <c r="D1370" s="188"/>
      <c r="E1370" s="188" t="str">
        <f t="shared" si="682"/>
        <v>EXCELINDUS</v>
      </c>
      <c r="F1370" s="188"/>
      <c r="G1370" s="188"/>
      <c r="H1370" s="188"/>
      <c r="I1370" s="188" t="s">
        <v>668</v>
      </c>
      <c r="J1370" s="188" t="s">
        <v>483</v>
      </c>
      <c r="K1370" s="188"/>
      <c r="L1370" s="188"/>
      <c r="M1370" s="189">
        <v>5</v>
      </c>
      <c r="N1370" s="190">
        <v>1354</v>
      </c>
      <c r="O1370" s="191">
        <v>1355</v>
      </c>
      <c r="P1370" s="192">
        <f t="shared" si="789"/>
        <v>2.0299999999999998</v>
      </c>
      <c r="Q1370" s="192">
        <f t="shared" si="790"/>
        <v>2.0299999999999998</v>
      </c>
      <c r="R1370" s="193">
        <f t="shared" si="685"/>
        <v>13545</v>
      </c>
      <c r="S1370" s="193">
        <f t="shared" si="686"/>
        <v>5</v>
      </c>
      <c r="T1370" s="193">
        <f t="shared" si="854"/>
        <v>4.0599999999999996</v>
      </c>
      <c r="U1370" s="193">
        <f t="shared" si="707"/>
        <v>0.8</v>
      </c>
      <c r="V1370" s="193">
        <f t="shared" si="845"/>
        <v>1.69</v>
      </c>
      <c r="W1370" s="193">
        <f t="shared" si="839"/>
        <v>0.2</v>
      </c>
      <c r="X1370" s="193">
        <f t="shared" si="851"/>
        <v>0.37</v>
      </c>
      <c r="Y1370" s="193">
        <f t="shared" si="758"/>
        <v>0.01</v>
      </c>
      <c r="Z1370" s="193">
        <f t="shared" si="692"/>
        <v>7.129999999999999</v>
      </c>
      <c r="AA1370" s="194">
        <f t="shared" si="693"/>
        <v>-2.13</v>
      </c>
      <c r="AB1370" s="195">
        <v>-2.08</v>
      </c>
      <c r="AC1370" s="196">
        <f t="shared" si="694"/>
        <v>4.9999999999999822E-2</v>
      </c>
      <c r="AD1370" s="197">
        <f t="shared" si="695"/>
        <v>7.3855243722304289E-4</v>
      </c>
      <c r="AE1370" s="198">
        <f t="shared" si="696"/>
        <v>5.2599999999999999E-4</v>
      </c>
      <c r="AF1370" s="193"/>
      <c r="AG1370" s="199" t="s">
        <v>416</v>
      </c>
      <c r="AH1370" s="124"/>
    </row>
    <row r="1371" spans="1:34" ht="12" hidden="1" customHeight="1">
      <c r="A1371" s="187">
        <v>44798</v>
      </c>
      <c r="B1371" s="188" t="s">
        <v>589</v>
      </c>
      <c r="C1371" s="188" t="s">
        <v>460</v>
      </c>
      <c r="D1371" s="188"/>
      <c r="E1371" s="188" t="str">
        <f t="shared" si="682"/>
        <v>DCMSHRIRAM</v>
      </c>
      <c r="F1371" s="188"/>
      <c r="G1371" s="188"/>
      <c r="H1371" s="188"/>
      <c r="I1371" s="188" t="s">
        <v>668</v>
      </c>
      <c r="J1371" s="188" t="s">
        <v>483</v>
      </c>
      <c r="K1371" s="188"/>
      <c r="L1371" s="188"/>
      <c r="M1371" s="189">
        <v>200</v>
      </c>
      <c r="N1371" s="190">
        <v>1025.848</v>
      </c>
      <c r="O1371" s="191">
        <v>1032.0625</v>
      </c>
      <c r="P1371" s="192">
        <f t="shared" si="789"/>
        <v>20</v>
      </c>
      <c r="Q1371" s="192">
        <f t="shared" si="790"/>
        <v>20</v>
      </c>
      <c r="R1371" s="193">
        <f t="shared" si="685"/>
        <v>411582.1</v>
      </c>
      <c r="S1371" s="193">
        <f t="shared" si="686"/>
        <v>1242.9000000000087</v>
      </c>
      <c r="T1371" s="193">
        <v>112.73</v>
      </c>
      <c r="U1371" s="193">
        <f t="shared" si="707"/>
        <v>22.33</v>
      </c>
      <c r="V1371" s="193">
        <f t="shared" ref="V1371:V1372" si="855">ROUND((O1371*M1371)*F$1818,2)-1</f>
        <v>50.6</v>
      </c>
      <c r="W1371" s="193">
        <f t="shared" si="839"/>
        <v>6.16</v>
      </c>
      <c r="X1371" s="193">
        <f t="shared" si="851"/>
        <v>11.32</v>
      </c>
      <c r="Y1371" s="193">
        <f t="shared" si="758"/>
        <v>0.41</v>
      </c>
      <c r="Z1371" s="193">
        <f t="shared" si="692"/>
        <v>203.54999999999998</v>
      </c>
      <c r="AA1371" s="194">
        <f t="shared" si="693"/>
        <v>1039.3499999999999</v>
      </c>
      <c r="AB1371" s="195">
        <v>1039</v>
      </c>
      <c r="AC1371" s="196">
        <f t="shared" si="694"/>
        <v>-0.34999999999990905</v>
      </c>
      <c r="AD1371" s="197">
        <f t="shared" si="695"/>
        <v>6.0579150127504696E-3</v>
      </c>
      <c r="AE1371" s="198">
        <f t="shared" si="696"/>
        <v>4.95E-4</v>
      </c>
      <c r="AF1371" s="193"/>
      <c r="AG1371" s="199" t="s">
        <v>416</v>
      </c>
      <c r="AH1371" s="124"/>
    </row>
    <row r="1372" spans="1:34" ht="12" hidden="1" customHeight="1">
      <c r="A1372" s="187">
        <v>44799</v>
      </c>
      <c r="B1372" s="188" t="s">
        <v>589</v>
      </c>
      <c r="C1372" s="188" t="s">
        <v>460</v>
      </c>
      <c r="D1372" s="188"/>
      <c r="E1372" s="188" t="str">
        <f t="shared" si="682"/>
        <v>DCMSHRIRAM</v>
      </c>
      <c r="F1372" s="188"/>
      <c r="G1372" s="188"/>
      <c r="H1372" s="188"/>
      <c r="I1372" s="188" t="s">
        <v>668</v>
      </c>
      <c r="J1372" s="188" t="s">
        <v>483</v>
      </c>
      <c r="K1372" s="188"/>
      <c r="L1372" s="188"/>
      <c r="M1372" s="189">
        <v>100</v>
      </c>
      <c r="N1372" s="190">
        <v>1037</v>
      </c>
      <c r="O1372" s="191">
        <v>1043.45</v>
      </c>
      <c r="P1372" s="192">
        <f t="shared" si="789"/>
        <v>20</v>
      </c>
      <c r="Q1372" s="192">
        <f t="shared" si="790"/>
        <v>20</v>
      </c>
      <c r="R1372" s="193">
        <f t="shared" si="685"/>
        <v>208045</v>
      </c>
      <c r="S1372" s="193">
        <f t="shared" si="686"/>
        <v>645.00000000000455</v>
      </c>
      <c r="T1372" s="193">
        <v>51.31</v>
      </c>
      <c r="U1372" s="193">
        <f t="shared" si="707"/>
        <v>10.27</v>
      </c>
      <c r="V1372" s="193">
        <f t="shared" si="855"/>
        <v>25.09</v>
      </c>
      <c r="W1372" s="193">
        <f t="shared" si="839"/>
        <v>3.11</v>
      </c>
      <c r="X1372" s="193">
        <f t="shared" si="851"/>
        <v>5.72</v>
      </c>
      <c r="Y1372" s="193">
        <f t="shared" si="758"/>
        <v>0.21</v>
      </c>
      <c r="Z1372" s="193">
        <f t="shared" si="692"/>
        <v>95.71</v>
      </c>
      <c r="AA1372" s="194">
        <f t="shared" si="693"/>
        <v>549.29</v>
      </c>
      <c r="AB1372" s="195">
        <v>548.04</v>
      </c>
      <c r="AC1372" s="196">
        <f t="shared" si="694"/>
        <v>-1.25</v>
      </c>
      <c r="AD1372" s="197">
        <f t="shared" si="695"/>
        <v>6.2198649951784434E-3</v>
      </c>
      <c r="AE1372" s="198">
        <f t="shared" si="696"/>
        <v>4.6000000000000001E-4</v>
      </c>
      <c r="AF1372" s="193"/>
      <c r="AG1372" s="199" t="s">
        <v>416</v>
      </c>
      <c r="AH1372" s="124"/>
    </row>
    <row r="1373" spans="1:34" ht="12" hidden="1" customHeight="1">
      <c r="A1373" s="187">
        <v>44802</v>
      </c>
      <c r="B1373" s="188" t="s">
        <v>589</v>
      </c>
      <c r="C1373" s="188" t="s">
        <v>460</v>
      </c>
      <c r="D1373" s="188"/>
      <c r="E1373" s="188" t="str">
        <f t="shared" si="682"/>
        <v>DCMSHRIRAM</v>
      </c>
      <c r="F1373" s="188"/>
      <c r="G1373" s="188"/>
      <c r="H1373" s="188"/>
      <c r="I1373" s="188" t="s">
        <v>668</v>
      </c>
      <c r="J1373" s="188" t="s">
        <v>483</v>
      </c>
      <c r="K1373" s="188"/>
      <c r="L1373" s="188"/>
      <c r="M1373" s="189">
        <v>35</v>
      </c>
      <c r="N1373" s="190">
        <v>1010</v>
      </c>
      <c r="O1373" s="191">
        <v>1019</v>
      </c>
      <c r="P1373" s="192">
        <f t="shared" si="789"/>
        <v>10.61</v>
      </c>
      <c r="Q1373" s="192">
        <f t="shared" si="790"/>
        <v>10.7</v>
      </c>
      <c r="R1373" s="193">
        <f t="shared" si="685"/>
        <v>71015</v>
      </c>
      <c r="S1373" s="193">
        <f t="shared" si="686"/>
        <v>315</v>
      </c>
      <c r="T1373" s="193">
        <f>ROUND(P1373+Q1373,2)</f>
        <v>21.31</v>
      </c>
      <c r="U1373" s="193">
        <f t="shared" si="707"/>
        <v>4.1900000000000004</v>
      </c>
      <c r="V1373" s="193">
        <f t="shared" ref="V1373:V1427" si="856">ROUND((O1373*M1373)*F$1818,2)</f>
        <v>8.92</v>
      </c>
      <c r="W1373" s="193">
        <f t="shared" si="839"/>
        <v>1.06</v>
      </c>
      <c r="X1373" s="193">
        <f t="shared" si="851"/>
        <v>1.95</v>
      </c>
      <c r="Y1373" s="193">
        <f t="shared" si="758"/>
        <v>7.0000000000000007E-2</v>
      </c>
      <c r="Z1373" s="193">
        <f t="shared" si="692"/>
        <v>37.500000000000007</v>
      </c>
      <c r="AA1373" s="194">
        <f t="shared" si="693"/>
        <v>277.5</v>
      </c>
      <c r="AB1373" s="195">
        <v>278.32</v>
      </c>
      <c r="AC1373" s="196">
        <f t="shared" si="694"/>
        <v>0.81999999999999318</v>
      </c>
      <c r="AD1373" s="197">
        <f t="shared" si="695"/>
        <v>8.9108910891089101E-3</v>
      </c>
      <c r="AE1373" s="198">
        <f t="shared" si="696"/>
        <v>5.2800000000000004E-4</v>
      </c>
      <c r="AF1373" s="193"/>
      <c r="AG1373" s="199" t="s">
        <v>416</v>
      </c>
      <c r="AH1373" s="124"/>
    </row>
    <row r="1374" spans="1:34" ht="12" hidden="1" customHeight="1">
      <c r="A1374" s="187">
        <v>44803</v>
      </c>
      <c r="B1374" s="188" t="s">
        <v>589</v>
      </c>
      <c r="C1374" s="188" t="s">
        <v>460</v>
      </c>
      <c r="D1374" s="188"/>
      <c r="E1374" s="188" t="str">
        <f t="shared" si="682"/>
        <v>DCMSHRIRAM</v>
      </c>
      <c r="F1374" s="188"/>
      <c r="G1374" s="188"/>
      <c r="H1374" s="188"/>
      <c r="I1374" s="188" t="s">
        <v>668</v>
      </c>
      <c r="J1374" s="188" t="s">
        <v>483</v>
      </c>
      <c r="K1374" s="188"/>
      <c r="L1374" s="188"/>
      <c r="M1374" s="189">
        <v>310</v>
      </c>
      <c r="N1374" s="190">
        <v>1047.59672</v>
      </c>
      <c r="O1374" s="191">
        <v>1054.4676999999999</v>
      </c>
      <c r="P1374" s="192">
        <f t="shared" si="789"/>
        <v>20</v>
      </c>
      <c r="Q1374" s="192">
        <f t="shared" si="790"/>
        <v>20</v>
      </c>
      <c r="R1374" s="193">
        <f t="shared" si="685"/>
        <v>651639.97</v>
      </c>
      <c r="S1374" s="193">
        <f t="shared" si="686"/>
        <v>2130.0037999999745</v>
      </c>
      <c r="T1374" s="193">
        <v>135.62</v>
      </c>
      <c r="U1374" s="193">
        <f t="shared" si="707"/>
        <v>27.64</v>
      </c>
      <c r="V1374" s="193">
        <f t="shared" si="856"/>
        <v>81.72</v>
      </c>
      <c r="W1374" s="193">
        <f t="shared" si="839"/>
        <v>9.74</v>
      </c>
      <c r="X1374" s="193">
        <f t="shared" si="851"/>
        <v>17.920000000000002</v>
      </c>
      <c r="Y1374" s="193">
        <f t="shared" si="758"/>
        <v>0.65</v>
      </c>
      <c r="Z1374" s="193">
        <f t="shared" si="692"/>
        <v>273.28999999999996</v>
      </c>
      <c r="AA1374" s="194">
        <f t="shared" si="693"/>
        <v>1856.71</v>
      </c>
      <c r="AB1374" s="195">
        <v>1856.35</v>
      </c>
      <c r="AC1374" s="196">
        <f t="shared" si="694"/>
        <v>-0.36000000000012733</v>
      </c>
      <c r="AD1374" s="197">
        <f t="shared" si="695"/>
        <v>6.5588025132418491E-3</v>
      </c>
      <c r="AE1374" s="198">
        <f t="shared" si="696"/>
        <v>4.1899999999999999E-4</v>
      </c>
      <c r="AF1374" s="193"/>
      <c r="AG1374" s="199" t="s">
        <v>416</v>
      </c>
      <c r="AH1374" s="124"/>
    </row>
    <row r="1375" spans="1:34" ht="12" hidden="1" customHeight="1">
      <c r="A1375" s="187">
        <v>44805</v>
      </c>
      <c r="B1375" s="188" t="s">
        <v>589</v>
      </c>
      <c r="C1375" s="188" t="s">
        <v>460</v>
      </c>
      <c r="D1375" s="188"/>
      <c r="E1375" s="188" t="str">
        <f t="shared" si="682"/>
        <v>DCMSHRIRAM</v>
      </c>
      <c r="F1375" s="188"/>
      <c r="G1375" s="188"/>
      <c r="H1375" s="188"/>
      <c r="I1375" s="188" t="s">
        <v>668</v>
      </c>
      <c r="J1375" s="188" t="s">
        <v>483</v>
      </c>
      <c r="K1375" s="188"/>
      <c r="L1375" s="188"/>
      <c r="M1375" s="189">
        <v>200</v>
      </c>
      <c r="N1375" s="190">
        <v>1047.5</v>
      </c>
      <c r="O1375" s="191">
        <v>1055.5</v>
      </c>
      <c r="P1375" s="192">
        <f t="shared" si="789"/>
        <v>20</v>
      </c>
      <c r="Q1375" s="192">
        <f t="shared" si="790"/>
        <v>20</v>
      </c>
      <c r="R1375" s="193">
        <f t="shared" si="685"/>
        <v>420600</v>
      </c>
      <c r="S1375" s="193">
        <f t="shared" si="686"/>
        <v>1600</v>
      </c>
      <c r="T1375" s="193">
        <v>80</v>
      </c>
      <c r="U1375" s="193">
        <f t="shared" si="707"/>
        <v>16.75</v>
      </c>
      <c r="V1375" s="193">
        <f t="shared" si="856"/>
        <v>52.78</v>
      </c>
      <c r="W1375" s="193">
        <f t="shared" si="839"/>
        <v>6.29</v>
      </c>
      <c r="X1375" s="193">
        <v>13.04</v>
      </c>
      <c r="Y1375" s="193">
        <f t="shared" si="758"/>
        <v>0.42</v>
      </c>
      <c r="Z1375" s="193">
        <f t="shared" si="692"/>
        <v>169.27999999999997</v>
      </c>
      <c r="AA1375" s="194">
        <f t="shared" si="693"/>
        <v>1430.72</v>
      </c>
      <c r="AB1375" s="195">
        <v>1430.72</v>
      </c>
      <c r="AC1375" s="196">
        <f t="shared" si="694"/>
        <v>0</v>
      </c>
      <c r="AD1375" s="197">
        <f t="shared" si="695"/>
        <v>7.6372315035799524E-3</v>
      </c>
      <c r="AE1375" s="198">
        <f t="shared" si="696"/>
        <v>4.0200000000000001E-4</v>
      </c>
      <c r="AF1375" s="193"/>
      <c r="AG1375" s="199" t="s">
        <v>416</v>
      </c>
      <c r="AH1375" s="124"/>
    </row>
    <row r="1376" spans="1:34" ht="12" hidden="1" customHeight="1">
      <c r="A1376" s="187">
        <v>44806</v>
      </c>
      <c r="B1376" s="188" t="s">
        <v>633</v>
      </c>
      <c r="C1376" s="188" t="s">
        <v>485</v>
      </c>
      <c r="D1376" s="188"/>
      <c r="E1376" s="188" t="str">
        <f t="shared" si="682"/>
        <v>SUZLON</v>
      </c>
      <c r="F1376" s="188"/>
      <c r="G1376" s="188"/>
      <c r="H1376" s="188"/>
      <c r="I1376" s="188" t="s">
        <v>668</v>
      </c>
      <c r="J1376" s="188" t="s">
        <v>483</v>
      </c>
      <c r="K1376" s="188"/>
      <c r="L1376" s="188"/>
      <c r="M1376" s="189">
        <v>500</v>
      </c>
      <c r="N1376" s="190">
        <v>8.9</v>
      </c>
      <c r="O1376" s="191">
        <v>9.0500000000000007</v>
      </c>
      <c r="P1376" s="192">
        <f t="shared" si="789"/>
        <v>1.34</v>
      </c>
      <c r="Q1376" s="192">
        <f t="shared" si="790"/>
        <v>1.36</v>
      </c>
      <c r="R1376" s="193">
        <f t="shared" si="685"/>
        <v>8975</v>
      </c>
      <c r="S1376" s="193">
        <f t="shared" si="686"/>
        <v>75.000000000000171</v>
      </c>
      <c r="T1376" s="193">
        <f>ROUND(P1376+Q1376,2)</f>
        <v>2.7</v>
      </c>
      <c r="U1376" s="193">
        <f t="shared" si="707"/>
        <v>0.53</v>
      </c>
      <c r="V1376" s="193">
        <f t="shared" si="856"/>
        <v>1.1299999999999999</v>
      </c>
      <c r="W1376" s="193">
        <f t="shared" si="839"/>
        <v>0.13</v>
      </c>
      <c r="X1376" s="193">
        <f t="shared" ref="X1376:X1420" si="857">ROUND(R1376*G$1820,2)</f>
        <v>0.25</v>
      </c>
      <c r="Y1376" s="193">
        <f t="shared" si="758"/>
        <v>0.01</v>
      </c>
      <c r="Z1376" s="193">
        <f t="shared" si="692"/>
        <v>4.75</v>
      </c>
      <c r="AA1376" s="194">
        <f t="shared" si="693"/>
        <v>70.25</v>
      </c>
      <c r="AB1376" s="195">
        <v>70.31</v>
      </c>
      <c r="AC1376" s="196">
        <f t="shared" si="694"/>
        <v>6.0000000000002274E-2</v>
      </c>
      <c r="AD1376" s="197">
        <f t="shared" si="695"/>
        <v>1.6853932584269701E-2</v>
      </c>
      <c r="AE1376" s="198">
        <f t="shared" si="696"/>
        <v>5.2899999999999996E-4</v>
      </c>
      <c r="AF1376" s="193"/>
      <c r="AG1376" s="199" t="s">
        <v>416</v>
      </c>
      <c r="AH1376" s="124"/>
    </row>
    <row r="1377" spans="1:34" ht="12" hidden="1" customHeight="1">
      <c r="A1377" s="187">
        <v>44810</v>
      </c>
      <c r="B1377" s="188" t="s">
        <v>589</v>
      </c>
      <c r="C1377" s="188" t="s">
        <v>460</v>
      </c>
      <c r="D1377" s="188"/>
      <c r="E1377" s="188" t="str">
        <f t="shared" si="682"/>
        <v>DCMSHRIRAM</v>
      </c>
      <c r="F1377" s="188"/>
      <c r="G1377" s="188"/>
      <c r="H1377" s="188"/>
      <c r="I1377" s="188" t="s">
        <v>668</v>
      </c>
      <c r="J1377" s="188" t="s">
        <v>483</v>
      </c>
      <c r="K1377" s="188"/>
      <c r="L1377" s="188"/>
      <c r="M1377" s="189">
        <v>200</v>
      </c>
      <c r="N1377" s="190">
        <v>1057.9000000000001</v>
      </c>
      <c r="O1377" s="191">
        <v>1063.5</v>
      </c>
      <c r="P1377" s="192">
        <f t="shared" si="789"/>
        <v>20</v>
      </c>
      <c r="Q1377" s="192">
        <f t="shared" si="790"/>
        <v>20</v>
      </c>
      <c r="R1377" s="193">
        <f t="shared" si="685"/>
        <v>424280</v>
      </c>
      <c r="S1377" s="193">
        <f t="shared" si="686"/>
        <v>1119.9999999999818</v>
      </c>
      <c r="T1377" s="193">
        <v>60</v>
      </c>
      <c r="U1377" s="193">
        <f t="shared" si="707"/>
        <v>12.9</v>
      </c>
      <c r="V1377" s="193">
        <f t="shared" si="856"/>
        <v>53.18</v>
      </c>
      <c r="W1377" s="193">
        <f t="shared" si="839"/>
        <v>6.35</v>
      </c>
      <c r="X1377" s="193">
        <f t="shared" si="857"/>
        <v>11.67</v>
      </c>
      <c r="Y1377" s="193">
        <f t="shared" si="758"/>
        <v>0.42</v>
      </c>
      <c r="Z1377" s="193">
        <f t="shared" si="692"/>
        <v>144.51999999999998</v>
      </c>
      <c r="AA1377" s="194">
        <f t="shared" si="693"/>
        <v>975.48</v>
      </c>
      <c r="AB1377" s="195">
        <v>975.93</v>
      </c>
      <c r="AC1377" s="196">
        <f t="shared" si="694"/>
        <v>0.44999999999993179</v>
      </c>
      <c r="AD1377" s="197">
        <f t="shared" si="695"/>
        <v>5.293506002457613E-3</v>
      </c>
      <c r="AE1377" s="198">
        <f t="shared" si="696"/>
        <v>3.4099999999999999E-4</v>
      </c>
      <c r="AF1377" s="193"/>
      <c r="AG1377" s="199" t="s">
        <v>416</v>
      </c>
      <c r="AH1377" s="124"/>
    </row>
    <row r="1378" spans="1:34" ht="12" hidden="1" customHeight="1">
      <c r="A1378" s="187">
        <v>44811</v>
      </c>
      <c r="B1378" s="188" t="s">
        <v>589</v>
      </c>
      <c r="C1378" s="188" t="s">
        <v>460</v>
      </c>
      <c r="D1378" s="188"/>
      <c r="E1378" s="188" t="str">
        <f t="shared" si="682"/>
        <v>DCMSHRIRAM</v>
      </c>
      <c r="F1378" s="188"/>
      <c r="G1378" s="188"/>
      <c r="H1378" s="188"/>
      <c r="I1378" s="188" t="s">
        <v>668</v>
      </c>
      <c r="J1378" s="188" t="s">
        <v>483</v>
      </c>
      <c r="K1378" s="188"/>
      <c r="L1378" s="188"/>
      <c r="M1378" s="189">
        <v>100</v>
      </c>
      <c r="N1378" s="190">
        <v>1057</v>
      </c>
      <c r="O1378" s="191">
        <v>1061.9000000000001</v>
      </c>
      <c r="P1378" s="192">
        <f t="shared" si="789"/>
        <v>20</v>
      </c>
      <c r="Q1378" s="192">
        <f t="shared" si="790"/>
        <v>20</v>
      </c>
      <c r="R1378" s="193">
        <f t="shared" si="685"/>
        <v>211890</v>
      </c>
      <c r="S1378" s="193">
        <f t="shared" si="686"/>
        <v>490.00000000000909</v>
      </c>
      <c r="T1378" s="193">
        <f>ROUND(P1378+Q1378,2)</f>
        <v>40</v>
      </c>
      <c r="U1378" s="193">
        <f t="shared" si="707"/>
        <v>8.25</v>
      </c>
      <c r="V1378" s="193">
        <f t="shared" si="856"/>
        <v>26.55</v>
      </c>
      <c r="W1378" s="193">
        <f t="shared" si="839"/>
        <v>3.17</v>
      </c>
      <c r="X1378" s="193">
        <f t="shared" si="857"/>
        <v>5.83</v>
      </c>
      <c r="Y1378" s="193">
        <f t="shared" si="758"/>
        <v>0.21</v>
      </c>
      <c r="Z1378" s="193">
        <f t="shared" si="692"/>
        <v>84.009999999999991</v>
      </c>
      <c r="AA1378" s="194">
        <f t="shared" si="693"/>
        <v>405.99</v>
      </c>
      <c r="AB1378" s="195">
        <v>406.67</v>
      </c>
      <c r="AC1378" s="196">
        <f t="shared" si="694"/>
        <v>0.68000000000000682</v>
      </c>
      <c r="AD1378" s="197">
        <f t="shared" si="695"/>
        <v>4.6357615894040598E-3</v>
      </c>
      <c r="AE1378" s="198">
        <f t="shared" si="696"/>
        <v>3.9599999999999998E-4</v>
      </c>
      <c r="AF1378" s="193"/>
      <c r="AG1378" s="199" t="s">
        <v>416</v>
      </c>
      <c r="AH1378" s="124"/>
    </row>
    <row r="1379" spans="1:34" ht="12" hidden="1" customHeight="1">
      <c r="A1379" s="187">
        <v>44813</v>
      </c>
      <c r="B1379" s="188" t="s">
        <v>589</v>
      </c>
      <c r="C1379" s="188" t="s">
        <v>460</v>
      </c>
      <c r="D1379" s="188"/>
      <c r="E1379" s="188" t="str">
        <f t="shared" si="682"/>
        <v>DCMSHRIRAM</v>
      </c>
      <c r="F1379" s="188"/>
      <c r="G1379" s="188"/>
      <c r="H1379" s="188"/>
      <c r="I1379" s="188" t="s">
        <v>668</v>
      </c>
      <c r="J1379" s="188" t="s">
        <v>483</v>
      </c>
      <c r="K1379" s="188"/>
      <c r="L1379" s="188"/>
      <c r="M1379" s="189">
        <v>200</v>
      </c>
      <c r="N1379" s="190">
        <v>1064.5</v>
      </c>
      <c r="O1379" s="191">
        <v>1075.5650000000001</v>
      </c>
      <c r="P1379" s="192">
        <f t="shared" si="789"/>
        <v>20</v>
      </c>
      <c r="Q1379" s="192">
        <f t="shared" si="790"/>
        <v>20</v>
      </c>
      <c r="R1379" s="193">
        <f t="shared" si="685"/>
        <v>428013</v>
      </c>
      <c r="S1379" s="193">
        <f t="shared" si="686"/>
        <v>2213.0000000000109</v>
      </c>
      <c r="T1379" s="193">
        <v>80</v>
      </c>
      <c r="U1379" s="193">
        <f t="shared" si="707"/>
        <v>16.52</v>
      </c>
      <c r="V1379" s="193">
        <f t="shared" si="856"/>
        <v>53.78</v>
      </c>
      <c r="W1379" s="193">
        <f t="shared" si="839"/>
        <v>6.39</v>
      </c>
      <c r="X1379" s="193">
        <f t="shared" si="857"/>
        <v>11.77</v>
      </c>
      <c r="Y1379" s="193">
        <f t="shared" si="758"/>
        <v>0.43</v>
      </c>
      <c r="Z1379" s="193">
        <f t="shared" si="692"/>
        <v>168.89000000000001</v>
      </c>
      <c r="AA1379" s="194">
        <f t="shared" si="693"/>
        <v>2044.11</v>
      </c>
      <c r="AB1379" s="195">
        <v>2044.14</v>
      </c>
      <c r="AC1379" s="196">
        <f t="shared" si="694"/>
        <v>3.0000000000200089E-2</v>
      </c>
      <c r="AD1379" s="197">
        <f t="shared" si="695"/>
        <v>1.0394551432597515E-2</v>
      </c>
      <c r="AE1379" s="198">
        <f t="shared" si="696"/>
        <v>3.9500000000000001E-4</v>
      </c>
      <c r="AF1379" s="193"/>
      <c r="AG1379" s="199" t="s">
        <v>416</v>
      </c>
      <c r="AH1379" s="124"/>
    </row>
    <row r="1380" spans="1:34" ht="12" hidden="1" customHeight="1">
      <c r="A1380" s="187">
        <v>44816</v>
      </c>
      <c r="B1380" s="188" t="s">
        <v>589</v>
      </c>
      <c r="C1380" s="188" t="s">
        <v>460</v>
      </c>
      <c r="D1380" s="188"/>
      <c r="E1380" s="188" t="str">
        <f t="shared" si="682"/>
        <v>DCMSHRIRAM</v>
      </c>
      <c r="F1380" s="188"/>
      <c r="G1380" s="188"/>
      <c r="H1380" s="188"/>
      <c r="I1380" s="188" t="s">
        <v>668</v>
      </c>
      <c r="J1380" s="188" t="s">
        <v>483</v>
      </c>
      <c r="K1380" s="188"/>
      <c r="L1380" s="188"/>
      <c r="M1380" s="189">
        <v>200</v>
      </c>
      <c r="N1380" s="190">
        <v>1078.6500000000001</v>
      </c>
      <c r="O1380" s="191">
        <v>1082</v>
      </c>
      <c r="P1380" s="192">
        <f t="shared" si="789"/>
        <v>20</v>
      </c>
      <c r="Q1380" s="192">
        <f t="shared" si="790"/>
        <v>20</v>
      </c>
      <c r="R1380" s="193">
        <f t="shared" si="685"/>
        <v>432130</v>
      </c>
      <c r="S1380" s="193">
        <f t="shared" si="686"/>
        <v>669.99999999998181</v>
      </c>
      <c r="T1380" s="193">
        <v>80</v>
      </c>
      <c r="U1380" s="193">
        <f t="shared" si="707"/>
        <v>16.54</v>
      </c>
      <c r="V1380" s="193">
        <f t="shared" si="856"/>
        <v>54.1</v>
      </c>
      <c r="W1380" s="193">
        <f t="shared" si="839"/>
        <v>6.47</v>
      </c>
      <c r="X1380" s="193">
        <f t="shared" si="857"/>
        <v>11.88</v>
      </c>
      <c r="Y1380" s="193">
        <f t="shared" si="758"/>
        <v>0.43</v>
      </c>
      <c r="Z1380" s="193">
        <f t="shared" si="692"/>
        <v>169.42</v>
      </c>
      <c r="AA1380" s="194">
        <f t="shared" si="693"/>
        <v>500.58</v>
      </c>
      <c r="AB1380" s="195">
        <v>501.07</v>
      </c>
      <c r="AC1380" s="196">
        <f t="shared" si="694"/>
        <v>0.49000000000000909</v>
      </c>
      <c r="AD1380" s="197">
        <f t="shared" si="695"/>
        <v>3.1057340193759875E-3</v>
      </c>
      <c r="AE1380" s="198">
        <f t="shared" si="696"/>
        <v>3.9199999999999999E-4</v>
      </c>
      <c r="AF1380" s="193"/>
      <c r="AG1380" s="199" t="s">
        <v>416</v>
      </c>
      <c r="AH1380" s="124"/>
    </row>
    <row r="1381" spans="1:34" ht="12" hidden="1" customHeight="1">
      <c r="A1381" s="187">
        <v>44817</v>
      </c>
      <c r="B1381" s="188" t="s">
        <v>589</v>
      </c>
      <c r="C1381" s="188" t="s">
        <v>460</v>
      </c>
      <c r="D1381" s="188"/>
      <c r="E1381" s="188" t="str">
        <f t="shared" si="682"/>
        <v>DCMSHRIRAM</v>
      </c>
      <c r="F1381" s="188"/>
      <c r="G1381" s="188"/>
      <c r="H1381" s="188"/>
      <c r="I1381" s="188" t="s">
        <v>668</v>
      </c>
      <c r="J1381" s="188" t="s">
        <v>483</v>
      </c>
      <c r="K1381" s="188"/>
      <c r="L1381" s="188"/>
      <c r="M1381" s="189">
        <v>250</v>
      </c>
      <c r="N1381" s="190">
        <v>1074.6199999999999</v>
      </c>
      <c r="O1381" s="191">
        <v>1082</v>
      </c>
      <c r="P1381" s="192">
        <f t="shared" si="789"/>
        <v>20</v>
      </c>
      <c r="Q1381" s="192">
        <f t="shared" si="790"/>
        <v>20</v>
      </c>
      <c r="R1381" s="193">
        <f t="shared" si="685"/>
        <v>539155</v>
      </c>
      <c r="S1381" s="193">
        <f t="shared" si="686"/>
        <v>1845.0000000000273</v>
      </c>
      <c r="T1381" s="193">
        <v>80</v>
      </c>
      <c r="U1381" s="193">
        <f t="shared" si="707"/>
        <v>17.07</v>
      </c>
      <c r="V1381" s="193">
        <f t="shared" si="856"/>
        <v>67.63</v>
      </c>
      <c r="W1381" s="193">
        <f t="shared" si="839"/>
        <v>8.06</v>
      </c>
      <c r="X1381" s="193">
        <f t="shared" si="857"/>
        <v>14.83</v>
      </c>
      <c r="Y1381" s="193">
        <f t="shared" si="758"/>
        <v>0.54</v>
      </c>
      <c r="Z1381" s="193">
        <f t="shared" si="692"/>
        <v>188.13</v>
      </c>
      <c r="AA1381" s="194">
        <f t="shared" si="693"/>
        <v>1656.87</v>
      </c>
      <c r="AB1381" s="195">
        <v>1655.24</v>
      </c>
      <c r="AC1381" s="196">
        <f t="shared" si="694"/>
        <v>-1.6299999999998818</v>
      </c>
      <c r="AD1381" s="197">
        <f t="shared" si="695"/>
        <v>6.8675438759748658E-3</v>
      </c>
      <c r="AE1381" s="198">
        <f t="shared" si="696"/>
        <v>3.4900000000000003E-4</v>
      </c>
      <c r="AF1381" s="193"/>
      <c r="AG1381" s="199" t="s">
        <v>416</v>
      </c>
      <c r="AH1381" s="124"/>
    </row>
    <row r="1382" spans="1:34" ht="12" hidden="1" customHeight="1">
      <c r="A1382" s="187">
        <v>44818</v>
      </c>
      <c r="B1382" s="188" t="s">
        <v>589</v>
      </c>
      <c r="C1382" s="188" t="s">
        <v>460</v>
      </c>
      <c r="D1382" s="188"/>
      <c r="E1382" s="188" t="str">
        <f t="shared" si="682"/>
        <v>DCMSHRIRAM</v>
      </c>
      <c r="F1382" s="188"/>
      <c r="G1382" s="188"/>
      <c r="H1382" s="188"/>
      <c r="I1382" s="188" t="s">
        <v>668</v>
      </c>
      <c r="J1382" s="188" t="s">
        <v>483</v>
      </c>
      <c r="K1382" s="188"/>
      <c r="L1382" s="188"/>
      <c r="M1382" s="189">
        <v>100</v>
      </c>
      <c r="N1382" s="190">
        <v>1066</v>
      </c>
      <c r="O1382" s="191">
        <v>1067.9000000000001</v>
      </c>
      <c r="P1382" s="192">
        <f t="shared" si="789"/>
        <v>20</v>
      </c>
      <c r="Q1382" s="192">
        <f t="shared" si="790"/>
        <v>20</v>
      </c>
      <c r="R1382" s="193">
        <f t="shared" si="685"/>
        <v>213390</v>
      </c>
      <c r="S1382" s="193">
        <f t="shared" si="686"/>
        <v>190.00000000000909</v>
      </c>
      <c r="T1382" s="193">
        <f t="shared" ref="T1382:T1383" si="858">ROUND(P1382+Q1382,2)</f>
        <v>40</v>
      </c>
      <c r="U1382" s="193">
        <f t="shared" si="707"/>
        <v>8.26</v>
      </c>
      <c r="V1382" s="193">
        <f t="shared" si="856"/>
        <v>26.7</v>
      </c>
      <c r="W1382" s="193">
        <f t="shared" si="839"/>
        <v>3.2</v>
      </c>
      <c r="X1382" s="193">
        <f t="shared" si="857"/>
        <v>5.87</v>
      </c>
      <c r="Y1382" s="193">
        <f t="shared" si="758"/>
        <v>0.21</v>
      </c>
      <c r="Z1382" s="193">
        <f t="shared" si="692"/>
        <v>84.24</v>
      </c>
      <c r="AA1382" s="194">
        <f t="shared" si="693"/>
        <v>105.76</v>
      </c>
      <c r="AB1382" s="195">
        <v>103.54</v>
      </c>
      <c r="AC1382" s="196">
        <f t="shared" si="694"/>
        <v>-2.2199999999999989</v>
      </c>
      <c r="AD1382" s="197">
        <f t="shared" si="695"/>
        <v>1.7823639774860139E-3</v>
      </c>
      <c r="AE1382" s="198">
        <f t="shared" si="696"/>
        <v>3.9500000000000001E-4</v>
      </c>
      <c r="AF1382" s="193"/>
      <c r="AG1382" s="199" t="s">
        <v>416</v>
      </c>
      <c r="AH1382" s="124"/>
    </row>
    <row r="1383" spans="1:34" ht="12" hidden="1" customHeight="1">
      <c r="A1383" s="187">
        <v>44818</v>
      </c>
      <c r="B1383" s="188" t="s">
        <v>554</v>
      </c>
      <c r="C1383" s="188" t="s">
        <v>485</v>
      </c>
      <c r="D1383" s="188"/>
      <c r="E1383" s="188" t="str">
        <f t="shared" si="682"/>
        <v>GUJAPOLLO</v>
      </c>
      <c r="F1383" s="188"/>
      <c r="G1383" s="188"/>
      <c r="H1383" s="188"/>
      <c r="I1383" s="188" t="s">
        <v>668</v>
      </c>
      <c r="J1383" s="188" t="s">
        <v>483</v>
      </c>
      <c r="K1383" s="188"/>
      <c r="L1383" s="188"/>
      <c r="M1383" s="189">
        <v>70</v>
      </c>
      <c r="N1383" s="190">
        <v>255</v>
      </c>
      <c r="O1383" s="191">
        <v>273</v>
      </c>
      <c r="P1383" s="192">
        <f t="shared" si="789"/>
        <v>5.36</v>
      </c>
      <c r="Q1383" s="192">
        <f t="shared" si="790"/>
        <v>5.73</v>
      </c>
      <c r="R1383" s="193">
        <f t="shared" si="685"/>
        <v>36960</v>
      </c>
      <c r="S1383" s="193">
        <f t="shared" si="686"/>
        <v>1260</v>
      </c>
      <c r="T1383" s="193">
        <f t="shared" si="858"/>
        <v>11.09</v>
      </c>
      <c r="U1383" s="193">
        <f t="shared" si="707"/>
        <v>2.1800000000000002</v>
      </c>
      <c r="V1383" s="193">
        <f t="shared" si="856"/>
        <v>4.78</v>
      </c>
      <c r="W1383" s="193">
        <f t="shared" si="839"/>
        <v>0.54</v>
      </c>
      <c r="X1383" s="193">
        <f t="shared" si="857"/>
        <v>1.02</v>
      </c>
      <c r="Y1383" s="193">
        <f t="shared" si="758"/>
        <v>0.04</v>
      </c>
      <c r="Z1383" s="193">
        <f t="shared" si="692"/>
        <v>19.649999999999999</v>
      </c>
      <c r="AA1383" s="194">
        <f t="shared" si="693"/>
        <v>1240.3499999999999</v>
      </c>
      <c r="AB1383" s="195">
        <v>1239.77</v>
      </c>
      <c r="AC1383" s="196">
        <f t="shared" si="694"/>
        <v>-0.57999999999992724</v>
      </c>
      <c r="AD1383" s="197">
        <f t="shared" si="695"/>
        <v>7.0588235294117646E-2</v>
      </c>
      <c r="AE1383" s="198">
        <f t="shared" si="696"/>
        <v>5.3200000000000003E-4</v>
      </c>
      <c r="AF1383" s="193"/>
      <c r="AG1383" s="199" t="s">
        <v>416</v>
      </c>
      <c r="AH1383" s="124"/>
    </row>
    <row r="1384" spans="1:34" ht="12" hidden="1" customHeight="1">
      <c r="A1384" s="187">
        <v>44819</v>
      </c>
      <c r="B1384" s="188" t="s">
        <v>589</v>
      </c>
      <c r="C1384" s="188" t="s">
        <v>460</v>
      </c>
      <c r="D1384" s="188"/>
      <c r="E1384" s="188" t="str">
        <f t="shared" si="682"/>
        <v>DCMSHRIRAM</v>
      </c>
      <c r="F1384" s="188"/>
      <c r="G1384" s="188"/>
      <c r="H1384" s="188"/>
      <c r="I1384" s="188" t="s">
        <v>668</v>
      </c>
      <c r="J1384" s="188" t="s">
        <v>483</v>
      </c>
      <c r="K1384" s="188"/>
      <c r="L1384" s="188"/>
      <c r="M1384" s="189">
        <v>241</v>
      </c>
      <c r="N1384" s="190">
        <v>1101.6389999999999</v>
      </c>
      <c r="O1384" s="191">
        <v>1107.0719999999999</v>
      </c>
      <c r="P1384" s="192">
        <f t="shared" si="789"/>
        <v>20</v>
      </c>
      <c r="Q1384" s="192">
        <f t="shared" si="790"/>
        <v>20</v>
      </c>
      <c r="R1384" s="193">
        <f t="shared" si="685"/>
        <v>532299.35</v>
      </c>
      <c r="S1384" s="193">
        <f t="shared" si="686"/>
        <v>1309.3529999999982</v>
      </c>
      <c r="T1384" s="193">
        <v>96.63</v>
      </c>
      <c r="U1384" s="193">
        <f t="shared" si="707"/>
        <v>20.03</v>
      </c>
      <c r="V1384" s="193">
        <f t="shared" si="856"/>
        <v>66.7</v>
      </c>
      <c r="W1384" s="193">
        <f t="shared" si="839"/>
        <v>7.96</v>
      </c>
      <c r="X1384" s="193">
        <f t="shared" si="857"/>
        <v>14.64</v>
      </c>
      <c r="Y1384" s="193">
        <f t="shared" si="758"/>
        <v>0.53</v>
      </c>
      <c r="Z1384" s="193">
        <f t="shared" si="692"/>
        <v>206.49000000000004</v>
      </c>
      <c r="AA1384" s="194">
        <f t="shared" si="693"/>
        <v>1102.8599999999999</v>
      </c>
      <c r="AB1384" s="195">
        <v>1102.42</v>
      </c>
      <c r="AC1384" s="196">
        <f t="shared" si="694"/>
        <v>-0.4399999999998272</v>
      </c>
      <c r="AD1384" s="197">
        <f t="shared" si="695"/>
        <v>4.9317426125981313E-3</v>
      </c>
      <c r="AE1384" s="198">
        <f t="shared" si="696"/>
        <v>3.88E-4</v>
      </c>
      <c r="AF1384" s="193"/>
      <c r="AG1384" s="199" t="s">
        <v>416</v>
      </c>
      <c r="AH1384" s="124"/>
    </row>
    <row r="1385" spans="1:34" ht="12" hidden="1" customHeight="1">
      <c r="A1385" s="187">
        <v>44820</v>
      </c>
      <c r="B1385" s="188" t="s">
        <v>589</v>
      </c>
      <c r="C1385" s="188" t="s">
        <v>460</v>
      </c>
      <c r="D1385" s="188"/>
      <c r="E1385" s="188" t="str">
        <f t="shared" si="682"/>
        <v>DCMSHRIRAM</v>
      </c>
      <c r="F1385" s="188"/>
      <c r="G1385" s="188"/>
      <c r="H1385" s="188"/>
      <c r="I1385" s="188" t="s">
        <v>668</v>
      </c>
      <c r="J1385" s="188" t="s">
        <v>483</v>
      </c>
      <c r="K1385" s="188"/>
      <c r="L1385" s="188"/>
      <c r="M1385" s="189">
        <v>40</v>
      </c>
      <c r="N1385" s="190">
        <v>1060</v>
      </c>
      <c r="O1385" s="191">
        <v>1079.95</v>
      </c>
      <c r="P1385" s="192">
        <f t="shared" si="789"/>
        <v>12.72</v>
      </c>
      <c r="Q1385" s="192">
        <f t="shared" si="790"/>
        <v>12.96</v>
      </c>
      <c r="R1385" s="193">
        <f t="shared" si="685"/>
        <v>85598</v>
      </c>
      <c r="S1385" s="193">
        <f t="shared" si="686"/>
        <v>798.00000000000182</v>
      </c>
      <c r="T1385" s="193">
        <v>32.340000000000003</v>
      </c>
      <c r="U1385" s="193">
        <f t="shared" si="707"/>
        <v>6.24</v>
      </c>
      <c r="V1385" s="193">
        <f t="shared" si="856"/>
        <v>10.8</v>
      </c>
      <c r="W1385" s="193">
        <f t="shared" si="839"/>
        <v>1.27</v>
      </c>
      <c r="X1385" s="193">
        <f t="shared" si="857"/>
        <v>2.35</v>
      </c>
      <c r="Y1385" s="193">
        <f t="shared" si="758"/>
        <v>0.09</v>
      </c>
      <c r="Z1385" s="193">
        <f t="shared" si="692"/>
        <v>53.090000000000018</v>
      </c>
      <c r="AA1385" s="194">
        <f t="shared" si="693"/>
        <v>744.91</v>
      </c>
      <c r="AB1385" s="195">
        <v>745.64</v>
      </c>
      <c r="AC1385" s="196">
        <f t="shared" si="694"/>
        <v>0.73000000000001819</v>
      </c>
      <c r="AD1385" s="197">
        <f t="shared" si="695"/>
        <v>1.8820754716981174E-2</v>
      </c>
      <c r="AE1385" s="198">
        <f t="shared" si="696"/>
        <v>6.2E-4</v>
      </c>
      <c r="AF1385" s="193"/>
      <c r="AG1385" s="199" t="s">
        <v>416</v>
      </c>
      <c r="AH1385" s="124"/>
    </row>
    <row r="1386" spans="1:34" ht="12" hidden="1" customHeight="1">
      <c r="A1386" s="187">
        <v>44824</v>
      </c>
      <c r="B1386" s="188" t="s">
        <v>498</v>
      </c>
      <c r="C1386" s="188" t="s">
        <v>485</v>
      </c>
      <c r="D1386" s="188"/>
      <c r="E1386" s="188" t="str">
        <f t="shared" si="682"/>
        <v>BAJFINANCE</v>
      </c>
      <c r="F1386" s="188"/>
      <c r="G1386" s="188"/>
      <c r="H1386" s="188"/>
      <c r="I1386" s="188" t="s">
        <v>668</v>
      </c>
      <c r="J1386" s="188" t="s">
        <v>483</v>
      </c>
      <c r="K1386" s="188"/>
      <c r="L1386" s="188"/>
      <c r="M1386" s="189">
        <v>2</v>
      </c>
      <c r="N1386" s="190">
        <v>7650</v>
      </c>
      <c r="O1386" s="191">
        <v>7700</v>
      </c>
      <c r="P1386" s="192">
        <f t="shared" si="789"/>
        <v>4.59</v>
      </c>
      <c r="Q1386" s="192">
        <f t="shared" si="790"/>
        <v>4.62</v>
      </c>
      <c r="R1386" s="193">
        <f t="shared" si="685"/>
        <v>30700</v>
      </c>
      <c r="S1386" s="193">
        <f t="shared" si="686"/>
        <v>100</v>
      </c>
      <c r="T1386" s="193">
        <f t="shared" ref="T1386:T1390" si="859">ROUND(P1386+Q1386,2)</f>
        <v>9.2100000000000009</v>
      </c>
      <c r="U1386" s="193">
        <f t="shared" si="707"/>
        <v>1.81</v>
      </c>
      <c r="V1386" s="193">
        <f t="shared" si="856"/>
        <v>3.85</v>
      </c>
      <c r="W1386" s="193">
        <f t="shared" si="839"/>
        <v>0.46</v>
      </c>
      <c r="X1386" s="193">
        <f t="shared" si="857"/>
        <v>0.84</v>
      </c>
      <c r="Y1386" s="193">
        <f t="shared" si="758"/>
        <v>0.03</v>
      </c>
      <c r="Z1386" s="193">
        <f t="shared" si="692"/>
        <v>16.200000000000003</v>
      </c>
      <c r="AA1386" s="194">
        <f t="shared" si="693"/>
        <v>83.8</v>
      </c>
      <c r="AB1386" s="195">
        <v>83.65</v>
      </c>
      <c r="AC1386" s="196">
        <f t="shared" si="694"/>
        <v>-0.14999999999999147</v>
      </c>
      <c r="AD1386" s="197">
        <f t="shared" si="695"/>
        <v>6.5359477124183009E-3</v>
      </c>
      <c r="AE1386" s="198">
        <f t="shared" si="696"/>
        <v>5.2800000000000004E-4</v>
      </c>
      <c r="AF1386" s="193"/>
      <c r="AG1386" s="199" t="s">
        <v>416</v>
      </c>
      <c r="AH1386" s="124"/>
    </row>
    <row r="1387" spans="1:34" ht="12" hidden="1" customHeight="1">
      <c r="A1387" s="187">
        <v>44825</v>
      </c>
      <c r="B1387" s="188" t="s">
        <v>498</v>
      </c>
      <c r="C1387" s="188" t="s">
        <v>485</v>
      </c>
      <c r="D1387" s="188"/>
      <c r="E1387" s="188" t="str">
        <f t="shared" si="682"/>
        <v>BAJFINANCE</v>
      </c>
      <c r="F1387" s="188"/>
      <c r="G1387" s="188"/>
      <c r="H1387" s="188"/>
      <c r="I1387" s="188" t="s">
        <v>668</v>
      </c>
      <c r="J1387" s="188" t="s">
        <v>483</v>
      </c>
      <c r="K1387" s="188"/>
      <c r="L1387" s="188"/>
      <c r="M1387" s="189">
        <v>2</v>
      </c>
      <c r="N1387" s="190">
        <v>7675</v>
      </c>
      <c r="O1387" s="191">
        <v>7705</v>
      </c>
      <c r="P1387" s="192">
        <f t="shared" si="789"/>
        <v>4.6100000000000003</v>
      </c>
      <c r="Q1387" s="192">
        <f t="shared" si="790"/>
        <v>4.62</v>
      </c>
      <c r="R1387" s="193">
        <f t="shared" si="685"/>
        <v>30760</v>
      </c>
      <c r="S1387" s="193">
        <f t="shared" si="686"/>
        <v>60</v>
      </c>
      <c r="T1387" s="193">
        <f t="shared" si="859"/>
        <v>9.23</v>
      </c>
      <c r="U1387" s="193">
        <f t="shared" si="707"/>
        <v>1.81</v>
      </c>
      <c r="V1387" s="193">
        <f t="shared" si="856"/>
        <v>3.85</v>
      </c>
      <c r="W1387" s="193">
        <f t="shared" si="839"/>
        <v>0.46</v>
      </c>
      <c r="X1387" s="193">
        <f t="shared" si="857"/>
        <v>0.85</v>
      </c>
      <c r="Y1387" s="193">
        <f t="shared" si="758"/>
        <v>0.03</v>
      </c>
      <c r="Z1387" s="193">
        <f t="shared" si="692"/>
        <v>16.230000000000004</v>
      </c>
      <c r="AA1387" s="194">
        <f t="shared" si="693"/>
        <v>43.77</v>
      </c>
      <c r="AB1387" s="195">
        <v>43.82</v>
      </c>
      <c r="AC1387" s="196">
        <f t="shared" si="694"/>
        <v>4.9999999999997158E-2</v>
      </c>
      <c r="AD1387" s="197">
        <f t="shared" si="695"/>
        <v>3.9087947882736158E-3</v>
      </c>
      <c r="AE1387" s="198">
        <f t="shared" si="696"/>
        <v>5.2800000000000004E-4</v>
      </c>
      <c r="AF1387" s="193"/>
      <c r="AG1387" s="199" t="s">
        <v>416</v>
      </c>
      <c r="AH1387" s="124"/>
    </row>
    <row r="1388" spans="1:34" ht="12" hidden="1" customHeight="1">
      <c r="A1388" s="187">
        <v>44826</v>
      </c>
      <c r="B1388" s="188" t="s">
        <v>498</v>
      </c>
      <c r="C1388" s="188" t="s">
        <v>485</v>
      </c>
      <c r="D1388" s="188"/>
      <c r="E1388" s="188" t="str">
        <f t="shared" si="682"/>
        <v>BAJFINANCE</v>
      </c>
      <c r="F1388" s="188"/>
      <c r="G1388" s="188"/>
      <c r="H1388" s="188"/>
      <c r="I1388" s="188" t="s">
        <v>668</v>
      </c>
      <c r="J1388" s="188" t="s">
        <v>483</v>
      </c>
      <c r="K1388" s="188"/>
      <c r="L1388" s="188"/>
      <c r="M1388" s="189">
        <v>2</v>
      </c>
      <c r="N1388" s="190">
        <v>7725</v>
      </c>
      <c r="O1388" s="191">
        <v>7760</v>
      </c>
      <c r="P1388" s="192">
        <f t="shared" si="789"/>
        <v>4.6399999999999997</v>
      </c>
      <c r="Q1388" s="192">
        <f t="shared" si="790"/>
        <v>4.66</v>
      </c>
      <c r="R1388" s="193">
        <f t="shared" si="685"/>
        <v>30970</v>
      </c>
      <c r="S1388" s="193">
        <f t="shared" si="686"/>
        <v>70</v>
      </c>
      <c r="T1388" s="193">
        <f t="shared" si="859"/>
        <v>9.3000000000000007</v>
      </c>
      <c r="U1388" s="193">
        <f t="shared" si="707"/>
        <v>1.83</v>
      </c>
      <c r="V1388" s="193">
        <f t="shared" si="856"/>
        <v>3.88</v>
      </c>
      <c r="W1388" s="193">
        <f t="shared" si="839"/>
        <v>0.46</v>
      </c>
      <c r="X1388" s="193">
        <f t="shared" si="857"/>
        <v>0.85</v>
      </c>
      <c r="Y1388" s="193">
        <f t="shared" si="758"/>
        <v>0.03</v>
      </c>
      <c r="Z1388" s="193">
        <f t="shared" si="692"/>
        <v>16.350000000000005</v>
      </c>
      <c r="AA1388" s="194">
        <f t="shared" si="693"/>
        <v>53.65</v>
      </c>
      <c r="AB1388" s="195">
        <v>53.74</v>
      </c>
      <c r="AC1388" s="196">
        <f t="shared" si="694"/>
        <v>9.0000000000003411E-2</v>
      </c>
      <c r="AD1388" s="197">
        <f t="shared" si="695"/>
        <v>4.5307443365695792E-3</v>
      </c>
      <c r="AE1388" s="198">
        <f t="shared" si="696"/>
        <v>5.2800000000000004E-4</v>
      </c>
      <c r="AF1388" s="193"/>
      <c r="AG1388" s="199" t="s">
        <v>416</v>
      </c>
      <c r="AH1388" s="124"/>
    </row>
    <row r="1389" spans="1:34" ht="12" hidden="1" customHeight="1">
      <c r="A1389" s="187">
        <v>44830</v>
      </c>
      <c r="B1389" s="188" t="s">
        <v>589</v>
      </c>
      <c r="C1389" s="188" t="s">
        <v>460</v>
      </c>
      <c r="D1389" s="188"/>
      <c r="E1389" s="188" t="str">
        <f t="shared" si="682"/>
        <v>DCMSHRIRAM</v>
      </c>
      <c r="F1389" s="188"/>
      <c r="G1389" s="188"/>
      <c r="H1389" s="188"/>
      <c r="I1389" s="188" t="s">
        <v>668</v>
      </c>
      <c r="J1389" s="188" t="s">
        <v>483</v>
      </c>
      <c r="K1389" s="188"/>
      <c r="L1389" s="188"/>
      <c r="M1389" s="189">
        <v>10</v>
      </c>
      <c r="N1389" s="190">
        <v>1013.7</v>
      </c>
      <c r="O1389" s="191">
        <v>1038.95</v>
      </c>
      <c r="P1389" s="192">
        <f t="shared" si="789"/>
        <v>3.04</v>
      </c>
      <c r="Q1389" s="192">
        <f t="shared" si="790"/>
        <v>3.12</v>
      </c>
      <c r="R1389" s="193">
        <f t="shared" si="685"/>
        <v>20526.5</v>
      </c>
      <c r="S1389" s="193">
        <f t="shared" si="686"/>
        <v>252.5</v>
      </c>
      <c r="T1389" s="193">
        <f t="shared" si="859"/>
        <v>6.16</v>
      </c>
      <c r="U1389" s="193">
        <f t="shared" si="707"/>
        <v>1.21</v>
      </c>
      <c r="V1389" s="193">
        <f t="shared" si="856"/>
        <v>2.6</v>
      </c>
      <c r="W1389" s="193">
        <f t="shared" si="839"/>
        <v>0.3</v>
      </c>
      <c r="X1389" s="193">
        <f t="shared" si="857"/>
        <v>0.56000000000000005</v>
      </c>
      <c r="Y1389" s="193">
        <f t="shared" si="758"/>
        <v>0.02</v>
      </c>
      <c r="Z1389" s="193">
        <f t="shared" si="692"/>
        <v>10.850000000000001</v>
      </c>
      <c r="AA1389" s="194">
        <f t="shared" si="693"/>
        <v>241.65</v>
      </c>
      <c r="AB1389" s="195">
        <v>241.54</v>
      </c>
      <c r="AC1389" s="196">
        <f t="shared" si="694"/>
        <v>-0.11000000000001364</v>
      </c>
      <c r="AD1389" s="197">
        <f t="shared" si="695"/>
        <v>2.4908750123310643E-2</v>
      </c>
      <c r="AE1389" s="198">
        <f t="shared" si="696"/>
        <v>5.2899999999999996E-4</v>
      </c>
      <c r="AF1389" s="193"/>
      <c r="AG1389" s="199" t="s">
        <v>416</v>
      </c>
      <c r="AH1389" s="124"/>
    </row>
    <row r="1390" spans="1:34" ht="12" hidden="1" customHeight="1">
      <c r="A1390" s="187">
        <v>44831</v>
      </c>
      <c r="B1390" s="188" t="s">
        <v>589</v>
      </c>
      <c r="C1390" s="188" t="s">
        <v>460</v>
      </c>
      <c r="D1390" s="188"/>
      <c r="E1390" s="188" t="str">
        <f t="shared" si="682"/>
        <v>DCMSHRIRAM</v>
      </c>
      <c r="F1390" s="188"/>
      <c r="G1390" s="188"/>
      <c r="H1390" s="188"/>
      <c r="I1390" s="188" t="s">
        <v>668</v>
      </c>
      <c r="J1390" s="188" t="s">
        <v>483</v>
      </c>
      <c r="K1390" s="188"/>
      <c r="L1390" s="188"/>
      <c r="M1390" s="189">
        <v>10</v>
      </c>
      <c r="N1390" s="190">
        <v>991.05</v>
      </c>
      <c r="O1390" s="191">
        <v>1000.01</v>
      </c>
      <c r="P1390" s="192">
        <f t="shared" si="789"/>
        <v>2.97</v>
      </c>
      <c r="Q1390" s="192">
        <f t="shared" si="790"/>
        <v>3</v>
      </c>
      <c r="R1390" s="193">
        <f t="shared" si="685"/>
        <v>19910.599999999999</v>
      </c>
      <c r="S1390" s="193">
        <f t="shared" si="686"/>
        <v>89.600000000000364</v>
      </c>
      <c r="T1390" s="193">
        <f t="shared" si="859"/>
        <v>5.97</v>
      </c>
      <c r="U1390" s="193">
        <f t="shared" si="707"/>
        <v>1.17</v>
      </c>
      <c r="V1390" s="193">
        <f t="shared" si="856"/>
        <v>2.5</v>
      </c>
      <c r="W1390" s="193">
        <f t="shared" si="839"/>
        <v>0.3</v>
      </c>
      <c r="X1390" s="193">
        <f t="shared" si="857"/>
        <v>0.55000000000000004</v>
      </c>
      <c r="Y1390" s="193">
        <f t="shared" si="758"/>
        <v>0.02</v>
      </c>
      <c r="Z1390" s="193">
        <f t="shared" si="692"/>
        <v>10.510000000000002</v>
      </c>
      <c r="AA1390" s="194">
        <f t="shared" si="693"/>
        <v>79.09</v>
      </c>
      <c r="AB1390" s="195">
        <v>79.319999999999993</v>
      </c>
      <c r="AC1390" s="196">
        <f t="shared" si="694"/>
        <v>0.22999999999998977</v>
      </c>
      <c r="AD1390" s="197">
        <f t="shared" si="695"/>
        <v>9.040916199989946E-3</v>
      </c>
      <c r="AE1390" s="198">
        <f t="shared" si="696"/>
        <v>5.2800000000000004E-4</v>
      </c>
      <c r="AF1390" s="193"/>
      <c r="AG1390" s="199" t="s">
        <v>416</v>
      </c>
      <c r="AH1390" s="124"/>
    </row>
    <row r="1391" spans="1:34" ht="12" hidden="1" customHeight="1">
      <c r="A1391" s="187">
        <v>44832</v>
      </c>
      <c r="B1391" s="188" t="s">
        <v>589</v>
      </c>
      <c r="C1391" s="188" t="s">
        <v>460</v>
      </c>
      <c r="D1391" s="188"/>
      <c r="E1391" s="188" t="str">
        <f t="shared" si="682"/>
        <v>DCMSHRIRAM</v>
      </c>
      <c r="F1391" s="188"/>
      <c r="G1391" s="188"/>
      <c r="H1391" s="188"/>
      <c r="I1391" s="188" t="s">
        <v>668</v>
      </c>
      <c r="J1391" s="188" t="s">
        <v>483</v>
      </c>
      <c r="K1391" s="188"/>
      <c r="L1391" s="188"/>
      <c r="M1391" s="189">
        <v>20</v>
      </c>
      <c r="N1391" s="190">
        <v>1005</v>
      </c>
      <c r="O1391" s="191">
        <v>1010</v>
      </c>
      <c r="P1391" s="192">
        <f t="shared" si="789"/>
        <v>6.03</v>
      </c>
      <c r="Q1391" s="192">
        <f t="shared" si="790"/>
        <v>6.06</v>
      </c>
      <c r="R1391" s="193">
        <f t="shared" si="685"/>
        <v>40300</v>
      </c>
      <c r="S1391" s="193">
        <f t="shared" si="686"/>
        <v>100</v>
      </c>
      <c r="T1391" s="193">
        <v>15.14</v>
      </c>
      <c r="U1391" s="193">
        <f t="shared" si="707"/>
        <v>2.93</v>
      </c>
      <c r="V1391" s="193">
        <f t="shared" si="856"/>
        <v>5.05</v>
      </c>
      <c r="W1391" s="193">
        <f t="shared" si="839"/>
        <v>0.6</v>
      </c>
      <c r="X1391" s="193">
        <f t="shared" si="857"/>
        <v>1.1100000000000001</v>
      </c>
      <c r="Y1391" s="193">
        <f t="shared" si="758"/>
        <v>0.04</v>
      </c>
      <c r="Z1391" s="193">
        <f t="shared" si="692"/>
        <v>24.87</v>
      </c>
      <c r="AA1391" s="194">
        <f t="shared" si="693"/>
        <v>75.13</v>
      </c>
      <c r="AB1391" s="195">
        <v>74.44</v>
      </c>
      <c r="AC1391" s="196">
        <f t="shared" si="694"/>
        <v>-0.68999999999999773</v>
      </c>
      <c r="AD1391" s="197">
        <f t="shared" si="695"/>
        <v>4.9751243781094526E-3</v>
      </c>
      <c r="AE1391" s="198">
        <f t="shared" si="696"/>
        <v>6.1700000000000004E-4</v>
      </c>
      <c r="AF1391" s="193"/>
      <c r="AG1391" s="199" t="s">
        <v>416</v>
      </c>
      <c r="AH1391" s="124"/>
    </row>
    <row r="1392" spans="1:34" ht="12" hidden="1" customHeight="1">
      <c r="A1392" s="187">
        <v>44833</v>
      </c>
      <c r="B1392" s="188" t="s">
        <v>589</v>
      </c>
      <c r="C1392" s="188" t="s">
        <v>460</v>
      </c>
      <c r="D1392" s="188"/>
      <c r="E1392" s="188" t="str">
        <f t="shared" si="682"/>
        <v>DCMSHRIRAM</v>
      </c>
      <c r="F1392" s="188"/>
      <c r="G1392" s="188"/>
      <c r="H1392" s="188"/>
      <c r="I1392" s="188" t="s">
        <v>668</v>
      </c>
      <c r="J1392" s="188" t="s">
        <v>483</v>
      </c>
      <c r="K1392" s="188"/>
      <c r="L1392" s="188"/>
      <c r="M1392" s="189">
        <v>20</v>
      </c>
      <c r="N1392" s="190">
        <v>999.95</v>
      </c>
      <c r="O1392" s="191">
        <v>1006</v>
      </c>
      <c r="P1392" s="192">
        <f t="shared" si="789"/>
        <v>6</v>
      </c>
      <c r="Q1392" s="192">
        <f t="shared" si="790"/>
        <v>6.04</v>
      </c>
      <c r="R1392" s="193">
        <f t="shared" si="685"/>
        <v>40119</v>
      </c>
      <c r="S1392" s="193">
        <f t="shared" si="686"/>
        <v>120.99999999999909</v>
      </c>
      <c r="T1392" s="193">
        <f t="shared" ref="T1392:T1394" si="860">ROUND(P1392+Q1392,2)</f>
        <v>12.04</v>
      </c>
      <c r="U1392" s="193">
        <f t="shared" si="707"/>
        <v>2.37</v>
      </c>
      <c r="V1392" s="193">
        <f t="shared" si="856"/>
        <v>5.03</v>
      </c>
      <c r="W1392" s="193">
        <f t="shared" si="839"/>
        <v>0.6</v>
      </c>
      <c r="X1392" s="193">
        <f t="shared" si="857"/>
        <v>1.1000000000000001</v>
      </c>
      <c r="Y1392" s="193">
        <f t="shared" si="758"/>
        <v>0.04</v>
      </c>
      <c r="Z1392" s="193">
        <f t="shared" si="692"/>
        <v>21.180000000000003</v>
      </c>
      <c r="AA1392" s="194">
        <f t="shared" si="693"/>
        <v>99.82</v>
      </c>
      <c r="AB1392" s="195">
        <v>99.45</v>
      </c>
      <c r="AC1392" s="196">
        <f t="shared" si="694"/>
        <v>-0.36999999999999034</v>
      </c>
      <c r="AD1392" s="197">
        <f t="shared" si="695"/>
        <v>6.0503025151257108E-3</v>
      </c>
      <c r="AE1392" s="198">
        <f t="shared" si="696"/>
        <v>5.2800000000000004E-4</v>
      </c>
      <c r="AF1392" s="193"/>
      <c r="AG1392" s="199" t="s">
        <v>416</v>
      </c>
      <c r="AH1392" s="124"/>
    </row>
    <row r="1393" spans="1:34" ht="12" hidden="1" customHeight="1">
      <c r="A1393" s="187">
        <v>44834</v>
      </c>
      <c r="B1393" s="188" t="s">
        <v>589</v>
      </c>
      <c r="C1393" s="188" t="s">
        <v>460</v>
      </c>
      <c r="D1393" s="188"/>
      <c r="E1393" s="188" t="str">
        <f t="shared" si="682"/>
        <v>DCMSHRIRAM</v>
      </c>
      <c r="F1393" s="188"/>
      <c r="G1393" s="188"/>
      <c r="H1393" s="188"/>
      <c r="I1393" s="188" t="s">
        <v>668</v>
      </c>
      <c r="J1393" s="188" t="s">
        <v>483</v>
      </c>
      <c r="K1393" s="188"/>
      <c r="L1393" s="188"/>
      <c r="M1393" s="189">
        <v>40</v>
      </c>
      <c r="N1393" s="190">
        <v>998.75</v>
      </c>
      <c r="O1393" s="191">
        <v>1007.5</v>
      </c>
      <c r="P1393" s="192">
        <f t="shared" si="789"/>
        <v>11.99</v>
      </c>
      <c r="Q1393" s="192">
        <f t="shared" si="790"/>
        <v>12.09</v>
      </c>
      <c r="R1393" s="193">
        <f t="shared" si="685"/>
        <v>80250</v>
      </c>
      <c r="S1393" s="193">
        <f t="shared" si="686"/>
        <v>350</v>
      </c>
      <c r="T1393" s="193">
        <f t="shared" si="860"/>
        <v>24.08</v>
      </c>
      <c r="U1393" s="193">
        <f t="shared" si="707"/>
        <v>4.7300000000000004</v>
      </c>
      <c r="V1393" s="193">
        <f t="shared" si="856"/>
        <v>10.08</v>
      </c>
      <c r="W1393" s="193">
        <f t="shared" si="839"/>
        <v>1.2</v>
      </c>
      <c r="X1393" s="193">
        <f t="shared" si="857"/>
        <v>2.21</v>
      </c>
      <c r="Y1393" s="193">
        <f t="shared" si="758"/>
        <v>0.08</v>
      </c>
      <c r="Z1393" s="193">
        <f t="shared" si="692"/>
        <v>42.38</v>
      </c>
      <c r="AA1393" s="194">
        <f t="shared" si="693"/>
        <v>307.62</v>
      </c>
      <c r="AB1393" s="195">
        <v>307.89</v>
      </c>
      <c r="AC1393" s="196">
        <f t="shared" si="694"/>
        <v>0.26999999999998181</v>
      </c>
      <c r="AD1393" s="197">
        <f t="shared" si="695"/>
        <v>8.7609511889862324E-3</v>
      </c>
      <c r="AE1393" s="198">
        <f t="shared" si="696"/>
        <v>5.2800000000000004E-4</v>
      </c>
      <c r="AF1393" s="193"/>
      <c r="AG1393" s="199" t="s">
        <v>416</v>
      </c>
      <c r="AH1393" s="124"/>
    </row>
    <row r="1394" spans="1:34" ht="12" hidden="1" customHeight="1">
      <c r="A1394" s="187">
        <v>44837</v>
      </c>
      <c r="B1394" s="188" t="s">
        <v>589</v>
      </c>
      <c r="C1394" s="188" t="s">
        <v>460</v>
      </c>
      <c r="D1394" s="188"/>
      <c r="E1394" s="188" t="str">
        <f t="shared" si="682"/>
        <v>DCMSHRIRAM</v>
      </c>
      <c r="F1394" s="188"/>
      <c r="G1394" s="188"/>
      <c r="H1394" s="188"/>
      <c r="I1394" s="188" t="s">
        <v>668</v>
      </c>
      <c r="J1394" s="188" t="s">
        <v>483</v>
      </c>
      <c r="K1394" s="188"/>
      <c r="L1394" s="188"/>
      <c r="M1394" s="189">
        <v>60</v>
      </c>
      <c r="N1394" s="190">
        <v>1006.2533</v>
      </c>
      <c r="O1394" s="191">
        <v>1015.1833</v>
      </c>
      <c r="P1394" s="192">
        <f t="shared" si="789"/>
        <v>18.11</v>
      </c>
      <c r="Q1394" s="192">
        <f t="shared" si="790"/>
        <v>18.27</v>
      </c>
      <c r="R1394" s="193">
        <f t="shared" si="685"/>
        <v>121286.2</v>
      </c>
      <c r="S1394" s="193">
        <f t="shared" si="686"/>
        <v>535.80000000000382</v>
      </c>
      <c r="T1394" s="193">
        <f t="shared" si="860"/>
        <v>36.380000000000003</v>
      </c>
      <c r="U1394" s="193">
        <f t="shared" si="707"/>
        <v>7.15</v>
      </c>
      <c r="V1394" s="193">
        <f t="shared" si="856"/>
        <v>15.23</v>
      </c>
      <c r="W1394" s="193">
        <f t="shared" si="839"/>
        <v>1.81</v>
      </c>
      <c r="X1394" s="193">
        <f t="shared" si="857"/>
        <v>3.34</v>
      </c>
      <c r="Y1394" s="193">
        <f t="shared" si="758"/>
        <v>0.12</v>
      </c>
      <c r="Z1394" s="193">
        <f t="shared" si="692"/>
        <v>64.030000000000015</v>
      </c>
      <c r="AA1394" s="194">
        <f t="shared" si="693"/>
        <v>471.77</v>
      </c>
      <c r="AB1394" s="195">
        <v>471.7</v>
      </c>
      <c r="AC1394" s="196">
        <f t="shared" si="694"/>
        <v>-6.9999999999993179E-2</v>
      </c>
      <c r="AD1394" s="197">
        <f t="shared" si="695"/>
        <v>8.8745050575238498E-3</v>
      </c>
      <c r="AE1394" s="198">
        <f t="shared" si="696"/>
        <v>5.2800000000000004E-4</v>
      </c>
      <c r="AF1394" s="193"/>
      <c r="AG1394" s="199" t="s">
        <v>416</v>
      </c>
      <c r="AH1394" s="124"/>
    </row>
    <row r="1395" spans="1:34" ht="12" hidden="1" customHeight="1">
      <c r="A1395" s="187">
        <v>44838</v>
      </c>
      <c r="B1395" s="188" t="s">
        <v>589</v>
      </c>
      <c r="C1395" s="188" t="s">
        <v>460</v>
      </c>
      <c r="D1395" s="188"/>
      <c r="E1395" s="188" t="str">
        <f t="shared" si="682"/>
        <v>DCMSHRIRAM</v>
      </c>
      <c r="F1395" s="188"/>
      <c r="G1395" s="188"/>
      <c r="H1395" s="188"/>
      <c r="I1395" s="188" t="s">
        <v>668</v>
      </c>
      <c r="J1395" s="188" t="s">
        <v>483</v>
      </c>
      <c r="K1395" s="188"/>
      <c r="L1395" s="188"/>
      <c r="M1395" s="189">
        <v>60</v>
      </c>
      <c r="N1395" s="190">
        <v>1016</v>
      </c>
      <c r="O1395" s="191">
        <v>1020.6</v>
      </c>
      <c r="P1395" s="192">
        <f t="shared" si="789"/>
        <v>18.29</v>
      </c>
      <c r="Q1395" s="192">
        <f t="shared" si="790"/>
        <v>18.37</v>
      </c>
      <c r="R1395" s="193">
        <f t="shared" si="685"/>
        <v>122196</v>
      </c>
      <c r="S1395" s="193">
        <f t="shared" si="686"/>
        <v>276.00000000000136</v>
      </c>
      <c r="T1395" s="193">
        <v>39.72</v>
      </c>
      <c r="U1395" s="193">
        <f t="shared" si="707"/>
        <v>7.75</v>
      </c>
      <c r="V1395" s="193">
        <f t="shared" si="856"/>
        <v>15.31</v>
      </c>
      <c r="W1395" s="193">
        <f t="shared" si="839"/>
        <v>1.83</v>
      </c>
      <c r="X1395" s="193">
        <f t="shared" si="857"/>
        <v>3.36</v>
      </c>
      <c r="Y1395" s="193">
        <f t="shared" si="758"/>
        <v>0.12</v>
      </c>
      <c r="Z1395" s="193">
        <f t="shared" si="692"/>
        <v>68.09</v>
      </c>
      <c r="AA1395" s="194">
        <f t="shared" si="693"/>
        <v>207.91</v>
      </c>
      <c r="AB1395" s="195">
        <v>208.18</v>
      </c>
      <c r="AC1395" s="196">
        <f t="shared" si="694"/>
        <v>0.27000000000001023</v>
      </c>
      <c r="AD1395" s="197">
        <f t="shared" si="695"/>
        <v>4.5275590551181327E-3</v>
      </c>
      <c r="AE1395" s="198">
        <f t="shared" si="696"/>
        <v>5.5699999999999999E-4</v>
      </c>
      <c r="AF1395" s="193"/>
      <c r="AG1395" s="199" t="s">
        <v>416</v>
      </c>
      <c r="AH1395" s="124"/>
    </row>
    <row r="1396" spans="1:34" ht="12" hidden="1" customHeight="1">
      <c r="A1396" s="187">
        <v>44851</v>
      </c>
      <c r="B1396" s="188" t="s">
        <v>589</v>
      </c>
      <c r="C1396" s="188" t="s">
        <v>460</v>
      </c>
      <c r="D1396" s="188"/>
      <c r="E1396" s="188" t="str">
        <f t="shared" si="682"/>
        <v>DCMSHRIRAM</v>
      </c>
      <c r="F1396" s="188"/>
      <c r="G1396" s="188"/>
      <c r="H1396" s="188"/>
      <c r="I1396" s="188" t="s">
        <v>668</v>
      </c>
      <c r="J1396" s="188" t="s">
        <v>483</v>
      </c>
      <c r="K1396" s="188"/>
      <c r="L1396" s="188"/>
      <c r="M1396" s="189">
        <v>25</v>
      </c>
      <c r="N1396" s="190">
        <v>1075</v>
      </c>
      <c r="O1396" s="191">
        <v>1083</v>
      </c>
      <c r="P1396" s="192">
        <f t="shared" si="789"/>
        <v>8.06</v>
      </c>
      <c r="Q1396" s="192">
        <f t="shared" si="790"/>
        <v>8.1199999999999992</v>
      </c>
      <c r="R1396" s="193">
        <f t="shared" si="685"/>
        <v>53950</v>
      </c>
      <c r="S1396" s="193">
        <f t="shared" si="686"/>
        <v>200</v>
      </c>
      <c r="T1396" s="193">
        <v>20.73</v>
      </c>
      <c r="U1396" s="193">
        <f t="shared" si="707"/>
        <v>4</v>
      </c>
      <c r="V1396" s="193">
        <f t="shared" si="856"/>
        <v>6.77</v>
      </c>
      <c r="W1396" s="193">
        <f t="shared" si="839"/>
        <v>0.81</v>
      </c>
      <c r="X1396" s="193">
        <f t="shared" si="857"/>
        <v>1.48</v>
      </c>
      <c r="Y1396" s="193">
        <f t="shared" si="758"/>
        <v>0.05</v>
      </c>
      <c r="Z1396" s="193">
        <f t="shared" si="692"/>
        <v>33.839999999999996</v>
      </c>
      <c r="AA1396" s="194">
        <f t="shared" si="693"/>
        <v>166.16</v>
      </c>
      <c r="AB1396" s="195">
        <v>165.41</v>
      </c>
      <c r="AC1396" s="196">
        <f t="shared" si="694"/>
        <v>-0.75</v>
      </c>
      <c r="AD1396" s="197">
        <f t="shared" si="695"/>
        <v>7.4418604651162795E-3</v>
      </c>
      <c r="AE1396" s="198">
        <f t="shared" si="696"/>
        <v>6.2699999999999995E-4</v>
      </c>
      <c r="AF1396" s="193"/>
      <c r="AG1396" s="199" t="s">
        <v>416</v>
      </c>
      <c r="AH1396" s="124"/>
    </row>
    <row r="1397" spans="1:34" ht="12" hidden="1" customHeight="1">
      <c r="A1397" s="187">
        <v>44852</v>
      </c>
      <c r="B1397" s="188" t="s">
        <v>589</v>
      </c>
      <c r="C1397" s="188" t="s">
        <v>460</v>
      </c>
      <c r="D1397" s="188"/>
      <c r="E1397" s="188" t="str">
        <f t="shared" si="682"/>
        <v>DCMSHRIRAM</v>
      </c>
      <c r="F1397" s="188"/>
      <c r="G1397" s="188"/>
      <c r="H1397" s="188"/>
      <c r="I1397" s="188" t="s">
        <v>668</v>
      </c>
      <c r="J1397" s="188" t="s">
        <v>483</v>
      </c>
      <c r="K1397" s="188"/>
      <c r="L1397" s="188"/>
      <c r="M1397" s="189">
        <v>20</v>
      </c>
      <c r="N1397" s="190">
        <v>1083</v>
      </c>
      <c r="O1397" s="191">
        <v>1091</v>
      </c>
      <c r="P1397" s="192">
        <f t="shared" si="789"/>
        <v>6.5</v>
      </c>
      <c r="Q1397" s="192">
        <f t="shared" si="790"/>
        <v>6.55</v>
      </c>
      <c r="R1397" s="193">
        <f t="shared" si="685"/>
        <v>43480</v>
      </c>
      <c r="S1397" s="193">
        <f t="shared" si="686"/>
        <v>160</v>
      </c>
      <c r="T1397" s="193">
        <f>ROUND(P1397+Q1397,2)</f>
        <v>13.05</v>
      </c>
      <c r="U1397" s="193">
        <f t="shared" si="707"/>
        <v>2.57</v>
      </c>
      <c r="V1397" s="193">
        <f t="shared" si="856"/>
        <v>5.46</v>
      </c>
      <c r="W1397" s="193">
        <f t="shared" si="839"/>
        <v>0.65</v>
      </c>
      <c r="X1397" s="193">
        <f t="shared" si="857"/>
        <v>1.2</v>
      </c>
      <c r="Y1397" s="193">
        <f t="shared" si="758"/>
        <v>0.04</v>
      </c>
      <c r="Z1397" s="193">
        <f t="shared" si="692"/>
        <v>22.97</v>
      </c>
      <c r="AA1397" s="194">
        <f t="shared" si="693"/>
        <v>137.03</v>
      </c>
      <c r="AB1397" s="195">
        <v>137.04</v>
      </c>
      <c r="AC1397" s="196">
        <f t="shared" si="694"/>
        <v>9.9999999999909051E-3</v>
      </c>
      <c r="AD1397" s="197">
        <f t="shared" si="695"/>
        <v>7.3868882733148658E-3</v>
      </c>
      <c r="AE1397" s="198">
        <f t="shared" si="696"/>
        <v>5.2800000000000004E-4</v>
      </c>
      <c r="AF1397" s="193"/>
      <c r="AG1397" s="199" t="s">
        <v>416</v>
      </c>
      <c r="AH1397" s="124"/>
    </row>
    <row r="1398" spans="1:34" ht="12" hidden="1" customHeight="1">
      <c r="A1398" s="187">
        <v>44853</v>
      </c>
      <c r="B1398" s="188" t="s">
        <v>589</v>
      </c>
      <c r="C1398" s="188" t="s">
        <v>460</v>
      </c>
      <c r="D1398" s="188"/>
      <c r="E1398" s="188" t="str">
        <f t="shared" si="682"/>
        <v>DCMSHRIRAM</v>
      </c>
      <c r="F1398" s="188"/>
      <c r="G1398" s="188"/>
      <c r="H1398" s="188"/>
      <c r="I1398" s="188" t="s">
        <v>668</v>
      </c>
      <c r="J1398" s="188" t="s">
        <v>483</v>
      </c>
      <c r="K1398" s="188"/>
      <c r="L1398" s="188"/>
      <c r="M1398" s="189">
        <v>40</v>
      </c>
      <c r="N1398" s="190">
        <v>1079.075</v>
      </c>
      <c r="O1398" s="191">
        <v>1090</v>
      </c>
      <c r="P1398" s="192">
        <f t="shared" si="789"/>
        <v>12.95</v>
      </c>
      <c r="Q1398" s="192">
        <f t="shared" si="790"/>
        <v>13.08</v>
      </c>
      <c r="R1398" s="193">
        <f t="shared" si="685"/>
        <v>86763</v>
      </c>
      <c r="S1398" s="193">
        <f t="shared" si="686"/>
        <v>436.99999999999818</v>
      </c>
      <c r="T1398" s="193">
        <v>35.81</v>
      </c>
      <c r="U1398" s="193">
        <f t="shared" si="707"/>
        <v>6.88</v>
      </c>
      <c r="V1398" s="193">
        <f t="shared" si="856"/>
        <v>10.9</v>
      </c>
      <c r="W1398" s="193">
        <f t="shared" si="839"/>
        <v>1.29</v>
      </c>
      <c r="X1398" s="193">
        <f t="shared" si="857"/>
        <v>2.39</v>
      </c>
      <c r="Y1398" s="193">
        <f t="shared" si="758"/>
        <v>0.09</v>
      </c>
      <c r="Z1398" s="193">
        <f t="shared" si="692"/>
        <v>57.360000000000007</v>
      </c>
      <c r="AA1398" s="194">
        <f t="shared" si="693"/>
        <v>379.64</v>
      </c>
      <c r="AB1398" s="195">
        <v>380.25</v>
      </c>
      <c r="AC1398" s="196">
        <f t="shared" si="694"/>
        <v>0.61000000000001364</v>
      </c>
      <c r="AD1398" s="197">
        <f t="shared" si="695"/>
        <v>1.0124412112225707E-2</v>
      </c>
      <c r="AE1398" s="198">
        <f t="shared" si="696"/>
        <v>6.6100000000000002E-4</v>
      </c>
      <c r="AF1398" s="193"/>
      <c r="AG1398" s="199" t="s">
        <v>416</v>
      </c>
      <c r="AH1398" s="124"/>
    </row>
    <row r="1399" spans="1:34" ht="12" hidden="1" customHeight="1">
      <c r="A1399" s="187">
        <v>44859</v>
      </c>
      <c r="B1399" s="188" t="s">
        <v>589</v>
      </c>
      <c r="C1399" s="188" t="s">
        <v>460</v>
      </c>
      <c r="D1399" s="188"/>
      <c r="E1399" s="188" t="str">
        <f t="shared" si="682"/>
        <v>DCMSHRIRAM</v>
      </c>
      <c r="F1399" s="188"/>
      <c r="G1399" s="188"/>
      <c r="H1399" s="188"/>
      <c r="I1399" s="188" t="s">
        <v>668</v>
      </c>
      <c r="J1399" s="188" t="s">
        <v>483</v>
      </c>
      <c r="K1399" s="188"/>
      <c r="L1399" s="188"/>
      <c r="M1399" s="189">
        <v>50</v>
      </c>
      <c r="N1399" s="190">
        <v>1059.8</v>
      </c>
      <c r="O1399" s="191">
        <v>1073.2</v>
      </c>
      <c r="P1399" s="192">
        <f t="shared" si="789"/>
        <v>15.9</v>
      </c>
      <c r="Q1399" s="192">
        <f t="shared" si="790"/>
        <v>16.100000000000001</v>
      </c>
      <c r="R1399" s="193">
        <f t="shared" si="685"/>
        <v>106650</v>
      </c>
      <c r="S1399" s="193">
        <f t="shared" si="686"/>
        <v>670.00000000000455</v>
      </c>
      <c r="T1399" s="193">
        <v>32</v>
      </c>
      <c r="U1399" s="193">
        <f t="shared" si="707"/>
        <v>6.29</v>
      </c>
      <c r="V1399" s="193">
        <f t="shared" si="856"/>
        <v>13.42</v>
      </c>
      <c r="W1399" s="193">
        <f t="shared" si="839"/>
        <v>1.59</v>
      </c>
      <c r="X1399" s="193">
        <f t="shared" si="857"/>
        <v>2.93</v>
      </c>
      <c r="Y1399" s="193">
        <f t="shared" si="758"/>
        <v>0.11</v>
      </c>
      <c r="Z1399" s="193">
        <f t="shared" si="692"/>
        <v>56.34</v>
      </c>
      <c r="AA1399" s="194">
        <f t="shared" si="693"/>
        <v>613.66</v>
      </c>
      <c r="AB1399" s="195">
        <v>613.66</v>
      </c>
      <c r="AC1399" s="196">
        <f t="shared" si="694"/>
        <v>0</v>
      </c>
      <c r="AD1399" s="197">
        <f t="shared" si="695"/>
        <v>1.2643895074542453E-2</v>
      </c>
      <c r="AE1399" s="198">
        <f t="shared" si="696"/>
        <v>5.2800000000000004E-4</v>
      </c>
      <c r="AF1399" s="193"/>
      <c r="AG1399" s="199" t="s">
        <v>416</v>
      </c>
      <c r="AH1399" s="124"/>
    </row>
    <row r="1400" spans="1:34" ht="12" hidden="1" customHeight="1">
      <c r="A1400" s="187">
        <v>44861</v>
      </c>
      <c r="B1400" s="188" t="s">
        <v>589</v>
      </c>
      <c r="C1400" s="188" t="s">
        <v>460</v>
      </c>
      <c r="D1400" s="188"/>
      <c r="E1400" s="188" t="str">
        <f t="shared" si="682"/>
        <v>DCMSHRIRAM</v>
      </c>
      <c r="F1400" s="188"/>
      <c r="G1400" s="188"/>
      <c r="H1400" s="188"/>
      <c r="I1400" s="188" t="s">
        <v>668</v>
      </c>
      <c r="J1400" s="188" t="s">
        <v>483</v>
      </c>
      <c r="K1400" s="188"/>
      <c r="L1400" s="188"/>
      <c r="M1400" s="189">
        <v>50</v>
      </c>
      <c r="N1400" s="190">
        <v>1059.5999999999999</v>
      </c>
      <c r="O1400" s="191">
        <v>1068.3800000000001</v>
      </c>
      <c r="P1400" s="192">
        <f t="shared" si="789"/>
        <v>15.89</v>
      </c>
      <c r="Q1400" s="192">
        <f t="shared" si="790"/>
        <v>16.03</v>
      </c>
      <c r="R1400" s="193">
        <f t="shared" si="685"/>
        <v>106399</v>
      </c>
      <c r="S1400" s="193">
        <f t="shared" si="686"/>
        <v>439.00000000001</v>
      </c>
      <c r="T1400" s="193">
        <v>32</v>
      </c>
      <c r="U1400" s="193">
        <f t="shared" si="707"/>
        <v>6.29</v>
      </c>
      <c r="V1400" s="193">
        <f t="shared" si="856"/>
        <v>13.35</v>
      </c>
      <c r="W1400" s="193">
        <f t="shared" si="839"/>
        <v>1.59</v>
      </c>
      <c r="X1400" s="193">
        <f t="shared" si="857"/>
        <v>2.93</v>
      </c>
      <c r="Y1400" s="193">
        <f t="shared" si="758"/>
        <v>0.11</v>
      </c>
      <c r="Z1400" s="193">
        <f t="shared" si="692"/>
        <v>56.27</v>
      </c>
      <c r="AA1400" s="194">
        <f t="shared" si="693"/>
        <v>382.73</v>
      </c>
      <c r="AB1400" s="195">
        <v>382.76</v>
      </c>
      <c r="AC1400" s="196">
        <f t="shared" si="694"/>
        <v>2.9999999999972715E-2</v>
      </c>
      <c r="AD1400" s="197">
        <f t="shared" si="695"/>
        <v>8.2861457153644777E-3</v>
      </c>
      <c r="AE1400" s="198">
        <f t="shared" si="696"/>
        <v>5.2899999999999996E-4</v>
      </c>
      <c r="AF1400" s="193"/>
      <c r="AG1400" s="199" t="s">
        <v>416</v>
      </c>
      <c r="AH1400" s="124"/>
    </row>
    <row r="1401" spans="1:34" ht="12" hidden="1" customHeight="1">
      <c r="A1401" s="187">
        <v>44862</v>
      </c>
      <c r="B1401" s="188" t="s">
        <v>589</v>
      </c>
      <c r="C1401" s="188" t="s">
        <v>460</v>
      </c>
      <c r="D1401" s="188"/>
      <c r="E1401" s="188" t="str">
        <f t="shared" si="682"/>
        <v>DCMSHRIRAM</v>
      </c>
      <c r="F1401" s="188"/>
      <c r="G1401" s="188"/>
      <c r="H1401" s="188"/>
      <c r="I1401" s="188" t="s">
        <v>668</v>
      </c>
      <c r="J1401" s="188" t="s">
        <v>483</v>
      </c>
      <c r="K1401" s="188"/>
      <c r="L1401" s="188"/>
      <c r="M1401" s="189">
        <v>20</v>
      </c>
      <c r="N1401" s="190">
        <v>1070</v>
      </c>
      <c r="O1401" s="191">
        <v>1075.0999999999999</v>
      </c>
      <c r="P1401" s="192">
        <f t="shared" si="789"/>
        <v>6.42</v>
      </c>
      <c r="Q1401" s="192">
        <f t="shared" si="790"/>
        <v>6.45</v>
      </c>
      <c r="R1401" s="193">
        <f t="shared" si="685"/>
        <v>42902</v>
      </c>
      <c r="S1401" s="193">
        <f t="shared" si="686"/>
        <v>101.99999999999818</v>
      </c>
      <c r="T1401" s="193">
        <v>12.87</v>
      </c>
      <c r="U1401" s="193">
        <f t="shared" si="707"/>
        <v>2.5299999999999998</v>
      </c>
      <c r="V1401" s="193">
        <f t="shared" si="856"/>
        <v>5.38</v>
      </c>
      <c r="W1401" s="193">
        <f t="shared" si="839"/>
        <v>0.64</v>
      </c>
      <c r="X1401" s="193">
        <f t="shared" si="857"/>
        <v>1.18</v>
      </c>
      <c r="Y1401" s="193">
        <f t="shared" si="758"/>
        <v>0.04</v>
      </c>
      <c r="Z1401" s="193">
        <f t="shared" si="692"/>
        <v>22.639999999999997</v>
      </c>
      <c r="AA1401" s="194">
        <f t="shared" si="693"/>
        <v>79.36</v>
      </c>
      <c r="AB1401" s="195">
        <v>79.37</v>
      </c>
      <c r="AC1401" s="196">
        <f t="shared" si="694"/>
        <v>1.0000000000005116E-2</v>
      </c>
      <c r="AD1401" s="197">
        <f t="shared" si="695"/>
        <v>4.7663551401868308E-3</v>
      </c>
      <c r="AE1401" s="198">
        <f t="shared" si="696"/>
        <v>5.2800000000000004E-4</v>
      </c>
      <c r="AF1401" s="193"/>
      <c r="AG1401" s="199" t="s">
        <v>416</v>
      </c>
      <c r="AH1401" s="124"/>
    </row>
    <row r="1402" spans="1:34" ht="12" hidden="1" customHeight="1">
      <c r="A1402" s="187">
        <v>44866</v>
      </c>
      <c r="B1402" s="188" t="s">
        <v>589</v>
      </c>
      <c r="C1402" s="188" t="s">
        <v>460</v>
      </c>
      <c r="D1402" s="188"/>
      <c r="E1402" s="188" t="str">
        <f t="shared" si="682"/>
        <v>DCMSHRIRAM</v>
      </c>
      <c r="F1402" s="188"/>
      <c r="G1402" s="188"/>
      <c r="H1402" s="188"/>
      <c r="I1402" s="188" t="s">
        <v>668</v>
      </c>
      <c r="J1402" s="188" t="s">
        <v>483</v>
      </c>
      <c r="K1402" s="188"/>
      <c r="L1402" s="188"/>
      <c r="M1402" s="189">
        <v>20</v>
      </c>
      <c r="N1402" s="190">
        <v>1034.0999999999999</v>
      </c>
      <c r="O1402" s="191">
        <v>1043</v>
      </c>
      <c r="P1402" s="192">
        <f t="shared" si="789"/>
        <v>6.2</v>
      </c>
      <c r="Q1402" s="192">
        <f t="shared" si="790"/>
        <v>6.26</v>
      </c>
      <c r="R1402" s="193">
        <f t="shared" si="685"/>
        <v>41542</v>
      </c>
      <c r="S1402" s="193">
        <f t="shared" si="686"/>
        <v>178.00000000000182</v>
      </c>
      <c r="T1402" s="193">
        <f t="shared" ref="T1402:T1427" si="861">ROUND(P1402+Q1402,2)</f>
        <v>12.46</v>
      </c>
      <c r="U1402" s="193">
        <f t="shared" si="707"/>
        <v>2.4500000000000002</v>
      </c>
      <c r="V1402" s="193">
        <f t="shared" si="856"/>
        <v>5.22</v>
      </c>
      <c r="W1402" s="193">
        <f t="shared" si="839"/>
        <v>0.62</v>
      </c>
      <c r="X1402" s="193">
        <f t="shared" si="857"/>
        <v>1.1399999999999999</v>
      </c>
      <c r="Y1402" s="193">
        <f t="shared" si="758"/>
        <v>0.04</v>
      </c>
      <c r="Z1402" s="193">
        <f t="shared" si="692"/>
        <v>21.93</v>
      </c>
      <c r="AA1402" s="194">
        <f t="shared" si="693"/>
        <v>156.07</v>
      </c>
      <c r="AB1402" s="195">
        <v>156.12</v>
      </c>
      <c r="AC1402" s="196">
        <f t="shared" si="694"/>
        <v>5.0000000000011369E-2</v>
      </c>
      <c r="AD1402" s="197">
        <f t="shared" si="695"/>
        <v>8.6065177448990341E-3</v>
      </c>
      <c r="AE1402" s="198">
        <f t="shared" si="696"/>
        <v>5.2800000000000004E-4</v>
      </c>
      <c r="AF1402" s="193"/>
      <c r="AG1402" s="199" t="s">
        <v>416</v>
      </c>
      <c r="AH1402" s="124"/>
    </row>
    <row r="1403" spans="1:34" ht="12" hidden="1" customHeight="1">
      <c r="A1403" s="187">
        <v>44872</v>
      </c>
      <c r="B1403" s="188" t="s">
        <v>589</v>
      </c>
      <c r="C1403" s="188" t="s">
        <v>460</v>
      </c>
      <c r="D1403" s="188"/>
      <c r="E1403" s="188" t="str">
        <f t="shared" si="682"/>
        <v>DCMSHRIRAM</v>
      </c>
      <c r="F1403" s="188"/>
      <c r="G1403" s="188"/>
      <c r="H1403" s="188"/>
      <c r="I1403" s="188" t="s">
        <v>668</v>
      </c>
      <c r="J1403" s="188" t="s">
        <v>483</v>
      </c>
      <c r="K1403" s="188"/>
      <c r="L1403" s="188"/>
      <c r="M1403" s="189">
        <v>20</v>
      </c>
      <c r="N1403" s="190">
        <v>1040.5</v>
      </c>
      <c r="O1403" s="191">
        <v>1047</v>
      </c>
      <c r="P1403" s="192">
        <f t="shared" si="789"/>
        <v>6.24</v>
      </c>
      <c r="Q1403" s="192">
        <f t="shared" si="790"/>
        <v>6.28</v>
      </c>
      <c r="R1403" s="193">
        <f t="shared" si="685"/>
        <v>41750</v>
      </c>
      <c r="S1403" s="193">
        <f t="shared" si="686"/>
        <v>130</v>
      </c>
      <c r="T1403" s="193">
        <f t="shared" si="861"/>
        <v>12.52</v>
      </c>
      <c r="U1403" s="193">
        <f t="shared" si="707"/>
        <v>2.46</v>
      </c>
      <c r="V1403" s="193">
        <f t="shared" si="856"/>
        <v>5.24</v>
      </c>
      <c r="W1403" s="193">
        <f t="shared" si="839"/>
        <v>0.62</v>
      </c>
      <c r="X1403" s="193">
        <f t="shared" si="857"/>
        <v>1.1499999999999999</v>
      </c>
      <c r="Y1403" s="193">
        <f t="shared" si="758"/>
        <v>0.04</v>
      </c>
      <c r="Z1403" s="193">
        <f t="shared" si="692"/>
        <v>22.029999999999998</v>
      </c>
      <c r="AA1403" s="194">
        <f t="shared" si="693"/>
        <v>107.97</v>
      </c>
      <c r="AB1403" s="195">
        <v>107.82</v>
      </c>
      <c r="AC1403" s="196">
        <f t="shared" si="694"/>
        <v>-0.15000000000000568</v>
      </c>
      <c r="AD1403" s="197">
        <f t="shared" si="695"/>
        <v>6.2469966362325808E-3</v>
      </c>
      <c r="AE1403" s="198">
        <f t="shared" si="696"/>
        <v>5.2800000000000004E-4</v>
      </c>
      <c r="AF1403" s="193"/>
      <c r="AG1403" s="199" t="s">
        <v>416</v>
      </c>
      <c r="AH1403" s="124"/>
    </row>
    <row r="1404" spans="1:34" ht="12" hidden="1" customHeight="1">
      <c r="A1404" s="187">
        <v>44875</v>
      </c>
      <c r="B1404" s="188" t="s">
        <v>589</v>
      </c>
      <c r="C1404" s="188" t="s">
        <v>460</v>
      </c>
      <c r="D1404" s="188"/>
      <c r="E1404" s="188" t="str">
        <f t="shared" si="682"/>
        <v>DCMSHRIRAM</v>
      </c>
      <c r="F1404" s="188"/>
      <c r="G1404" s="188"/>
      <c r="H1404" s="188"/>
      <c r="I1404" s="188" t="s">
        <v>668</v>
      </c>
      <c r="J1404" s="188" t="s">
        <v>483</v>
      </c>
      <c r="K1404" s="188"/>
      <c r="L1404" s="188"/>
      <c r="M1404" s="189">
        <v>20</v>
      </c>
      <c r="N1404" s="190">
        <v>1047</v>
      </c>
      <c r="O1404" s="191">
        <v>1060.42</v>
      </c>
      <c r="P1404" s="192">
        <f t="shared" si="789"/>
        <v>6.28</v>
      </c>
      <c r="Q1404" s="192">
        <f t="shared" si="790"/>
        <v>6.36</v>
      </c>
      <c r="R1404" s="193">
        <f t="shared" si="685"/>
        <v>42148.4</v>
      </c>
      <c r="S1404" s="193">
        <f t="shared" si="686"/>
        <v>268.40000000000146</v>
      </c>
      <c r="T1404" s="193">
        <f t="shared" si="861"/>
        <v>12.64</v>
      </c>
      <c r="U1404" s="193">
        <f t="shared" si="707"/>
        <v>2.48</v>
      </c>
      <c r="V1404" s="193">
        <f t="shared" si="856"/>
        <v>5.3</v>
      </c>
      <c r="W1404" s="193">
        <f t="shared" si="839"/>
        <v>0.63</v>
      </c>
      <c r="X1404" s="193">
        <f t="shared" si="857"/>
        <v>1.1599999999999999</v>
      </c>
      <c r="Y1404" s="193">
        <f t="shared" si="758"/>
        <v>0.04</v>
      </c>
      <c r="Z1404" s="193">
        <f t="shared" si="692"/>
        <v>22.25</v>
      </c>
      <c r="AA1404" s="194">
        <f t="shared" si="693"/>
        <v>246.15</v>
      </c>
      <c r="AB1404" s="195">
        <v>246.06</v>
      </c>
      <c r="AC1404" s="196">
        <f t="shared" si="694"/>
        <v>-9.0000000000003411E-2</v>
      </c>
      <c r="AD1404" s="197">
        <f t="shared" si="695"/>
        <v>1.2817574021012485E-2</v>
      </c>
      <c r="AE1404" s="198">
        <f t="shared" si="696"/>
        <v>5.2800000000000004E-4</v>
      </c>
      <c r="AF1404" s="193"/>
      <c r="AG1404" s="199" t="s">
        <v>416</v>
      </c>
      <c r="AH1404" s="124"/>
    </row>
    <row r="1405" spans="1:34" ht="12" hidden="1" customHeight="1">
      <c r="A1405" s="187">
        <v>44879</v>
      </c>
      <c r="B1405" s="188" t="s">
        <v>589</v>
      </c>
      <c r="C1405" s="188" t="s">
        <v>460</v>
      </c>
      <c r="D1405" s="188"/>
      <c r="E1405" s="188" t="str">
        <f t="shared" si="682"/>
        <v>DCMSHRIRAM</v>
      </c>
      <c r="F1405" s="188"/>
      <c r="G1405" s="188"/>
      <c r="H1405" s="188"/>
      <c r="I1405" s="188" t="s">
        <v>668</v>
      </c>
      <c r="J1405" s="188" t="s">
        <v>483</v>
      </c>
      <c r="K1405" s="188"/>
      <c r="L1405" s="188"/>
      <c r="M1405" s="189">
        <v>23</v>
      </c>
      <c r="N1405" s="190">
        <v>941.26739999999995</v>
      </c>
      <c r="O1405" s="191">
        <v>957</v>
      </c>
      <c r="P1405" s="192">
        <f t="shared" si="789"/>
        <v>6.49</v>
      </c>
      <c r="Q1405" s="192">
        <f t="shared" si="790"/>
        <v>6.6</v>
      </c>
      <c r="R1405" s="193">
        <f t="shared" si="685"/>
        <v>43660.15</v>
      </c>
      <c r="S1405" s="193">
        <f t="shared" si="686"/>
        <v>361.8498000000011</v>
      </c>
      <c r="T1405" s="193">
        <f t="shared" si="861"/>
        <v>13.09</v>
      </c>
      <c r="U1405" s="193">
        <f t="shared" si="707"/>
        <v>2.57</v>
      </c>
      <c r="V1405" s="193">
        <f t="shared" si="856"/>
        <v>5.5</v>
      </c>
      <c r="W1405" s="193">
        <f t="shared" si="839"/>
        <v>0.65</v>
      </c>
      <c r="X1405" s="193">
        <f t="shared" si="857"/>
        <v>1.2</v>
      </c>
      <c r="Y1405" s="193">
        <f t="shared" si="758"/>
        <v>0.04</v>
      </c>
      <c r="Z1405" s="193">
        <f t="shared" si="692"/>
        <v>23.049999999999997</v>
      </c>
      <c r="AA1405" s="194">
        <f t="shared" si="693"/>
        <v>338.8</v>
      </c>
      <c r="AB1405" s="195">
        <v>339.63</v>
      </c>
      <c r="AC1405" s="196">
        <f t="shared" si="694"/>
        <v>0.82999999999998408</v>
      </c>
      <c r="AD1405" s="197">
        <f t="shared" si="695"/>
        <v>1.6714272692329564E-2</v>
      </c>
      <c r="AE1405" s="198">
        <f t="shared" si="696"/>
        <v>5.2800000000000004E-4</v>
      </c>
      <c r="AF1405" s="193"/>
      <c r="AG1405" s="199" t="s">
        <v>416</v>
      </c>
      <c r="AH1405" s="124"/>
    </row>
    <row r="1406" spans="1:34" ht="12" hidden="1" customHeight="1">
      <c r="A1406" s="187">
        <v>44881</v>
      </c>
      <c r="B1406" s="188" t="s">
        <v>589</v>
      </c>
      <c r="C1406" s="188" t="s">
        <v>460</v>
      </c>
      <c r="D1406" s="188"/>
      <c r="E1406" s="188" t="str">
        <f t="shared" si="682"/>
        <v>DCMSHRIRAM</v>
      </c>
      <c r="F1406" s="188"/>
      <c r="G1406" s="188"/>
      <c r="H1406" s="188"/>
      <c r="I1406" s="188" t="s">
        <v>668</v>
      </c>
      <c r="J1406" s="188" t="s">
        <v>483</v>
      </c>
      <c r="K1406" s="188"/>
      <c r="L1406" s="188"/>
      <c r="M1406" s="189">
        <v>30</v>
      </c>
      <c r="N1406" s="190">
        <v>884.78830000000005</v>
      </c>
      <c r="O1406" s="191">
        <v>899.17830000000004</v>
      </c>
      <c r="P1406" s="192">
        <f t="shared" si="789"/>
        <v>7.96</v>
      </c>
      <c r="Q1406" s="192">
        <f t="shared" si="790"/>
        <v>8.09</v>
      </c>
      <c r="R1406" s="193">
        <f t="shared" si="685"/>
        <v>53519</v>
      </c>
      <c r="S1406" s="193">
        <f t="shared" si="686"/>
        <v>431.69999999999959</v>
      </c>
      <c r="T1406" s="193">
        <f t="shared" si="861"/>
        <v>16.05</v>
      </c>
      <c r="U1406" s="193">
        <f t="shared" si="707"/>
        <v>3.15</v>
      </c>
      <c r="V1406" s="193">
        <f t="shared" si="856"/>
        <v>6.74</v>
      </c>
      <c r="W1406" s="193">
        <f t="shared" si="839"/>
        <v>0.8</v>
      </c>
      <c r="X1406" s="193">
        <f t="shared" si="857"/>
        <v>1.47</v>
      </c>
      <c r="Y1406" s="193">
        <f t="shared" si="758"/>
        <v>0.05</v>
      </c>
      <c r="Z1406" s="193">
        <f t="shared" si="692"/>
        <v>28.259999999999998</v>
      </c>
      <c r="AA1406" s="194">
        <f t="shared" si="693"/>
        <v>403.44</v>
      </c>
      <c r="AB1406" s="195">
        <v>402.73</v>
      </c>
      <c r="AC1406" s="196">
        <f t="shared" si="694"/>
        <v>-0.70999999999997954</v>
      </c>
      <c r="AD1406" s="197">
        <f t="shared" si="695"/>
        <v>1.6263777448232517E-2</v>
      </c>
      <c r="AE1406" s="198">
        <f t="shared" si="696"/>
        <v>5.2800000000000004E-4</v>
      </c>
      <c r="AF1406" s="193"/>
      <c r="AG1406" s="199" t="s">
        <v>416</v>
      </c>
      <c r="AH1406" s="124"/>
    </row>
    <row r="1407" spans="1:34" ht="12" hidden="1" customHeight="1">
      <c r="A1407" s="187">
        <v>44888</v>
      </c>
      <c r="B1407" s="188" t="s">
        <v>557</v>
      </c>
      <c r="C1407" s="188" t="s">
        <v>485</v>
      </c>
      <c r="D1407" s="188"/>
      <c r="E1407" s="188" t="str">
        <f t="shared" si="682"/>
        <v>SKIPPER</v>
      </c>
      <c r="F1407" s="188"/>
      <c r="G1407" s="188"/>
      <c r="H1407" s="188"/>
      <c r="I1407" s="188" t="s">
        <v>668</v>
      </c>
      <c r="J1407" s="188" t="s">
        <v>483</v>
      </c>
      <c r="K1407" s="188"/>
      <c r="L1407" s="188"/>
      <c r="M1407" s="189">
        <v>100</v>
      </c>
      <c r="N1407" s="190">
        <v>89</v>
      </c>
      <c r="O1407" s="191">
        <v>91.5</v>
      </c>
      <c r="P1407" s="192">
        <f t="shared" si="789"/>
        <v>2.67</v>
      </c>
      <c r="Q1407" s="192">
        <f t="shared" si="790"/>
        <v>2.75</v>
      </c>
      <c r="R1407" s="193">
        <f t="shared" si="685"/>
        <v>18050</v>
      </c>
      <c r="S1407" s="193">
        <f t="shared" si="686"/>
        <v>250</v>
      </c>
      <c r="T1407" s="193">
        <f t="shared" si="861"/>
        <v>5.42</v>
      </c>
      <c r="U1407" s="193">
        <f t="shared" si="707"/>
        <v>1.07</v>
      </c>
      <c r="V1407" s="193">
        <f t="shared" si="856"/>
        <v>2.29</v>
      </c>
      <c r="W1407" s="193">
        <f t="shared" si="839"/>
        <v>0.27</v>
      </c>
      <c r="X1407" s="193">
        <f t="shared" si="857"/>
        <v>0.5</v>
      </c>
      <c r="Y1407" s="193">
        <f t="shared" si="758"/>
        <v>0.02</v>
      </c>
      <c r="Z1407" s="193">
        <f t="shared" si="692"/>
        <v>9.57</v>
      </c>
      <c r="AA1407" s="194">
        <f t="shared" si="693"/>
        <v>240.43</v>
      </c>
      <c r="AB1407" s="195">
        <v>241</v>
      </c>
      <c r="AC1407" s="196">
        <f t="shared" si="694"/>
        <v>0.56999999999999318</v>
      </c>
      <c r="AD1407" s="197">
        <f t="shared" si="695"/>
        <v>2.8089887640449437E-2</v>
      </c>
      <c r="AE1407" s="198">
        <f t="shared" si="696"/>
        <v>5.2999999999999998E-4</v>
      </c>
      <c r="AF1407" s="193"/>
      <c r="AG1407" s="199" t="s">
        <v>416</v>
      </c>
      <c r="AH1407" s="124"/>
    </row>
    <row r="1408" spans="1:34" ht="12" hidden="1" customHeight="1">
      <c r="A1408" s="187">
        <v>44888</v>
      </c>
      <c r="B1408" s="188" t="s">
        <v>589</v>
      </c>
      <c r="C1408" s="188" t="s">
        <v>460</v>
      </c>
      <c r="D1408" s="188"/>
      <c r="E1408" s="188" t="str">
        <f t="shared" si="682"/>
        <v>DCMSHRIRAM</v>
      </c>
      <c r="F1408" s="188"/>
      <c r="G1408" s="188"/>
      <c r="H1408" s="188"/>
      <c r="I1408" s="188" t="s">
        <v>668</v>
      </c>
      <c r="J1408" s="188" t="s">
        <v>483</v>
      </c>
      <c r="K1408" s="188"/>
      <c r="L1408" s="188"/>
      <c r="M1408" s="189">
        <v>3</v>
      </c>
      <c r="N1408" s="190">
        <v>845</v>
      </c>
      <c r="O1408" s="191">
        <v>854.05</v>
      </c>
      <c r="P1408" s="192">
        <f t="shared" si="789"/>
        <v>0.76</v>
      </c>
      <c r="Q1408" s="192">
        <f t="shared" si="790"/>
        <v>0.77</v>
      </c>
      <c r="R1408" s="193">
        <f t="shared" si="685"/>
        <v>5097.1499999999996</v>
      </c>
      <c r="S1408" s="193">
        <f t="shared" si="686"/>
        <v>27.149999999999864</v>
      </c>
      <c r="T1408" s="193">
        <f t="shared" si="861"/>
        <v>1.53</v>
      </c>
      <c r="U1408" s="193">
        <f t="shared" si="707"/>
        <v>0.3</v>
      </c>
      <c r="V1408" s="193">
        <f t="shared" si="856"/>
        <v>0.64</v>
      </c>
      <c r="W1408" s="193">
        <f t="shared" si="839"/>
        <v>0.08</v>
      </c>
      <c r="X1408" s="193">
        <f t="shared" si="857"/>
        <v>0.14000000000000001</v>
      </c>
      <c r="Y1408" s="193">
        <f t="shared" si="758"/>
        <v>0.01</v>
      </c>
      <c r="Z1408" s="193">
        <f t="shared" si="692"/>
        <v>2.7</v>
      </c>
      <c r="AA1408" s="194">
        <f t="shared" si="693"/>
        <v>24.45</v>
      </c>
      <c r="AB1408" s="195">
        <v>22.73</v>
      </c>
      <c r="AC1408" s="196">
        <f t="shared" si="694"/>
        <v>-1.7199999999999989</v>
      </c>
      <c r="AD1408" s="197">
        <f t="shared" si="695"/>
        <v>1.0710059171597579E-2</v>
      </c>
      <c r="AE1408" s="198">
        <f t="shared" si="696"/>
        <v>5.2999999999999998E-4</v>
      </c>
      <c r="AF1408" s="193"/>
      <c r="AG1408" s="199" t="s">
        <v>416</v>
      </c>
      <c r="AH1408" s="124"/>
    </row>
    <row r="1409" spans="1:34" ht="12" hidden="1" customHeight="1">
      <c r="A1409" s="187">
        <v>44890</v>
      </c>
      <c r="B1409" s="188" t="s">
        <v>557</v>
      </c>
      <c r="C1409" s="188" t="s">
        <v>485</v>
      </c>
      <c r="D1409" s="188"/>
      <c r="E1409" s="188" t="str">
        <f t="shared" si="682"/>
        <v>SKIPPER</v>
      </c>
      <c r="F1409" s="188"/>
      <c r="G1409" s="188"/>
      <c r="H1409" s="188"/>
      <c r="I1409" s="188" t="s">
        <v>668</v>
      </c>
      <c r="J1409" s="188" t="s">
        <v>483</v>
      </c>
      <c r="K1409" s="188"/>
      <c r="L1409" s="188"/>
      <c r="M1409" s="189">
        <v>100</v>
      </c>
      <c r="N1409" s="190">
        <v>91.5</v>
      </c>
      <c r="O1409" s="191">
        <v>94</v>
      </c>
      <c r="P1409" s="192">
        <f t="shared" si="789"/>
        <v>2.75</v>
      </c>
      <c r="Q1409" s="192">
        <f t="shared" si="790"/>
        <v>2.82</v>
      </c>
      <c r="R1409" s="193">
        <f t="shared" si="685"/>
        <v>18550</v>
      </c>
      <c r="S1409" s="193">
        <f t="shared" si="686"/>
        <v>250</v>
      </c>
      <c r="T1409" s="193">
        <f t="shared" si="861"/>
        <v>5.57</v>
      </c>
      <c r="U1409" s="193">
        <f t="shared" si="707"/>
        <v>1.0900000000000001</v>
      </c>
      <c r="V1409" s="193">
        <f t="shared" si="856"/>
        <v>2.35</v>
      </c>
      <c r="W1409" s="193">
        <f t="shared" si="839"/>
        <v>0.27</v>
      </c>
      <c r="X1409" s="193">
        <f t="shared" si="857"/>
        <v>0.51</v>
      </c>
      <c r="Y1409" s="193">
        <f t="shared" si="758"/>
        <v>0.02</v>
      </c>
      <c r="Z1409" s="193">
        <f t="shared" si="692"/>
        <v>9.8099999999999987</v>
      </c>
      <c r="AA1409" s="194">
        <f t="shared" si="693"/>
        <v>240.19</v>
      </c>
      <c r="AB1409" s="195">
        <v>240.35</v>
      </c>
      <c r="AC1409" s="196">
        <f t="shared" si="694"/>
        <v>0.15999999999999659</v>
      </c>
      <c r="AD1409" s="197">
        <f t="shared" si="695"/>
        <v>2.7322404371584699E-2</v>
      </c>
      <c r="AE1409" s="198">
        <f t="shared" si="696"/>
        <v>5.2899999999999996E-4</v>
      </c>
      <c r="AF1409" s="193"/>
      <c r="AG1409" s="199" t="s">
        <v>416</v>
      </c>
      <c r="AH1409" s="124"/>
    </row>
    <row r="1410" spans="1:34" ht="12" hidden="1" customHeight="1">
      <c r="A1410" s="187">
        <v>44894</v>
      </c>
      <c r="B1410" s="188" t="s">
        <v>557</v>
      </c>
      <c r="C1410" s="188" t="s">
        <v>485</v>
      </c>
      <c r="D1410" s="188"/>
      <c r="E1410" s="188" t="str">
        <f t="shared" si="682"/>
        <v>SKIPPER</v>
      </c>
      <c r="F1410" s="188"/>
      <c r="G1410" s="188"/>
      <c r="H1410" s="188"/>
      <c r="I1410" s="188" t="s">
        <v>668</v>
      </c>
      <c r="J1410" s="188" t="s">
        <v>483</v>
      </c>
      <c r="K1410" s="188"/>
      <c r="L1410" s="188"/>
      <c r="M1410" s="189">
        <v>100</v>
      </c>
      <c r="N1410" s="190">
        <v>92</v>
      </c>
      <c r="O1410" s="191">
        <v>94</v>
      </c>
      <c r="P1410" s="192">
        <f t="shared" si="789"/>
        <v>2.76</v>
      </c>
      <c r="Q1410" s="192">
        <f t="shared" si="790"/>
        <v>2.82</v>
      </c>
      <c r="R1410" s="193">
        <f t="shared" si="685"/>
        <v>18600</v>
      </c>
      <c r="S1410" s="193">
        <f t="shared" si="686"/>
        <v>200</v>
      </c>
      <c r="T1410" s="193">
        <f t="shared" si="861"/>
        <v>5.58</v>
      </c>
      <c r="U1410" s="193">
        <f t="shared" si="707"/>
        <v>1.1000000000000001</v>
      </c>
      <c r="V1410" s="193">
        <f t="shared" si="856"/>
        <v>2.35</v>
      </c>
      <c r="W1410" s="193">
        <f t="shared" si="839"/>
        <v>0.28000000000000003</v>
      </c>
      <c r="X1410" s="193">
        <f t="shared" si="857"/>
        <v>0.51</v>
      </c>
      <c r="Y1410" s="193">
        <f t="shared" si="758"/>
        <v>0.02</v>
      </c>
      <c r="Z1410" s="193">
        <f t="shared" si="692"/>
        <v>9.8399999999999981</v>
      </c>
      <c r="AA1410" s="194">
        <f t="shared" si="693"/>
        <v>190.16</v>
      </c>
      <c r="AB1410" s="195">
        <v>190.79</v>
      </c>
      <c r="AC1410" s="196">
        <f t="shared" si="694"/>
        <v>0.62999999999999545</v>
      </c>
      <c r="AD1410" s="197">
        <f t="shared" si="695"/>
        <v>2.1739130434782608E-2</v>
      </c>
      <c r="AE1410" s="198">
        <f t="shared" si="696"/>
        <v>5.2899999999999996E-4</v>
      </c>
      <c r="AF1410" s="193"/>
      <c r="AG1410" s="199" t="s">
        <v>416</v>
      </c>
      <c r="AH1410" s="124"/>
    </row>
    <row r="1411" spans="1:34" ht="12" hidden="1" customHeight="1">
      <c r="A1411" s="187">
        <v>44915</v>
      </c>
      <c r="B1411" s="188" t="s">
        <v>603</v>
      </c>
      <c r="C1411" s="188" t="s">
        <v>485</v>
      </c>
      <c r="D1411" s="188"/>
      <c r="E1411" s="188" t="str">
        <f t="shared" si="682"/>
        <v>MCX</v>
      </c>
      <c r="F1411" s="188"/>
      <c r="G1411" s="188"/>
      <c r="H1411" s="188"/>
      <c r="I1411" s="188" t="s">
        <v>668</v>
      </c>
      <c r="J1411" s="188" t="s">
        <v>483</v>
      </c>
      <c r="K1411" s="188"/>
      <c r="L1411" s="188"/>
      <c r="M1411" s="189">
        <v>20</v>
      </c>
      <c r="N1411" s="190">
        <v>1683.2750000000001</v>
      </c>
      <c r="O1411" s="191">
        <v>1686.5</v>
      </c>
      <c r="P1411" s="192">
        <f t="shared" si="789"/>
        <v>10.1</v>
      </c>
      <c r="Q1411" s="192">
        <f t="shared" si="790"/>
        <v>10.119999999999999</v>
      </c>
      <c r="R1411" s="193">
        <f t="shared" si="685"/>
        <v>67395.5</v>
      </c>
      <c r="S1411" s="193">
        <f t="shared" si="686"/>
        <v>64.499999999998181</v>
      </c>
      <c r="T1411" s="193">
        <f t="shared" si="861"/>
        <v>20.22</v>
      </c>
      <c r="U1411" s="193">
        <f t="shared" si="707"/>
        <v>3.97</v>
      </c>
      <c r="V1411" s="193">
        <f t="shared" si="856"/>
        <v>8.43</v>
      </c>
      <c r="W1411" s="193">
        <f t="shared" si="839"/>
        <v>1.01</v>
      </c>
      <c r="X1411" s="193">
        <f t="shared" si="857"/>
        <v>1.85</v>
      </c>
      <c r="Y1411" s="193">
        <f t="shared" si="758"/>
        <v>7.0000000000000007E-2</v>
      </c>
      <c r="Z1411" s="193">
        <f t="shared" si="692"/>
        <v>35.549999999999997</v>
      </c>
      <c r="AA1411" s="194">
        <f t="shared" si="693"/>
        <v>28.95</v>
      </c>
      <c r="AB1411" s="195">
        <v>29.38</v>
      </c>
      <c r="AC1411" s="196">
        <f t="shared" si="694"/>
        <v>0.42999999999999972</v>
      </c>
      <c r="AD1411" s="197">
        <f t="shared" si="695"/>
        <v>1.9159079770090502E-3</v>
      </c>
      <c r="AE1411" s="198">
        <f t="shared" si="696"/>
        <v>5.2700000000000002E-4</v>
      </c>
      <c r="AF1411" s="193"/>
      <c r="AG1411" s="199" t="s">
        <v>416</v>
      </c>
      <c r="AH1411" s="124"/>
    </row>
    <row r="1412" spans="1:34" ht="12" hidden="1" customHeight="1">
      <c r="A1412" s="187">
        <v>44928</v>
      </c>
      <c r="B1412" s="188" t="s">
        <v>495</v>
      </c>
      <c r="C1412" s="188" t="s">
        <v>485</v>
      </c>
      <c r="D1412" s="188"/>
      <c r="E1412" s="188" t="str">
        <f t="shared" si="682"/>
        <v>SAIL</v>
      </c>
      <c r="F1412" s="188"/>
      <c r="G1412" s="188"/>
      <c r="H1412" s="188"/>
      <c r="I1412" s="188" t="s">
        <v>668</v>
      </c>
      <c r="J1412" s="188" t="s">
        <v>483</v>
      </c>
      <c r="K1412" s="188"/>
      <c r="L1412" s="188"/>
      <c r="M1412" s="189">
        <v>25</v>
      </c>
      <c r="N1412" s="190">
        <v>87.9</v>
      </c>
      <c r="O1412" s="191">
        <v>89</v>
      </c>
      <c r="P1412" s="192">
        <f t="shared" si="789"/>
        <v>0.66</v>
      </c>
      <c r="Q1412" s="192">
        <f t="shared" si="790"/>
        <v>0.67</v>
      </c>
      <c r="R1412" s="193">
        <f t="shared" si="685"/>
        <v>4422.5</v>
      </c>
      <c r="S1412" s="193">
        <f t="shared" si="686"/>
        <v>27.499999999999858</v>
      </c>
      <c r="T1412" s="193">
        <f t="shared" si="861"/>
        <v>1.33</v>
      </c>
      <c r="U1412" s="193">
        <f t="shared" si="707"/>
        <v>0.26</v>
      </c>
      <c r="V1412" s="193">
        <f t="shared" si="856"/>
        <v>0.56000000000000005</v>
      </c>
      <c r="W1412" s="193">
        <f t="shared" si="839"/>
        <v>7.0000000000000007E-2</v>
      </c>
      <c r="X1412" s="193">
        <f t="shared" si="857"/>
        <v>0.12</v>
      </c>
      <c r="Y1412" s="193">
        <f t="shared" si="758"/>
        <v>0</v>
      </c>
      <c r="Z1412" s="193">
        <f t="shared" si="692"/>
        <v>2.3400000000000003</v>
      </c>
      <c r="AA1412" s="194">
        <f t="shared" si="693"/>
        <v>25.16</v>
      </c>
      <c r="AB1412" s="195">
        <v>24.72</v>
      </c>
      <c r="AC1412" s="196">
        <f t="shared" si="694"/>
        <v>-0.44000000000000128</v>
      </c>
      <c r="AD1412" s="197">
        <f t="shared" si="695"/>
        <v>1.2514220705346919E-2</v>
      </c>
      <c r="AE1412" s="198">
        <f t="shared" si="696"/>
        <v>5.2899999999999996E-4</v>
      </c>
      <c r="AF1412" s="193"/>
      <c r="AG1412" s="199" t="s">
        <v>416</v>
      </c>
      <c r="AH1412" s="124"/>
    </row>
    <row r="1413" spans="1:34" ht="12" hidden="1" customHeight="1">
      <c r="A1413" s="187">
        <v>44943</v>
      </c>
      <c r="B1413" s="188" t="s">
        <v>590</v>
      </c>
      <c r="C1413" s="188" t="s">
        <v>485</v>
      </c>
      <c r="D1413" s="188"/>
      <c r="E1413" s="188" t="str">
        <f t="shared" si="682"/>
        <v>ITC</v>
      </c>
      <c r="F1413" s="188"/>
      <c r="G1413" s="188"/>
      <c r="H1413" s="188"/>
      <c r="I1413" s="188" t="s">
        <v>668</v>
      </c>
      <c r="J1413" s="188" t="s">
        <v>483</v>
      </c>
      <c r="K1413" s="188"/>
      <c r="L1413" s="188"/>
      <c r="M1413" s="189">
        <v>100</v>
      </c>
      <c r="N1413" s="190">
        <v>330.5</v>
      </c>
      <c r="O1413" s="191">
        <v>331.65</v>
      </c>
      <c r="P1413" s="192">
        <f t="shared" si="789"/>
        <v>9.92</v>
      </c>
      <c r="Q1413" s="192">
        <f t="shared" si="790"/>
        <v>9.9499999999999993</v>
      </c>
      <c r="R1413" s="193">
        <f t="shared" si="685"/>
        <v>66215</v>
      </c>
      <c r="S1413" s="193">
        <f t="shared" si="686"/>
        <v>114.99999999999773</v>
      </c>
      <c r="T1413" s="193">
        <f t="shared" si="861"/>
        <v>19.87</v>
      </c>
      <c r="U1413" s="193">
        <f t="shared" si="707"/>
        <v>3.9</v>
      </c>
      <c r="V1413" s="193">
        <f t="shared" si="856"/>
        <v>8.2899999999999991</v>
      </c>
      <c r="W1413" s="193">
        <f t="shared" si="839"/>
        <v>0.99</v>
      </c>
      <c r="X1413" s="193">
        <f t="shared" si="857"/>
        <v>1.82</v>
      </c>
      <c r="Y1413" s="193">
        <f t="shared" si="758"/>
        <v>7.0000000000000007E-2</v>
      </c>
      <c r="Z1413" s="193">
        <f t="shared" si="692"/>
        <v>34.940000000000005</v>
      </c>
      <c r="AA1413" s="194">
        <f t="shared" si="693"/>
        <v>80.06</v>
      </c>
      <c r="AB1413" s="195">
        <f>ROUND(AA1413,0)</f>
        <v>80</v>
      </c>
      <c r="AC1413" s="196">
        <f t="shared" si="694"/>
        <v>-6.0000000000002274E-2</v>
      </c>
      <c r="AD1413" s="197">
        <f t="shared" si="695"/>
        <v>3.4795763993947875E-3</v>
      </c>
      <c r="AE1413" s="198">
        <f t="shared" si="696"/>
        <v>5.2800000000000004E-4</v>
      </c>
      <c r="AF1413" s="193"/>
      <c r="AG1413" s="199" t="s">
        <v>416</v>
      </c>
      <c r="AH1413" s="124"/>
    </row>
    <row r="1414" spans="1:34" ht="12" hidden="1" customHeight="1">
      <c r="A1414" s="187">
        <v>44946</v>
      </c>
      <c r="B1414" s="188" t="s">
        <v>589</v>
      </c>
      <c r="C1414" s="188" t="s">
        <v>460</v>
      </c>
      <c r="D1414" s="188"/>
      <c r="E1414" s="188" t="str">
        <f t="shared" si="682"/>
        <v>DCMSHRIRAM</v>
      </c>
      <c r="F1414" s="188"/>
      <c r="G1414" s="188"/>
      <c r="H1414" s="188"/>
      <c r="I1414" s="188" t="s">
        <v>668</v>
      </c>
      <c r="J1414" s="188" t="s">
        <v>483</v>
      </c>
      <c r="K1414" s="188"/>
      <c r="L1414" s="188"/>
      <c r="M1414" s="189">
        <v>40</v>
      </c>
      <c r="N1414" s="190">
        <v>882.35500000000002</v>
      </c>
      <c r="O1414" s="191">
        <v>899</v>
      </c>
      <c r="P1414" s="192">
        <f t="shared" si="789"/>
        <v>10.59</v>
      </c>
      <c r="Q1414" s="192">
        <f t="shared" si="790"/>
        <v>10.79</v>
      </c>
      <c r="R1414" s="193">
        <f t="shared" si="685"/>
        <v>71254.2</v>
      </c>
      <c r="S1414" s="193">
        <f t="shared" si="686"/>
        <v>665.79999999999927</v>
      </c>
      <c r="T1414" s="193">
        <f t="shared" si="861"/>
        <v>21.38</v>
      </c>
      <c r="U1414" s="193">
        <f t="shared" si="707"/>
        <v>4.2</v>
      </c>
      <c r="V1414" s="193">
        <f t="shared" si="856"/>
        <v>8.99</v>
      </c>
      <c r="W1414" s="193">
        <f t="shared" si="839"/>
        <v>1.06</v>
      </c>
      <c r="X1414" s="193">
        <f t="shared" si="857"/>
        <v>1.96</v>
      </c>
      <c r="Y1414" s="193">
        <f t="shared" si="758"/>
        <v>7.0000000000000007E-2</v>
      </c>
      <c r="Z1414" s="193">
        <f t="shared" si="692"/>
        <v>37.660000000000004</v>
      </c>
      <c r="AA1414" s="194">
        <f t="shared" si="693"/>
        <v>628.14</v>
      </c>
      <c r="AB1414" s="195">
        <v>628.17999999999995</v>
      </c>
      <c r="AC1414" s="196">
        <f t="shared" si="694"/>
        <v>3.999999999996362E-2</v>
      </c>
      <c r="AD1414" s="197">
        <f t="shared" si="695"/>
        <v>1.8864289316658241E-2</v>
      </c>
      <c r="AE1414" s="198">
        <f t="shared" si="696"/>
        <v>5.2899999999999996E-4</v>
      </c>
      <c r="AF1414" s="193"/>
      <c r="AG1414" s="199" t="s">
        <v>416</v>
      </c>
      <c r="AH1414" s="124"/>
    </row>
    <row r="1415" spans="1:34" ht="12" hidden="1" customHeight="1">
      <c r="A1415" s="187">
        <v>44965</v>
      </c>
      <c r="B1415" s="188" t="s">
        <v>589</v>
      </c>
      <c r="C1415" s="188" t="s">
        <v>460</v>
      </c>
      <c r="D1415" s="188"/>
      <c r="E1415" s="188" t="str">
        <f t="shared" si="682"/>
        <v>DCMSHRIRAM</v>
      </c>
      <c r="F1415" s="188"/>
      <c r="G1415" s="188"/>
      <c r="H1415" s="188"/>
      <c r="I1415" s="188" t="s">
        <v>668</v>
      </c>
      <c r="J1415" s="188" t="s">
        <v>483</v>
      </c>
      <c r="K1415" s="188"/>
      <c r="L1415" s="188"/>
      <c r="M1415" s="189">
        <v>10</v>
      </c>
      <c r="N1415" s="190">
        <v>855.82500000000005</v>
      </c>
      <c r="O1415" s="191">
        <v>863</v>
      </c>
      <c r="P1415" s="192">
        <f t="shared" si="789"/>
        <v>2.57</v>
      </c>
      <c r="Q1415" s="192">
        <f t="shared" si="790"/>
        <v>2.59</v>
      </c>
      <c r="R1415" s="193">
        <f t="shared" si="685"/>
        <v>17188.25</v>
      </c>
      <c r="S1415" s="193">
        <f t="shared" si="686"/>
        <v>71.749999999999545</v>
      </c>
      <c r="T1415" s="193">
        <f t="shared" si="861"/>
        <v>5.16</v>
      </c>
      <c r="U1415" s="193">
        <f t="shared" si="707"/>
        <v>1.01</v>
      </c>
      <c r="V1415" s="193">
        <f t="shared" si="856"/>
        <v>2.16</v>
      </c>
      <c r="W1415" s="193">
        <f t="shared" si="839"/>
        <v>0.26</v>
      </c>
      <c r="X1415" s="193">
        <f t="shared" si="857"/>
        <v>0.47</v>
      </c>
      <c r="Y1415" s="193">
        <f t="shared" si="758"/>
        <v>0.02</v>
      </c>
      <c r="Z1415" s="193">
        <f t="shared" si="692"/>
        <v>9.08</v>
      </c>
      <c r="AA1415" s="194">
        <f t="shared" si="693"/>
        <v>62.67</v>
      </c>
      <c r="AB1415" s="195">
        <v>63.09</v>
      </c>
      <c r="AC1415" s="196">
        <f t="shared" si="694"/>
        <v>0.42000000000000171</v>
      </c>
      <c r="AD1415" s="197">
        <f t="shared" si="695"/>
        <v>8.3837233079192049E-3</v>
      </c>
      <c r="AE1415" s="198">
        <f t="shared" si="696"/>
        <v>5.2800000000000004E-4</v>
      </c>
      <c r="AF1415" s="193"/>
      <c r="AG1415" s="199" t="s">
        <v>416</v>
      </c>
      <c r="AH1415" s="124"/>
    </row>
    <row r="1416" spans="1:34" ht="12" hidden="1" customHeight="1">
      <c r="A1416" s="187">
        <v>44970</v>
      </c>
      <c r="B1416" s="188" t="s">
        <v>589</v>
      </c>
      <c r="C1416" s="188" t="s">
        <v>460</v>
      </c>
      <c r="D1416" s="188"/>
      <c r="E1416" s="188" t="str">
        <f t="shared" si="682"/>
        <v>DCMSHRIRAM</v>
      </c>
      <c r="F1416" s="188"/>
      <c r="G1416" s="188"/>
      <c r="H1416" s="188"/>
      <c r="I1416" s="188" t="s">
        <v>668</v>
      </c>
      <c r="J1416" s="188" t="s">
        <v>483</v>
      </c>
      <c r="K1416" s="188"/>
      <c r="L1416" s="188"/>
      <c r="M1416" s="189">
        <v>25</v>
      </c>
      <c r="N1416" s="190">
        <v>848.00199999999995</v>
      </c>
      <c r="O1416" s="191">
        <v>854.55</v>
      </c>
      <c r="P1416" s="192">
        <f t="shared" si="789"/>
        <v>6.36</v>
      </c>
      <c r="Q1416" s="192">
        <f t="shared" si="790"/>
        <v>6.41</v>
      </c>
      <c r="R1416" s="193">
        <f t="shared" si="685"/>
        <v>42563.8</v>
      </c>
      <c r="S1416" s="193">
        <f t="shared" si="686"/>
        <v>163.70000000000005</v>
      </c>
      <c r="T1416" s="193">
        <f t="shared" si="861"/>
        <v>12.77</v>
      </c>
      <c r="U1416" s="193">
        <f t="shared" si="707"/>
        <v>2.5099999999999998</v>
      </c>
      <c r="V1416" s="193">
        <f t="shared" si="856"/>
        <v>5.34</v>
      </c>
      <c r="W1416" s="193">
        <f t="shared" si="839"/>
        <v>0.64</v>
      </c>
      <c r="X1416" s="193">
        <f t="shared" si="857"/>
        <v>1.17</v>
      </c>
      <c r="Y1416" s="193">
        <f t="shared" si="758"/>
        <v>0.04</v>
      </c>
      <c r="Z1416" s="193">
        <f t="shared" si="692"/>
        <v>22.47</v>
      </c>
      <c r="AA1416" s="194">
        <f t="shared" si="693"/>
        <v>141.22999999999999</v>
      </c>
      <c r="AB1416" s="195">
        <v>141.19999999999999</v>
      </c>
      <c r="AC1416" s="196">
        <f t="shared" si="694"/>
        <v>-3.0000000000001137E-2</v>
      </c>
      <c r="AD1416" s="197">
        <f t="shared" si="695"/>
        <v>7.7216799016983475E-3</v>
      </c>
      <c r="AE1416" s="198">
        <f t="shared" si="696"/>
        <v>5.2800000000000004E-4</v>
      </c>
      <c r="AF1416" s="193"/>
      <c r="AG1416" s="199" t="s">
        <v>416</v>
      </c>
      <c r="AH1416" s="124"/>
    </row>
    <row r="1417" spans="1:34" ht="12" hidden="1" customHeight="1">
      <c r="A1417" s="187">
        <v>44971</v>
      </c>
      <c r="B1417" s="188" t="s">
        <v>589</v>
      </c>
      <c r="C1417" s="188" t="s">
        <v>460</v>
      </c>
      <c r="D1417" s="188"/>
      <c r="E1417" s="188" t="str">
        <f t="shared" si="682"/>
        <v>DCMSHRIRAM</v>
      </c>
      <c r="F1417" s="188"/>
      <c r="G1417" s="188"/>
      <c r="H1417" s="188"/>
      <c r="I1417" s="188" t="s">
        <v>668</v>
      </c>
      <c r="J1417" s="188" t="s">
        <v>483</v>
      </c>
      <c r="K1417" s="188"/>
      <c r="L1417" s="188"/>
      <c r="M1417" s="189">
        <v>19</v>
      </c>
      <c r="N1417" s="190">
        <v>849.42370000000005</v>
      </c>
      <c r="O1417" s="191">
        <v>857.03160000000003</v>
      </c>
      <c r="P1417" s="192">
        <f t="shared" si="789"/>
        <v>4.84</v>
      </c>
      <c r="Q1417" s="192">
        <f t="shared" si="790"/>
        <v>4.8899999999999997</v>
      </c>
      <c r="R1417" s="193">
        <f t="shared" si="685"/>
        <v>32422.65</v>
      </c>
      <c r="S1417" s="193">
        <f t="shared" si="686"/>
        <v>144.55009999999947</v>
      </c>
      <c r="T1417" s="193">
        <f t="shared" si="861"/>
        <v>9.73</v>
      </c>
      <c r="U1417" s="193">
        <f t="shared" si="707"/>
        <v>1.91</v>
      </c>
      <c r="V1417" s="193">
        <f t="shared" si="856"/>
        <v>4.07</v>
      </c>
      <c r="W1417" s="193">
        <f t="shared" si="839"/>
        <v>0.48</v>
      </c>
      <c r="X1417" s="193">
        <f t="shared" si="857"/>
        <v>0.89</v>
      </c>
      <c r="Y1417" s="193">
        <f t="shared" si="758"/>
        <v>0.03</v>
      </c>
      <c r="Z1417" s="193">
        <f t="shared" si="692"/>
        <v>17.110000000000003</v>
      </c>
      <c r="AA1417" s="194">
        <f t="shared" si="693"/>
        <v>127.44</v>
      </c>
      <c r="AB1417" s="195">
        <v>127.44</v>
      </c>
      <c r="AC1417" s="196">
        <f t="shared" si="694"/>
        <v>0</v>
      </c>
      <c r="AD1417" s="197">
        <f t="shared" si="695"/>
        <v>8.9565431244736544E-3</v>
      </c>
      <c r="AE1417" s="198">
        <f t="shared" si="696"/>
        <v>5.2800000000000004E-4</v>
      </c>
      <c r="AF1417" s="193"/>
      <c r="AG1417" s="199" t="s">
        <v>416</v>
      </c>
      <c r="AH1417" s="124"/>
    </row>
    <row r="1418" spans="1:34" ht="12" hidden="1" customHeight="1">
      <c r="A1418" s="187">
        <v>44973</v>
      </c>
      <c r="B1418" s="188" t="s">
        <v>589</v>
      </c>
      <c r="C1418" s="188" t="s">
        <v>460</v>
      </c>
      <c r="D1418" s="188"/>
      <c r="E1418" s="188" t="str">
        <f t="shared" si="682"/>
        <v>DCMSHRIRAM</v>
      </c>
      <c r="F1418" s="188"/>
      <c r="G1418" s="188"/>
      <c r="H1418" s="188"/>
      <c r="I1418" s="188" t="s">
        <v>668</v>
      </c>
      <c r="J1418" s="188" t="s">
        <v>483</v>
      </c>
      <c r="K1418" s="188"/>
      <c r="L1418" s="188"/>
      <c r="M1418" s="189">
        <v>20</v>
      </c>
      <c r="N1418" s="190">
        <v>865</v>
      </c>
      <c r="O1418" s="191">
        <v>870</v>
      </c>
      <c r="P1418" s="192">
        <f t="shared" si="789"/>
        <v>5.19</v>
      </c>
      <c r="Q1418" s="192">
        <f t="shared" si="790"/>
        <v>5.22</v>
      </c>
      <c r="R1418" s="193">
        <f t="shared" si="685"/>
        <v>34700</v>
      </c>
      <c r="S1418" s="193">
        <f t="shared" si="686"/>
        <v>100</v>
      </c>
      <c r="T1418" s="193">
        <f t="shared" si="861"/>
        <v>10.41</v>
      </c>
      <c r="U1418" s="193">
        <f t="shared" si="707"/>
        <v>2.04</v>
      </c>
      <c r="V1418" s="193">
        <f t="shared" si="856"/>
        <v>4.3499999999999996</v>
      </c>
      <c r="W1418" s="193">
        <f t="shared" si="839"/>
        <v>0.52</v>
      </c>
      <c r="X1418" s="193">
        <f t="shared" si="857"/>
        <v>0.95</v>
      </c>
      <c r="Y1418" s="193">
        <f t="shared" si="758"/>
        <v>0.03</v>
      </c>
      <c r="Z1418" s="193">
        <f t="shared" si="692"/>
        <v>18.299999999999997</v>
      </c>
      <c r="AA1418" s="194">
        <f t="shared" si="693"/>
        <v>81.7</v>
      </c>
      <c r="AB1418" s="195">
        <v>81.05</v>
      </c>
      <c r="AC1418" s="196">
        <f t="shared" si="694"/>
        <v>-0.65000000000000568</v>
      </c>
      <c r="AD1418" s="197">
        <f t="shared" si="695"/>
        <v>5.7803468208092483E-3</v>
      </c>
      <c r="AE1418" s="198">
        <f t="shared" si="696"/>
        <v>5.2700000000000002E-4</v>
      </c>
      <c r="AF1418" s="193"/>
      <c r="AG1418" s="199" t="s">
        <v>416</v>
      </c>
      <c r="AH1418" s="124"/>
    </row>
    <row r="1419" spans="1:34" ht="12" hidden="1" customHeight="1">
      <c r="A1419" s="187">
        <v>44993</v>
      </c>
      <c r="B1419" s="188" t="s">
        <v>589</v>
      </c>
      <c r="C1419" s="188" t="s">
        <v>460</v>
      </c>
      <c r="D1419" s="188"/>
      <c r="E1419" s="188" t="str">
        <f t="shared" si="682"/>
        <v>DCMSHRIRAM</v>
      </c>
      <c r="F1419" s="188"/>
      <c r="G1419" s="188"/>
      <c r="H1419" s="188"/>
      <c r="I1419" s="188" t="s">
        <v>668</v>
      </c>
      <c r="J1419" s="188" t="s">
        <v>483</v>
      </c>
      <c r="K1419" s="188"/>
      <c r="L1419" s="188"/>
      <c r="M1419" s="189">
        <v>40</v>
      </c>
      <c r="N1419" s="190">
        <v>862.03750000000002</v>
      </c>
      <c r="O1419" s="191">
        <v>868.52499999999998</v>
      </c>
      <c r="P1419" s="192">
        <f t="shared" si="789"/>
        <v>10.34</v>
      </c>
      <c r="Q1419" s="192">
        <f t="shared" si="790"/>
        <v>10.42</v>
      </c>
      <c r="R1419" s="193">
        <f t="shared" si="685"/>
        <v>69222.5</v>
      </c>
      <c r="S1419" s="193">
        <f t="shared" si="686"/>
        <v>259.49999999999818</v>
      </c>
      <c r="T1419" s="193">
        <f t="shared" si="861"/>
        <v>20.76</v>
      </c>
      <c r="U1419" s="193">
        <f t="shared" si="707"/>
        <v>4.08</v>
      </c>
      <c r="V1419" s="193">
        <f t="shared" si="856"/>
        <v>8.69</v>
      </c>
      <c r="W1419" s="193">
        <f t="shared" si="839"/>
        <v>1.03</v>
      </c>
      <c r="X1419" s="193">
        <f t="shared" si="857"/>
        <v>1.9</v>
      </c>
      <c r="Y1419" s="193">
        <f t="shared" si="758"/>
        <v>7.0000000000000007E-2</v>
      </c>
      <c r="Z1419" s="193">
        <f t="shared" si="692"/>
        <v>36.53</v>
      </c>
      <c r="AA1419" s="194">
        <f t="shared" si="693"/>
        <v>222.97</v>
      </c>
      <c r="AB1419" s="195">
        <v>222.67</v>
      </c>
      <c r="AC1419" s="196">
        <f t="shared" si="694"/>
        <v>-0.30000000000001137</v>
      </c>
      <c r="AD1419" s="197">
        <f t="shared" si="695"/>
        <v>7.5257746907761601E-3</v>
      </c>
      <c r="AE1419" s="198">
        <f t="shared" si="696"/>
        <v>5.2800000000000004E-4</v>
      </c>
      <c r="AF1419" s="193"/>
      <c r="AG1419" s="199" t="s">
        <v>416</v>
      </c>
      <c r="AH1419" s="124"/>
    </row>
    <row r="1420" spans="1:34" ht="12" hidden="1" customHeight="1">
      <c r="A1420" s="187">
        <v>44998</v>
      </c>
      <c r="B1420" s="188" t="s">
        <v>612</v>
      </c>
      <c r="C1420" s="188" t="s">
        <v>485</v>
      </c>
      <c r="D1420" s="188"/>
      <c r="E1420" s="188" t="str">
        <f t="shared" si="682"/>
        <v>GAIL</v>
      </c>
      <c r="F1420" s="188"/>
      <c r="G1420" s="188"/>
      <c r="H1420" s="188"/>
      <c r="I1420" s="188" t="s">
        <v>668</v>
      </c>
      <c r="J1420" s="188" t="s">
        <v>483</v>
      </c>
      <c r="K1420" s="188"/>
      <c r="L1420" s="188"/>
      <c r="M1420" s="189">
        <v>43</v>
      </c>
      <c r="N1420" s="190">
        <v>110.75</v>
      </c>
      <c r="O1420" s="191">
        <v>110.7</v>
      </c>
      <c r="P1420" s="192">
        <f t="shared" si="789"/>
        <v>1.43</v>
      </c>
      <c r="Q1420" s="192">
        <f t="shared" si="790"/>
        <v>1.43</v>
      </c>
      <c r="R1420" s="193">
        <f t="shared" si="685"/>
        <v>9522.35</v>
      </c>
      <c r="S1420" s="193">
        <f t="shared" si="686"/>
        <v>-2.1499999999998778</v>
      </c>
      <c r="T1420" s="193">
        <f t="shared" si="861"/>
        <v>2.86</v>
      </c>
      <c r="U1420" s="193">
        <f t="shared" si="707"/>
        <v>0.56000000000000005</v>
      </c>
      <c r="V1420" s="193">
        <f t="shared" si="856"/>
        <v>1.19</v>
      </c>
      <c r="W1420" s="193">
        <f t="shared" si="839"/>
        <v>0.14000000000000001</v>
      </c>
      <c r="X1420" s="193">
        <f t="shared" si="857"/>
        <v>0.26</v>
      </c>
      <c r="Y1420" s="193">
        <f t="shared" si="758"/>
        <v>0.01</v>
      </c>
      <c r="Z1420" s="193">
        <f t="shared" si="692"/>
        <v>5.0199999999999987</v>
      </c>
      <c r="AA1420" s="194">
        <f t="shared" si="693"/>
        <v>-7.17</v>
      </c>
      <c r="AB1420" s="195">
        <v>-6.92</v>
      </c>
      <c r="AC1420" s="196">
        <f t="shared" si="694"/>
        <v>0.25</v>
      </c>
      <c r="AD1420" s="197">
        <f t="shared" si="695"/>
        <v>-4.5146726862299916E-4</v>
      </c>
      <c r="AE1420" s="198">
        <f t="shared" si="696"/>
        <v>5.2700000000000002E-4</v>
      </c>
      <c r="AF1420" s="193"/>
      <c r="AG1420" s="199" t="s">
        <v>416</v>
      </c>
      <c r="AH1420" s="124"/>
    </row>
    <row r="1421" spans="1:34" ht="12" hidden="1" customHeight="1">
      <c r="A1421" s="187">
        <v>45026</v>
      </c>
      <c r="B1421" s="188" t="s">
        <v>589</v>
      </c>
      <c r="C1421" s="200" t="s">
        <v>460</v>
      </c>
      <c r="D1421" s="188"/>
      <c r="E1421" s="188" t="str">
        <f t="shared" si="682"/>
        <v>DCMSHRIRAM</v>
      </c>
      <c r="F1421" s="188"/>
      <c r="G1421" s="188"/>
      <c r="H1421" s="188"/>
      <c r="I1421" s="188" t="s">
        <v>668</v>
      </c>
      <c r="J1421" s="188" t="s">
        <v>483</v>
      </c>
      <c r="K1421" s="188"/>
      <c r="L1421" s="188"/>
      <c r="M1421" s="189">
        <v>20</v>
      </c>
      <c r="N1421" s="190">
        <v>827</v>
      </c>
      <c r="O1421" s="191">
        <v>845.85</v>
      </c>
      <c r="P1421" s="192">
        <f t="shared" si="789"/>
        <v>4.96</v>
      </c>
      <c r="Q1421" s="192">
        <f t="shared" si="790"/>
        <v>5.08</v>
      </c>
      <c r="R1421" s="193">
        <f t="shared" si="685"/>
        <v>33457</v>
      </c>
      <c r="S1421" s="193">
        <f t="shared" si="686"/>
        <v>377.00000000000045</v>
      </c>
      <c r="T1421" s="193">
        <f t="shared" si="861"/>
        <v>10.039999999999999</v>
      </c>
      <c r="U1421" s="193">
        <f t="shared" si="707"/>
        <v>2</v>
      </c>
      <c r="V1421" s="193">
        <f t="shared" si="856"/>
        <v>4.2300000000000004</v>
      </c>
      <c r="W1421" s="193">
        <f t="shared" si="839"/>
        <v>0.5</v>
      </c>
      <c r="X1421" s="193">
        <f t="shared" ref="X1421:X1427" si="862">ROUND(R1421*I$1820,2)</f>
        <v>1.0900000000000001</v>
      </c>
      <c r="Y1421" s="193">
        <f t="shared" si="758"/>
        <v>0.03</v>
      </c>
      <c r="Z1421" s="193">
        <f t="shared" si="692"/>
        <v>17.89</v>
      </c>
      <c r="AA1421" s="194">
        <f t="shared" si="693"/>
        <v>359.11</v>
      </c>
      <c r="AB1421" s="195">
        <v>358.79</v>
      </c>
      <c r="AC1421" s="196">
        <f t="shared" si="694"/>
        <v>-0.31999999999999318</v>
      </c>
      <c r="AD1421" s="197">
        <f t="shared" si="695"/>
        <v>2.2793228536880317E-2</v>
      </c>
      <c r="AE1421" s="198">
        <f t="shared" si="696"/>
        <v>5.3499999999999999E-4</v>
      </c>
      <c r="AF1421" s="193"/>
      <c r="AG1421" s="199" t="s">
        <v>416</v>
      </c>
      <c r="AH1421" s="124"/>
    </row>
    <row r="1422" spans="1:34" ht="12" hidden="1" customHeight="1">
      <c r="A1422" s="187">
        <v>45037</v>
      </c>
      <c r="B1422" s="188" t="s">
        <v>589</v>
      </c>
      <c r="C1422" s="200" t="s">
        <v>460</v>
      </c>
      <c r="D1422" s="188"/>
      <c r="E1422" s="188" t="str">
        <f t="shared" si="682"/>
        <v>DCMSHRIRAM</v>
      </c>
      <c r="F1422" s="188"/>
      <c r="G1422" s="188"/>
      <c r="H1422" s="188"/>
      <c r="I1422" s="188" t="s">
        <v>668</v>
      </c>
      <c r="J1422" s="188" t="s">
        <v>483</v>
      </c>
      <c r="K1422" s="188"/>
      <c r="L1422" s="188"/>
      <c r="M1422" s="189">
        <v>50</v>
      </c>
      <c r="N1422" s="190">
        <v>858</v>
      </c>
      <c r="O1422" s="191">
        <v>866.1</v>
      </c>
      <c r="P1422" s="192">
        <f t="shared" si="789"/>
        <v>12.87</v>
      </c>
      <c r="Q1422" s="192">
        <f t="shared" si="790"/>
        <v>12.99</v>
      </c>
      <c r="R1422" s="193">
        <f t="shared" si="685"/>
        <v>86205</v>
      </c>
      <c r="S1422" s="193">
        <f t="shared" si="686"/>
        <v>405.00000000000114</v>
      </c>
      <c r="T1422" s="193">
        <f t="shared" si="861"/>
        <v>25.86</v>
      </c>
      <c r="U1422" s="193">
        <f t="shared" si="707"/>
        <v>5.16</v>
      </c>
      <c r="V1422" s="193">
        <f t="shared" si="856"/>
        <v>10.83</v>
      </c>
      <c r="W1422" s="193">
        <f t="shared" si="839"/>
        <v>1.29</v>
      </c>
      <c r="X1422" s="193">
        <f t="shared" si="862"/>
        <v>2.8</v>
      </c>
      <c r="Y1422" s="193">
        <f t="shared" si="758"/>
        <v>0.09</v>
      </c>
      <c r="Z1422" s="193">
        <f t="shared" si="692"/>
        <v>46.03</v>
      </c>
      <c r="AA1422" s="194">
        <f t="shared" si="693"/>
        <v>358.97</v>
      </c>
      <c r="AB1422" s="195">
        <v>358.97</v>
      </c>
      <c r="AC1422" s="196">
        <f t="shared" si="694"/>
        <v>0</v>
      </c>
      <c r="AD1422" s="197">
        <f t="shared" si="695"/>
        <v>9.4405594405594668E-3</v>
      </c>
      <c r="AE1422" s="198">
        <f t="shared" si="696"/>
        <v>5.3399999999999997E-4</v>
      </c>
      <c r="AF1422" s="193"/>
      <c r="AG1422" s="199" t="s">
        <v>416</v>
      </c>
      <c r="AH1422" s="124"/>
    </row>
    <row r="1423" spans="1:34" ht="12" customHeight="1">
      <c r="A1423" s="187">
        <v>45040</v>
      </c>
      <c r="B1423" s="188" t="s">
        <v>612</v>
      </c>
      <c r="C1423" s="200" t="s">
        <v>485</v>
      </c>
      <c r="D1423" s="188"/>
      <c r="E1423" s="188" t="str">
        <f t="shared" si="682"/>
        <v>GAIL</v>
      </c>
      <c r="F1423" s="188"/>
      <c r="G1423" s="188"/>
      <c r="H1423" s="188"/>
      <c r="I1423" s="188" t="s">
        <v>668</v>
      </c>
      <c r="J1423" s="188" t="s">
        <v>483</v>
      </c>
      <c r="K1423" s="188"/>
      <c r="L1423" s="188"/>
      <c r="M1423" s="189">
        <v>50</v>
      </c>
      <c r="N1423" s="190">
        <v>109.15</v>
      </c>
      <c r="O1423" s="191">
        <v>109.5</v>
      </c>
      <c r="P1423" s="192">
        <f t="shared" si="789"/>
        <v>1.64</v>
      </c>
      <c r="Q1423" s="192">
        <f t="shared" si="790"/>
        <v>1.64</v>
      </c>
      <c r="R1423" s="193">
        <f t="shared" si="685"/>
        <v>10932.5</v>
      </c>
      <c r="S1423" s="193">
        <f t="shared" si="686"/>
        <v>17.499999999999716</v>
      </c>
      <c r="T1423" s="193">
        <f t="shared" si="861"/>
        <v>3.28</v>
      </c>
      <c r="U1423" s="193">
        <f t="shared" si="707"/>
        <v>0.66</v>
      </c>
      <c r="V1423" s="193">
        <f t="shared" si="856"/>
        <v>1.37</v>
      </c>
      <c r="W1423" s="193">
        <f t="shared" si="839"/>
        <v>0.16</v>
      </c>
      <c r="X1423" s="193">
        <f t="shared" si="862"/>
        <v>0.36</v>
      </c>
      <c r="Y1423" s="193">
        <f t="shared" si="758"/>
        <v>0.01</v>
      </c>
      <c r="Z1423" s="193">
        <f t="shared" si="692"/>
        <v>5.8400000000000007</v>
      </c>
      <c r="AA1423" s="194">
        <f t="shared" si="693"/>
        <v>11.66</v>
      </c>
      <c r="AB1423" s="195">
        <v>12.55</v>
      </c>
      <c r="AC1423" s="196">
        <f t="shared" si="694"/>
        <v>0.89000000000000057</v>
      </c>
      <c r="AD1423" s="197">
        <f t="shared" si="695"/>
        <v>3.2065964269353577E-3</v>
      </c>
      <c r="AE1423" s="198">
        <f t="shared" si="696"/>
        <v>5.3399999999999997E-4</v>
      </c>
      <c r="AF1423" s="193"/>
      <c r="AG1423" s="199" t="s">
        <v>416</v>
      </c>
      <c r="AH1423" s="124"/>
    </row>
    <row r="1424" spans="1:34" ht="12" customHeight="1">
      <c r="A1424" s="187">
        <v>45043</v>
      </c>
      <c r="B1424" s="188" t="s">
        <v>646</v>
      </c>
      <c r="C1424" s="200" t="s">
        <v>485</v>
      </c>
      <c r="D1424" s="188"/>
      <c r="E1424" s="188" t="str">
        <f t="shared" si="682"/>
        <v>MSUMI</v>
      </c>
      <c r="F1424" s="188"/>
      <c r="G1424" s="188"/>
      <c r="H1424" s="188"/>
      <c r="I1424" s="188" t="s">
        <v>668</v>
      </c>
      <c r="J1424" s="188" t="s">
        <v>483</v>
      </c>
      <c r="K1424" s="188"/>
      <c r="L1424" s="188"/>
      <c r="M1424" s="189">
        <v>200</v>
      </c>
      <c r="N1424" s="190">
        <v>52.75</v>
      </c>
      <c r="O1424" s="191">
        <v>53.5</v>
      </c>
      <c r="P1424" s="192">
        <f t="shared" si="789"/>
        <v>3.17</v>
      </c>
      <c r="Q1424" s="192">
        <f t="shared" si="790"/>
        <v>3.21</v>
      </c>
      <c r="R1424" s="193">
        <f t="shared" si="685"/>
        <v>21250</v>
      </c>
      <c r="S1424" s="193">
        <f t="shared" si="686"/>
        <v>150</v>
      </c>
      <c r="T1424" s="193">
        <f t="shared" si="861"/>
        <v>6.38</v>
      </c>
      <c r="U1424" s="193">
        <f t="shared" si="707"/>
        <v>1.27</v>
      </c>
      <c r="V1424" s="193">
        <f t="shared" si="856"/>
        <v>2.68</v>
      </c>
      <c r="W1424" s="193">
        <f t="shared" si="839"/>
        <v>0.32</v>
      </c>
      <c r="X1424" s="193">
        <f t="shared" si="862"/>
        <v>0.69</v>
      </c>
      <c r="Y1424" s="193">
        <f t="shared" si="758"/>
        <v>0.02</v>
      </c>
      <c r="Z1424" s="193">
        <f t="shared" si="692"/>
        <v>11.36</v>
      </c>
      <c r="AA1424" s="194">
        <f t="shared" si="693"/>
        <v>138.63999999999999</v>
      </c>
      <c r="AB1424" s="195">
        <v>138.51</v>
      </c>
      <c r="AC1424" s="196">
        <f t="shared" si="694"/>
        <v>-0.12999999999999545</v>
      </c>
      <c r="AD1424" s="197">
        <f t="shared" si="695"/>
        <v>1.4218009478672985E-2</v>
      </c>
      <c r="AE1424" s="198">
        <f t="shared" si="696"/>
        <v>5.3499999999999999E-4</v>
      </c>
      <c r="AF1424" s="193"/>
      <c r="AG1424" s="199" t="s">
        <v>416</v>
      </c>
      <c r="AH1424" s="124"/>
    </row>
    <row r="1425" spans="1:34" ht="12" customHeight="1">
      <c r="A1425" s="187">
        <v>45044</v>
      </c>
      <c r="B1425" s="188" t="s">
        <v>612</v>
      </c>
      <c r="C1425" s="200" t="s">
        <v>485</v>
      </c>
      <c r="D1425" s="188"/>
      <c r="E1425" s="188" t="str">
        <f t="shared" si="682"/>
        <v>GAIL</v>
      </c>
      <c r="F1425" s="188"/>
      <c r="G1425" s="188"/>
      <c r="H1425" s="188"/>
      <c r="I1425" s="188" t="s">
        <v>668</v>
      </c>
      <c r="J1425" s="188" t="s">
        <v>483</v>
      </c>
      <c r="K1425" s="188"/>
      <c r="L1425" s="188"/>
      <c r="M1425" s="189">
        <v>220</v>
      </c>
      <c r="N1425" s="190">
        <v>106.2273</v>
      </c>
      <c r="O1425" s="191">
        <v>106.82729999999999</v>
      </c>
      <c r="P1425" s="192">
        <f t="shared" si="789"/>
        <v>7.01</v>
      </c>
      <c r="Q1425" s="192">
        <f t="shared" si="790"/>
        <v>7.05</v>
      </c>
      <c r="R1425" s="193">
        <f t="shared" si="685"/>
        <v>46872.01</v>
      </c>
      <c r="S1425" s="193">
        <f t="shared" si="686"/>
        <v>131.99999999999875</v>
      </c>
      <c r="T1425" s="193">
        <f t="shared" si="861"/>
        <v>14.06</v>
      </c>
      <c r="U1425" s="193">
        <f t="shared" si="707"/>
        <v>2.8</v>
      </c>
      <c r="V1425" s="193">
        <f t="shared" si="856"/>
        <v>5.88</v>
      </c>
      <c r="W1425" s="193">
        <f t="shared" si="839"/>
        <v>0.7</v>
      </c>
      <c r="X1425" s="193">
        <f t="shared" si="862"/>
        <v>1.52</v>
      </c>
      <c r="Y1425" s="193">
        <f t="shared" si="758"/>
        <v>0.05</v>
      </c>
      <c r="Z1425" s="193">
        <f t="shared" si="692"/>
        <v>25.009999999999998</v>
      </c>
      <c r="AA1425" s="194">
        <f t="shared" si="693"/>
        <v>106.99</v>
      </c>
      <c r="AB1425" s="195">
        <v>107</v>
      </c>
      <c r="AC1425" s="196">
        <f t="shared" si="694"/>
        <v>1.0000000000005116E-2</v>
      </c>
      <c r="AD1425" s="197">
        <f t="shared" si="695"/>
        <v>5.6482655588534613E-3</v>
      </c>
      <c r="AE1425" s="198">
        <f t="shared" si="696"/>
        <v>5.3399999999999997E-4</v>
      </c>
      <c r="AF1425" s="193"/>
      <c r="AG1425" s="199" t="s">
        <v>416</v>
      </c>
      <c r="AH1425" s="124"/>
    </row>
    <row r="1426" spans="1:34" ht="12" customHeight="1">
      <c r="A1426" s="187">
        <v>45044</v>
      </c>
      <c r="B1426" s="188" t="s">
        <v>646</v>
      </c>
      <c r="C1426" s="200" t="s">
        <v>485</v>
      </c>
      <c r="D1426" s="188"/>
      <c r="E1426" s="188" t="str">
        <f t="shared" si="682"/>
        <v>MSUMI</v>
      </c>
      <c r="F1426" s="188"/>
      <c r="G1426" s="188"/>
      <c r="H1426" s="188"/>
      <c r="I1426" s="188" t="s">
        <v>668</v>
      </c>
      <c r="J1426" s="188" t="s">
        <v>483</v>
      </c>
      <c r="K1426" s="188"/>
      <c r="L1426" s="188"/>
      <c r="M1426" s="189">
        <v>200</v>
      </c>
      <c r="N1426" s="190">
        <v>53</v>
      </c>
      <c r="O1426" s="191">
        <v>53.45</v>
      </c>
      <c r="P1426" s="192">
        <f t="shared" si="789"/>
        <v>3.18</v>
      </c>
      <c r="Q1426" s="192">
        <f t="shared" si="790"/>
        <v>3.21</v>
      </c>
      <c r="R1426" s="193">
        <f t="shared" si="685"/>
        <v>21290</v>
      </c>
      <c r="S1426" s="193">
        <f t="shared" si="686"/>
        <v>90.000000000000568</v>
      </c>
      <c r="T1426" s="193">
        <f t="shared" si="861"/>
        <v>6.39</v>
      </c>
      <c r="U1426" s="193">
        <f t="shared" si="707"/>
        <v>1.27</v>
      </c>
      <c r="V1426" s="193">
        <f t="shared" si="856"/>
        <v>2.67</v>
      </c>
      <c r="W1426" s="193">
        <f t="shared" si="839"/>
        <v>0.32</v>
      </c>
      <c r="X1426" s="193">
        <f t="shared" si="862"/>
        <v>0.69</v>
      </c>
      <c r="Y1426" s="193">
        <f t="shared" si="758"/>
        <v>0.02</v>
      </c>
      <c r="Z1426" s="193">
        <f t="shared" si="692"/>
        <v>11.36</v>
      </c>
      <c r="AA1426" s="194">
        <f t="shared" si="693"/>
        <v>78.64</v>
      </c>
      <c r="AB1426" s="195">
        <v>78</v>
      </c>
      <c r="AC1426" s="196">
        <f t="shared" si="694"/>
        <v>-0.64000000000000057</v>
      </c>
      <c r="AD1426" s="197">
        <f t="shared" si="695"/>
        <v>8.4905660377359027E-3</v>
      </c>
      <c r="AE1426" s="198">
        <f t="shared" si="696"/>
        <v>5.3399999999999997E-4</v>
      </c>
      <c r="AF1426" s="193"/>
      <c r="AG1426" s="199" t="s">
        <v>416</v>
      </c>
      <c r="AH1426" s="124"/>
    </row>
    <row r="1427" spans="1:34" ht="12" customHeight="1">
      <c r="A1427" s="201">
        <v>45048</v>
      </c>
      <c r="B1427" s="202" t="s">
        <v>495</v>
      </c>
      <c r="C1427" s="200" t="s">
        <v>485</v>
      </c>
      <c r="D1427" s="188"/>
      <c r="E1427" s="188" t="str">
        <f t="shared" si="682"/>
        <v>SAIL</v>
      </c>
      <c r="F1427" s="188"/>
      <c r="G1427" s="188"/>
      <c r="H1427" s="188"/>
      <c r="I1427" s="188" t="s">
        <v>668</v>
      </c>
      <c r="J1427" s="188" t="s">
        <v>483</v>
      </c>
      <c r="K1427" s="188"/>
      <c r="L1427" s="188"/>
      <c r="M1427" s="203">
        <v>100</v>
      </c>
      <c r="N1427" s="204">
        <v>84.5</v>
      </c>
      <c r="O1427" s="205">
        <v>85</v>
      </c>
      <c r="P1427" s="192">
        <f t="shared" si="789"/>
        <v>2.54</v>
      </c>
      <c r="Q1427" s="192">
        <f t="shared" si="790"/>
        <v>2.5499999999999998</v>
      </c>
      <c r="R1427" s="193">
        <f t="shared" si="685"/>
        <v>16950</v>
      </c>
      <c r="S1427" s="193">
        <f t="shared" si="686"/>
        <v>50</v>
      </c>
      <c r="T1427" s="193">
        <f t="shared" si="861"/>
        <v>5.09</v>
      </c>
      <c r="U1427" s="193">
        <f t="shared" si="707"/>
        <v>1.02</v>
      </c>
      <c r="V1427" s="193">
        <f t="shared" si="856"/>
        <v>2.13</v>
      </c>
      <c r="W1427" s="193">
        <f t="shared" si="839"/>
        <v>0.25</v>
      </c>
      <c r="X1427" s="193">
        <f t="shared" si="862"/>
        <v>0.55000000000000004</v>
      </c>
      <c r="Y1427" s="193">
        <f t="shared" si="758"/>
        <v>0.02</v>
      </c>
      <c r="Z1427" s="193">
        <f t="shared" si="692"/>
        <v>9.0599999999999987</v>
      </c>
      <c r="AA1427" s="194">
        <f t="shared" si="693"/>
        <v>40.94</v>
      </c>
      <c r="AB1427" s="206">
        <v>41.31</v>
      </c>
      <c r="AC1427" s="196">
        <f t="shared" si="694"/>
        <v>0.37000000000000455</v>
      </c>
      <c r="AD1427" s="197">
        <f t="shared" si="695"/>
        <v>5.9171597633136093E-3</v>
      </c>
      <c r="AE1427" s="198">
        <f t="shared" si="696"/>
        <v>5.3499999999999999E-4</v>
      </c>
      <c r="AF1427" s="193"/>
      <c r="AG1427" s="199" t="s">
        <v>416</v>
      </c>
      <c r="AH1427" s="124"/>
    </row>
    <row r="1428" spans="1:34" ht="5.25" customHeight="1">
      <c r="A1428" s="207"/>
      <c r="B1428" s="43"/>
      <c r="C1428" s="43"/>
      <c r="D1428" s="43"/>
      <c r="E1428" s="43"/>
      <c r="F1428" s="43"/>
      <c r="G1428" s="43"/>
      <c r="H1428" s="43"/>
      <c r="I1428" s="43"/>
      <c r="J1428" s="43"/>
      <c r="K1428" s="43"/>
      <c r="L1428" s="43"/>
      <c r="M1428" s="208"/>
      <c r="N1428" s="209"/>
      <c r="O1428" s="210"/>
      <c r="P1428" s="211"/>
      <c r="Q1428" s="211"/>
      <c r="R1428" s="212"/>
      <c r="S1428" s="212"/>
      <c r="T1428" s="212"/>
      <c r="U1428" s="212"/>
      <c r="V1428" s="212"/>
      <c r="W1428" s="212"/>
      <c r="X1428" s="212"/>
      <c r="Y1428" s="212"/>
      <c r="Z1428" s="212"/>
      <c r="AA1428" s="213"/>
      <c r="AB1428" s="214"/>
      <c r="AC1428" s="215"/>
      <c r="AD1428" s="216"/>
      <c r="AE1428" s="217"/>
      <c r="AF1428" s="212"/>
      <c r="AG1428" s="218"/>
      <c r="AH1428" s="124"/>
    </row>
    <row r="1429" spans="1:34" ht="12" customHeight="1">
      <c r="A1429" s="104" t="s">
        <v>0</v>
      </c>
      <c r="B1429" s="105" t="s">
        <v>435</v>
      </c>
      <c r="C1429" s="106" t="s">
        <v>436</v>
      </c>
      <c r="D1429" s="105"/>
      <c r="E1429" s="105" t="s">
        <v>437</v>
      </c>
      <c r="F1429" s="105"/>
      <c r="G1429" s="105"/>
      <c r="H1429" s="105"/>
      <c r="I1429" s="106" t="s">
        <v>656</v>
      </c>
      <c r="J1429" s="106" t="s">
        <v>439</v>
      </c>
      <c r="K1429" s="106"/>
      <c r="L1429" s="106"/>
      <c r="M1429" s="107" t="s">
        <v>440</v>
      </c>
      <c r="N1429" s="104" t="s">
        <v>657</v>
      </c>
      <c r="O1429" s="104" t="s">
        <v>658</v>
      </c>
      <c r="P1429" s="104" t="s">
        <v>659</v>
      </c>
      <c r="Q1429" s="104" t="s">
        <v>660</v>
      </c>
      <c r="R1429" s="104" t="s">
        <v>444</v>
      </c>
      <c r="S1429" s="104" t="s">
        <v>661</v>
      </c>
      <c r="T1429" s="104" t="s">
        <v>662</v>
      </c>
      <c r="U1429" s="104" t="s">
        <v>446</v>
      </c>
      <c r="V1429" s="104" t="s">
        <v>447</v>
      </c>
      <c r="W1429" s="104" t="s">
        <v>448</v>
      </c>
      <c r="X1429" s="104" t="s">
        <v>449</v>
      </c>
      <c r="Y1429" s="104" t="s">
        <v>450</v>
      </c>
      <c r="Z1429" s="104" t="s">
        <v>451</v>
      </c>
      <c r="AA1429" s="104" t="s">
        <v>728</v>
      </c>
      <c r="AB1429" s="104" t="s">
        <v>729</v>
      </c>
      <c r="AC1429" s="108" t="s">
        <v>730</v>
      </c>
      <c r="AD1429" s="104" t="s">
        <v>666</v>
      </c>
      <c r="AE1429" s="104" t="s">
        <v>456</v>
      </c>
      <c r="AF1429" s="105" t="s">
        <v>667</v>
      </c>
      <c r="AG1429" s="104" t="s">
        <v>458</v>
      </c>
      <c r="AH1429" s="109"/>
    </row>
    <row r="1430" spans="1:34" ht="12" customHeight="1">
      <c r="A1430" s="201"/>
      <c r="B1430" s="188"/>
      <c r="C1430" s="200" t="s">
        <v>485</v>
      </c>
      <c r="D1430" s="188"/>
      <c r="E1430" s="188">
        <f>B1430</f>
        <v>0</v>
      </c>
      <c r="F1430" s="188"/>
      <c r="G1430" s="188"/>
      <c r="H1430" s="188"/>
      <c r="I1430" s="188" t="s">
        <v>668</v>
      </c>
      <c r="J1430" s="188" t="s">
        <v>483</v>
      </c>
      <c r="K1430" s="188"/>
      <c r="L1430" s="188"/>
      <c r="M1430" s="189"/>
      <c r="N1430" s="190"/>
      <c r="O1430" s="191"/>
      <c r="P1430" s="192">
        <f>IF(N1430*M1430*G$1814&lt;20,ROUND(N1430*M1430*G$1814,2),20)</f>
        <v>0</v>
      </c>
      <c r="Q1430" s="192">
        <f>IF(O1430*M1430*G$1814&lt;20,ROUND(O1430*M1430*G$1814,2),20)</f>
        <v>0</v>
      </c>
      <c r="R1430" s="193">
        <f>ROUND((N1430*M1430)+(O1430*M1430),2)</f>
        <v>0</v>
      </c>
      <c r="S1430" s="193">
        <f>(O1430-N1430)*M1430</f>
        <v>0</v>
      </c>
      <c r="T1430" s="193">
        <f>ROUND(P1430+Q1430,2)</f>
        <v>0</v>
      </c>
      <c r="U1430" s="193">
        <f>ROUND((T1430+X1430)*H$1816,2)</f>
        <v>0</v>
      </c>
      <c r="V1430" s="193">
        <f>ROUND((O1430*M1430)*F$1818,2)</f>
        <v>0</v>
      </c>
      <c r="W1430" s="193">
        <f>ROUND((N1430*M1430)*G$1824,2)</f>
        <v>0</v>
      </c>
      <c r="X1430" s="193">
        <f>ROUND(R1430*I$1820,2)</f>
        <v>0</v>
      </c>
      <c r="Y1430" s="193">
        <f>ROUND(R1430*C$1826,2)</f>
        <v>0</v>
      </c>
      <c r="Z1430" s="193">
        <f>SUM(T1430:Y1430)</f>
        <v>0</v>
      </c>
      <c r="AA1430" s="194">
        <f>ROUND(S1430-Z1430,2)</f>
        <v>0</v>
      </c>
      <c r="AB1430" s="195">
        <f>ROUND(AA1430,0)</f>
        <v>0</v>
      </c>
      <c r="AC1430" s="196">
        <f>AB1430-AA1430</f>
        <v>0</v>
      </c>
      <c r="AD1430" s="197" t="e">
        <f>(O1430-N1430)/N1430</f>
        <v>#DIV/0!</v>
      </c>
      <c r="AE1430" s="198" t="e">
        <f>ROUND(Z1430/R1430,6)</f>
        <v>#DIV/0!</v>
      </c>
      <c r="AF1430" s="193"/>
      <c r="AG1430" s="199" t="s">
        <v>416</v>
      </c>
      <c r="AH1430" s="124"/>
    </row>
    <row r="1431" spans="1:34" ht="5.25" customHeight="1">
      <c r="A1431" s="180"/>
      <c r="B1431" s="180"/>
      <c r="C1431" s="98"/>
      <c r="D1431" s="180"/>
      <c r="E1431" s="180"/>
      <c r="F1431" s="180"/>
      <c r="G1431" s="180"/>
      <c r="H1431" s="180"/>
      <c r="I1431" s="98"/>
      <c r="J1431" s="98"/>
      <c r="K1431" s="98"/>
      <c r="L1431" s="98"/>
      <c r="M1431" s="98"/>
      <c r="N1431" s="219"/>
      <c r="O1431" s="219"/>
      <c r="P1431" s="182"/>
      <c r="Q1431" s="182"/>
      <c r="R1431" s="181"/>
      <c r="S1431" s="181"/>
      <c r="T1431" s="98"/>
      <c r="U1431" s="98"/>
      <c r="V1431" s="98"/>
      <c r="W1431" s="98"/>
      <c r="X1431" s="98"/>
      <c r="Y1431" s="98"/>
      <c r="Z1431" s="98"/>
      <c r="AA1431" s="98"/>
      <c r="AB1431" s="98"/>
      <c r="AC1431" s="98"/>
      <c r="AD1431" s="98"/>
      <c r="AE1431" s="185"/>
      <c r="AF1431" s="180"/>
      <c r="AG1431" s="41"/>
      <c r="AH1431" s="124"/>
    </row>
    <row r="1432" spans="1:34" ht="12" customHeight="1">
      <c r="A1432" s="104" t="s">
        <v>0</v>
      </c>
      <c r="B1432" s="105" t="s">
        <v>731</v>
      </c>
      <c r="C1432" s="106" t="s">
        <v>436</v>
      </c>
      <c r="D1432" s="105" t="s">
        <v>732</v>
      </c>
      <c r="E1432" s="105" t="s">
        <v>437</v>
      </c>
      <c r="F1432" s="105" t="s">
        <v>733</v>
      </c>
      <c r="G1432" s="105" t="s">
        <v>734</v>
      </c>
      <c r="H1432" s="105" t="s">
        <v>735</v>
      </c>
      <c r="I1432" s="106" t="s">
        <v>656</v>
      </c>
      <c r="J1432" s="106" t="s">
        <v>736</v>
      </c>
      <c r="K1432" s="106" t="s">
        <v>737</v>
      </c>
      <c r="L1432" s="106" t="s">
        <v>738</v>
      </c>
      <c r="M1432" s="107" t="s">
        <v>440</v>
      </c>
      <c r="N1432" s="104" t="s">
        <v>657</v>
      </c>
      <c r="O1432" s="104" t="s">
        <v>658</v>
      </c>
      <c r="P1432" s="104" t="s">
        <v>739</v>
      </c>
      <c r="Q1432" s="104" t="s">
        <v>740</v>
      </c>
      <c r="R1432" s="104" t="s">
        <v>444</v>
      </c>
      <c r="S1432" s="104" t="s">
        <v>661</v>
      </c>
      <c r="T1432" s="104" t="s">
        <v>662</v>
      </c>
      <c r="U1432" s="104" t="s">
        <v>446</v>
      </c>
      <c r="V1432" s="104" t="s">
        <v>447</v>
      </c>
      <c r="W1432" s="104" t="s">
        <v>448</v>
      </c>
      <c r="X1432" s="104" t="s">
        <v>449</v>
      </c>
      <c r="Y1432" s="104" t="s">
        <v>450</v>
      </c>
      <c r="Z1432" s="104" t="s">
        <v>451</v>
      </c>
      <c r="AA1432" s="104" t="s">
        <v>741</v>
      </c>
      <c r="AB1432" s="104" t="s">
        <v>742</v>
      </c>
      <c r="AC1432" s="108" t="s">
        <v>743</v>
      </c>
      <c r="AD1432" s="104" t="s">
        <v>666</v>
      </c>
      <c r="AE1432" s="104" t="s">
        <v>456</v>
      </c>
      <c r="AF1432" s="105" t="s">
        <v>667</v>
      </c>
      <c r="AG1432" s="104" t="s">
        <v>458</v>
      </c>
      <c r="AH1432" s="109"/>
    </row>
    <row r="1433" spans="1:34" ht="12" hidden="1" customHeight="1">
      <c r="A1433" s="220">
        <v>44503</v>
      </c>
      <c r="B1433" s="221" t="s">
        <v>744</v>
      </c>
      <c r="C1433" s="7" t="s">
        <v>485</v>
      </c>
      <c r="D1433" s="221" t="str">
        <f t="shared" ref="D1433:D1786" ca="1" si="863">IF(OR(E1433="NIFTY",E1433="BANKNIFTY"),"Indices","Stocks")</f>
        <v>Indices</v>
      </c>
      <c r="E1433" s="221" t="str">
        <f ca="1">IFERROR(__xludf.DUMMYFUNCTION("split(B1433,"" "")"),"BANKNIFTY")</f>
        <v>BANKNIFTY</v>
      </c>
      <c r="F1433" s="222" t="str">
        <f ca="1">IFERROR(__xludf.DUMMYFUNCTION("""COMPUTED_VALUE"""),"03!NOV")</f>
        <v>03!NOV</v>
      </c>
      <c r="G1433" s="221">
        <f ca="1">IFERROR(__xludf.DUMMYFUNCTION("""COMPUTED_VALUE"""),40100)</f>
        <v>40100</v>
      </c>
      <c r="H1433" s="221" t="str">
        <f ca="1">IFERROR(__xludf.DUMMYFUNCTION("""COMPUTED_VALUE"""),"CE")</f>
        <v>CE</v>
      </c>
      <c r="I1433" s="221" t="s">
        <v>4</v>
      </c>
      <c r="J1433" s="223">
        <v>25</v>
      </c>
      <c r="K1433" s="224">
        <v>1</v>
      </c>
      <c r="L1433" s="224">
        <v>2</v>
      </c>
      <c r="M1433" s="225">
        <f t="shared" ref="M1433:M1787" si="864">J1433*K1433*L1433</f>
        <v>50</v>
      </c>
      <c r="N1433" s="226">
        <v>56</v>
      </c>
      <c r="O1433" s="227">
        <v>16.774999999999999</v>
      </c>
      <c r="P1433" s="228">
        <f t="shared" ref="P1433:P1787" si="865">ROUND(M1433*N1433,2)</f>
        <v>2800</v>
      </c>
      <c r="Q1433" s="228">
        <f t="shared" ref="Q1433:Q1787" si="866">ROUND(M1433*O1433,2)</f>
        <v>838.75</v>
      </c>
      <c r="R1433" s="229">
        <f t="shared" ref="R1433:R1787" si="867">SUM(P1433:Q1433)</f>
        <v>3638.75</v>
      </c>
      <c r="S1433" s="229">
        <f t="shared" ref="S1433:S1787" si="868">(O1433-N1433)*M1433</f>
        <v>-1961.25</v>
      </c>
      <c r="T1433" s="229">
        <f t="shared" ref="T1433:T1436" si="869">IF(AND(N1433="",O1433=""),0,IF(N1433=0,0,G$1815*L1433)+IF(O1433=0,0,G$1815*L1433))</f>
        <v>80</v>
      </c>
      <c r="U1433" s="229">
        <f t="shared" ref="U1433:U1787" si="870">ROUND((T1433+X1433)*H$1816,2)</f>
        <v>14.75</v>
      </c>
      <c r="V1433" s="229">
        <f t="shared" ref="V1433:V1778" si="871">ROUND(Q1433*F$1819,2)</f>
        <v>0.42</v>
      </c>
      <c r="W1433" s="229">
        <f t="shared" ref="W1433:W1787" si="872">ROUND(P1433*G$1825,2)</f>
        <v>0.08</v>
      </c>
      <c r="X1433" s="229">
        <f t="shared" ref="X1433:X1781" si="873">ROUND(R1433*H$1822,2)</f>
        <v>1.93</v>
      </c>
      <c r="Y1433" s="229">
        <f t="shared" ref="Y1433:Y1787" si="874">ROUND(R1433*C$1826,2)</f>
        <v>0</v>
      </c>
      <c r="Z1433" s="229">
        <f t="shared" ref="Z1433:Z1787" si="875">SUM(T1433:Y1433)</f>
        <v>97.18</v>
      </c>
      <c r="AA1433" s="230">
        <f t="shared" ref="AA1433:AA1787" si="876">ROUND(S1433-Z1433,2)</f>
        <v>-2058.4299999999998</v>
      </c>
      <c r="AB1433" s="231">
        <v>-2057.9299999999998</v>
      </c>
      <c r="AC1433" s="232">
        <f t="shared" ref="AC1433:AC1787" si="877">AB1433-AA1433</f>
        <v>0.5</v>
      </c>
      <c r="AD1433" s="233">
        <f t="shared" ref="AD1433:AD1782" si="878">IFERROR((O1433-N1433)/N1433,0)</f>
        <v>-0.70044642857142858</v>
      </c>
      <c r="AE1433" s="234">
        <f t="shared" ref="AE1433:AE1787" si="879">ROUND(Z1433/R1433,6)</f>
        <v>2.6707000000000002E-2</v>
      </c>
      <c r="AF1433" s="229"/>
      <c r="AG1433" s="235" t="s">
        <v>416</v>
      </c>
      <c r="AH1433" s="124"/>
    </row>
    <row r="1434" spans="1:34" ht="12" hidden="1" customHeight="1">
      <c r="A1434" s="220">
        <v>44579</v>
      </c>
      <c r="B1434" s="221" t="s">
        <v>745</v>
      </c>
      <c r="C1434" s="7" t="s">
        <v>485</v>
      </c>
      <c r="D1434" s="221" t="str">
        <f t="shared" ca="1" si="863"/>
        <v>Indices</v>
      </c>
      <c r="E1434" s="221" t="str">
        <f ca="1">IFERROR(__xludf.DUMMYFUNCTION("split(B1434,"" "")"),"BANKNIFTY")</f>
        <v>BANKNIFTY</v>
      </c>
      <c r="F1434" s="236" t="str">
        <f ca="1">IFERROR(__xludf.DUMMYFUNCTION("""COMPUTED_VALUE"""),"20!JAN")</f>
        <v>20!JAN</v>
      </c>
      <c r="G1434" s="221">
        <f ca="1">IFERROR(__xludf.DUMMYFUNCTION("""COMPUTED_VALUE"""),38700)</f>
        <v>38700</v>
      </c>
      <c r="H1434" s="221" t="str">
        <f ca="1">IFERROR(__xludf.DUMMYFUNCTION("""COMPUTED_VALUE"""),"CE")</f>
        <v>CE</v>
      </c>
      <c r="I1434" s="221" t="s">
        <v>4</v>
      </c>
      <c r="J1434" s="223">
        <v>25</v>
      </c>
      <c r="K1434" s="224">
        <v>1</v>
      </c>
      <c r="L1434" s="224">
        <v>1</v>
      </c>
      <c r="M1434" s="225">
        <f t="shared" si="864"/>
        <v>25</v>
      </c>
      <c r="N1434" s="226">
        <v>140</v>
      </c>
      <c r="O1434" s="227">
        <v>150</v>
      </c>
      <c r="P1434" s="228">
        <f t="shared" si="865"/>
        <v>3500</v>
      </c>
      <c r="Q1434" s="228">
        <f t="shared" si="866"/>
        <v>3750</v>
      </c>
      <c r="R1434" s="229">
        <f t="shared" si="867"/>
        <v>7250</v>
      </c>
      <c r="S1434" s="229">
        <f t="shared" si="868"/>
        <v>250</v>
      </c>
      <c r="T1434" s="229">
        <f t="shared" si="869"/>
        <v>40</v>
      </c>
      <c r="U1434" s="229">
        <f t="shared" si="870"/>
        <v>7.89</v>
      </c>
      <c r="V1434" s="229">
        <f t="shared" si="871"/>
        <v>1.88</v>
      </c>
      <c r="W1434" s="229">
        <f t="shared" si="872"/>
        <v>0.11</v>
      </c>
      <c r="X1434" s="229">
        <f t="shared" si="873"/>
        <v>3.84</v>
      </c>
      <c r="Y1434" s="229">
        <f t="shared" si="874"/>
        <v>0.01</v>
      </c>
      <c r="Z1434" s="229">
        <f t="shared" si="875"/>
        <v>53.73</v>
      </c>
      <c r="AA1434" s="230">
        <f t="shared" si="876"/>
        <v>196.27</v>
      </c>
      <c r="AB1434" s="231">
        <v>196.26</v>
      </c>
      <c r="AC1434" s="232">
        <f t="shared" si="877"/>
        <v>-1.0000000000019327E-2</v>
      </c>
      <c r="AD1434" s="233">
        <f t="shared" si="878"/>
        <v>7.1428571428571425E-2</v>
      </c>
      <c r="AE1434" s="234">
        <f t="shared" si="879"/>
        <v>7.4110000000000001E-3</v>
      </c>
      <c r="AF1434" s="229"/>
      <c r="AG1434" s="235" t="s">
        <v>416</v>
      </c>
      <c r="AH1434" s="124"/>
    </row>
    <row r="1435" spans="1:34" ht="12" hidden="1" customHeight="1">
      <c r="A1435" s="155">
        <v>44592</v>
      </c>
      <c r="B1435" s="221" t="s">
        <v>746</v>
      </c>
      <c r="C1435" s="7" t="s">
        <v>485</v>
      </c>
      <c r="D1435" s="221" t="str">
        <f t="shared" ca="1" si="863"/>
        <v>Indices</v>
      </c>
      <c r="E1435" s="221" t="str">
        <f ca="1">IFERROR(__xludf.DUMMYFUNCTION("split(B1435,"" "")"),"NIFTY")</f>
        <v>NIFTY</v>
      </c>
      <c r="F1435" s="222" t="str">
        <f ca="1">IFERROR(__xludf.DUMMYFUNCTION("""COMPUTED_VALUE"""),"03!FEB")</f>
        <v>03!FEB</v>
      </c>
      <c r="G1435" s="221">
        <f ca="1">IFERROR(__xludf.DUMMYFUNCTION("""COMPUTED_VALUE"""),17600)</f>
        <v>17600</v>
      </c>
      <c r="H1435" s="221" t="str">
        <f ca="1">IFERROR(__xludf.DUMMYFUNCTION("""COMPUTED_VALUE"""),"CE")</f>
        <v>CE</v>
      </c>
      <c r="I1435" s="221" t="s">
        <v>4</v>
      </c>
      <c r="J1435" s="223">
        <v>50</v>
      </c>
      <c r="K1435" s="224">
        <v>1</v>
      </c>
      <c r="L1435" s="224">
        <v>1</v>
      </c>
      <c r="M1435" s="225">
        <f t="shared" si="864"/>
        <v>50</v>
      </c>
      <c r="N1435" s="226">
        <v>100</v>
      </c>
      <c r="O1435" s="227">
        <v>115</v>
      </c>
      <c r="P1435" s="228">
        <f t="shared" si="865"/>
        <v>5000</v>
      </c>
      <c r="Q1435" s="228">
        <f t="shared" si="866"/>
        <v>5750</v>
      </c>
      <c r="R1435" s="229">
        <f t="shared" si="867"/>
        <v>10750</v>
      </c>
      <c r="S1435" s="229">
        <f t="shared" si="868"/>
        <v>750</v>
      </c>
      <c r="T1435" s="229">
        <f t="shared" si="869"/>
        <v>40</v>
      </c>
      <c r="U1435" s="229">
        <f t="shared" si="870"/>
        <v>8.23</v>
      </c>
      <c r="V1435" s="229">
        <f t="shared" si="871"/>
        <v>2.88</v>
      </c>
      <c r="W1435" s="229">
        <f t="shared" si="872"/>
        <v>0.15</v>
      </c>
      <c r="X1435" s="229">
        <f t="shared" si="873"/>
        <v>5.7</v>
      </c>
      <c r="Y1435" s="229">
        <f t="shared" si="874"/>
        <v>0.01</v>
      </c>
      <c r="Z1435" s="229">
        <f t="shared" si="875"/>
        <v>56.970000000000006</v>
      </c>
      <c r="AA1435" s="230">
        <f t="shared" si="876"/>
        <v>693.03</v>
      </c>
      <c r="AB1435" s="231">
        <v>693.07</v>
      </c>
      <c r="AC1435" s="232">
        <f t="shared" si="877"/>
        <v>4.0000000000077307E-2</v>
      </c>
      <c r="AD1435" s="233">
        <f t="shared" si="878"/>
        <v>0.15</v>
      </c>
      <c r="AE1435" s="234">
        <f t="shared" si="879"/>
        <v>5.3E-3</v>
      </c>
      <c r="AF1435" s="229"/>
      <c r="AG1435" s="235" t="s">
        <v>416</v>
      </c>
      <c r="AH1435" s="124"/>
    </row>
    <row r="1436" spans="1:34" ht="12" hidden="1" customHeight="1">
      <c r="A1436" s="220">
        <v>44600</v>
      </c>
      <c r="B1436" s="221" t="s">
        <v>747</v>
      </c>
      <c r="C1436" s="7" t="s">
        <v>485</v>
      </c>
      <c r="D1436" s="221" t="str">
        <f t="shared" ca="1" si="863"/>
        <v>Stocks</v>
      </c>
      <c r="E1436" s="221" t="str">
        <f ca="1">IFERROR(__xludf.DUMMYFUNCTION("split(B1436,"" "")"),"SUNPHARMA")</f>
        <v>SUNPHARMA</v>
      </c>
      <c r="F1436" s="221" t="str">
        <f ca="1">IFERROR(__xludf.DUMMYFUNCTION("""COMPUTED_VALUE"""),"24!FEB")</f>
        <v>24!FEB</v>
      </c>
      <c r="G1436" s="221">
        <f ca="1">IFERROR(__xludf.DUMMYFUNCTION("""COMPUTED_VALUE"""),900)</f>
        <v>900</v>
      </c>
      <c r="H1436" s="221" t="str">
        <f ca="1">IFERROR(__xludf.DUMMYFUNCTION("""COMPUTED_VALUE"""),"CE")</f>
        <v>CE</v>
      </c>
      <c r="I1436" s="221" t="s">
        <v>4</v>
      </c>
      <c r="J1436" s="223">
        <v>700</v>
      </c>
      <c r="K1436" s="224">
        <v>1</v>
      </c>
      <c r="L1436" s="224">
        <v>3</v>
      </c>
      <c r="M1436" s="225">
        <f t="shared" si="864"/>
        <v>2100</v>
      </c>
      <c r="N1436" s="226">
        <v>10.283300000000001</v>
      </c>
      <c r="O1436" s="227">
        <v>11.45</v>
      </c>
      <c r="P1436" s="228">
        <f t="shared" si="865"/>
        <v>21594.93</v>
      </c>
      <c r="Q1436" s="228">
        <f t="shared" si="866"/>
        <v>24045</v>
      </c>
      <c r="R1436" s="229">
        <f t="shared" si="867"/>
        <v>45639.93</v>
      </c>
      <c r="S1436" s="229">
        <f t="shared" si="868"/>
        <v>2450.0699999999974</v>
      </c>
      <c r="T1436" s="229">
        <f t="shared" si="869"/>
        <v>120</v>
      </c>
      <c r="U1436" s="229">
        <f t="shared" si="870"/>
        <v>25.95</v>
      </c>
      <c r="V1436" s="229">
        <f t="shared" si="871"/>
        <v>12.02</v>
      </c>
      <c r="W1436" s="229">
        <f t="shared" si="872"/>
        <v>0.65</v>
      </c>
      <c r="X1436" s="229">
        <f t="shared" si="873"/>
        <v>24.19</v>
      </c>
      <c r="Y1436" s="229">
        <f t="shared" si="874"/>
        <v>0.05</v>
      </c>
      <c r="Z1436" s="229">
        <f t="shared" si="875"/>
        <v>182.86</v>
      </c>
      <c r="AA1436" s="230">
        <f t="shared" si="876"/>
        <v>2267.21</v>
      </c>
      <c r="AB1436" s="231">
        <v>2267.81</v>
      </c>
      <c r="AC1436" s="232">
        <f t="shared" si="877"/>
        <v>0.59999999999990905</v>
      </c>
      <c r="AD1436" s="233">
        <f t="shared" si="878"/>
        <v>0.11345579726352423</v>
      </c>
      <c r="AE1436" s="234">
        <f t="shared" si="879"/>
        <v>4.0070000000000001E-3</v>
      </c>
      <c r="AF1436" s="229"/>
      <c r="AG1436" s="235" t="s">
        <v>416</v>
      </c>
      <c r="AH1436" s="124"/>
    </row>
    <row r="1437" spans="1:34" ht="12" hidden="1" customHeight="1">
      <c r="A1437" s="220">
        <v>44601</v>
      </c>
      <c r="B1437" s="221" t="s">
        <v>748</v>
      </c>
      <c r="C1437" s="7" t="s">
        <v>485</v>
      </c>
      <c r="D1437" s="221" t="str">
        <f t="shared" ca="1" si="863"/>
        <v>Stocks</v>
      </c>
      <c r="E1437" s="221" t="str">
        <f ca="1">IFERROR(__xludf.DUMMYFUNCTION("split(B1437,"" "")"),"SAIL")</f>
        <v>SAIL</v>
      </c>
      <c r="F1437" s="221" t="str">
        <f ca="1">IFERROR(__xludf.DUMMYFUNCTION("""COMPUTED_VALUE"""),"24!FEB")</f>
        <v>24!FEB</v>
      </c>
      <c r="G1437" s="221">
        <f ca="1">IFERROR(__xludf.DUMMYFUNCTION("""COMPUTED_VALUE"""),107.5)</f>
        <v>107.5</v>
      </c>
      <c r="H1437" s="221" t="str">
        <f ca="1">IFERROR(__xludf.DUMMYFUNCTION("""COMPUTED_VALUE"""),"CE")</f>
        <v>CE</v>
      </c>
      <c r="I1437" s="221" t="s">
        <v>4</v>
      </c>
      <c r="J1437" s="223">
        <v>4750</v>
      </c>
      <c r="K1437" s="224">
        <v>1</v>
      </c>
      <c r="L1437" s="224">
        <v>3</v>
      </c>
      <c r="M1437" s="225">
        <f t="shared" si="864"/>
        <v>14250</v>
      </c>
      <c r="N1437" s="226">
        <v>2.2667000000000002</v>
      </c>
      <c r="O1437" s="227">
        <v>2.4167000000000001</v>
      </c>
      <c r="P1437" s="228">
        <f t="shared" si="865"/>
        <v>32300.48</v>
      </c>
      <c r="Q1437" s="228">
        <f t="shared" si="866"/>
        <v>34437.980000000003</v>
      </c>
      <c r="R1437" s="229">
        <f t="shared" si="867"/>
        <v>66738.460000000006</v>
      </c>
      <c r="S1437" s="229">
        <f t="shared" si="868"/>
        <v>2137.4999999999986</v>
      </c>
      <c r="T1437" s="229">
        <v>100</v>
      </c>
      <c r="U1437" s="229">
        <f t="shared" si="870"/>
        <v>24.37</v>
      </c>
      <c r="V1437" s="229">
        <f t="shared" si="871"/>
        <v>17.22</v>
      </c>
      <c r="W1437" s="229">
        <f t="shared" si="872"/>
        <v>0.97</v>
      </c>
      <c r="X1437" s="229">
        <f t="shared" si="873"/>
        <v>35.369999999999997</v>
      </c>
      <c r="Y1437" s="229">
        <f t="shared" si="874"/>
        <v>7.0000000000000007E-2</v>
      </c>
      <c r="Z1437" s="229">
        <f t="shared" si="875"/>
        <v>178</v>
      </c>
      <c r="AA1437" s="230">
        <f t="shared" si="876"/>
        <v>1959.5</v>
      </c>
      <c r="AB1437" s="231">
        <v>1959.5</v>
      </c>
      <c r="AC1437" s="232">
        <f t="shared" si="877"/>
        <v>0</v>
      </c>
      <c r="AD1437" s="233">
        <f t="shared" si="878"/>
        <v>6.6175497419155557E-2</v>
      </c>
      <c r="AE1437" s="234">
        <f t="shared" si="879"/>
        <v>2.6670000000000001E-3</v>
      </c>
      <c r="AF1437" s="229"/>
      <c r="AG1437" s="235" t="s">
        <v>416</v>
      </c>
      <c r="AH1437" s="124"/>
    </row>
    <row r="1438" spans="1:34" ht="12" hidden="1" customHeight="1">
      <c r="A1438" s="220">
        <v>44601</v>
      </c>
      <c r="B1438" s="221" t="s">
        <v>747</v>
      </c>
      <c r="C1438" s="7" t="s">
        <v>485</v>
      </c>
      <c r="D1438" s="221" t="str">
        <f t="shared" ca="1" si="863"/>
        <v>Stocks</v>
      </c>
      <c r="E1438" s="221" t="str">
        <f ca="1">IFERROR(__xludf.DUMMYFUNCTION("split(B1438,"" "")"),"SUNPHARMA")</f>
        <v>SUNPHARMA</v>
      </c>
      <c r="F1438" s="221" t="str">
        <f ca="1">IFERROR(__xludf.DUMMYFUNCTION("""COMPUTED_VALUE"""),"24!FEB")</f>
        <v>24!FEB</v>
      </c>
      <c r="G1438" s="221">
        <f ca="1">IFERROR(__xludf.DUMMYFUNCTION("""COMPUTED_VALUE"""),900)</f>
        <v>900</v>
      </c>
      <c r="H1438" s="221" t="str">
        <f ca="1">IFERROR(__xludf.DUMMYFUNCTION("""COMPUTED_VALUE"""),"CE")</f>
        <v>CE</v>
      </c>
      <c r="I1438" s="221" t="s">
        <v>4</v>
      </c>
      <c r="J1438" s="223">
        <v>700</v>
      </c>
      <c r="K1438" s="224">
        <v>1</v>
      </c>
      <c r="L1438" s="224">
        <v>1</v>
      </c>
      <c r="M1438" s="225">
        <f t="shared" si="864"/>
        <v>700</v>
      </c>
      <c r="N1438" s="226">
        <v>12</v>
      </c>
      <c r="O1438" s="227">
        <v>13</v>
      </c>
      <c r="P1438" s="228">
        <f t="shared" si="865"/>
        <v>8400</v>
      </c>
      <c r="Q1438" s="228">
        <f t="shared" si="866"/>
        <v>9100</v>
      </c>
      <c r="R1438" s="229">
        <f t="shared" si="867"/>
        <v>17500</v>
      </c>
      <c r="S1438" s="229">
        <f t="shared" si="868"/>
        <v>700</v>
      </c>
      <c r="T1438" s="229">
        <f t="shared" ref="T1438:T1692" si="880">IF(AND(N1438="",O1438=""),0,IF(N1438=0,0,G$1815*L1438)+IF(O1438=0,0,G$1815*L1438))</f>
        <v>40</v>
      </c>
      <c r="U1438" s="229">
        <f t="shared" si="870"/>
        <v>8.8699999999999992</v>
      </c>
      <c r="V1438" s="229">
        <f t="shared" si="871"/>
        <v>4.55</v>
      </c>
      <c r="W1438" s="229">
        <f t="shared" si="872"/>
        <v>0.25</v>
      </c>
      <c r="X1438" s="229">
        <f t="shared" si="873"/>
        <v>9.2799999999999994</v>
      </c>
      <c r="Y1438" s="229">
        <f t="shared" si="874"/>
        <v>0.02</v>
      </c>
      <c r="Z1438" s="229">
        <f t="shared" si="875"/>
        <v>62.97</v>
      </c>
      <c r="AA1438" s="230">
        <f t="shared" si="876"/>
        <v>637.03</v>
      </c>
      <c r="AB1438" s="231">
        <v>637.03</v>
      </c>
      <c r="AC1438" s="232">
        <f t="shared" si="877"/>
        <v>0</v>
      </c>
      <c r="AD1438" s="233">
        <f t="shared" si="878"/>
        <v>8.3333333333333329E-2</v>
      </c>
      <c r="AE1438" s="234">
        <f t="shared" si="879"/>
        <v>3.5980000000000001E-3</v>
      </c>
      <c r="AF1438" s="229"/>
      <c r="AG1438" s="235" t="s">
        <v>416</v>
      </c>
      <c r="AH1438" s="124"/>
    </row>
    <row r="1439" spans="1:34" ht="12" hidden="1" customHeight="1">
      <c r="A1439" s="220">
        <v>44602</v>
      </c>
      <c r="B1439" s="221" t="s">
        <v>747</v>
      </c>
      <c r="C1439" s="7" t="s">
        <v>485</v>
      </c>
      <c r="D1439" s="221" t="str">
        <f t="shared" ca="1" si="863"/>
        <v>Stocks</v>
      </c>
      <c r="E1439" s="221" t="str">
        <f ca="1">IFERROR(__xludf.DUMMYFUNCTION("split(B1439,"" "")"),"SUNPHARMA")</f>
        <v>SUNPHARMA</v>
      </c>
      <c r="F1439" s="221" t="str">
        <f ca="1">IFERROR(__xludf.DUMMYFUNCTION("""COMPUTED_VALUE"""),"24!FEB")</f>
        <v>24!FEB</v>
      </c>
      <c r="G1439" s="221">
        <f ca="1">IFERROR(__xludf.DUMMYFUNCTION("""COMPUTED_VALUE"""),900)</f>
        <v>900</v>
      </c>
      <c r="H1439" s="221" t="str">
        <f ca="1">IFERROR(__xludf.DUMMYFUNCTION("""COMPUTED_VALUE"""),"CE")</f>
        <v>CE</v>
      </c>
      <c r="I1439" s="221" t="s">
        <v>4</v>
      </c>
      <c r="J1439" s="223">
        <v>700</v>
      </c>
      <c r="K1439" s="224">
        <v>1</v>
      </c>
      <c r="L1439" s="224">
        <v>1</v>
      </c>
      <c r="M1439" s="225">
        <f t="shared" si="864"/>
        <v>700</v>
      </c>
      <c r="N1439" s="226">
        <v>11.2</v>
      </c>
      <c r="O1439" s="227">
        <v>10.6</v>
      </c>
      <c r="P1439" s="228">
        <f t="shared" si="865"/>
        <v>7840</v>
      </c>
      <c r="Q1439" s="228">
        <f t="shared" si="866"/>
        <v>7420</v>
      </c>
      <c r="R1439" s="229">
        <f t="shared" si="867"/>
        <v>15260</v>
      </c>
      <c r="S1439" s="229">
        <f t="shared" si="868"/>
        <v>-419.99999999999977</v>
      </c>
      <c r="T1439" s="229">
        <f t="shared" si="880"/>
        <v>40</v>
      </c>
      <c r="U1439" s="229">
        <f t="shared" si="870"/>
        <v>8.66</v>
      </c>
      <c r="V1439" s="229">
        <f t="shared" si="871"/>
        <v>3.71</v>
      </c>
      <c r="W1439" s="229">
        <f t="shared" si="872"/>
        <v>0.24</v>
      </c>
      <c r="X1439" s="229">
        <f t="shared" si="873"/>
        <v>8.09</v>
      </c>
      <c r="Y1439" s="229">
        <f t="shared" si="874"/>
        <v>0.02</v>
      </c>
      <c r="Z1439" s="229">
        <f t="shared" si="875"/>
        <v>60.720000000000006</v>
      </c>
      <c r="AA1439" s="230">
        <f t="shared" si="876"/>
        <v>-480.72</v>
      </c>
      <c r="AB1439" s="231">
        <v>-480.72</v>
      </c>
      <c r="AC1439" s="232">
        <f t="shared" si="877"/>
        <v>0</v>
      </c>
      <c r="AD1439" s="233">
        <f t="shared" si="878"/>
        <v>-5.3571428571428541E-2</v>
      </c>
      <c r="AE1439" s="234">
        <f t="shared" si="879"/>
        <v>3.9789999999999999E-3</v>
      </c>
      <c r="AF1439" s="229"/>
      <c r="AG1439" s="235" t="s">
        <v>416</v>
      </c>
      <c r="AH1439" s="124"/>
    </row>
    <row r="1440" spans="1:34" ht="12" hidden="1" customHeight="1">
      <c r="A1440" s="220">
        <v>44602</v>
      </c>
      <c r="B1440" s="221" t="s">
        <v>748</v>
      </c>
      <c r="C1440" s="7" t="s">
        <v>485</v>
      </c>
      <c r="D1440" s="221" t="str">
        <f t="shared" ca="1" si="863"/>
        <v>Stocks</v>
      </c>
      <c r="E1440" s="221" t="str">
        <f ca="1">IFERROR(__xludf.DUMMYFUNCTION("split(B1440,"" "")"),"SAIL")</f>
        <v>SAIL</v>
      </c>
      <c r="F1440" s="221" t="str">
        <f ca="1">IFERROR(__xludf.DUMMYFUNCTION("""COMPUTED_VALUE"""),"24!FEB")</f>
        <v>24!FEB</v>
      </c>
      <c r="G1440" s="221">
        <f ca="1">IFERROR(__xludf.DUMMYFUNCTION("""COMPUTED_VALUE"""),107.5)</f>
        <v>107.5</v>
      </c>
      <c r="H1440" s="221" t="str">
        <f ca="1">IFERROR(__xludf.DUMMYFUNCTION("""COMPUTED_VALUE"""),"CE")</f>
        <v>CE</v>
      </c>
      <c r="I1440" s="221" t="s">
        <v>4</v>
      </c>
      <c r="J1440" s="223">
        <v>4750</v>
      </c>
      <c r="K1440" s="224">
        <v>1</v>
      </c>
      <c r="L1440" s="224">
        <v>1</v>
      </c>
      <c r="M1440" s="225">
        <f t="shared" si="864"/>
        <v>4750</v>
      </c>
      <c r="N1440" s="226">
        <v>2.2000000000000002</v>
      </c>
      <c r="O1440" s="227">
        <v>2.7</v>
      </c>
      <c r="P1440" s="228">
        <f t="shared" si="865"/>
        <v>10450</v>
      </c>
      <c r="Q1440" s="228">
        <f t="shared" si="866"/>
        <v>12825</v>
      </c>
      <c r="R1440" s="229">
        <f t="shared" si="867"/>
        <v>23275</v>
      </c>
      <c r="S1440" s="229">
        <f t="shared" si="868"/>
        <v>2375</v>
      </c>
      <c r="T1440" s="229">
        <f t="shared" si="880"/>
        <v>40</v>
      </c>
      <c r="U1440" s="229">
        <f t="shared" si="870"/>
        <v>9.42</v>
      </c>
      <c r="V1440" s="229">
        <f t="shared" si="871"/>
        <v>6.41</v>
      </c>
      <c r="W1440" s="229">
        <f t="shared" si="872"/>
        <v>0.31</v>
      </c>
      <c r="X1440" s="229">
        <f t="shared" si="873"/>
        <v>12.34</v>
      </c>
      <c r="Y1440" s="229">
        <f t="shared" si="874"/>
        <v>0.02</v>
      </c>
      <c r="Z1440" s="229">
        <f t="shared" si="875"/>
        <v>68.5</v>
      </c>
      <c r="AA1440" s="230">
        <f t="shared" si="876"/>
        <v>2306.5</v>
      </c>
      <c r="AB1440" s="231">
        <v>2306.5</v>
      </c>
      <c r="AC1440" s="232">
        <f t="shared" si="877"/>
        <v>0</v>
      </c>
      <c r="AD1440" s="233">
        <f t="shared" si="878"/>
        <v>0.22727272727272727</v>
      </c>
      <c r="AE1440" s="234">
        <f t="shared" si="879"/>
        <v>2.9429999999999999E-3</v>
      </c>
      <c r="AF1440" s="229"/>
      <c r="AG1440" s="235" t="s">
        <v>416</v>
      </c>
      <c r="AH1440" s="124"/>
    </row>
    <row r="1441" spans="1:34" ht="12" hidden="1" customHeight="1">
      <c r="A1441" s="154">
        <v>44602</v>
      </c>
      <c r="B1441" s="221" t="s">
        <v>748</v>
      </c>
      <c r="C1441" s="7" t="s">
        <v>485</v>
      </c>
      <c r="D1441" s="221" t="str">
        <f t="shared" ca="1" si="863"/>
        <v>Stocks</v>
      </c>
      <c r="E1441" s="221" t="str">
        <f ca="1">IFERROR(__xludf.DUMMYFUNCTION("split(B1441,"" "")"),"SAIL")</f>
        <v>SAIL</v>
      </c>
      <c r="F1441" s="221" t="str">
        <f ca="1">IFERROR(__xludf.DUMMYFUNCTION("""COMPUTED_VALUE"""),"24!FEB")</f>
        <v>24!FEB</v>
      </c>
      <c r="G1441" s="221">
        <f ca="1">IFERROR(__xludf.DUMMYFUNCTION("""COMPUTED_VALUE"""),107.5)</f>
        <v>107.5</v>
      </c>
      <c r="H1441" s="221" t="str">
        <f ca="1">IFERROR(__xludf.DUMMYFUNCTION("""COMPUTED_VALUE"""),"CE")</f>
        <v>CE</v>
      </c>
      <c r="I1441" s="221" t="s">
        <v>4</v>
      </c>
      <c r="J1441" s="223">
        <v>4750</v>
      </c>
      <c r="K1441" s="224">
        <v>1</v>
      </c>
      <c r="L1441" s="224">
        <v>2</v>
      </c>
      <c r="M1441" s="225">
        <f t="shared" si="864"/>
        <v>9500</v>
      </c>
      <c r="N1441" s="226">
        <v>2.5750000000000002</v>
      </c>
      <c r="O1441" s="227">
        <v>0</v>
      </c>
      <c r="P1441" s="228">
        <f t="shared" si="865"/>
        <v>24462.5</v>
      </c>
      <c r="Q1441" s="228">
        <f t="shared" si="866"/>
        <v>0</v>
      </c>
      <c r="R1441" s="229">
        <f t="shared" si="867"/>
        <v>24462.5</v>
      </c>
      <c r="S1441" s="229">
        <f t="shared" si="868"/>
        <v>-24462.5</v>
      </c>
      <c r="T1441" s="229">
        <f t="shared" si="880"/>
        <v>40</v>
      </c>
      <c r="U1441" s="229">
        <f t="shared" si="870"/>
        <v>9.5299999999999994</v>
      </c>
      <c r="V1441" s="229">
        <f t="shared" si="871"/>
        <v>0</v>
      </c>
      <c r="W1441" s="229">
        <f t="shared" si="872"/>
        <v>0.73</v>
      </c>
      <c r="X1441" s="229">
        <f t="shared" si="873"/>
        <v>12.97</v>
      </c>
      <c r="Y1441" s="229">
        <f t="shared" si="874"/>
        <v>0.02</v>
      </c>
      <c r="Z1441" s="229">
        <f t="shared" si="875"/>
        <v>63.25</v>
      </c>
      <c r="AA1441" s="230">
        <f t="shared" si="876"/>
        <v>-24525.75</v>
      </c>
      <c r="AB1441" s="231">
        <v>-24525.75</v>
      </c>
      <c r="AC1441" s="232">
        <f t="shared" si="877"/>
        <v>0</v>
      </c>
      <c r="AD1441" s="233">
        <f t="shared" si="878"/>
        <v>-1</v>
      </c>
      <c r="AE1441" s="234">
        <f t="shared" si="879"/>
        <v>2.5860000000000002E-3</v>
      </c>
      <c r="AF1441" s="229"/>
      <c r="AG1441" s="235" t="s">
        <v>416</v>
      </c>
      <c r="AH1441" s="124"/>
    </row>
    <row r="1442" spans="1:34" ht="12" hidden="1" customHeight="1">
      <c r="A1442" s="155">
        <v>44614</v>
      </c>
      <c r="B1442" s="221" t="s">
        <v>748</v>
      </c>
      <c r="C1442" s="7" t="s">
        <v>485</v>
      </c>
      <c r="D1442" s="221" t="str">
        <f t="shared" ca="1" si="863"/>
        <v>Stocks</v>
      </c>
      <c r="E1442" s="221" t="str">
        <f ca="1">IFERROR(__xludf.DUMMYFUNCTION("split(B1442,"" "")"),"SAIL")</f>
        <v>SAIL</v>
      </c>
      <c r="F1442" s="221" t="str">
        <f ca="1">IFERROR(__xludf.DUMMYFUNCTION("""COMPUTED_VALUE"""),"24!FEB")</f>
        <v>24!FEB</v>
      </c>
      <c r="G1442" s="221">
        <f ca="1">IFERROR(__xludf.DUMMYFUNCTION("""COMPUTED_VALUE"""),107.5)</f>
        <v>107.5</v>
      </c>
      <c r="H1442" s="221" t="str">
        <f ca="1">IFERROR(__xludf.DUMMYFUNCTION("""COMPUTED_VALUE"""),"CE")</f>
        <v>CE</v>
      </c>
      <c r="I1442" s="221" t="s">
        <v>4</v>
      </c>
      <c r="J1442" s="223">
        <v>4750</v>
      </c>
      <c r="K1442" s="224">
        <v>2</v>
      </c>
      <c r="L1442" s="224">
        <v>1</v>
      </c>
      <c r="M1442" s="225">
        <f t="shared" si="864"/>
        <v>9500</v>
      </c>
      <c r="N1442" s="226">
        <v>0</v>
      </c>
      <c r="O1442" s="227">
        <v>0.1</v>
      </c>
      <c r="P1442" s="228">
        <f t="shared" si="865"/>
        <v>0</v>
      </c>
      <c r="Q1442" s="228">
        <f t="shared" si="866"/>
        <v>950</v>
      </c>
      <c r="R1442" s="229">
        <f t="shared" si="867"/>
        <v>950</v>
      </c>
      <c r="S1442" s="229">
        <f t="shared" si="868"/>
        <v>950</v>
      </c>
      <c r="T1442" s="229">
        <f t="shared" si="880"/>
        <v>20</v>
      </c>
      <c r="U1442" s="229">
        <f t="shared" si="870"/>
        <v>3.69</v>
      </c>
      <c r="V1442" s="229">
        <f t="shared" si="871"/>
        <v>0.48</v>
      </c>
      <c r="W1442" s="229">
        <f t="shared" si="872"/>
        <v>0</v>
      </c>
      <c r="X1442" s="229">
        <f t="shared" si="873"/>
        <v>0.5</v>
      </c>
      <c r="Y1442" s="229">
        <f t="shared" si="874"/>
        <v>0</v>
      </c>
      <c r="Z1442" s="229">
        <f t="shared" si="875"/>
        <v>24.67</v>
      </c>
      <c r="AA1442" s="230">
        <f t="shared" si="876"/>
        <v>925.33</v>
      </c>
      <c r="AB1442" s="231">
        <v>925.09</v>
      </c>
      <c r="AC1442" s="232">
        <f t="shared" si="877"/>
        <v>-0.24000000000000909</v>
      </c>
      <c r="AD1442" s="233">
        <f t="shared" si="878"/>
        <v>0</v>
      </c>
      <c r="AE1442" s="234">
        <f t="shared" si="879"/>
        <v>2.5968000000000001E-2</v>
      </c>
      <c r="AF1442" s="229"/>
      <c r="AG1442" s="235" t="s">
        <v>416</v>
      </c>
      <c r="AH1442" s="124"/>
    </row>
    <row r="1443" spans="1:34" ht="12" hidden="1" customHeight="1">
      <c r="A1443" s="154">
        <v>44606</v>
      </c>
      <c r="B1443" s="221" t="s">
        <v>747</v>
      </c>
      <c r="C1443" s="7" t="s">
        <v>485</v>
      </c>
      <c r="D1443" s="221" t="str">
        <f t="shared" ca="1" si="863"/>
        <v>Stocks</v>
      </c>
      <c r="E1443" s="221" t="str">
        <f ca="1">IFERROR(__xludf.DUMMYFUNCTION("split(B1443,"" "")"),"SUNPHARMA")</f>
        <v>SUNPHARMA</v>
      </c>
      <c r="F1443" s="221" t="str">
        <f ca="1">IFERROR(__xludf.DUMMYFUNCTION("""COMPUTED_VALUE"""),"24!FEB")</f>
        <v>24!FEB</v>
      </c>
      <c r="G1443" s="221">
        <f ca="1">IFERROR(__xludf.DUMMYFUNCTION("""COMPUTED_VALUE"""),900)</f>
        <v>900</v>
      </c>
      <c r="H1443" s="221" t="str">
        <f ca="1">IFERROR(__xludf.DUMMYFUNCTION("""COMPUTED_VALUE"""),"CE")</f>
        <v>CE</v>
      </c>
      <c r="I1443" s="221" t="s">
        <v>4</v>
      </c>
      <c r="J1443" s="223">
        <v>700</v>
      </c>
      <c r="K1443" s="224">
        <v>1</v>
      </c>
      <c r="L1443" s="224">
        <v>1</v>
      </c>
      <c r="M1443" s="225">
        <f t="shared" si="864"/>
        <v>700</v>
      </c>
      <c r="N1443" s="226">
        <v>8.9499999999999993</v>
      </c>
      <c r="O1443" s="227">
        <v>0</v>
      </c>
      <c r="P1443" s="228">
        <f t="shared" si="865"/>
        <v>6265</v>
      </c>
      <c r="Q1443" s="228">
        <f t="shared" si="866"/>
        <v>0</v>
      </c>
      <c r="R1443" s="229">
        <f t="shared" si="867"/>
        <v>6265</v>
      </c>
      <c r="S1443" s="229">
        <f t="shared" si="868"/>
        <v>-6264.9999999999991</v>
      </c>
      <c r="T1443" s="229">
        <f t="shared" si="880"/>
        <v>20</v>
      </c>
      <c r="U1443" s="229">
        <f t="shared" si="870"/>
        <v>4.2</v>
      </c>
      <c r="V1443" s="229">
        <f t="shared" si="871"/>
        <v>0</v>
      </c>
      <c r="W1443" s="229">
        <f t="shared" si="872"/>
        <v>0.19</v>
      </c>
      <c r="X1443" s="229">
        <f t="shared" si="873"/>
        <v>3.32</v>
      </c>
      <c r="Y1443" s="229">
        <f t="shared" si="874"/>
        <v>0.01</v>
      </c>
      <c r="Z1443" s="229">
        <f t="shared" si="875"/>
        <v>27.720000000000002</v>
      </c>
      <c r="AA1443" s="230">
        <f t="shared" si="876"/>
        <v>-6292.72</v>
      </c>
      <c r="AB1443" s="231">
        <v>-6292.52</v>
      </c>
      <c r="AC1443" s="232">
        <f t="shared" si="877"/>
        <v>0.1999999999998181</v>
      </c>
      <c r="AD1443" s="233">
        <f t="shared" si="878"/>
        <v>-1</v>
      </c>
      <c r="AE1443" s="234">
        <f t="shared" si="879"/>
        <v>4.4250000000000001E-3</v>
      </c>
      <c r="AF1443" s="229"/>
      <c r="AG1443" s="235" t="s">
        <v>416</v>
      </c>
      <c r="AH1443" s="124"/>
    </row>
    <row r="1444" spans="1:34" ht="12" hidden="1" customHeight="1">
      <c r="A1444" s="154">
        <v>44608</v>
      </c>
      <c r="B1444" s="221" t="s">
        <v>747</v>
      </c>
      <c r="C1444" s="7" t="s">
        <v>485</v>
      </c>
      <c r="D1444" s="221" t="str">
        <f t="shared" ca="1" si="863"/>
        <v>Stocks</v>
      </c>
      <c r="E1444" s="221" t="str">
        <f ca="1">IFERROR(__xludf.DUMMYFUNCTION("split(B1444,"" "")"),"SUNPHARMA")</f>
        <v>SUNPHARMA</v>
      </c>
      <c r="F1444" s="221" t="str">
        <f ca="1">IFERROR(__xludf.DUMMYFUNCTION("""COMPUTED_VALUE"""),"24!FEB")</f>
        <v>24!FEB</v>
      </c>
      <c r="G1444" s="221">
        <f ca="1">IFERROR(__xludf.DUMMYFUNCTION("""COMPUTED_VALUE"""),900)</f>
        <v>900</v>
      </c>
      <c r="H1444" s="221" t="str">
        <f ca="1">IFERROR(__xludf.DUMMYFUNCTION("""COMPUTED_VALUE"""),"CE")</f>
        <v>CE</v>
      </c>
      <c r="I1444" s="221" t="s">
        <v>4</v>
      </c>
      <c r="J1444" s="223">
        <v>700</v>
      </c>
      <c r="K1444" s="224">
        <v>1</v>
      </c>
      <c r="L1444" s="224">
        <v>1</v>
      </c>
      <c r="M1444" s="225">
        <f t="shared" si="864"/>
        <v>700</v>
      </c>
      <c r="N1444" s="226">
        <v>3.5</v>
      </c>
      <c r="O1444" s="227">
        <v>0</v>
      </c>
      <c r="P1444" s="228">
        <f t="shared" si="865"/>
        <v>2450</v>
      </c>
      <c r="Q1444" s="228">
        <f t="shared" si="866"/>
        <v>0</v>
      </c>
      <c r="R1444" s="229">
        <f t="shared" si="867"/>
        <v>2450</v>
      </c>
      <c r="S1444" s="229">
        <f t="shared" si="868"/>
        <v>-2450</v>
      </c>
      <c r="T1444" s="229">
        <f t="shared" si="880"/>
        <v>20</v>
      </c>
      <c r="U1444" s="229">
        <f t="shared" si="870"/>
        <v>3.83</v>
      </c>
      <c r="V1444" s="229">
        <f t="shared" si="871"/>
        <v>0</v>
      </c>
      <c r="W1444" s="229">
        <f t="shared" si="872"/>
        <v>7.0000000000000007E-2</v>
      </c>
      <c r="X1444" s="229">
        <f t="shared" si="873"/>
        <v>1.3</v>
      </c>
      <c r="Y1444" s="229">
        <f t="shared" si="874"/>
        <v>0</v>
      </c>
      <c r="Z1444" s="229">
        <f t="shared" si="875"/>
        <v>25.2</v>
      </c>
      <c r="AA1444" s="230">
        <f t="shared" si="876"/>
        <v>-2475.1999999999998</v>
      </c>
      <c r="AB1444" s="231">
        <v>-2475.13</v>
      </c>
      <c r="AC1444" s="232">
        <f t="shared" si="877"/>
        <v>6.9999999999708962E-2</v>
      </c>
      <c r="AD1444" s="233">
        <f t="shared" si="878"/>
        <v>-1</v>
      </c>
      <c r="AE1444" s="234">
        <f t="shared" si="879"/>
        <v>1.0286E-2</v>
      </c>
      <c r="AF1444" s="229"/>
      <c r="AG1444" s="235" t="s">
        <v>416</v>
      </c>
      <c r="AH1444" s="124"/>
    </row>
    <row r="1445" spans="1:34" ht="12" hidden="1" customHeight="1">
      <c r="A1445" s="155">
        <v>44616</v>
      </c>
      <c r="B1445" s="221" t="s">
        <v>747</v>
      </c>
      <c r="C1445" s="7" t="s">
        <v>485</v>
      </c>
      <c r="D1445" s="221" t="str">
        <f t="shared" ca="1" si="863"/>
        <v>Stocks</v>
      </c>
      <c r="E1445" s="221" t="str">
        <f ca="1">IFERROR(__xludf.DUMMYFUNCTION("split(B1445,"" "")"),"SUNPHARMA")</f>
        <v>SUNPHARMA</v>
      </c>
      <c r="F1445" s="221" t="str">
        <f ca="1">IFERROR(__xludf.DUMMYFUNCTION("""COMPUTED_VALUE"""),"24!FEB")</f>
        <v>24!FEB</v>
      </c>
      <c r="G1445" s="221">
        <f ca="1">IFERROR(__xludf.DUMMYFUNCTION("""COMPUTED_VALUE"""),900)</f>
        <v>900</v>
      </c>
      <c r="H1445" s="221" t="str">
        <f ca="1">IFERROR(__xludf.DUMMYFUNCTION("""COMPUTED_VALUE"""),"CE")</f>
        <v>CE</v>
      </c>
      <c r="I1445" s="221" t="s">
        <v>4</v>
      </c>
      <c r="J1445" s="223">
        <v>700</v>
      </c>
      <c r="K1445" s="224">
        <v>2</v>
      </c>
      <c r="L1445" s="224">
        <v>1</v>
      </c>
      <c r="M1445" s="225">
        <f t="shared" si="864"/>
        <v>1400</v>
      </c>
      <c r="N1445" s="226">
        <v>0</v>
      </c>
      <c r="O1445" s="227">
        <v>0.05</v>
      </c>
      <c r="P1445" s="228">
        <f t="shared" si="865"/>
        <v>0</v>
      </c>
      <c r="Q1445" s="228">
        <f t="shared" si="866"/>
        <v>70</v>
      </c>
      <c r="R1445" s="229">
        <f t="shared" si="867"/>
        <v>70</v>
      </c>
      <c r="S1445" s="229">
        <f t="shared" si="868"/>
        <v>70</v>
      </c>
      <c r="T1445" s="229">
        <f t="shared" si="880"/>
        <v>20</v>
      </c>
      <c r="U1445" s="229">
        <f t="shared" si="870"/>
        <v>3.61</v>
      </c>
      <c r="V1445" s="229">
        <f t="shared" si="871"/>
        <v>0.04</v>
      </c>
      <c r="W1445" s="229">
        <f t="shared" si="872"/>
        <v>0</v>
      </c>
      <c r="X1445" s="229">
        <f t="shared" si="873"/>
        <v>0.04</v>
      </c>
      <c r="Y1445" s="229">
        <f t="shared" si="874"/>
        <v>0</v>
      </c>
      <c r="Z1445" s="229">
        <f t="shared" si="875"/>
        <v>23.689999999999998</v>
      </c>
      <c r="AA1445" s="230">
        <f t="shared" si="876"/>
        <v>46.31</v>
      </c>
      <c r="AB1445" s="231">
        <v>46.36</v>
      </c>
      <c r="AC1445" s="232">
        <f t="shared" si="877"/>
        <v>4.9999999999997158E-2</v>
      </c>
      <c r="AD1445" s="233">
        <f t="shared" si="878"/>
        <v>0</v>
      </c>
      <c r="AE1445" s="234">
        <f t="shared" si="879"/>
        <v>0.33842899999999998</v>
      </c>
      <c r="AF1445" s="229"/>
      <c r="AG1445" s="235" t="s">
        <v>416</v>
      </c>
      <c r="AH1445" s="124"/>
    </row>
    <row r="1446" spans="1:34" ht="12" hidden="1" customHeight="1">
      <c r="A1446" s="220">
        <v>44614</v>
      </c>
      <c r="B1446" s="221" t="s">
        <v>749</v>
      </c>
      <c r="C1446" s="7" t="s">
        <v>485</v>
      </c>
      <c r="D1446" s="221" t="str">
        <f t="shared" ca="1" si="863"/>
        <v>Indices</v>
      </c>
      <c r="E1446" s="221" t="str">
        <f ca="1">IFERROR(__xludf.DUMMYFUNCTION("split(B1446,"" "")"),"BANKNIFTY")</f>
        <v>BANKNIFTY</v>
      </c>
      <c r="F1446" s="221" t="str">
        <f ca="1">IFERROR(__xludf.DUMMYFUNCTION("""COMPUTED_VALUE"""),"24!FEB")</f>
        <v>24!FEB</v>
      </c>
      <c r="G1446" s="221">
        <f ca="1">IFERROR(__xludf.DUMMYFUNCTION("""COMPUTED_VALUE"""),37600)</f>
        <v>37600</v>
      </c>
      <c r="H1446" s="221" t="str">
        <f ca="1">IFERROR(__xludf.DUMMYFUNCTION("""COMPUTED_VALUE"""),"CE")</f>
        <v>CE</v>
      </c>
      <c r="I1446" s="221" t="s">
        <v>4</v>
      </c>
      <c r="J1446" s="223">
        <v>25</v>
      </c>
      <c r="K1446" s="224">
        <v>1</v>
      </c>
      <c r="L1446" s="224">
        <v>1</v>
      </c>
      <c r="M1446" s="225">
        <f t="shared" si="864"/>
        <v>25</v>
      </c>
      <c r="N1446" s="226">
        <v>345</v>
      </c>
      <c r="O1446" s="227">
        <v>380</v>
      </c>
      <c r="P1446" s="228">
        <f t="shared" si="865"/>
        <v>8625</v>
      </c>
      <c r="Q1446" s="228">
        <f t="shared" si="866"/>
        <v>9500</v>
      </c>
      <c r="R1446" s="229">
        <f t="shared" si="867"/>
        <v>18125</v>
      </c>
      <c r="S1446" s="229">
        <f t="shared" si="868"/>
        <v>875</v>
      </c>
      <c r="T1446" s="229">
        <f t="shared" si="880"/>
        <v>40</v>
      </c>
      <c r="U1446" s="229">
        <f t="shared" si="870"/>
        <v>8.93</v>
      </c>
      <c r="V1446" s="229">
        <f t="shared" si="871"/>
        <v>4.75</v>
      </c>
      <c r="W1446" s="229">
        <f t="shared" si="872"/>
        <v>0.26</v>
      </c>
      <c r="X1446" s="229">
        <f t="shared" si="873"/>
        <v>9.61</v>
      </c>
      <c r="Y1446" s="229">
        <f t="shared" si="874"/>
        <v>0.02</v>
      </c>
      <c r="Z1446" s="229">
        <f t="shared" si="875"/>
        <v>63.57</v>
      </c>
      <c r="AA1446" s="230">
        <f t="shared" si="876"/>
        <v>811.43</v>
      </c>
      <c r="AB1446" s="231">
        <v>811.43</v>
      </c>
      <c r="AC1446" s="232">
        <f t="shared" si="877"/>
        <v>0</v>
      </c>
      <c r="AD1446" s="233">
        <f t="shared" si="878"/>
        <v>0.10144927536231885</v>
      </c>
      <c r="AE1446" s="234">
        <f t="shared" si="879"/>
        <v>3.5070000000000001E-3</v>
      </c>
      <c r="AF1446" s="229"/>
      <c r="AG1446" s="235" t="s">
        <v>416</v>
      </c>
      <c r="AH1446" s="124"/>
    </row>
    <row r="1447" spans="1:34" ht="12" hidden="1" customHeight="1">
      <c r="A1447" s="154">
        <v>44614</v>
      </c>
      <c r="B1447" s="221" t="s">
        <v>749</v>
      </c>
      <c r="C1447" s="7" t="s">
        <v>485</v>
      </c>
      <c r="D1447" s="221" t="str">
        <f t="shared" ca="1" si="863"/>
        <v>Indices</v>
      </c>
      <c r="E1447" s="221" t="str">
        <f ca="1">IFERROR(__xludf.DUMMYFUNCTION("split(B1447,"" "")"),"BANKNIFTY")</f>
        <v>BANKNIFTY</v>
      </c>
      <c r="F1447" s="221" t="str">
        <f ca="1">IFERROR(__xludf.DUMMYFUNCTION("""COMPUTED_VALUE"""),"24!FEB")</f>
        <v>24!FEB</v>
      </c>
      <c r="G1447" s="221">
        <f ca="1">IFERROR(__xludf.DUMMYFUNCTION("""COMPUTED_VALUE"""),37600)</f>
        <v>37600</v>
      </c>
      <c r="H1447" s="221" t="str">
        <f ca="1">IFERROR(__xludf.DUMMYFUNCTION("""COMPUTED_VALUE"""),"CE")</f>
        <v>CE</v>
      </c>
      <c r="I1447" s="221" t="s">
        <v>4</v>
      </c>
      <c r="J1447" s="223">
        <v>25</v>
      </c>
      <c r="K1447" s="224">
        <v>1</v>
      </c>
      <c r="L1447" s="224">
        <v>1</v>
      </c>
      <c r="M1447" s="225">
        <f t="shared" si="864"/>
        <v>25</v>
      </c>
      <c r="N1447" s="226">
        <v>350</v>
      </c>
      <c r="O1447" s="227">
        <v>0</v>
      </c>
      <c r="P1447" s="228">
        <f t="shared" si="865"/>
        <v>8750</v>
      </c>
      <c r="Q1447" s="228">
        <f t="shared" si="866"/>
        <v>0</v>
      </c>
      <c r="R1447" s="229">
        <f t="shared" si="867"/>
        <v>8750</v>
      </c>
      <c r="S1447" s="229">
        <f t="shared" si="868"/>
        <v>-8750</v>
      </c>
      <c r="T1447" s="229">
        <f t="shared" si="880"/>
        <v>20</v>
      </c>
      <c r="U1447" s="229">
        <f t="shared" si="870"/>
        <v>4.4400000000000004</v>
      </c>
      <c r="V1447" s="229">
        <f t="shared" si="871"/>
        <v>0</v>
      </c>
      <c r="W1447" s="229">
        <f t="shared" si="872"/>
        <v>0.26</v>
      </c>
      <c r="X1447" s="229">
        <f t="shared" si="873"/>
        <v>4.6399999999999997</v>
      </c>
      <c r="Y1447" s="229">
        <f t="shared" si="874"/>
        <v>0.01</v>
      </c>
      <c r="Z1447" s="229">
        <f t="shared" si="875"/>
        <v>29.350000000000005</v>
      </c>
      <c r="AA1447" s="230">
        <f t="shared" si="876"/>
        <v>-8779.35</v>
      </c>
      <c r="AB1447" s="231">
        <v>-8779.35</v>
      </c>
      <c r="AC1447" s="232">
        <f t="shared" si="877"/>
        <v>0</v>
      </c>
      <c r="AD1447" s="233">
        <f t="shared" si="878"/>
        <v>-1</v>
      </c>
      <c r="AE1447" s="234">
        <f t="shared" si="879"/>
        <v>3.3540000000000002E-3</v>
      </c>
      <c r="AF1447" s="229"/>
      <c r="AG1447" s="235" t="s">
        <v>416</v>
      </c>
      <c r="AH1447" s="124"/>
    </row>
    <row r="1448" spans="1:34" ht="12" hidden="1" customHeight="1">
      <c r="A1448" s="155">
        <v>44615</v>
      </c>
      <c r="B1448" s="221" t="s">
        <v>749</v>
      </c>
      <c r="C1448" s="7" t="s">
        <v>485</v>
      </c>
      <c r="D1448" s="221" t="str">
        <f t="shared" ca="1" si="863"/>
        <v>Indices</v>
      </c>
      <c r="E1448" s="221" t="str">
        <f ca="1">IFERROR(__xludf.DUMMYFUNCTION("split(B1448,"" "")"),"BANKNIFTY")</f>
        <v>BANKNIFTY</v>
      </c>
      <c r="F1448" s="221" t="str">
        <f ca="1">IFERROR(__xludf.DUMMYFUNCTION("""COMPUTED_VALUE"""),"24!FEB")</f>
        <v>24!FEB</v>
      </c>
      <c r="G1448" s="221">
        <f ca="1">IFERROR(__xludf.DUMMYFUNCTION("""COMPUTED_VALUE"""),37600)</f>
        <v>37600</v>
      </c>
      <c r="H1448" s="221" t="str">
        <f ca="1">IFERROR(__xludf.DUMMYFUNCTION("""COMPUTED_VALUE"""),"CE")</f>
        <v>CE</v>
      </c>
      <c r="I1448" s="221" t="s">
        <v>4</v>
      </c>
      <c r="J1448" s="223">
        <v>25</v>
      </c>
      <c r="K1448" s="224">
        <v>1</v>
      </c>
      <c r="L1448" s="224">
        <v>1</v>
      </c>
      <c r="M1448" s="225">
        <f t="shared" si="864"/>
        <v>25</v>
      </c>
      <c r="N1448" s="226">
        <v>0</v>
      </c>
      <c r="O1448" s="227">
        <v>224.6</v>
      </c>
      <c r="P1448" s="228">
        <f t="shared" si="865"/>
        <v>0</v>
      </c>
      <c r="Q1448" s="228">
        <f t="shared" si="866"/>
        <v>5615</v>
      </c>
      <c r="R1448" s="229">
        <f t="shared" si="867"/>
        <v>5615</v>
      </c>
      <c r="S1448" s="229">
        <f t="shared" si="868"/>
        <v>5615</v>
      </c>
      <c r="T1448" s="229">
        <f t="shared" si="880"/>
        <v>20</v>
      </c>
      <c r="U1448" s="229">
        <f t="shared" si="870"/>
        <v>4.1399999999999997</v>
      </c>
      <c r="V1448" s="229">
        <f t="shared" si="871"/>
        <v>2.81</v>
      </c>
      <c r="W1448" s="229">
        <f t="shared" si="872"/>
        <v>0</v>
      </c>
      <c r="X1448" s="229">
        <f t="shared" si="873"/>
        <v>2.98</v>
      </c>
      <c r="Y1448" s="229">
        <f t="shared" si="874"/>
        <v>0.01</v>
      </c>
      <c r="Z1448" s="229">
        <f t="shared" si="875"/>
        <v>29.94</v>
      </c>
      <c r="AA1448" s="230">
        <f t="shared" si="876"/>
        <v>5585.06</v>
      </c>
      <c r="AB1448" s="231">
        <v>5584.88</v>
      </c>
      <c r="AC1448" s="232">
        <f t="shared" si="877"/>
        <v>-0.18000000000029104</v>
      </c>
      <c r="AD1448" s="233">
        <f t="shared" si="878"/>
        <v>0</v>
      </c>
      <c r="AE1448" s="234">
        <f t="shared" si="879"/>
        <v>5.3319999999999999E-3</v>
      </c>
      <c r="AF1448" s="229"/>
      <c r="AG1448" s="235" t="s">
        <v>416</v>
      </c>
      <c r="AH1448" s="124"/>
    </row>
    <row r="1449" spans="1:34" ht="12" hidden="1" customHeight="1">
      <c r="A1449" s="154">
        <v>44622</v>
      </c>
      <c r="B1449" s="221" t="s">
        <v>750</v>
      </c>
      <c r="C1449" s="7" t="s">
        <v>485</v>
      </c>
      <c r="D1449" s="221" t="str">
        <f t="shared" ca="1" si="863"/>
        <v>Stocks</v>
      </c>
      <c r="E1449" s="221" t="str">
        <f ca="1">IFERROR(__xludf.DUMMYFUNCTION("split(B1449,"" "")"),"SAIL")</f>
        <v>SAIL</v>
      </c>
      <c r="F1449" s="221" t="str">
        <f ca="1">IFERROR(__xludf.DUMMYFUNCTION("""COMPUTED_VALUE"""),"31!MAR")</f>
        <v>31!MAR</v>
      </c>
      <c r="G1449" s="221">
        <f ca="1">IFERROR(__xludf.DUMMYFUNCTION("""COMPUTED_VALUE"""),107.5)</f>
        <v>107.5</v>
      </c>
      <c r="H1449" s="221" t="str">
        <f ca="1">IFERROR(__xludf.DUMMYFUNCTION("""COMPUTED_VALUE"""),"CE")</f>
        <v>CE</v>
      </c>
      <c r="I1449" s="221" t="s">
        <v>4</v>
      </c>
      <c r="J1449" s="223">
        <v>4750</v>
      </c>
      <c r="K1449" s="224">
        <v>1</v>
      </c>
      <c r="L1449" s="224">
        <v>1</v>
      </c>
      <c r="M1449" s="225">
        <f t="shared" si="864"/>
        <v>4750</v>
      </c>
      <c r="N1449" s="226">
        <v>2.5</v>
      </c>
      <c r="O1449" s="227">
        <v>0</v>
      </c>
      <c r="P1449" s="228">
        <f t="shared" si="865"/>
        <v>11875</v>
      </c>
      <c r="Q1449" s="228">
        <f t="shared" si="866"/>
        <v>0</v>
      </c>
      <c r="R1449" s="229">
        <f t="shared" si="867"/>
        <v>11875</v>
      </c>
      <c r="S1449" s="229">
        <f t="shared" si="868"/>
        <v>-11875</v>
      </c>
      <c r="T1449" s="229">
        <f t="shared" si="880"/>
        <v>20</v>
      </c>
      <c r="U1449" s="229">
        <f t="shared" si="870"/>
        <v>4.7300000000000004</v>
      </c>
      <c r="V1449" s="229">
        <f t="shared" si="871"/>
        <v>0</v>
      </c>
      <c r="W1449" s="229">
        <f t="shared" si="872"/>
        <v>0.36</v>
      </c>
      <c r="X1449" s="229">
        <f t="shared" si="873"/>
        <v>6.29</v>
      </c>
      <c r="Y1449" s="229">
        <f t="shared" si="874"/>
        <v>0.01</v>
      </c>
      <c r="Z1449" s="229">
        <f t="shared" si="875"/>
        <v>31.39</v>
      </c>
      <c r="AA1449" s="230">
        <f t="shared" si="876"/>
        <v>-11906.39</v>
      </c>
      <c r="AB1449" s="231">
        <v>-11906.03</v>
      </c>
      <c r="AC1449" s="232">
        <f t="shared" si="877"/>
        <v>0.35999999999876309</v>
      </c>
      <c r="AD1449" s="233">
        <f t="shared" si="878"/>
        <v>-1</v>
      </c>
      <c r="AE1449" s="234">
        <f t="shared" si="879"/>
        <v>2.643E-3</v>
      </c>
      <c r="AF1449" s="229"/>
      <c r="AG1449" s="235" t="s">
        <v>416</v>
      </c>
      <c r="AH1449" s="124"/>
    </row>
    <row r="1450" spans="1:34" ht="12" hidden="1" customHeight="1">
      <c r="A1450" s="155">
        <v>44623</v>
      </c>
      <c r="B1450" s="221" t="s">
        <v>750</v>
      </c>
      <c r="C1450" s="7" t="s">
        <v>485</v>
      </c>
      <c r="D1450" s="221" t="str">
        <f t="shared" ca="1" si="863"/>
        <v>Stocks</v>
      </c>
      <c r="E1450" s="221" t="str">
        <f ca="1">IFERROR(__xludf.DUMMYFUNCTION("split(B1450,"" "")"),"SAIL")</f>
        <v>SAIL</v>
      </c>
      <c r="F1450" s="221" t="str">
        <f ca="1">IFERROR(__xludf.DUMMYFUNCTION("""COMPUTED_VALUE"""),"31!MAR")</f>
        <v>31!MAR</v>
      </c>
      <c r="G1450" s="221">
        <f ca="1">IFERROR(__xludf.DUMMYFUNCTION("""COMPUTED_VALUE"""),107.5)</f>
        <v>107.5</v>
      </c>
      <c r="H1450" s="221" t="str">
        <f ca="1">IFERROR(__xludf.DUMMYFUNCTION("""COMPUTED_VALUE"""),"CE")</f>
        <v>CE</v>
      </c>
      <c r="I1450" s="221" t="s">
        <v>4</v>
      </c>
      <c r="J1450" s="223">
        <v>4750</v>
      </c>
      <c r="K1450" s="224">
        <v>1</v>
      </c>
      <c r="L1450" s="224">
        <v>1</v>
      </c>
      <c r="M1450" s="225">
        <f t="shared" si="864"/>
        <v>4750</v>
      </c>
      <c r="N1450" s="226">
        <v>0</v>
      </c>
      <c r="O1450" s="227">
        <v>2.6</v>
      </c>
      <c r="P1450" s="228">
        <f t="shared" si="865"/>
        <v>0</v>
      </c>
      <c r="Q1450" s="228">
        <f t="shared" si="866"/>
        <v>12350</v>
      </c>
      <c r="R1450" s="229">
        <f t="shared" si="867"/>
        <v>12350</v>
      </c>
      <c r="S1450" s="229">
        <f t="shared" si="868"/>
        <v>12350</v>
      </c>
      <c r="T1450" s="229">
        <f t="shared" si="880"/>
        <v>20</v>
      </c>
      <c r="U1450" s="229">
        <f t="shared" si="870"/>
        <v>4.78</v>
      </c>
      <c r="V1450" s="229">
        <f t="shared" si="871"/>
        <v>6.18</v>
      </c>
      <c r="W1450" s="229">
        <f t="shared" si="872"/>
        <v>0</v>
      </c>
      <c r="X1450" s="229">
        <f t="shared" si="873"/>
        <v>6.55</v>
      </c>
      <c r="Y1450" s="229">
        <f t="shared" si="874"/>
        <v>0.01</v>
      </c>
      <c r="Z1450" s="229">
        <f t="shared" si="875"/>
        <v>37.519999999999996</v>
      </c>
      <c r="AA1450" s="230">
        <f t="shared" si="876"/>
        <v>12312.48</v>
      </c>
      <c r="AB1450" s="231">
        <v>12312.48</v>
      </c>
      <c r="AC1450" s="232">
        <f t="shared" si="877"/>
        <v>0</v>
      </c>
      <c r="AD1450" s="233">
        <f t="shared" si="878"/>
        <v>0</v>
      </c>
      <c r="AE1450" s="234">
        <f t="shared" si="879"/>
        <v>3.0379999999999999E-3</v>
      </c>
      <c r="AF1450" s="229"/>
      <c r="AG1450" s="235" t="s">
        <v>416</v>
      </c>
      <c r="AH1450" s="124"/>
    </row>
    <row r="1451" spans="1:34" ht="12" hidden="1" customHeight="1">
      <c r="A1451" s="220">
        <v>44623</v>
      </c>
      <c r="B1451" s="221" t="s">
        <v>751</v>
      </c>
      <c r="C1451" s="7" t="s">
        <v>485</v>
      </c>
      <c r="D1451" s="221" t="str">
        <f t="shared" ca="1" si="863"/>
        <v>Stocks</v>
      </c>
      <c r="E1451" s="221" t="str">
        <f ca="1">IFERROR(__xludf.DUMMYFUNCTION("split(B1451,"" "")"),"SAIL")</f>
        <v>SAIL</v>
      </c>
      <c r="F1451" s="221" t="str">
        <f ca="1">IFERROR(__xludf.DUMMYFUNCTION("""COMPUTED_VALUE"""),"31!MAR")</f>
        <v>31!MAR</v>
      </c>
      <c r="G1451" s="221">
        <f ca="1">IFERROR(__xludf.DUMMYFUNCTION("""COMPUTED_VALUE"""),110)</f>
        <v>110</v>
      </c>
      <c r="H1451" s="221" t="str">
        <f ca="1">IFERROR(__xludf.DUMMYFUNCTION("""COMPUTED_VALUE"""),"CE")</f>
        <v>CE</v>
      </c>
      <c r="I1451" s="221" t="s">
        <v>4</v>
      </c>
      <c r="J1451" s="223">
        <v>4750</v>
      </c>
      <c r="K1451" s="224">
        <v>1</v>
      </c>
      <c r="L1451" s="224">
        <v>1</v>
      </c>
      <c r="M1451" s="225">
        <f t="shared" si="864"/>
        <v>4750</v>
      </c>
      <c r="N1451" s="226">
        <v>1.85</v>
      </c>
      <c r="O1451" s="227">
        <v>1.9</v>
      </c>
      <c r="P1451" s="228">
        <f t="shared" si="865"/>
        <v>8787.5</v>
      </c>
      <c r="Q1451" s="228">
        <f t="shared" si="866"/>
        <v>9025</v>
      </c>
      <c r="R1451" s="229">
        <f t="shared" si="867"/>
        <v>17812.5</v>
      </c>
      <c r="S1451" s="229">
        <f t="shared" si="868"/>
        <v>237.49999999999915</v>
      </c>
      <c r="T1451" s="229">
        <f t="shared" si="880"/>
        <v>40</v>
      </c>
      <c r="U1451" s="229">
        <f t="shared" si="870"/>
        <v>8.9</v>
      </c>
      <c r="V1451" s="229">
        <f t="shared" si="871"/>
        <v>4.51</v>
      </c>
      <c r="W1451" s="229">
        <f t="shared" si="872"/>
        <v>0.26</v>
      </c>
      <c r="X1451" s="229">
        <f t="shared" si="873"/>
        <v>9.44</v>
      </c>
      <c r="Y1451" s="229">
        <f t="shared" si="874"/>
        <v>0.02</v>
      </c>
      <c r="Z1451" s="229">
        <f t="shared" si="875"/>
        <v>63.129999999999995</v>
      </c>
      <c r="AA1451" s="230">
        <f t="shared" si="876"/>
        <v>174.37</v>
      </c>
      <c r="AB1451" s="231">
        <v>174.32</v>
      </c>
      <c r="AC1451" s="232">
        <f t="shared" si="877"/>
        <v>-5.0000000000011369E-2</v>
      </c>
      <c r="AD1451" s="233">
        <f t="shared" si="878"/>
        <v>2.7027027027026931E-2</v>
      </c>
      <c r="AE1451" s="234">
        <f t="shared" si="879"/>
        <v>3.5439999999999998E-3</v>
      </c>
      <c r="AF1451" s="229"/>
      <c r="AG1451" s="235" t="s">
        <v>416</v>
      </c>
      <c r="AH1451" s="124"/>
    </row>
    <row r="1452" spans="1:34" ht="12" hidden="1" customHeight="1">
      <c r="A1452" s="154">
        <v>44624</v>
      </c>
      <c r="B1452" s="221" t="s">
        <v>751</v>
      </c>
      <c r="C1452" s="7" t="s">
        <v>485</v>
      </c>
      <c r="D1452" s="221" t="str">
        <f t="shared" ca="1" si="863"/>
        <v>Stocks</v>
      </c>
      <c r="E1452" s="221" t="str">
        <f ca="1">IFERROR(__xludf.DUMMYFUNCTION("split(B1452,"" "")"),"SAIL")</f>
        <v>SAIL</v>
      </c>
      <c r="F1452" s="221" t="str">
        <f ca="1">IFERROR(__xludf.DUMMYFUNCTION("""COMPUTED_VALUE"""),"31!MAR")</f>
        <v>31!MAR</v>
      </c>
      <c r="G1452" s="221">
        <f ca="1">IFERROR(__xludf.DUMMYFUNCTION("""COMPUTED_VALUE"""),110)</f>
        <v>110</v>
      </c>
      <c r="H1452" s="221" t="str">
        <f ca="1">IFERROR(__xludf.DUMMYFUNCTION("""COMPUTED_VALUE"""),"CE")</f>
        <v>CE</v>
      </c>
      <c r="I1452" s="221" t="s">
        <v>4</v>
      </c>
      <c r="J1452" s="223">
        <v>4750</v>
      </c>
      <c r="K1452" s="224">
        <v>1</v>
      </c>
      <c r="L1452" s="224">
        <v>1</v>
      </c>
      <c r="M1452" s="225">
        <f t="shared" si="864"/>
        <v>4750</v>
      </c>
      <c r="N1452" s="226">
        <v>1.8</v>
      </c>
      <c r="O1452" s="227">
        <v>0</v>
      </c>
      <c r="P1452" s="228">
        <f t="shared" si="865"/>
        <v>8550</v>
      </c>
      <c r="Q1452" s="228">
        <f t="shared" si="866"/>
        <v>0</v>
      </c>
      <c r="R1452" s="229">
        <f t="shared" si="867"/>
        <v>8550</v>
      </c>
      <c r="S1452" s="229">
        <f t="shared" si="868"/>
        <v>-8550</v>
      </c>
      <c r="T1452" s="229">
        <f t="shared" si="880"/>
        <v>20</v>
      </c>
      <c r="U1452" s="229">
        <f t="shared" si="870"/>
        <v>4.42</v>
      </c>
      <c r="V1452" s="229">
        <f t="shared" si="871"/>
        <v>0</v>
      </c>
      <c r="W1452" s="229">
        <f t="shared" si="872"/>
        <v>0.26</v>
      </c>
      <c r="X1452" s="229">
        <f t="shared" si="873"/>
        <v>4.53</v>
      </c>
      <c r="Y1452" s="229">
        <f t="shared" si="874"/>
        <v>0.01</v>
      </c>
      <c r="Z1452" s="229">
        <f t="shared" si="875"/>
        <v>29.220000000000006</v>
      </c>
      <c r="AA1452" s="230">
        <f t="shared" si="876"/>
        <v>-8579.2199999999993</v>
      </c>
      <c r="AB1452" s="231">
        <v>-8579.2199999999993</v>
      </c>
      <c r="AC1452" s="232">
        <f t="shared" si="877"/>
        <v>0</v>
      </c>
      <c r="AD1452" s="233">
        <f t="shared" si="878"/>
        <v>-1</v>
      </c>
      <c r="AE1452" s="234">
        <f t="shared" si="879"/>
        <v>3.418E-3</v>
      </c>
      <c r="AF1452" s="229"/>
      <c r="AG1452" s="235" t="s">
        <v>416</v>
      </c>
      <c r="AH1452" s="124"/>
    </row>
    <row r="1453" spans="1:34" ht="12" hidden="1" customHeight="1">
      <c r="A1453" s="155">
        <v>44643</v>
      </c>
      <c r="B1453" s="221" t="s">
        <v>751</v>
      </c>
      <c r="C1453" s="7" t="s">
        <v>485</v>
      </c>
      <c r="D1453" s="221" t="str">
        <f t="shared" ca="1" si="863"/>
        <v>Stocks</v>
      </c>
      <c r="E1453" s="221" t="str">
        <f ca="1">IFERROR(__xludf.DUMMYFUNCTION("split(B1453,"" "")"),"SAIL")</f>
        <v>SAIL</v>
      </c>
      <c r="F1453" s="221" t="str">
        <f ca="1">IFERROR(__xludf.DUMMYFUNCTION("""COMPUTED_VALUE"""),"31!MAR")</f>
        <v>31!MAR</v>
      </c>
      <c r="G1453" s="221">
        <f ca="1">IFERROR(__xludf.DUMMYFUNCTION("""COMPUTED_VALUE"""),110)</f>
        <v>110</v>
      </c>
      <c r="H1453" s="221" t="str">
        <f ca="1">IFERROR(__xludf.DUMMYFUNCTION("""COMPUTED_VALUE"""),"CE")</f>
        <v>CE</v>
      </c>
      <c r="I1453" s="221" t="s">
        <v>4</v>
      </c>
      <c r="J1453" s="223">
        <v>4750</v>
      </c>
      <c r="K1453" s="224">
        <v>1</v>
      </c>
      <c r="L1453" s="224">
        <v>1</v>
      </c>
      <c r="M1453" s="225">
        <f t="shared" si="864"/>
        <v>4750</v>
      </c>
      <c r="N1453" s="226">
        <v>0</v>
      </c>
      <c r="O1453" s="227">
        <v>1</v>
      </c>
      <c r="P1453" s="228">
        <f t="shared" si="865"/>
        <v>0</v>
      </c>
      <c r="Q1453" s="228">
        <f t="shared" si="866"/>
        <v>4750</v>
      </c>
      <c r="R1453" s="229">
        <f t="shared" si="867"/>
        <v>4750</v>
      </c>
      <c r="S1453" s="229">
        <f t="shared" si="868"/>
        <v>4750</v>
      </c>
      <c r="T1453" s="229">
        <f t="shared" si="880"/>
        <v>20</v>
      </c>
      <c r="U1453" s="229">
        <f t="shared" si="870"/>
        <v>4.05</v>
      </c>
      <c r="V1453" s="229">
        <f t="shared" si="871"/>
        <v>2.38</v>
      </c>
      <c r="W1453" s="229">
        <f t="shared" si="872"/>
        <v>0</v>
      </c>
      <c r="X1453" s="229">
        <f t="shared" si="873"/>
        <v>2.52</v>
      </c>
      <c r="Y1453" s="229">
        <f t="shared" si="874"/>
        <v>0</v>
      </c>
      <c r="Z1453" s="229">
        <f t="shared" si="875"/>
        <v>28.95</v>
      </c>
      <c r="AA1453" s="230">
        <f t="shared" si="876"/>
        <v>4721.05</v>
      </c>
      <c r="AB1453" s="231">
        <v>4721.05</v>
      </c>
      <c r="AC1453" s="232">
        <f t="shared" si="877"/>
        <v>0</v>
      </c>
      <c r="AD1453" s="233">
        <f t="shared" si="878"/>
        <v>0</v>
      </c>
      <c r="AE1453" s="234">
        <f t="shared" si="879"/>
        <v>6.0949999999999997E-3</v>
      </c>
      <c r="AF1453" s="229"/>
      <c r="AG1453" s="235" t="s">
        <v>416</v>
      </c>
      <c r="AH1453" s="124"/>
    </row>
    <row r="1454" spans="1:34" ht="12" hidden="1" customHeight="1">
      <c r="A1454" s="220">
        <v>44624</v>
      </c>
      <c r="B1454" s="221" t="s">
        <v>752</v>
      </c>
      <c r="C1454" s="7" t="s">
        <v>485</v>
      </c>
      <c r="D1454" s="221" t="str">
        <f t="shared" ca="1" si="863"/>
        <v>Stocks</v>
      </c>
      <c r="E1454" s="221" t="str">
        <f ca="1">IFERROR(__xludf.DUMMYFUNCTION("split(B1454,"" "")"),"SAIL")</f>
        <v>SAIL</v>
      </c>
      <c r="F1454" s="221" t="str">
        <f ca="1">IFERROR(__xludf.DUMMYFUNCTION("""COMPUTED_VALUE"""),"31!MAR")</f>
        <v>31!MAR</v>
      </c>
      <c r="G1454" s="221">
        <f ca="1">IFERROR(__xludf.DUMMYFUNCTION("""COMPUTED_VALUE"""),105)</f>
        <v>105</v>
      </c>
      <c r="H1454" s="221" t="str">
        <f ca="1">IFERROR(__xludf.DUMMYFUNCTION("""COMPUTED_VALUE"""),"CE")</f>
        <v>CE</v>
      </c>
      <c r="I1454" s="221" t="s">
        <v>4</v>
      </c>
      <c r="J1454" s="223">
        <v>4750</v>
      </c>
      <c r="K1454" s="224">
        <v>1</v>
      </c>
      <c r="L1454" s="224">
        <v>1</v>
      </c>
      <c r="M1454" s="225">
        <f t="shared" si="864"/>
        <v>4750</v>
      </c>
      <c r="N1454" s="226">
        <v>2</v>
      </c>
      <c r="O1454" s="227">
        <v>2.1</v>
      </c>
      <c r="P1454" s="228">
        <f t="shared" si="865"/>
        <v>9500</v>
      </c>
      <c r="Q1454" s="228">
        <f t="shared" si="866"/>
        <v>9975</v>
      </c>
      <c r="R1454" s="229">
        <f t="shared" si="867"/>
        <v>19475</v>
      </c>
      <c r="S1454" s="229">
        <f t="shared" si="868"/>
        <v>475.0000000000004</v>
      </c>
      <c r="T1454" s="229">
        <f t="shared" si="880"/>
        <v>40</v>
      </c>
      <c r="U1454" s="229">
        <f t="shared" si="870"/>
        <v>9.06</v>
      </c>
      <c r="V1454" s="229">
        <f t="shared" si="871"/>
        <v>4.99</v>
      </c>
      <c r="W1454" s="229">
        <f t="shared" si="872"/>
        <v>0.28999999999999998</v>
      </c>
      <c r="X1454" s="229">
        <f t="shared" si="873"/>
        <v>10.32</v>
      </c>
      <c r="Y1454" s="229">
        <f t="shared" si="874"/>
        <v>0.02</v>
      </c>
      <c r="Z1454" s="229">
        <f t="shared" si="875"/>
        <v>64.679999999999993</v>
      </c>
      <c r="AA1454" s="230">
        <f t="shared" si="876"/>
        <v>410.32</v>
      </c>
      <c r="AB1454" s="231">
        <v>409.87</v>
      </c>
      <c r="AC1454" s="232">
        <f t="shared" si="877"/>
        <v>-0.44999999999998863</v>
      </c>
      <c r="AD1454" s="233">
        <f t="shared" si="878"/>
        <v>5.0000000000000044E-2</v>
      </c>
      <c r="AE1454" s="234">
        <f t="shared" si="879"/>
        <v>3.3210000000000002E-3</v>
      </c>
      <c r="AF1454" s="229"/>
      <c r="AG1454" s="235" t="s">
        <v>416</v>
      </c>
      <c r="AH1454" s="124"/>
    </row>
    <row r="1455" spans="1:34" ht="12" hidden="1" customHeight="1">
      <c r="A1455" s="154">
        <v>44635</v>
      </c>
      <c r="B1455" s="221" t="s">
        <v>753</v>
      </c>
      <c r="C1455" s="7" t="s">
        <v>485</v>
      </c>
      <c r="D1455" s="221" t="str">
        <f t="shared" ca="1" si="863"/>
        <v>Stocks</v>
      </c>
      <c r="E1455" s="221" t="str">
        <f ca="1">IFERROR(__xludf.DUMMYFUNCTION("split(B1455,"" "")"),"AMBUJACEM")</f>
        <v>AMBUJACEM</v>
      </c>
      <c r="F1455" s="221" t="str">
        <f ca="1">IFERROR(__xludf.DUMMYFUNCTION("""COMPUTED_VALUE"""),"31!MAR")</f>
        <v>31!MAR</v>
      </c>
      <c r="G1455" s="221">
        <f ca="1">IFERROR(__xludf.DUMMYFUNCTION("""COMPUTED_VALUE"""),305)</f>
        <v>305</v>
      </c>
      <c r="H1455" s="221" t="str">
        <f ca="1">IFERROR(__xludf.DUMMYFUNCTION("""COMPUTED_VALUE"""),"CE")</f>
        <v>CE</v>
      </c>
      <c r="I1455" s="221" t="s">
        <v>4</v>
      </c>
      <c r="J1455" s="223">
        <v>1500</v>
      </c>
      <c r="K1455" s="224">
        <v>1</v>
      </c>
      <c r="L1455" s="224">
        <v>1</v>
      </c>
      <c r="M1455" s="225">
        <f t="shared" si="864"/>
        <v>1500</v>
      </c>
      <c r="N1455" s="226">
        <v>6.45</v>
      </c>
      <c r="O1455" s="227">
        <v>0</v>
      </c>
      <c r="P1455" s="228">
        <f t="shared" si="865"/>
        <v>9675</v>
      </c>
      <c r="Q1455" s="228">
        <f t="shared" si="866"/>
        <v>0</v>
      </c>
      <c r="R1455" s="229">
        <f t="shared" si="867"/>
        <v>9675</v>
      </c>
      <c r="S1455" s="229">
        <f t="shared" si="868"/>
        <v>-9675</v>
      </c>
      <c r="T1455" s="229">
        <f t="shared" si="880"/>
        <v>20</v>
      </c>
      <c r="U1455" s="229">
        <f t="shared" si="870"/>
        <v>4.5199999999999996</v>
      </c>
      <c r="V1455" s="229">
        <f t="shared" si="871"/>
        <v>0</v>
      </c>
      <c r="W1455" s="229">
        <f t="shared" si="872"/>
        <v>0.28999999999999998</v>
      </c>
      <c r="X1455" s="229">
        <f t="shared" si="873"/>
        <v>5.13</v>
      </c>
      <c r="Y1455" s="229">
        <f t="shared" si="874"/>
        <v>0.01</v>
      </c>
      <c r="Z1455" s="229">
        <f t="shared" si="875"/>
        <v>29.95</v>
      </c>
      <c r="AA1455" s="230">
        <f t="shared" si="876"/>
        <v>-9704.9500000000007</v>
      </c>
      <c r="AB1455" s="231">
        <v>-9704.66</v>
      </c>
      <c r="AC1455" s="232">
        <f t="shared" si="877"/>
        <v>0.29000000000087311</v>
      </c>
      <c r="AD1455" s="233">
        <f t="shared" si="878"/>
        <v>-1</v>
      </c>
      <c r="AE1455" s="234">
        <f t="shared" si="879"/>
        <v>3.0959999999999998E-3</v>
      </c>
      <c r="AF1455" s="229"/>
      <c r="AG1455" s="235" t="s">
        <v>416</v>
      </c>
      <c r="AH1455" s="124"/>
    </row>
    <row r="1456" spans="1:34" ht="12" hidden="1" customHeight="1">
      <c r="A1456" s="155">
        <v>44636</v>
      </c>
      <c r="B1456" s="221" t="s">
        <v>753</v>
      </c>
      <c r="C1456" s="7" t="s">
        <v>485</v>
      </c>
      <c r="D1456" s="221" t="str">
        <f t="shared" ca="1" si="863"/>
        <v>Stocks</v>
      </c>
      <c r="E1456" s="221" t="str">
        <f ca="1">IFERROR(__xludf.DUMMYFUNCTION("split(B1456,"" "")"),"AMBUJACEM")</f>
        <v>AMBUJACEM</v>
      </c>
      <c r="F1456" s="221" t="str">
        <f ca="1">IFERROR(__xludf.DUMMYFUNCTION("""COMPUTED_VALUE"""),"31!MAR")</f>
        <v>31!MAR</v>
      </c>
      <c r="G1456" s="221">
        <f ca="1">IFERROR(__xludf.DUMMYFUNCTION("""COMPUTED_VALUE"""),305)</f>
        <v>305</v>
      </c>
      <c r="H1456" s="221" t="str">
        <f ca="1">IFERROR(__xludf.DUMMYFUNCTION("""COMPUTED_VALUE"""),"CE")</f>
        <v>CE</v>
      </c>
      <c r="I1456" s="221" t="s">
        <v>4</v>
      </c>
      <c r="J1456" s="223">
        <v>1500</v>
      </c>
      <c r="K1456" s="224">
        <v>1</v>
      </c>
      <c r="L1456" s="224">
        <v>1</v>
      </c>
      <c r="M1456" s="225">
        <f t="shared" si="864"/>
        <v>1500</v>
      </c>
      <c r="N1456" s="226">
        <v>0</v>
      </c>
      <c r="O1456" s="227">
        <v>6.95</v>
      </c>
      <c r="P1456" s="228">
        <f t="shared" si="865"/>
        <v>0</v>
      </c>
      <c r="Q1456" s="228">
        <f t="shared" si="866"/>
        <v>10425</v>
      </c>
      <c r="R1456" s="229">
        <f t="shared" si="867"/>
        <v>10425</v>
      </c>
      <c r="S1456" s="229">
        <f t="shared" si="868"/>
        <v>10425</v>
      </c>
      <c r="T1456" s="229">
        <f t="shared" si="880"/>
        <v>20</v>
      </c>
      <c r="U1456" s="229">
        <f t="shared" si="870"/>
        <v>4.5999999999999996</v>
      </c>
      <c r="V1456" s="229">
        <f t="shared" si="871"/>
        <v>5.21</v>
      </c>
      <c r="W1456" s="229">
        <f t="shared" si="872"/>
        <v>0</v>
      </c>
      <c r="X1456" s="229">
        <f t="shared" si="873"/>
        <v>5.53</v>
      </c>
      <c r="Y1456" s="229">
        <f t="shared" si="874"/>
        <v>0.01</v>
      </c>
      <c r="Z1456" s="229">
        <f t="shared" si="875"/>
        <v>35.35</v>
      </c>
      <c r="AA1456" s="230">
        <f t="shared" si="876"/>
        <v>10389.65</v>
      </c>
      <c r="AB1456" s="231">
        <v>10389.870000000001</v>
      </c>
      <c r="AC1456" s="232">
        <f t="shared" si="877"/>
        <v>0.22000000000116415</v>
      </c>
      <c r="AD1456" s="233">
        <f t="shared" si="878"/>
        <v>0</v>
      </c>
      <c r="AE1456" s="234">
        <f t="shared" si="879"/>
        <v>3.3909999999999999E-3</v>
      </c>
      <c r="AF1456" s="229"/>
      <c r="AG1456" s="235" t="s">
        <v>416</v>
      </c>
      <c r="AH1456" s="124"/>
    </row>
    <row r="1457" spans="1:34" ht="12" hidden="1" customHeight="1">
      <c r="A1457" s="220">
        <v>44637</v>
      </c>
      <c r="B1457" s="221" t="s">
        <v>754</v>
      </c>
      <c r="C1457" s="7" t="s">
        <v>485</v>
      </c>
      <c r="D1457" s="221" t="str">
        <f t="shared" ca="1" si="863"/>
        <v>Stocks</v>
      </c>
      <c r="E1457" s="221" t="str">
        <f ca="1">IFERROR(__xludf.DUMMYFUNCTION("split(B1457,"" "")"),"LICHSGFIN")</f>
        <v>LICHSGFIN</v>
      </c>
      <c r="F1457" s="221" t="str">
        <f ca="1">IFERROR(__xludf.DUMMYFUNCTION("""COMPUTED_VALUE"""),"31!MAR")</f>
        <v>31!MAR</v>
      </c>
      <c r="G1457" s="221">
        <f ca="1">IFERROR(__xludf.DUMMYFUNCTION("""COMPUTED_VALUE"""),365)</f>
        <v>365</v>
      </c>
      <c r="H1457" s="221" t="str">
        <f ca="1">IFERROR(__xludf.DUMMYFUNCTION("""COMPUTED_VALUE"""),"CE")</f>
        <v>CE</v>
      </c>
      <c r="I1457" s="221" t="s">
        <v>4</v>
      </c>
      <c r="J1457" s="223">
        <v>2000</v>
      </c>
      <c r="K1457" s="224">
        <v>1</v>
      </c>
      <c r="L1457" s="224">
        <v>2</v>
      </c>
      <c r="M1457" s="225">
        <f t="shared" si="864"/>
        <v>4000</v>
      </c>
      <c r="N1457" s="226">
        <v>12.35</v>
      </c>
      <c r="O1457" s="227">
        <v>12.6</v>
      </c>
      <c r="P1457" s="228">
        <f t="shared" si="865"/>
        <v>49400</v>
      </c>
      <c r="Q1457" s="228">
        <f t="shared" si="866"/>
        <v>50400</v>
      </c>
      <c r="R1457" s="229">
        <f t="shared" si="867"/>
        <v>99800</v>
      </c>
      <c r="S1457" s="229">
        <f t="shared" si="868"/>
        <v>1000</v>
      </c>
      <c r="T1457" s="229">
        <f t="shared" si="880"/>
        <v>80</v>
      </c>
      <c r="U1457" s="229">
        <f t="shared" si="870"/>
        <v>23.92</v>
      </c>
      <c r="V1457" s="229">
        <f t="shared" si="871"/>
        <v>25.2</v>
      </c>
      <c r="W1457" s="229">
        <f t="shared" si="872"/>
        <v>1.48</v>
      </c>
      <c r="X1457" s="229">
        <f t="shared" si="873"/>
        <v>52.89</v>
      </c>
      <c r="Y1457" s="229">
        <f t="shared" si="874"/>
        <v>0.1</v>
      </c>
      <c r="Z1457" s="229">
        <f t="shared" si="875"/>
        <v>183.59</v>
      </c>
      <c r="AA1457" s="230">
        <f t="shared" si="876"/>
        <v>816.41</v>
      </c>
      <c r="AB1457" s="231">
        <v>817.09</v>
      </c>
      <c r="AC1457" s="232">
        <f t="shared" si="877"/>
        <v>0.68000000000006366</v>
      </c>
      <c r="AD1457" s="233">
        <f t="shared" si="878"/>
        <v>2.0242914979757085E-2</v>
      </c>
      <c r="AE1457" s="234">
        <f t="shared" si="879"/>
        <v>1.8400000000000001E-3</v>
      </c>
      <c r="AF1457" s="229"/>
      <c r="AG1457" s="235" t="s">
        <v>416</v>
      </c>
      <c r="AH1457" s="124"/>
    </row>
    <row r="1458" spans="1:34" ht="12" hidden="1" customHeight="1">
      <c r="A1458" s="154">
        <v>44641</v>
      </c>
      <c r="B1458" s="221" t="s">
        <v>755</v>
      </c>
      <c r="C1458" s="7" t="s">
        <v>485</v>
      </c>
      <c r="D1458" s="221" t="str">
        <f t="shared" ca="1" si="863"/>
        <v>Stocks</v>
      </c>
      <c r="E1458" s="221" t="str">
        <f ca="1">IFERROR(__xludf.DUMMYFUNCTION("split(B1458,"" "")"),"LICHSGFIN")</f>
        <v>LICHSGFIN</v>
      </c>
      <c r="F1458" s="221" t="str">
        <f ca="1">IFERROR(__xludf.DUMMYFUNCTION("""COMPUTED_VALUE"""),"31!MAR")</f>
        <v>31!MAR</v>
      </c>
      <c r="G1458" s="221">
        <f ca="1">IFERROR(__xludf.DUMMYFUNCTION("""COMPUTED_VALUE"""),370)</f>
        <v>370</v>
      </c>
      <c r="H1458" s="221" t="str">
        <f ca="1">IFERROR(__xludf.DUMMYFUNCTION("""COMPUTED_VALUE"""),"CE")</f>
        <v>CE</v>
      </c>
      <c r="I1458" s="221" t="s">
        <v>4</v>
      </c>
      <c r="J1458" s="223">
        <v>2000</v>
      </c>
      <c r="K1458" s="224">
        <v>1</v>
      </c>
      <c r="L1458" s="224">
        <v>1</v>
      </c>
      <c r="M1458" s="225">
        <f t="shared" si="864"/>
        <v>2000</v>
      </c>
      <c r="N1458" s="226">
        <v>8</v>
      </c>
      <c r="O1458" s="227">
        <v>0</v>
      </c>
      <c r="P1458" s="228">
        <f t="shared" si="865"/>
        <v>16000</v>
      </c>
      <c r="Q1458" s="228">
        <f t="shared" si="866"/>
        <v>0</v>
      </c>
      <c r="R1458" s="229">
        <f t="shared" si="867"/>
        <v>16000</v>
      </c>
      <c r="S1458" s="229">
        <f t="shared" si="868"/>
        <v>-16000</v>
      </c>
      <c r="T1458" s="229">
        <f t="shared" si="880"/>
        <v>20</v>
      </c>
      <c r="U1458" s="229">
        <f t="shared" si="870"/>
        <v>5.13</v>
      </c>
      <c r="V1458" s="229">
        <f t="shared" si="871"/>
        <v>0</v>
      </c>
      <c r="W1458" s="229">
        <f t="shared" si="872"/>
        <v>0.48</v>
      </c>
      <c r="X1458" s="229">
        <f t="shared" si="873"/>
        <v>8.48</v>
      </c>
      <c r="Y1458" s="229">
        <f t="shared" si="874"/>
        <v>0.02</v>
      </c>
      <c r="Z1458" s="229">
        <f t="shared" si="875"/>
        <v>34.110000000000007</v>
      </c>
      <c r="AA1458" s="230">
        <f t="shared" si="876"/>
        <v>-16034.11</v>
      </c>
      <c r="AB1458" s="231">
        <v>-16033.63</v>
      </c>
      <c r="AC1458" s="232">
        <f t="shared" si="877"/>
        <v>0.48000000000138243</v>
      </c>
      <c r="AD1458" s="233">
        <f t="shared" si="878"/>
        <v>-1</v>
      </c>
      <c r="AE1458" s="234">
        <f t="shared" si="879"/>
        <v>2.1320000000000002E-3</v>
      </c>
      <c r="AF1458" s="229"/>
      <c r="AG1458" s="235" t="s">
        <v>416</v>
      </c>
      <c r="AH1458" s="124"/>
    </row>
    <row r="1459" spans="1:34" ht="12" hidden="1" customHeight="1">
      <c r="A1459" s="155">
        <v>44642</v>
      </c>
      <c r="B1459" s="221" t="s">
        <v>755</v>
      </c>
      <c r="C1459" s="7" t="s">
        <v>485</v>
      </c>
      <c r="D1459" s="221" t="str">
        <f t="shared" ca="1" si="863"/>
        <v>Stocks</v>
      </c>
      <c r="E1459" s="221" t="str">
        <f ca="1">IFERROR(__xludf.DUMMYFUNCTION("split(B1459,"" "")"),"LICHSGFIN")</f>
        <v>LICHSGFIN</v>
      </c>
      <c r="F1459" s="221" t="str">
        <f ca="1">IFERROR(__xludf.DUMMYFUNCTION("""COMPUTED_VALUE"""),"31!MAR")</f>
        <v>31!MAR</v>
      </c>
      <c r="G1459" s="221">
        <f ca="1">IFERROR(__xludf.DUMMYFUNCTION("""COMPUTED_VALUE"""),370)</f>
        <v>370</v>
      </c>
      <c r="H1459" s="221" t="str">
        <f ca="1">IFERROR(__xludf.DUMMYFUNCTION("""COMPUTED_VALUE"""),"CE")</f>
        <v>CE</v>
      </c>
      <c r="I1459" s="221" t="s">
        <v>4</v>
      </c>
      <c r="J1459" s="223">
        <v>2000</v>
      </c>
      <c r="K1459" s="224">
        <v>1</v>
      </c>
      <c r="L1459" s="224">
        <v>1</v>
      </c>
      <c r="M1459" s="225">
        <f t="shared" si="864"/>
        <v>2000</v>
      </c>
      <c r="N1459" s="226">
        <v>0</v>
      </c>
      <c r="O1459" s="227">
        <v>8.1</v>
      </c>
      <c r="P1459" s="228">
        <f t="shared" si="865"/>
        <v>0</v>
      </c>
      <c r="Q1459" s="228">
        <f t="shared" si="866"/>
        <v>16200</v>
      </c>
      <c r="R1459" s="229">
        <f t="shared" si="867"/>
        <v>16200</v>
      </c>
      <c r="S1459" s="229">
        <f t="shared" si="868"/>
        <v>16200</v>
      </c>
      <c r="T1459" s="229">
        <f t="shared" si="880"/>
        <v>20</v>
      </c>
      <c r="U1459" s="229">
        <f t="shared" si="870"/>
        <v>5.15</v>
      </c>
      <c r="V1459" s="229">
        <f t="shared" si="871"/>
        <v>8.1</v>
      </c>
      <c r="W1459" s="229">
        <f t="shared" si="872"/>
        <v>0</v>
      </c>
      <c r="X1459" s="229">
        <f t="shared" si="873"/>
        <v>8.59</v>
      </c>
      <c r="Y1459" s="229">
        <f t="shared" si="874"/>
        <v>0.02</v>
      </c>
      <c r="Z1459" s="229">
        <f t="shared" si="875"/>
        <v>41.860000000000007</v>
      </c>
      <c r="AA1459" s="230">
        <f t="shared" si="876"/>
        <v>16158.14</v>
      </c>
      <c r="AB1459" s="231">
        <v>16158.24</v>
      </c>
      <c r="AC1459" s="232">
        <f t="shared" si="877"/>
        <v>0.1000000000003638</v>
      </c>
      <c r="AD1459" s="233">
        <f t="shared" si="878"/>
        <v>0</v>
      </c>
      <c r="AE1459" s="234">
        <f t="shared" si="879"/>
        <v>2.5839999999999999E-3</v>
      </c>
      <c r="AF1459" s="229"/>
      <c r="AG1459" s="235" t="s">
        <v>416</v>
      </c>
      <c r="AH1459" s="124"/>
    </row>
    <row r="1460" spans="1:34" ht="12" hidden="1" customHeight="1">
      <c r="A1460" s="220">
        <v>44643</v>
      </c>
      <c r="B1460" s="221" t="s">
        <v>756</v>
      </c>
      <c r="C1460" s="7" t="s">
        <v>485</v>
      </c>
      <c r="D1460" s="221" t="str">
        <f t="shared" ca="1" si="863"/>
        <v>Stocks</v>
      </c>
      <c r="E1460" s="221" t="str">
        <f ca="1">IFERROR(__xludf.DUMMYFUNCTION("split(B1460,"" "")"),"LICHSGFIN")</f>
        <v>LICHSGFIN</v>
      </c>
      <c r="F1460" s="221" t="str">
        <f ca="1">IFERROR(__xludf.DUMMYFUNCTION("""COMPUTED_VALUE"""),"31!MAR")</f>
        <v>31!MAR</v>
      </c>
      <c r="G1460" s="221">
        <f ca="1">IFERROR(__xludf.DUMMYFUNCTION("""COMPUTED_VALUE"""),380)</f>
        <v>380</v>
      </c>
      <c r="H1460" s="221" t="str">
        <f ca="1">IFERROR(__xludf.DUMMYFUNCTION("""COMPUTED_VALUE"""),"CE")</f>
        <v>CE</v>
      </c>
      <c r="I1460" s="221" t="s">
        <v>4</v>
      </c>
      <c r="J1460" s="223">
        <v>2000</v>
      </c>
      <c r="K1460" s="224">
        <v>1</v>
      </c>
      <c r="L1460" s="224">
        <v>1</v>
      </c>
      <c r="M1460" s="225">
        <f t="shared" si="864"/>
        <v>2000</v>
      </c>
      <c r="N1460" s="226">
        <v>6.1</v>
      </c>
      <c r="O1460" s="227">
        <v>6.3</v>
      </c>
      <c r="P1460" s="228">
        <f t="shared" si="865"/>
        <v>12200</v>
      </c>
      <c r="Q1460" s="228">
        <f t="shared" si="866"/>
        <v>12600</v>
      </c>
      <c r="R1460" s="229">
        <f t="shared" si="867"/>
        <v>24800</v>
      </c>
      <c r="S1460" s="229">
        <f t="shared" si="868"/>
        <v>400.00000000000034</v>
      </c>
      <c r="T1460" s="229">
        <f t="shared" si="880"/>
        <v>40</v>
      </c>
      <c r="U1460" s="229">
        <f t="shared" si="870"/>
        <v>9.57</v>
      </c>
      <c r="V1460" s="229">
        <f t="shared" si="871"/>
        <v>6.3</v>
      </c>
      <c r="W1460" s="229">
        <f t="shared" si="872"/>
        <v>0.37</v>
      </c>
      <c r="X1460" s="229">
        <f t="shared" si="873"/>
        <v>13.14</v>
      </c>
      <c r="Y1460" s="229">
        <f t="shared" si="874"/>
        <v>0.02</v>
      </c>
      <c r="Z1460" s="229">
        <f t="shared" si="875"/>
        <v>69.399999999999991</v>
      </c>
      <c r="AA1460" s="230">
        <f t="shared" si="876"/>
        <v>330.6</v>
      </c>
      <c r="AB1460" s="231">
        <v>330.6</v>
      </c>
      <c r="AC1460" s="232">
        <f t="shared" si="877"/>
        <v>0</v>
      </c>
      <c r="AD1460" s="233">
        <f t="shared" si="878"/>
        <v>3.2786885245901669E-2</v>
      </c>
      <c r="AE1460" s="234">
        <f t="shared" si="879"/>
        <v>2.7980000000000001E-3</v>
      </c>
      <c r="AF1460" s="229"/>
      <c r="AG1460" s="235" t="s">
        <v>416</v>
      </c>
      <c r="AH1460" s="124"/>
    </row>
    <row r="1461" spans="1:34" ht="12" hidden="1" customHeight="1">
      <c r="A1461" s="154">
        <v>44643</v>
      </c>
      <c r="B1461" s="221" t="s">
        <v>756</v>
      </c>
      <c r="C1461" s="7" t="s">
        <v>485</v>
      </c>
      <c r="D1461" s="221" t="str">
        <f t="shared" ca="1" si="863"/>
        <v>Stocks</v>
      </c>
      <c r="E1461" s="221" t="str">
        <f ca="1">IFERROR(__xludf.DUMMYFUNCTION("split(B1461,"" "")"),"LICHSGFIN")</f>
        <v>LICHSGFIN</v>
      </c>
      <c r="F1461" s="221" t="str">
        <f ca="1">IFERROR(__xludf.DUMMYFUNCTION("""COMPUTED_VALUE"""),"31!MAR")</f>
        <v>31!MAR</v>
      </c>
      <c r="G1461" s="221">
        <f ca="1">IFERROR(__xludf.DUMMYFUNCTION("""COMPUTED_VALUE"""),380)</f>
        <v>380</v>
      </c>
      <c r="H1461" s="221" t="str">
        <f ca="1">IFERROR(__xludf.DUMMYFUNCTION("""COMPUTED_VALUE"""),"CE")</f>
        <v>CE</v>
      </c>
      <c r="I1461" s="221" t="s">
        <v>4</v>
      </c>
      <c r="J1461" s="223">
        <v>2000</v>
      </c>
      <c r="K1461" s="224">
        <v>1</v>
      </c>
      <c r="L1461" s="224">
        <v>1</v>
      </c>
      <c r="M1461" s="225">
        <f t="shared" si="864"/>
        <v>2000</v>
      </c>
      <c r="N1461" s="226">
        <v>5.85</v>
      </c>
      <c r="O1461" s="227">
        <v>0</v>
      </c>
      <c r="P1461" s="228">
        <f t="shared" si="865"/>
        <v>11700</v>
      </c>
      <c r="Q1461" s="228">
        <f t="shared" si="866"/>
        <v>0</v>
      </c>
      <c r="R1461" s="229">
        <f t="shared" si="867"/>
        <v>11700</v>
      </c>
      <c r="S1461" s="229">
        <f t="shared" si="868"/>
        <v>-11700</v>
      </c>
      <c r="T1461" s="229">
        <f t="shared" si="880"/>
        <v>20</v>
      </c>
      <c r="U1461" s="229">
        <f t="shared" si="870"/>
        <v>4.72</v>
      </c>
      <c r="V1461" s="229">
        <f t="shared" si="871"/>
        <v>0</v>
      </c>
      <c r="W1461" s="229">
        <f t="shared" si="872"/>
        <v>0.35</v>
      </c>
      <c r="X1461" s="229">
        <f t="shared" si="873"/>
        <v>6.2</v>
      </c>
      <c r="Y1461" s="229">
        <f t="shared" si="874"/>
        <v>0.01</v>
      </c>
      <c r="Z1461" s="229">
        <f t="shared" si="875"/>
        <v>31.28</v>
      </c>
      <c r="AA1461" s="230">
        <f t="shared" si="876"/>
        <v>-11731.28</v>
      </c>
      <c r="AB1461" s="231">
        <v>-11731.28</v>
      </c>
      <c r="AC1461" s="232">
        <f t="shared" si="877"/>
        <v>0</v>
      </c>
      <c r="AD1461" s="233">
        <f t="shared" si="878"/>
        <v>-1</v>
      </c>
      <c r="AE1461" s="234">
        <f t="shared" si="879"/>
        <v>2.6740000000000002E-3</v>
      </c>
      <c r="AF1461" s="229"/>
      <c r="AG1461" s="235" t="s">
        <v>416</v>
      </c>
      <c r="AH1461" s="124"/>
    </row>
    <row r="1462" spans="1:34" ht="12" hidden="1" customHeight="1">
      <c r="A1462" s="155">
        <v>44648</v>
      </c>
      <c r="B1462" s="221" t="s">
        <v>756</v>
      </c>
      <c r="C1462" s="7" t="s">
        <v>485</v>
      </c>
      <c r="D1462" s="221" t="str">
        <f t="shared" ca="1" si="863"/>
        <v>Stocks</v>
      </c>
      <c r="E1462" s="221" t="str">
        <f ca="1">IFERROR(__xludf.DUMMYFUNCTION("split(B1462,"" "")"),"LICHSGFIN")</f>
        <v>LICHSGFIN</v>
      </c>
      <c r="F1462" s="221" t="str">
        <f ca="1">IFERROR(__xludf.DUMMYFUNCTION("""COMPUTED_VALUE"""),"31!MAR")</f>
        <v>31!MAR</v>
      </c>
      <c r="G1462" s="221">
        <f ca="1">IFERROR(__xludf.DUMMYFUNCTION("""COMPUTED_VALUE"""),380)</f>
        <v>380</v>
      </c>
      <c r="H1462" s="221" t="str">
        <f ca="1">IFERROR(__xludf.DUMMYFUNCTION("""COMPUTED_VALUE"""),"CE")</f>
        <v>CE</v>
      </c>
      <c r="I1462" s="221" t="s">
        <v>4</v>
      </c>
      <c r="J1462" s="223">
        <v>2000</v>
      </c>
      <c r="K1462" s="224">
        <v>1</v>
      </c>
      <c r="L1462" s="224">
        <v>1</v>
      </c>
      <c r="M1462" s="225">
        <f t="shared" si="864"/>
        <v>2000</v>
      </c>
      <c r="N1462" s="226">
        <v>0</v>
      </c>
      <c r="O1462" s="227">
        <v>1.4</v>
      </c>
      <c r="P1462" s="228">
        <f t="shared" si="865"/>
        <v>0</v>
      </c>
      <c r="Q1462" s="228">
        <f t="shared" si="866"/>
        <v>2800</v>
      </c>
      <c r="R1462" s="229">
        <f t="shared" si="867"/>
        <v>2800</v>
      </c>
      <c r="S1462" s="229">
        <f t="shared" si="868"/>
        <v>2800</v>
      </c>
      <c r="T1462" s="229">
        <f t="shared" si="880"/>
        <v>20</v>
      </c>
      <c r="U1462" s="229">
        <f t="shared" si="870"/>
        <v>3.87</v>
      </c>
      <c r="V1462" s="229">
        <f t="shared" si="871"/>
        <v>1.4</v>
      </c>
      <c r="W1462" s="229">
        <f t="shared" si="872"/>
        <v>0</v>
      </c>
      <c r="X1462" s="229">
        <f t="shared" si="873"/>
        <v>1.48</v>
      </c>
      <c r="Y1462" s="229">
        <f t="shared" si="874"/>
        <v>0</v>
      </c>
      <c r="Z1462" s="229">
        <f t="shared" si="875"/>
        <v>26.75</v>
      </c>
      <c r="AA1462" s="230">
        <f t="shared" si="876"/>
        <v>2773.25</v>
      </c>
      <c r="AB1462" s="231">
        <v>2773.65</v>
      </c>
      <c r="AC1462" s="232">
        <f t="shared" si="877"/>
        <v>0.40000000000009095</v>
      </c>
      <c r="AD1462" s="233">
        <f t="shared" si="878"/>
        <v>0</v>
      </c>
      <c r="AE1462" s="234">
        <f t="shared" si="879"/>
        <v>9.554E-3</v>
      </c>
      <c r="AF1462" s="229"/>
      <c r="AG1462" s="235" t="s">
        <v>416</v>
      </c>
      <c r="AH1462" s="124"/>
    </row>
    <row r="1463" spans="1:34" ht="12" hidden="1" customHeight="1">
      <c r="A1463" s="220">
        <v>44643</v>
      </c>
      <c r="B1463" s="221" t="s">
        <v>751</v>
      </c>
      <c r="C1463" s="7" t="s">
        <v>485</v>
      </c>
      <c r="D1463" s="221" t="str">
        <f t="shared" ca="1" si="863"/>
        <v>Stocks</v>
      </c>
      <c r="E1463" s="221" t="str">
        <f ca="1">IFERROR(__xludf.DUMMYFUNCTION("split(B1463,"" "")"),"SAIL")</f>
        <v>SAIL</v>
      </c>
      <c r="F1463" s="221" t="str">
        <f ca="1">IFERROR(__xludf.DUMMYFUNCTION("""COMPUTED_VALUE"""),"31!MAR")</f>
        <v>31!MAR</v>
      </c>
      <c r="G1463" s="221">
        <f ca="1">IFERROR(__xludf.DUMMYFUNCTION("""COMPUTED_VALUE"""),110)</f>
        <v>110</v>
      </c>
      <c r="H1463" s="221" t="str">
        <f ca="1">IFERROR(__xludf.DUMMYFUNCTION("""COMPUTED_VALUE"""),"CE")</f>
        <v>CE</v>
      </c>
      <c r="I1463" s="221" t="s">
        <v>4</v>
      </c>
      <c r="J1463" s="223">
        <v>4750</v>
      </c>
      <c r="K1463" s="224">
        <v>1</v>
      </c>
      <c r="L1463" s="224">
        <v>1</v>
      </c>
      <c r="M1463" s="225">
        <f t="shared" si="864"/>
        <v>4750</v>
      </c>
      <c r="N1463" s="226">
        <v>0.85</v>
      </c>
      <c r="O1463" s="227">
        <v>0.9</v>
      </c>
      <c r="P1463" s="228">
        <f t="shared" si="865"/>
        <v>4037.5</v>
      </c>
      <c r="Q1463" s="228">
        <f t="shared" si="866"/>
        <v>4275</v>
      </c>
      <c r="R1463" s="229">
        <f t="shared" si="867"/>
        <v>8312.5</v>
      </c>
      <c r="S1463" s="229">
        <f t="shared" si="868"/>
        <v>237.5000000000002</v>
      </c>
      <c r="T1463" s="229">
        <f t="shared" si="880"/>
        <v>40</v>
      </c>
      <c r="U1463" s="229">
        <f t="shared" si="870"/>
        <v>7.99</v>
      </c>
      <c r="V1463" s="229">
        <f t="shared" si="871"/>
        <v>2.14</v>
      </c>
      <c r="W1463" s="229">
        <f t="shared" si="872"/>
        <v>0.12</v>
      </c>
      <c r="X1463" s="229">
        <f t="shared" si="873"/>
        <v>4.41</v>
      </c>
      <c r="Y1463" s="229">
        <f t="shared" si="874"/>
        <v>0.01</v>
      </c>
      <c r="Z1463" s="229">
        <f t="shared" si="875"/>
        <v>54.669999999999995</v>
      </c>
      <c r="AA1463" s="230">
        <f t="shared" si="876"/>
        <v>182.83</v>
      </c>
      <c r="AB1463" s="231">
        <v>182.48</v>
      </c>
      <c r="AC1463" s="232">
        <f t="shared" si="877"/>
        <v>-0.35000000000002274</v>
      </c>
      <c r="AD1463" s="233">
        <f t="shared" si="878"/>
        <v>5.8823529411764761E-2</v>
      </c>
      <c r="AE1463" s="234">
        <f t="shared" si="879"/>
        <v>6.5770000000000004E-3</v>
      </c>
      <c r="AF1463" s="229"/>
      <c r="AG1463" s="235" t="s">
        <v>416</v>
      </c>
      <c r="AH1463" s="124"/>
    </row>
    <row r="1464" spans="1:34" ht="12" hidden="1" customHeight="1">
      <c r="A1464" s="220">
        <v>44644</v>
      </c>
      <c r="B1464" s="221" t="s">
        <v>755</v>
      </c>
      <c r="C1464" s="7" t="s">
        <v>485</v>
      </c>
      <c r="D1464" s="221" t="str">
        <f t="shared" ca="1" si="863"/>
        <v>Stocks</v>
      </c>
      <c r="E1464" s="221" t="str">
        <f ca="1">IFERROR(__xludf.DUMMYFUNCTION("split(B1464,"" "")"),"LICHSGFIN")</f>
        <v>LICHSGFIN</v>
      </c>
      <c r="F1464" s="221" t="str">
        <f ca="1">IFERROR(__xludf.DUMMYFUNCTION("""COMPUTED_VALUE"""),"31!MAR")</f>
        <v>31!MAR</v>
      </c>
      <c r="G1464" s="221">
        <f ca="1">IFERROR(__xludf.DUMMYFUNCTION("""COMPUTED_VALUE"""),370)</f>
        <v>370</v>
      </c>
      <c r="H1464" s="221" t="str">
        <f ca="1">IFERROR(__xludf.DUMMYFUNCTION("""COMPUTED_VALUE"""),"CE")</f>
        <v>CE</v>
      </c>
      <c r="I1464" s="221" t="s">
        <v>4</v>
      </c>
      <c r="J1464" s="223">
        <v>2000</v>
      </c>
      <c r="K1464" s="224">
        <v>1</v>
      </c>
      <c r="L1464" s="224">
        <v>3</v>
      </c>
      <c r="M1464" s="225">
        <f t="shared" si="864"/>
        <v>6000</v>
      </c>
      <c r="N1464" s="226">
        <v>7.9333</v>
      </c>
      <c r="O1464" s="227">
        <v>8.1667000000000005</v>
      </c>
      <c r="P1464" s="228">
        <f t="shared" si="865"/>
        <v>47599.8</v>
      </c>
      <c r="Q1464" s="228">
        <f t="shared" si="866"/>
        <v>49000.2</v>
      </c>
      <c r="R1464" s="229">
        <f t="shared" si="867"/>
        <v>96600</v>
      </c>
      <c r="S1464" s="229">
        <f t="shared" si="868"/>
        <v>1400.400000000003</v>
      </c>
      <c r="T1464" s="229">
        <f t="shared" si="880"/>
        <v>120</v>
      </c>
      <c r="U1464" s="229">
        <f t="shared" si="870"/>
        <v>30.82</v>
      </c>
      <c r="V1464" s="229">
        <f t="shared" si="871"/>
        <v>24.5</v>
      </c>
      <c r="W1464" s="229">
        <f t="shared" si="872"/>
        <v>1.43</v>
      </c>
      <c r="X1464" s="229">
        <f t="shared" si="873"/>
        <v>51.2</v>
      </c>
      <c r="Y1464" s="229">
        <f t="shared" si="874"/>
        <v>0.1</v>
      </c>
      <c r="Z1464" s="229">
        <f t="shared" si="875"/>
        <v>228.04999999999998</v>
      </c>
      <c r="AA1464" s="230">
        <f t="shared" si="876"/>
        <v>1172.3499999999999</v>
      </c>
      <c r="AB1464" s="231">
        <v>1171.8900000000001</v>
      </c>
      <c r="AC1464" s="232">
        <f t="shared" si="877"/>
        <v>-0.45999999999980901</v>
      </c>
      <c r="AD1464" s="233">
        <f t="shared" si="878"/>
        <v>2.9420291681897887E-2</v>
      </c>
      <c r="AE1464" s="234">
        <f t="shared" si="879"/>
        <v>2.3609999999999998E-3</v>
      </c>
      <c r="AF1464" s="229"/>
      <c r="AG1464" s="235" t="s">
        <v>416</v>
      </c>
      <c r="AH1464" s="124"/>
    </row>
    <row r="1465" spans="1:34" ht="12" hidden="1" customHeight="1">
      <c r="A1465" s="220">
        <v>44652</v>
      </c>
      <c r="B1465" s="221" t="s">
        <v>757</v>
      </c>
      <c r="C1465" s="7" t="s">
        <v>485</v>
      </c>
      <c r="D1465" s="221" t="str">
        <f t="shared" ca="1" si="863"/>
        <v>Stocks</v>
      </c>
      <c r="E1465" s="221" t="str">
        <f ca="1">IFERROR(__xludf.DUMMYFUNCTION("split(B1465,"" "")"),"POWERGRID")</f>
        <v>POWERGRID</v>
      </c>
      <c r="F1465" s="221" t="str">
        <f ca="1">IFERROR(__xludf.DUMMYFUNCTION("""COMPUTED_VALUE"""),"28!APR")</f>
        <v>28!APR</v>
      </c>
      <c r="G1465" s="221">
        <f ca="1">IFERROR(__xludf.DUMMYFUNCTION("""COMPUTED_VALUE"""),230)</f>
        <v>230</v>
      </c>
      <c r="H1465" s="221" t="str">
        <f ca="1">IFERROR(__xludf.DUMMYFUNCTION("""COMPUTED_VALUE"""),"CE")</f>
        <v>CE</v>
      </c>
      <c r="I1465" s="221" t="s">
        <v>4</v>
      </c>
      <c r="J1465" s="223">
        <v>5333</v>
      </c>
      <c r="K1465" s="224">
        <v>1</v>
      </c>
      <c r="L1465" s="224">
        <v>1</v>
      </c>
      <c r="M1465" s="225">
        <f t="shared" si="864"/>
        <v>5333</v>
      </c>
      <c r="N1465" s="226">
        <v>4</v>
      </c>
      <c r="O1465" s="227">
        <v>4.2</v>
      </c>
      <c r="P1465" s="228">
        <f t="shared" si="865"/>
        <v>21332</v>
      </c>
      <c r="Q1465" s="228">
        <f t="shared" si="866"/>
        <v>22398.6</v>
      </c>
      <c r="R1465" s="229">
        <f t="shared" si="867"/>
        <v>43730.6</v>
      </c>
      <c r="S1465" s="229">
        <f t="shared" si="868"/>
        <v>1066.600000000001</v>
      </c>
      <c r="T1465" s="229">
        <f t="shared" si="880"/>
        <v>40</v>
      </c>
      <c r="U1465" s="229">
        <f t="shared" si="870"/>
        <v>11.37</v>
      </c>
      <c r="V1465" s="229">
        <f t="shared" si="871"/>
        <v>11.2</v>
      </c>
      <c r="W1465" s="229">
        <f t="shared" si="872"/>
        <v>0.64</v>
      </c>
      <c r="X1465" s="229">
        <f t="shared" si="873"/>
        <v>23.18</v>
      </c>
      <c r="Y1465" s="229">
        <f t="shared" si="874"/>
        <v>0.04</v>
      </c>
      <c r="Z1465" s="229">
        <f t="shared" si="875"/>
        <v>86.429999999999993</v>
      </c>
      <c r="AA1465" s="230">
        <f t="shared" si="876"/>
        <v>980.17</v>
      </c>
      <c r="AB1465" s="231">
        <v>980.01</v>
      </c>
      <c r="AC1465" s="232">
        <f t="shared" si="877"/>
        <v>-0.15999999999996817</v>
      </c>
      <c r="AD1465" s="233">
        <f t="shared" si="878"/>
        <v>5.0000000000000044E-2</v>
      </c>
      <c r="AE1465" s="234">
        <f t="shared" si="879"/>
        <v>1.9759999999999999E-3</v>
      </c>
      <c r="AF1465" s="229"/>
      <c r="AG1465" s="235" t="s">
        <v>416</v>
      </c>
      <c r="AH1465" s="124"/>
    </row>
    <row r="1466" spans="1:34" ht="12" hidden="1" customHeight="1">
      <c r="A1466" s="220">
        <v>44656</v>
      </c>
      <c r="B1466" s="221" t="s">
        <v>757</v>
      </c>
      <c r="C1466" s="7" t="s">
        <v>485</v>
      </c>
      <c r="D1466" s="221" t="str">
        <f t="shared" ca="1" si="863"/>
        <v>Stocks</v>
      </c>
      <c r="E1466" s="221" t="str">
        <f ca="1">IFERROR(__xludf.DUMMYFUNCTION("split(B1466,"" "")"),"POWERGRID")</f>
        <v>POWERGRID</v>
      </c>
      <c r="F1466" s="221" t="str">
        <f ca="1">IFERROR(__xludf.DUMMYFUNCTION("""COMPUTED_VALUE"""),"28!APR")</f>
        <v>28!APR</v>
      </c>
      <c r="G1466" s="221">
        <f ca="1">IFERROR(__xludf.DUMMYFUNCTION("""COMPUTED_VALUE"""),230)</f>
        <v>230</v>
      </c>
      <c r="H1466" s="221" t="str">
        <f ca="1">IFERROR(__xludf.DUMMYFUNCTION("""COMPUTED_VALUE"""),"CE")</f>
        <v>CE</v>
      </c>
      <c r="I1466" s="221" t="s">
        <v>4</v>
      </c>
      <c r="J1466" s="223">
        <v>5333</v>
      </c>
      <c r="K1466" s="224">
        <v>1</v>
      </c>
      <c r="L1466" s="224">
        <v>2</v>
      </c>
      <c r="M1466" s="225">
        <f t="shared" si="864"/>
        <v>10666</v>
      </c>
      <c r="N1466" s="226">
        <v>5.2750000000000004</v>
      </c>
      <c r="O1466" s="227">
        <v>5.4749999999999996</v>
      </c>
      <c r="P1466" s="228">
        <f t="shared" si="865"/>
        <v>56263.15</v>
      </c>
      <c r="Q1466" s="228">
        <f t="shared" si="866"/>
        <v>58396.35</v>
      </c>
      <c r="R1466" s="229">
        <f t="shared" si="867"/>
        <v>114659.5</v>
      </c>
      <c r="S1466" s="229">
        <f t="shared" si="868"/>
        <v>2133.1999999999925</v>
      </c>
      <c r="T1466" s="229">
        <f t="shared" si="880"/>
        <v>80</v>
      </c>
      <c r="U1466" s="229">
        <f t="shared" si="870"/>
        <v>25.34</v>
      </c>
      <c r="V1466" s="229">
        <f t="shared" si="871"/>
        <v>29.2</v>
      </c>
      <c r="W1466" s="229">
        <f t="shared" si="872"/>
        <v>1.69</v>
      </c>
      <c r="X1466" s="229">
        <f t="shared" si="873"/>
        <v>60.77</v>
      </c>
      <c r="Y1466" s="229">
        <f t="shared" si="874"/>
        <v>0.11</v>
      </c>
      <c r="Z1466" s="229">
        <f t="shared" si="875"/>
        <v>197.11</v>
      </c>
      <c r="AA1466" s="230">
        <f t="shared" si="876"/>
        <v>1936.09</v>
      </c>
      <c r="AB1466" s="231">
        <v>1935.98</v>
      </c>
      <c r="AC1466" s="232">
        <f t="shared" si="877"/>
        <v>-0.10999999999989996</v>
      </c>
      <c r="AD1466" s="233">
        <f t="shared" si="878"/>
        <v>3.7914691943127826E-2</v>
      </c>
      <c r="AE1466" s="234">
        <f t="shared" si="879"/>
        <v>1.719E-3</v>
      </c>
      <c r="AF1466" s="229"/>
      <c r="AG1466" s="235" t="s">
        <v>416</v>
      </c>
      <c r="AH1466" s="124"/>
    </row>
    <row r="1467" spans="1:34" ht="12" hidden="1" customHeight="1">
      <c r="A1467" s="220">
        <v>44657</v>
      </c>
      <c r="B1467" s="221" t="s">
        <v>758</v>
      </c>
      <c r="C1467" s="7" t="s">
        <v>485</v>
      </c>
      <c r="D1467" s="221" t="str">
        <f t="shared" ca="1" si="863"/>
        <v>Stocks</v>
      </c>
      <c r="E1467" s="221" t="str">
        <f ca="1">IFERROR(__xludf.DUMMYFUNCTION("split(B1467,"" "")"),"POWERGRID")</f>
        <v>POWERGRID</v>
      </c>
      <c r="F1467" s="221" t="str">
        <f ca="1">IFERROR(__xludf.DUMMYFUNCTION("""COMPUTED_VALUE"""),"28!APR")</f>
        <v>28!APR</v>
      </c>
      <c r="G1467" s="221">
        <f ca="1">IFERROR(__xludf.DUMMYFUNCTION("""COMPUTED_VALUE"""),237.5)</f>
        <v>237.5</v>
      </c>
      <c r="H1467" s="221" t="str">
        <f ca="1">IFERROR(__xludf.DUMMYFUNCTION("""COMPUTED_VALUE"""),"CE")</f>
        <v>CE</v>
      </c>
      <c r="I1467" s="221" t="s">
        <v>4</v>
      </c>
      <c r="J1467" s="223">
        <v>5333</v>
      </c>
      <c r="K1467" s="224">
        <v>1</v>
      </c>
      <c r="L1467" s="224">
        <v>7</v>
      </c>
      <c r="M1467" s="225">
        <f t="shared" si="864"/>
        <v>37331</v>
      </c>
      <c r="N1467" s="226">
        <v>4.7857000000000003</v>
      </c>
      <c r="O1467" s="227">
        <v>5.0429000000000004</v>
      </c>
      <c r="P1467" s="228">
        <f t="shared" si="865"/>
        <v>178654.97</v>
      </c>
      <c r="Q1467" s="228">
        <f t="shared" si="866"/>
        <v>188256.5</v>
      </c>
      <c r="R1467" s="229">
        <f t="shared" si="867"/>
        <v>366911.47</v>
      </c>
      <c r="S1467" s="229">
        <f t="shared" si="868"/>
        <v>9601.5332000000035</v>
      </c>
      <c r="T1467" s="229">
        <f t="shared" si="880"/>
        <v>280</v>
      </c>
      <c r="U1467" s="229">
        <f t="shared" si="870"/>
        <v>85.4</v>
      </c>
      <c r="V1467" s="229">
        <f t="shared" si="871"/>
        <v>94.13</v>
      </c>
      <c r="W1467" s="229">
        <f t="shared" si="872"/>
        <v>5.36</v>
      </c>
      <c r="X1467" s="229">
        <f t="shared" si="873"/>
        <v>194.46</v>
      </c>
      <c r="Y1467" s="229">
        <f t="shared" si="874"/>
        <v>0.37</v>
      </c>
      <c r="Z1467" s="229">
        <f t="shared" si="875"/>
        <v>659.72</v>
      </c>
      <c r="AA1467" s="230">
        <f t="shared" si="876"/>
        <v>8941.81</v>
      </c>
      <c r="AB1467" s="231">
        <v>8940.17</v>
      </c>
      <c r="AC1467" s="232">
        <f t="shared" si="877"/>
        <v>-1.6399999999994179</v>
      </c>
      <c r="AD1467" s="233">
        <f t="shared" si="878"/>
        <v>5.3743444010280646E-2</v>
      </c>
      <c r="AE1467" s="234">
        <f t="shared" si="879"/>
        <v>1.7979999999999999E-3</v>
      </c>
      <c r="AF1467" s="229"/>
      <c r="AG1467" s="235" t="s">
        <v>416</v>
      </c>
      <c r="AH1467" s="124"/>
    </row>
    <row r="1468" spans="1:34" ht="12" hidden="1" customHeight="1">
      <c r="A1468" s="154">
        <v>44658</v>
      </c>
      <c r="B1468" s="221" t="s">
        <v>759</v>
      </c>
      <c r="C1468" s="7" t="s">
        <v>485</v>
      </c>
      <c r="D1468" s="221" t="str">
        <f t="shared" ca="1" si="863"/>
        <v>Stocks</v>
      </c>
      <c r="E1468" s="221" t="str">
        <f ca="1">IFERROR(__xludf.DUMMYFUNCTION("split(B1468,"" "")"),"POWERGRID")</f>
        <v>POWERGRID</v>
      </c>
      <c r="F1468" s="221" t="str">
        <f ca="1">IFERROR(__xludf.DUMMYFUNCTION("""COMPUTED_VALUE"""),"28!APR")</f>
        <v>28!APR</v>
      </c>
      <c r="G1468" s="221">
        <f ca="1">IFERROR(__xludf.DUMMYFUNCTION("""COMPUTED_VALUE"""),240)</f>
        <v>240</v>
      </c>
      <c r="H1468" s="221" t="str">
        <f ca="1">IFERROR(__xludf.DUMMYFUNCTION("""COMPUTED_VALUE"""),"CE")</f>
        <v>CE</v>
      </c>
      <c r="I1468" s="221" t="s">
        <v>4</v>
      </c>
      <c r="J1468" s="223">
        <v>5333</v>
      </c>
      <c r="K1468" s="224">
        <v>1</v>
      </c>
      <c r="L1468" s="224">
        <v>1</v>
      </c>
      <c r="M1468" s="225">
        <f t="shared" si="864"/>
        <v>5333</v>
      </c>
      <c r="N1468" s="226">
        <v>5.7</v>
      </c>
      <c r="O1468" s="227">
        <v>0</v>
      </c>
      <c r="P1468" s="228">
        <f t="shared" si="865"/>
        <v>30398.1</v>
      </c>
      <c r="Q1468" s="228">
        <f t="shared" si="866"/>
        <v>0</v>
      </c>
      <c r="R1468" s="229">
        <f t="shared" si="867"/>
        <v>30398.1</v>
      </c>
      <c r="S1468" s="229">
        <f t="shared" si="868"/>
        <v>-30398.100000000002</v>
      </c>
      <c r="T1468" s="229">
        <f t="shared" si="880"/>
        <v>20</v>
      </c>
      <c r="U1468" s="229">
        <f t="shared" si="870"/>
        <v>6.5</v>
      </c>
      <c r="V1468" s="229">
        <f t="shared" si="871"/>
        <v>0</v>
      </c>
      <c r="W1468" s="229">
        <f t="shared" si="872"/>
        <v>0.91</v>
      </c>
      <c r="X1468" s="229">
        <f t="shared" si="873"/>
        <v>16.11</v>
      </c>
      <c r="Y1468" s="229">
        <f t="shared" si="874"/>
        <v>0.03</v>
      </c>
      <c r="Z1468" s="229">
        <f t="shared" si="875"/>
        <v>43.55</v>
      </c>
      <c r="AA1468" s="230">
        <f t="shared" si="876"/>
        <v>-30441.65</v>
      </c>
      <c r="AB1468" s="231">
        <v>-30441.73</v>
      </c>
      <c r="AC1468" s="232">
        <f t="shared" si="877"/>
        <v>-7.9999999998108251E-2</v>
      </c>
      <c r="AD1468" s="233">
        <f t="shared" si="878"/>
        <v>-1</v>
      </c>
      <c r="AE1468" s="234">
        <f t="shared" si="879"/>
        <v>1.433E-3</v>
      </c>
      <c r="AF1468" s="229"/>
      <c r="AG1468" s="235" t="s">
        <v>416</v>
      </c>
      <c r="AH1468" s="124"/>
    </row>
    <row r="1469" spans="1:34" ht="12" hidden="1" customHeight="1">
      <c r="A1469" s="154">
        <v>44658</v>
      </c>
      <c r="B1469" s="221" t="s">
        <v>759</v>
      </c>
      <c r="C1469" s="7" t="s">
        <v>485</v>
      </c>
      <c r="D1469" s="221" t="str">
        <f t="shared" ca="1" si="863"/>
        <v>Stocks</v>
      </c>
      <c r="E1469" s="221" t="str">
        <f ca="1">IFERROR(__xludf.DUMMYFUNCTION("split(B1469,"" "")"),"POWERGRID")</f>
        <v>POWERGRID</v>
      </c>
      <c r="F1469" s="221" t="str">
        <f ca="1">IFERROR(__xludf.DUMMYFUNCTION("""COMPUTED_VALUE"""),"28!APR")</f>
        <v>28!APR</v>
      </c>
      <c r="G1469" s="221">
        <f ca="1">IFERROR(__xludf.DUMMYFUNCTION("""COMPUTED_VALUE"""),240)</f>
        <v>240</v>
      </c>
      <c r="H1469" s="221" t="str">
        <f ca="1">IFERROR(__xludf.DUMMYFUNCTION("""COMPUTED_VALUE"""),"CE")</f>
        <v>CE</v>
      </c>
      <c r="I1469" s="221" t="s">
        <v>4</v>
      </c>
      <c r="J1469" s="223">
        <v>5333</v>
      </c>
      <c r="K1469" s="224">
        <v>1</v>
      </c>
      <c r="L1469" s="224">
        <v>1</v>
      </c>
      <c r="M1469" s="225">
        <f t="shared" si="864"/>
        <v>5333</v>
      </c>
      <c r="N1469" s="226">
        <v>5</v>
      </c>
      <c r="O1469" s="227">
        <v>0</v>
      </c>
      <c r="P1469" s="228">
        <f t="shared" si="865"/>
        <v>26665</v>
      </c>
      <c r="Q1469" s="228">
        <f t="shared" si="866"/>
        <v>0</v>
      </c>
      <c r="R1469" s="229">
        <f t="shared" si="867"/>
        <v>26665</v>
      </c>
      <c r="S1469" s="229">
        <f t="shared" si="868"/>
        <v>-26665</v>
      </c>
      <c r="T1469" s="229">
        <f t="shared" si="880"/>
        <v>20</v>
      </c>
      <c r="U1469" s="229">
        <f t="shared" si="870"/>
        <v>6.14</v>
      </c>
      <c r="V1469" s="229">
        <f t="shared" si="871"/>
        <v>0</v>
      </c>
      <c r="W1469" s="229">
        <f t="shared" si="872"/>
        <v>0.8</v>
      </c>
      <c r="X1469" s="229">
        <f t="shared" si="873"/>
        <v>14.13</v>
      </c>
      <c r="Y1469" s="229">
        <f t="shared" si="874"/>
        <v>0.03</v>
      </c>
      <c r="Z1469" s="229">
        <f t="shared" si="875"/>
        <v>41.1</v>
      </c>
      <c r="AA1469" s="230">
        <f t="shared" si="876"/>
        <v>-26706.1</v>
      </c>
      <c r="AB1469" s="231">
        <v>-26706</v>
      </c>
      <c r="AC1469" s="232">
        <f t="shared" si="877"/>
        <v>9.9999999998544808E-2</v>
      </c>
      <c r="AD1469" s="233">
        <f t="shared" si="878"/>
        <v>-1</v>
      </c>
      <c r="AE1469" s="234">
        <f t="shared" si="879"/>
        <v>1.5410000000000001E-3</v>
      </c>
      <c r="AF1469" s="229"/>
      <c r="AG1469" s="235" t="s">
        <v>416</v>
      </c>
      <c r="AH1469" s="124"/>
    </row>
    <row r="1470" spans="1:34" ht="12" hidden="1" customHeight="1">
      <c r="A1470" s="155">
        <v>44663</v>
      </c>
      <c r="B1470" s="221" t="s">
        <v>759</v>
      </c>
      <c r="C1470" s="7" t="s">
        <v>485</v>
      </c>
      <c r="D1470" s="221" t="str">
        <f t="shared" ca="1" si="863"/>
        <v>Stocks</v>
      </c>
      <c r="E1470" s="221" t="str">
        <f ca="1">IFERROR(__xludf.DUMMYFUNCTION("split(B1470,"" "")"),"POWERGRID")</f>
        <v>POWERGRID</v>
      </c>
      <c r="F1470" s="221" t="str">
        <f ca="1">IFERROR(__xludf.DUMMYFUNCTION("""COMPUTED_VALUE"""),"28!APR")</f>
        <v>28!APR</v>
      </c>
      <c r="G1470" s="221">
        <f ca="1">IFERROR(__xludf.DUMMYFUNCTION("""COMPUTED_VALUE"""),240)</f>
        <v>240</v>
      </c>
      <c r="H1470" s="221" t="str">
        <f ca="1">IFERROR(__xludf.DUMMYFUNCTION("""COMPUTED_VALUE"""),"CE")</f>
        <v>CE</v>
      </c>
      <c r="I1470" s="221" t="s">
        <v>4</v>
      </c>
      <c r="J1470" s="223">
        <v>5333</v>
      </c>
      <c r="K1470" s="224">
        <v>2</v>
      </c>
      <c r="L1470" s="224">
        <v>1</v>
      </c>
      <c r="M1470" s="225">
        <f t="shared" si="864"/>
        <v>10666</v>
      </c>
      <c r="N1470" s="226">
        <v>0</v>
      </c>
      <c r="O1470" s="227">
        <v>2</v>
      </c>
      <c r="P1470" s="228">
        <f t="shared" si="865"/>
        <v>0</v>
      </c>
      <c r="Q1470" s="228">
        <f t="shared" si="866"/>
        <v>21332</v>
      </c>
      <c r="R1470" s="229">
        <f t="shared" si="867"/>
        <v>21332</v>
      </c>
      <c r="S1470" s="229">
        <f t="shared" si="868"/>
        <v>21332</v>
      </c>
      <c r="T1470" s="229">
        <f t="shared" si="880"/>
        <v>20</v>
      </c>
      <c r="U1470" s="229">
        <f t="shared" si="870"/>
        <v>5.64</v>
      </c>
      <c r="V1470" s="229">
        <f t="shared" si="871"/>
        <v>10.67</v>
      </c>
      <c r="W1470" s="229">
        <f t="shared" si="872"/>
        <v>0</v>
      </c>
      <c r="X1470" s="229">
        <f t="shared" si="873"/>
        <v>11.31</v>
      </c>
      <c r="Y1470" s="229">
        <f t="shared" si="874"/>
        <v>0.02</v>
      </c>
      <c r="Z1470" s="229">
        <f t="shared" si="875"/>
        <v>47.640000000000008</v>
      </c>
      <c r="AA1470" s="230">
        <f t="shared" si="876"/>
        <v>21284.36</v>
      </c>
      <c r="AB1470" s="231">
        <v>21284.03</v>
      </c>
      <c r="AC1470" s="232">
        <f t="shared" si="877"/>
        <v>-0.33000000000174623</v>
      </c>
      <c r="AD1470" s="233">
        <f t="shared" si="878"/>
        <v>0</v>
      </c>
      <c r="AE1470" s="234">
        <f t="shared" si="879"/>
        <v>2.2330000000000002E-3</v>
      </c>
      <c r="AF1470" s="229"/>
      <c r="AG1470" s="235" t="s">
        <v>416</v>
      </c>
      <c r="AH1470" s="124"/>
    </row>
    <row r="1471" spans="1:34" ht="12" hidden="1" customHeight="1">
      <c r="A1471" s="154">
        <v>44658</v>
      </c>
      <c r="B1471" s="221" t="s">
        <v>760</v>
      </c>
      <c r="C1471" s="7" t="s">
        <v>485</v>
      </c>
      <c r="D1471" s="221" t="str">
        <f t="shared" ca="1" si="863"/>
        <v>Stocks</v>
      </c>
      <c r="E1471" s="221" t="str">
        <f ca="1">IFERROR(__xludf.DUMMYFUNCTION("split(B1471,"" "")"),"SAIL")</f>
        <v>SAIL</v>
      </c>
      <c r="F1471" s="221" t="str">
        <f ca="1">IFERROR(__xludf.DUMMYFUNCTION("""COMPUTED_VALUE"""),"28!APR")</f>
        <v>28!APR</v>
      </c>
      <c r="G1471" s="221">
        <f ca="1">IFERROR(__xludf.DUMMYFUNCTION("""COMPUTED_VALUE"""),113)</f>
        <v>113</v>
      </c>
      <c r="H1471" s="221" t="str">
        <f ca="1">IFERROR(__xludf.DUMMYFUNCTION("""COMPUTED_VALUE"""),"CE")</f>
        <v>CE</v>
      </c>
      <c r="I1471" s="221" t="s">
        <v>4</v>
      </c>
      <c r="J1471" s="223">
        <v>4750</v>
      </c>
      <c r="K1471" s="224">
        <v>1</v>
      </c>
      <c r="L1471" s="224">
        <v>1</v>
      </c>
      <c r="M1471" s="225">
        <f t="shared" si="864"/>
        <v>4750</v>
      </c>
      <c r="N1471" s="226">
        <v>4.9000000000000004</v>
      </c>
      <c r="O1471" s="227">
        <v>0</v>
      </c>
      <c r="P1471" s="228">
        <f t="shared" si="865"/>
        <v>23275</v>
      </c>
      <c r="Q1471" s="228">
        <f t="shared" si="866"/>
        <v>0</v>
      </c>
      <c r="R1471" s="229">
        <f t="shared" si="867"/>
        <v>23275</v>
      </c>
      <c r="S1471" s="229">
        <f t="shared" si="868"/>
        <v>-23275</v>
      </c>
      <c r="T1471" s="229">
        <f t="shared" si="880"/>
        <v>20</v>
      </c>
      <c r="U1471" s="229">
        <f t="shared" si="870"/>
        <v>5.82</v>
      </c>
      <c r="V1471" s="229">
        <f t="shared" si="871"/>
        <v>0</v>
      </c>
      <c r="W1471" s="229">
        <f t="shared" si="872"/>
        <v>0.7</v>
      </c>
      <c r="X1471" s="229">
        <f t="shared" si="873"/>
        <v>12.34</v>
      </c>
      <c r="Y1471" s="229">
        <f t="shared" si="874"/>
        <v>0.02</v>
      </c>
      <c r="Z1471" s="229">
        <f t="shared" si="875"/>
        <v>38.880000000000003</v>
      </c>
      <c r="AA1471" s="230">
        <f t="shared" si="876"/>
        <v>-23313.88</v>
      </c>
      <c r="AB1471" s="231">
        <v>-23314</v>
      </c>
      <c r="AC1471" s="232">
        <f t="shared" si="877"/>
        <v>-0.11999999999898137</v>
      </c>
      <c r="AD1471" s="233">
        <f t="shared" si="878"/>
        <v>-1</v>
      </c>
      <c r="AE1471" s="234">
        <f t="shared" si="879"/>
        <v>1.67E-3</v>
      </c>
      <c r="AF1471" s="229"/>
      <c r="AG1471" s="235" t="s">
        <v>416</v>
      </c>
      <c r="AH1471" s="124"/>
    </row>
    <row r="1472" spans="1:34" ht="12" hidden="1" customHeight="1">
      <c r="A1472" s="155">
        <v>44659</v>
      </c>
      <c r="B1472" s="221" t="s">
        <v>760</v>
      </c>
      <c r="C1472" s="7" t="s">
        <v>485</v>
      </c>
      <c r="D1472" s="221" t="str">
        <f t="shared" ca="1" si="863"/>
        <v>Stocks</v>
      </c>
      <c r="E1472" s="221" t="str">
        <f ca="1">IFERROR(__xludf.DUMMYFUNCTION("split(B1472,"" "")"),"SAIL")</f>
        <v>SAIL</v>
      </c>
      <c r="F1472" s="221" t="str">
        <f ca="1">IFERROR(__xludf.DUMMYFUNCTION("""COMPUTED_VALUE"""),"28!APR")</f>
        <v>28!APR</v>
      </c>
      <c r="G1472" s="221">
        <f ca="1">IFERROR(__xludf.DUMMYFUNCTION("""COMPUTED_VALUE"""),113)</f>
        <v>113</v>
      </c>
      <c r="H1472" s="221" t="str">
        <f ca="1">IFERROR(__xludf.DUMMYFUNCTION("""COMPUTED_VALUE"""),"CE")</f>
        <v>CE</v>
      </c>
      <c r="I1472" s="221" t="s">
        <v>4</v>
      </c>
      <c r="J1472" s="223">
        <v>4750</v>
      </c>
      <c r="K1472" s="224">
        <v>1</v>
      </c>
      <c r="L1472" s="224">
        <v>1</v>
      </c>
      <c r="M1472" s="225">
        <f t="shared" si="864"/>
        <v>4750</v>
      </c>
      <c r="N1472" s="226">
        <v>0</v>
      </c>
      <c r="O1472" s="227">
        <v>4.4000000000000004</v>
      </c>
      <c r="P1472" s="228">
        <f t="shared" si="865"/>
        <v>0</v>
      </c>
      <c r="Q1472" s="228">
        <f t="shared" si="866"/>
        <v>20900</v>
      </c>
      <c r="R1472" s="229">
        <f t="shared" si="867"/>
        <v>20900</v>
      </c>
      <c r="S1472" s="229">
        <f t="shared" si="868"/>
        <v>20900</v>
      </c>
      <c r="T1472" s="229">
        <f t="shared" si="880"/>
        <v>20</v>
      </c>
      <c r="U1472" s="229">
        <f t="shared" si="870"/>
        <v>5.59</v>
      </c>
      <c r="V1472" s="229">
        <f t="shared" si="871"/>
        <v>10.45</v>
      </c>
      <c r="W1472" s="229">
        <f t="shared" si="872"/>
        <v>0</v>
      </c>
      <c r="X1472" s="229">
        <f t="shared" si="873"/>
        <v>11.08</v>
      </c>
      <c r="Y1472" s="229">
        <f t="shared" si="874"/>
        <v>0.02</v>
      </c>
      <c r="Z1472" s="229">
        <f t="shared" si="875"/>
        <v>47.14</v>
      </c>
      <c r="AA1472" s="230">
        <f t="shared" si="876"/>
        <v>20852.86</v>
      </c>
      <c r="AB1472" s="231">
        <v>20852.8</v>
      </c>
      <c r="AC1472" s="232">
        <f t="shared" si="877"/>
        <v>-6.0000000001309672E-2</v>
      </c>
      <c r="AD1472" s="233">
        <f t="shared" si="878"/>
        <v>0</v>
      </c>
      <c r="AE1472" s="234">
        <f t="shared" si="879"/>
        <v>2.2560000000000002E-3</v>
      </c>
      <c r="AF1472" s="229"/>
      <c r="AG1472" s="235" t="s">
        <v>416</v>
      </c>
      <c r="AH1472" s="124"/>
    </row>
    <row r="1473" spans="1:34" ht="12" hidden="1" customHeight="1">
      <c r="A1473" s="154">
        <v>44658</v>
      </c>
      <c r="B1473" s="221" t="s">
        <v>760</v>
      </c>
      <c r="C1473" s="7" t="s">
        <v>485</v>
      </c>
      <c r="D1473" s="221" t="str">
        <f t="shared" ca="1" si="863"/>
        <v>Stocks</v>
      </c>
      <c r="E1473" s="221" t="str">
        <f ca="1">IFERROR(__xludf.DUMMYFUNCTION("split(B1473,"" "")"),"SAIL")</f>
        <v>SAIL</v>
      </c>
      <c r="F1473" s="221" t="str">
        <f ca="1">IFERROR(__xludf.DUMMYFUNCTION("""COMPUTED_VALUE"""),"28!APR")</f>
        <v>28!APR</v>
      </c>
      <c r="G1473" s="221">
        <f ca="1">IFERROR(__xludf.DUMMYFUNCTION("""COMPUTED_VALUE"""),113)</f>
        <v>113</v>
      </c>
      <c r="H1473" s="221" t="str">
        <f ca="1">IFERROR(__xludf.DUMMYFUNCTION("""COMPUTED_VALUE"""),"CE")</f>
        <v>CE</v>
      </c>
      <c r="I1473" s="221" t="s">
        <v>4</v>
      </c>
      <c r="J1473" s="223">
        <v>4750</v>
      </c>
      <c r="K1473" s="224">
        <v>1</v>
      </c>
      <c r="L1473" s="224">
        <v>1</v>
      </c>
      <c r="M1473" s="225">
        <f t="shared" si="864"/>
        <v>4750</v>
      </c>
      <c r="N1473" s="226">
        <v>4</v>
      </c>
      <c r="O1473" s="227">
        <v>0</v>
      </c>
      <c r="P1473" s="228">
        <f t="shared" si="865"/>
        <v>19000</v>
      </c>
      <c r="Q1473" s="228">
        <f t="shared" si="866"/>
        <v>0</v>
      </c>
      <c r="R1473" s="229">
        <f t="shared" si="867"/>
        <v>19000</v>
      </c>
      <c r="S1473" s="229">
        <f t="shared" si="868"/>
        <v>-19000</v>
      </c>
      <c r="T1473" s="229">
        <f t="shared" si="880"/>
        <v>20</v>
      </c>
      <c r="U1473" s="229">
        <f t="shared" si="870"/>
        <v>5.41</v>
      </c>
      <c r="V1473" s="229">
        <f t="shared" si="871"/>
        <v>0</v>
      </c>
      <c r="W1473" s="229">
        <f t="shared" si="872"/>
        <v>0.56999999999999995</v>
      </c>
      <c r="X1473" s="229">
        <f t="shared" si="873"/>
        <v>10.07</v>
      </c>
      <c r="Y1473" s="229">
        <f t="shared" si="874"/>
        <v>0.02</v>
      </c>
      <c r="Z1473" s="229">
        <f t="shared" si="875"/>
        <v>36.07</v>
      </c>
      <c r="AA1473" s="230">
        <f t="shared" si="876"/>
        <v>-19036.07</v>
      </c>
      <c r="AB1473" s="231">
        <v>-19036</v>
      </c>
      <c r="AC1473" s="232">
        <f t="shared" si="877"/>
        <v>6.9999999999708962E-2</v>
      </c>
      <c r="AD1473" s="233">
        <f t="shared" si="878"/>
        <v>-1</v>
      </c>
      <c r="AE1473" s="234">
        <f t="shared" si="879"/>
        <v>1.8979999999999999E-3</v>
      </c>
      <c r="AF1473" s="229"/>
      <c r="AG1473" s="235" t="s">
        <v>416</v>
      </c>
      <c r="AH1473" s="124"/>
    </row>
    <row r="1474" spans="1:34" ht="12" hidden="1" customHeight="1">
      <c r="A1474" s="155">
        <v>44659</v>
      </c>
      <c r="B1474" s="221" t="s">
        <v>760</v>
      </c>
      <c r="C1474" s="7" t="s">
        <v>485</v>
      </c>
      <c r="D1474" s="221" t="str">
        <f t="shared" ca="1" si="863"/>
        <v>Stocks</v>
      </c>
      <c r="E1474" s="221" t="str">
        <f ca="1">IFERROR(__xludf.DUMMYFUNCTION("split(B1474,"" "")"),"SAIL")</f>
        <v>SAIL</v>
      </c>
      <c r="F1474" s="221" t="str">
        <f ca="1">IFERROR(__xludf.DUMMYFUNCTION("""COMPUTED_VALUE"""),"28!APR")</f>
        <v>28!APR</v>
      </c>
      <c r="G1474" s="221">
        <f ca="1">IFERROR(__xludf.DUMMYFUNCTION("""COMPUTED_VALUE"""),113)</f>
        <v>113</v>
      </c>
      <c r="H1474" s="221" t="str">
        <f ca="1">IFERROR(__xludf.DUMMYFUNCTION("""COMPUTED_VALUE"""),"CE")</f>
        <v>CE</v>
      </c>
      <c r="I1474" s="221" t="s">
        <v>4</v>
      </c>
      <c r="J1474" s="223">
        <v>4750</v>
      </c>
      <c r="K1474" s="224">
        <v>1</v>
      </c>
      <c r="L1474" s="224">
        <v>1</v>
      </c>
      <c r="M1474" s="225">
        <f t="shared" si="864"/>
        <v>4750</v>
      </c>
      <c r="N1474" s="226">
        <v>0</v>
      </c>
      <c r="O1474" s="227">
        <v>4</v>
      </c>
      <c r="P1474" s="228">
        <f t="shared" si="865"/>
        <v>0</v>
      </c>
      <c r="Q1474" s="228">
        <f t="shared" si="866"/>
        <v>19000</v>
      </c>
      <c r="R1474" s="229">
        <f t="shared" si="867"/>
        <v>19000</v>
      </c>
      <c r="S1474" s="229">
        <f t="shared" si="868"/>
        <v>19000</v>
      </c>
      <c r="T1474" s="229">
        <f t="shared" si="880"/>
        <v>20</v>
      </c>
      <c r="U1474" s="229">
        <f t="shared" si="870"/>
        <v>5.41</v>
      </c>
      <c r="V1474" s="229">
        <f t="shared" si="871"/>
        <v>9.5</v>
      </c>
      <c r="W1474" s="229">
        <f t="shared" si="872"/>
        <v>0</v>
      </c>
      <c r="X1474" s="229">
        <f t="shared" si="873"/>
        <v>10.07</v>
      </c>
      <c r="Y1474" s="229">
        <f t="shared" si="874"/>
        <v>0.02</v>
      </c>
      <c r="Z1474" s="229">
        <f t="shared" si="875"/>
        <v>45</v>
      </c>
      <c r="AA1474" s="230">
        <f t="shared" si="876"/>
        <v>18955</v>
      </c>
      <c r="AB1474" s="231">
        <v>18955</v>
      </c>
      <c r="AC1474" s="232">
        <f t="shared" si="877"/>
        <v>0</v>
      </c>
      <c r="AD1474" s="233">
        <f t="shared" si="878"/>
        <v>0</v>
      </c>
      <c r="AE1474" s="234">
        <f t="shared" si="879"/>
        <v>2.3679999999999999E-3</v>
      </c>
      <c r="AF1474" s="229"/>
      <c r="AG1474" s="235" t="s">
        <v>416</v>
      </c>
      <c r="AH1474" s="124"/>
    </row>
    <row r="1475" spans="1:34" ht="12" hidden="1" customHeight="1">
      <c r="A1475" s="154">
        <v>44662</v>
      </c>
      <c r="B1475" s="221" t="s">
        <v>760</v>
      </c>
      <c r="C1475" s="7" t="s">
        <v>485</v>
      </c>
      <c r="D1475" s="221" t="str">
        <f t="shared" ca="1" si="863"/>
        <v>Stocks</v>
      </c>
      <c r="E1475" s="221" t="str">
        <f ca="1">IFERROR(__xludf.DUMMYFUNCTION("split(B1475,"" "")"),"SAIL")</f>
        <v>SAIL</v>
      </c>
      <c r="F1475" s="221" t="str">
        <f ca="1">IFERROR(__xludf.DUMMYFUNCTION("""COMPUTED_VALUE"""),"28!APR")</f>
        <v>28!APR</v>
      </c>
      <c r="G1475" s="221">
        <f ca="1">IFERROR(__xludf.DUMMYFUNCTION("""COMPUTED_VALUE"""),113)</f>
        <v>113</v>
      </c>
      <c r="H1475" s="221" t="str">
        <f ca="1">IFERROR(__xludf.DUMMYFUNCTION("""COMPUTED_VALUE"""),"CE")</f>
        <v>CE</v>
      </c>
      <c r="I1475" s="221" t="s">
        <v>4</v>
      </c>
      <c r="J1475" s="223">
        <v>4750</v>
      </c>
      <c r="K1475" s="224">
        <v>1</v>
      </c>
      <c r="L1475" s="224">
        <v>1</v>
      </c>
      <c r="M1475" s="225">
        <f t="shared" si="864"/>
        <v>4750</v>
      </c>
      <c r="N1475" s="226">
        <v>4.1500000000000004</v>
      </c>
      <c r="O1475" s="227">
        <v>0</v>
      </c>
      <c r="P1475" s="228">
        <f t="shared" si="865"/>
        <v>19712.5</v>
      </c>
      <c r="Q1475" s="228">
        <f t="shared" si="866"/>
        <v>0</v>
      </c>
      <c r="R1475" s="229">
        <f t="shared" si="867"/>
        <v>19712.5</v>
      </c>
      <c r="S1475" s="229">
        <f t="shared" si="868"/>
        <v>-19712.5</v>
      </c>
      <c r="T1475" s="229">
        <f t="shared" si="880"/>
        <v>20</v>
      </c>
      <c r="U1475" s="229">
        <f t="shared" si="870"/>
        <v>5.48</v>
      </c>
      <c r="V1475" s="229">
        <f t="shared" si="871"/>
        <v>0</v>
      </c>
      <c r="W1475" s="229">
        <f t="shared" si="872"/>
        <v>0.59</v>
      </c>
      <c r="X1475" s="229">
        <f t="shared" si="873"/>
        <v>10.45</v>
      </c>
      <c r="Y1475" s="229">
        <f t="shared" si="874"/>
        <v>0.02</v>
      </c>
      <c r="Z1475" s="229">
        <f t="shared" si="875"/>
        <v>36.54</v>
      </c>
      <c r="AA1475" s="230">
        <f t="shared" si="876"/>
        <v>-19749.04</v>
      </c>
      <c r="AB1475" s="231">
        <v>-19749.45</v>
      </c>
      <c r="AC1475" s="232">
        <f t="shared" si="877"/>
        <v>-0.40999999999985448</v>
      </c>
      <c r="AD1475" s="233">
        <f t="shared" si="878"/>
        <v>-1</v>
      </c>
      <c r="AE1475" s="234">
        <f t="shared" si="879"/>
        <v>1.854E-3</v>
      </c>
      <c r="AF1475" s="229"/>
      <c r="AG1475" s="235" t="s">
        <v>416</v>
      </c>
      <c r="AH1475" s="124"/>
    </row>
    <row r="1476" spans="1:34" ht="12" hidden="1" customHeight="1">
      <c r="A1476" s="155">
        <v>44670</v>
      </c>
      <c r="B1476" s="221" t="s">
        <v>760</v>
      </c>
      <c r="C1476" s="7" t="s">
        <v>485</v>
      </c>
      <c r="D1476" s="221" t="str">
        <f t="shared" ca="1" si="863"/>
        <v>Stocks</v>
      </c>
      <c r="E1476" s="221" t="str">
        <f ca="1">IFERROR(__xludf.DUMMYFUNCTION("split(B1476,"" "")"),"SAIL")</f>
        <v>SAIL</v>
      </c>
      <c r="F1476" s="221" t="str">
        <f ca="1">IFERROR(__xludf.DUMMYFUNCTION("""COMPUTED_VALUE"""),"28!APR")</f>
        <v>28!APR</v>
      </c>
      <c r="G1476" s="221">
        <f ca="1">IFERROR(__xludf.DUMMYFUNCTION("""COMPUTED_VALUE"""),113)</f>
        <v>113</v>
      </c>
      <c r="H1476" s="221" t="str">
        <f ca="1">IFERROR(__xludf.DUMMYFUNCTION("""COMPUTED_VALUE"""),"CE")</f>
        <v>CE</v>
      </c>
      <c r="I1476" s="221" t="s">
        <v>4</v>
      </c>
      <c r="J1476" s="223">
        <v>4750</v>
      </c>
      <c r="K1476" s="224">
        <v>1</v>
      </c>
      <c r="L1476" s="224">
        <v>1</v>
      </c>
      <c r="M1476" s="225">
        <f t="shared" si="864"/>
        <v>4750</v>
      </c>
      <c r="N1476" s="226">
        <v>0</v>
      </c>
      <c r="O1476" s="227">
        <v>1.8</v>
      </c>
      <c r="P1476" s="228">
        <f t="shared" si="865"/>
        <v>0</v>
      </c>
      <c r="Q1476" s="228">
        <f t="shared" si="866"/>
        <v>8550</v>
      </c>
      <c r="R1476" s="229">
        <f t="shared" si="867"/>
        <v>8550</v>
      </c>
      <c r="S1476" s="229">
        <f t="shared" si="868"/>
        <v>8550</v>
      </c>
      <c r="T1476" s="229">
        <f t="shared" si="880"/>
        <v>20</v>
      </c>
      <c r="U1476" s="229">
        <f t="shared" si="870"/>
        <v>4.42</v>
      </c>
      <c r="V1476" s="229">
        <f t="shared" si="871"/>
        <v>4.28</v>
      </c>
      <c r="W1476" s="229">
        <f t="shared" si="872"/>
        <v>0</v>
      </c>
      <c r="X1476" s="229">
        <f t="shared" si="873"/>
        <v>4.53</v>
      </c>
      <c r="Y1476" s="229">
        <f t="shared" si="874"/>
        <v>0.01</v>
      </c>
      <c r="Z1476" s="229">
        <f t="shared" si="875"/>
        <v>33.24</v>
      </c>
      <c r="AA1476" s="230">
        <f t="shared" si="876"/>
        <v>8516.76</v>
      </c>
      <c r="AB1476" s="231">
        <v>8517.0400000000009</v>
      </c>
      <c r="AC1476" s="232">
        <f t="shared" si="877"/>
        <v>0.28000000000065484</v>
      </c>
      <c r="AD1476" s="233">
        <f t="shared" si="878"/>
        <v>0</v>
      </c>
      <c r="AE1476" s="234">
        <f t="shared" si="879"/>
        <v>3.888E-3</v>
      </c>
      <c r="AF1476" s="229"/>
      <c r="AG1476" s="235" t="s">
        <v>416</v>
      </c>
      <c r="AH1476" s="124"/>
    </row>
    <row r="1477" spans="1:34" ht="12" hidden="1" customHeight="1">
      <c r="A1477" s="220">
        <v>44664</v>
      </c>
      <c r="B1477" s="221" t="s">
        <v>761</v>
      </c>
      <c r="C1477" s="7" t="s">
        <v>485</v>
      </c>
      <c r="D1477" s="221" t="str">
        <f t="shared" ca="1" si="863"/>
        <v>Stocks</v>
      </c>
      <c r="E1477" s="221" t="str">
        <f ca="1">IFERROR(__xludf.DUMMYFUNCTION("split(B1477,"" "")"),"FSL")</f>
        <v>FSL</v>
      </c>
      <c r="F1477" s="221" t="str">
        <f ca="1">IFERROR(__xludf.DUMMYFUNCTION("""COMPUTED_VALUE"""),"28!APR")</f>
        <v>28!APR</v>
      </c>
      <c r="G1477" s="221">
        <f ca="1">IFERROR(__xludf.DUMMYFUNCTION("""COMPUTED_VALUE"""),140)</f>
        <v>140</v>
      </c>
      <c r="H1477" s="221" t="str">
        <f ca="1">IFERROR(__xludf.DUMMYFUNCTION("""COMPUTED_VALUE"""),"CE")</f>
        <v>CE</v>
      </c>
      <c r="I1477" s="221" t="s">
        <v>4</v>
      </c>
      <c r="J1477" s="223">
        <v>2600</v>
      </c>
      <c r="K1477" s="224">
        <v>1</v>
      </c>
      <c r="L1477" s="224">
        <v>1</v>
      </c>
      <c r="M1477" s="225">
        <f t="shared" si="864"/>
        <v>2600</v>
      </c>
      <c r="N1477" s="226">
        <v>3.3</v>
      </c>
      <c r="O1477" s="227">
        <v>3.2</v>
      </c>
      <c r="P1477" s="228">
        <f t="shared" si="865"/>
        <v>8580</v>
      </c>
      <c r="Q1477" s="228">
        <f t="shared" si="866"/>
        <v>8320</v>
      </c>
      <c r="R1477" s="229">
        <f t="shared" si="867"/>
        <v>16900</v>
      </c>
      <c r="S1477" s="229">
        <f t="shared" si="868"/>
        <v>-259.99999999999909</v>
      </c>
      <c r="T1477" s="229">
        <f t="shared" si="880"/>
        <v>40</v>
      </c>
      <c r="U1477" s="229">
        <f t="shared" si="870"/>
        <v>8.81</v>
      </c>
      <c r="V1477" s="229">
        <f t="shared" si="871"/>
        <v>4.16</v>
      </c>
      <c r="W1477" s="229">
        <f t="shared" si="872"/>
        <v>0.26</v>
      </c>
      <c r="X1477" s="229">
        <f t="shared" si="873"/>
        <v>8.9600000000000009</v>
      </c>
      <c r="Y1477" s="229">
        <f t="shared" si="874"/>
        <v>0.02</v>
      </c>
      <c r="Z1477" s="229">
        <f t="shared" si="875"/>
        <v>62.21</v>
      </c>
      <c r="AA1477" s="230">
        <f t="shared" si="876"/>
        <v>-322.20999999999998</v>
      </c>
      <c r="AB1477" s="231">
        <v>-322</v>
      </c>
      <c r="AC1477" s="232">
        <f t="shared" si="877"/>
        <v>0.20999999999997954</v>
      </c>
      <c r="AD1477" s="233">
        <f t="shared" si="878"/>
        <v>-3.0303030303030196E-2</v>
      </c>
      <c r="AE1477" s="234">
        <f t="shared" si="879"/>
        <v>3.6809999999999998E-3</v>
      </c>
      <c r="AF1477" s="229"/>
      <c r="AG1477" s="235" t="s">
        <v>416</v>
      </c>
      <c r="AH1477" s="124"/>
    </row>
    <row r="1478" spans="1:34" ht="12" hidden="1" customHeight="1">
      <c r="A1478" s="154">
        <v>44664</v>
      </c>
      <c r="B1478" s="221" t="s">
        <v>761</v>
      </c>
      <c r="C1478" s="7" t="s">
        <v>485</v>
      </c>
      <c r="D1478" s="221" t="str">
        <f t="shared" ca="1" si="863"/>
        <v>Stocks</v>
      </c>
      <c r="E1478" s="221" t="str">
        <f ca="1">IFERROR(__xludf.DUMMYFUNCTION("split(B1478,"" "")"),"FSL")</f>
        <v>FSL</v>
      </c>
      <c r="F1478" s="221" t="str">
        <f ca="1">IFERROR(__xludf.DUMMYFUNCTION("""COMPUTED_VALUE"""),"28!APR")</f>
        <v>28!APR</v>
      </c>
      <c r="G1478" s="221">
        <f ca="1">IFERROR(__xludf.DUMMYFUNCTION("""COMPUTED_VALUE"""),140)</f>
        <v>140</v>
      </c>
      <c r="H1478" s="221" t="str">
        <f ca="1">IFERROR(__xludf.DUMMYFUNCTION("""COMPUTED_VALUE"""),"CE")</f>
        <v>CE</v>
      </c>
      <c r="I1478" s="221" t="s">
        <v>4</v>
      </c>
      <c r="J1478" s="223">
        <v>2600</v>
      </c>
      <c r="K1478" s="224">
        <v>1</v>
      </c>
      <c r="L1478" s="224">
        <v>1</v>
      </c>
      <c r="M1478" s="225">
        <f t="shared" si="864"/>
        <v>2600</v>
      </c>
      <c r="N1478" s="226">
        <v>3.25</v>
      </c>
      <c r="O1478" s="227">
        <v>0</v>
      </c>
      <c r="P1478" s="228">
        <f t="shared" si="865"/>
        <v>8450</v>
      </c>
      <c r="Q1478" s="228">
        <f t="shared" si="866"/>
        <v>0</v>
      </c>
      <c r="R1478" s="229">
        <f t="shared" si="867"/>
        <v>8450</v>
      </c>
      <c r="S1478" s="229">
        <f t="shared" si="868"/>
        <v>-8450</v>
      </c>
      <c r="T1478" s="229">
        <f t="shared" si="880"/>
        <v>20</v>
      </c>
      <c r="U1478" s="229">
        <f t="shared" si="870"/>
        <v>4.41</v>
      </c>
      <c r="V1478" s="229">
        <f t="shared" si="871"/>
        <v>0</v>
      </c>
      <c r="W1478" s="229">
        <f t="shared" si="872"/>
        <v>0.25</v>
      </c>
      <c r="X1478" s="229">
        <f t="shared" si="873"/>
        <v>4.4800000000000004</v>
      </c>
      <c r="Y1478" s="229">
        <f t="shared" si="874"/>
        <v>0.01</v>
      </c>
      <c r="Z1478" s="229">
        <f t="shared" si="875"/>
        <v>29.150000000000002</v>
      </c>
      <c r="AA1478" s="230">
        <f t="shared" si="876"/>
        <v>-8479.15</v>
      </c>
      <c r="AB1478" s="231">
        <v>-8479.2999999999993</v>
      </c>
      <c r="AC1478" s="232">
        <f t="shared" si="877"/>
        <v>-0.1499999999996362</v>
      </c>
      <c r="AD1478" s="233">
        <f t="shared" si="878"/>
        <v>-1</v>
      </c>
      <c r="AE1478" s="234">
        <f t="shared" si="879"/>
        <v>3.4499999999999999E-3</v>
      </c>
      <c r="AF1478" s="229"/>
      <c r="AG1478" s="235" t="s">
        <v>416</v>
      </c>
      <c r="AH1478" s="124"/>
    </row>
    <row r="1479" spans="1:34" ht="12" hidden="1" customHeight="1">
      <c r="A1479" s="155">
        <v>44671</v>
      </c>
      <c r="B1479" s="221" t="s">
        <v>761</v>
      </c>
      <c r="C1479" s="7" t="s">
        <v>485</v>
      </c>
      <c r="D1479" s="221" t="str">
        <f t="shared" ca="1" si="863"/>
        <v>Stocks</v>
      </c>
      <c r="E1479" s="221" t="str">
        <f ca="1">IFERROR(__xludf.DUMMYFUNCTION("split(B1479,"" "")"),"FSL")</f>
        <v>FSL</v>
      </c>
      <c r="F1479" s="221" t="str">
        <f ca="1">IFERROR(__xludf.DUMMYFUNCTION("""COMPUTED_VALUE"""),"28!APR")</f>
        <v>28!APR</v>
      </c>
      <c r="G1479" s="221">
        <f ca="1">IFERROR(__xludf.DUMMYFUNCTION("""COMPUTED_VALUE"""),140)</f>
        <v>140</v>
      </c>
      <c r="H1479" s="221" t="str">
        <f ca="1">IFERROR(__xludf.DUMMYFUNCTION("""COMPUTED_VALUE"""),"CE")</f>
        <v>CE</v>
      </c>
      <c r="I1479" s="221" t="s">
        <v>4</v>
      </c>
      <c r="J1479" s="223">
        <v>2600</v>
      </c>
      <c r="K1479" s="224">
        <v>1</v>
      </c>
      <c r="L1479" s="224">
        <v>1</v>
      </c>
      <c r="M1479" s="225">
        <f t="shared" si="864"/>
        <v>2600</v>
      </c>
      <c r="N1479" s="226">
        <v>0</v>
      </c>
      <c r="O1479" s="227">
        <v>0.8</v>
      </c>
      <c r="P1479" s="228">
        <f t="shared" si="865"/>
        <v>0</v>
      </c>
      <c r="Q1479" s="228">
        <f t="shared" si="866"/>
        <v>2080</v>
      </c>
      <c r="R1479" s="229">
        <f t="shared" si="867"/>
        <v>2080</v>
      </c>
      <c r="S1479" s="229">
        <f t="shared" si="868"/>
        <v>2080</v>
      </c>
      <c r="T1479" s="229">
        <f t="shared" si="880"/>
        <v>20</v>
      </c>
      <c r="U1479" s="229">
        <f t="shared" si="870"/>
        <v>3.8</v>
      </c>
      <c r="V1479" s="229">
        <f t="shared" si="871"/>
        <v>1.04</v>
      </c>
      <c r="W1479" s="229">
        <f t="shared" si="872"/>
        <v>0</v>
      </c>
      <c r="X1479" s="229">
        <f t="shared" si="873"/>
        <v>1.1000000000000001</v>
      </c>
      <c r="Y1479" s="229">
        <f t="shared" si="874"/>
        <v>0</v>
      </c>
      <c r="Z1479" s="229">
        <f t="shared" si="875"/>
        <v>25.94</v>
      </c>
      <c r="AA1479" s="230">
        <f t="shared" si="876"/>
        <v>2054.06</v>
      </c>
      <c r="AB1479" s="231">
        <v>2054</v>
      </c>
      <c r="AC1479" s="232">
        <f t="shared" si="877"/>
        <v>-5.999999999994543E-2</v>
      </c>
      <c r="AD1479" s="233">
        <f t="shared" si="878"/>
        <v>0</v>
      </c>
      <c r="AE1479" s="234">
        <f t="shared" si="879"/>
        <v>1.2470999999999999E-2</v>
      </c>
      <c r="AF1479" s="229"/>
      <c r="AG1479" s="235" t="s">
        <v>416</v>
      </c>
      <c r="AH1479" s="124"/>
    </row>
    <row r="1480" spans="1:34" ht="12" hidden="1" customHeight="1">
      <c r="A1480" s="154">
        <v>44664</v>
      </c>
      <c r="B1480" s="221" t="s">
        <v>761</v>
      </c>
      <c r="C1480" s="7" t="s">
        <v>485</v>
      </c>
      <c r="D1480" s="221" t="str">
        <f t="shared" ca="1" si="863"/>
        <v>Stocks</v>
      </c>
      <c r="E1480" s="221" t="str">
        <f ca="1">IFERROR(__xludf.DUMMYFUNCTION("split(B1480,"" "")"),"FSL")</f>
        <v>FSL</v>
      </c>
      <c r="F1480" s="221" t="str">
        <f ca="1">IFERROR(__xludf.DUMMYFUNCTION("""COMPUTED_VALUE"""),"28!APR")</f>
        <v>28!APR</v>
      </c>
      <c r="G1480" s="221">
        <f ca="1">IFERROR(__xludf.DUMMYFUNCTION("""COMPUTED_VALUE"""),140)</f>
        <v>140</v>
      </c>
      <c r="H1480" s="221" t="str">
        <f ca="1">IFERROR(__xludf.DUMMYFUNCTION("""COMPUTED_VALUE"""),"CE")</f>
        <v>CE</v>
      </c>
      <c r="I1480" s="221" t="s">
        <v>4</v>
      </c>
      <c r="J1480" s="223">
        <v>2600</v>
      </c>
      <c r="K1480" s="224">
        <v>1</v>
      </c>
      <c r="L1480" s="224">
        <v>1</v>
      </c>
      <c r="M1480" s="225">
        <f t="shared" si="864"/>
        <v>2600</v>
      </c>
      <c r="N1480" s="226">
        <v>2.5</v>
      </c>
      <c r="O1480" s="227">
        <v>0</v>
      </c>
      <c r="P1480" s="228">
        <f t="shared" si="865"/>
        <v>6500</v>
      </c>
      <c r="Q1480" s="228">
        <f t="shared" si="866"/>
        <v>0</v>
      </c>
      <c r="R1480" s="229">
        <f t="shared" si="867"/>
        <v>6500</v>
      </c>
      <c r="S1480" s="229">
        <f t="shared" si="868"/>
        <v>-6500</v>
      </c>
      <c r="T1480" s="229">
        <f t="shared" si="880"/>
        <v>20</v>
      </c>
      <c r="U1480" s="229">
        <f t="shared" si="870"/>
        <v>4.22</v>
      </c>
      <c r="V1480" s="229">
        <f t="shared" si="871"/>
        <v>0</v>
      </c>
      <c r="W1480" s="229">
        <f t="shared" si="872"/>
        <v>0.2</v>
      </c>
      <c r="X1480" s="229">
        <f t="shared" si="873"/>
        <v>3.45</v>
      </c>
      <c r="Y1480" s="229">
        <f t="shared" si="874"/>
        <v>0.01</v>
      </c>
      <c r="Z1480" s="229">
        <f t="shared" si="875"/>
        <v>27.88</v>
      </c>
      <c r="AA1480" s="230">
        <f t="shared" si="876"/>
        <v>-6527.88</v>
      </c>
      <c r="AB1480" s="231">
        <v>-6528.05</v>
      </c>
      <c r="AC1480" s="232">
        <f t="shared" si="877"/>
        <v>-0.17000000000007276</v>
      </c>
      <c r="AD1480" s="233">
        <f t="shared" si="878"/>
        <v>-1</v>
      </c>
      <c r="AE1480" s="234">
        <f t="shared" si="879"/>
        <v>4.2890000000000003E-3</v>
      </c>
      <c r="AF1480" s="229"/>
      <c r="AG1480" s="235" t="s">
        <v>416</v>
      </c>
      <c r="AH1480" s="124"/>
    </row>
    <row r="1481" spans="1:34" ht="12" hidden="1" customHeight="1">
      <c r="A1481" s="155">
        <v>44672</v>
      </c>
      <c r="B1481" s="221" t="s">
        <v>761</v>
      </c>
      <c r="C1481" s="7" t="s">
        <v>485</v>
      </c>
      <c r="D1481" s="221" t="str">
        <f t="shared" ca="1" si="863"/>
        <v>Stocks</v>
      </c>
      <c r="E1481" s="221" t="str">
        <f ca="1">IFERROR(__xludf.DUMMYFUNCTION("split(B1481,"" "")"),"FSL")</f>
        <v>FSL</v>
      </c>
      <c r="F1481" s="221" t="str">
        <f ca="1">IFERROR(__xludf.DUMMYFUNCTION("""COMPUTED_VALUE"""),"28!APR")</f>
        <v>28!APR</v>
      </c>
      <c r="G1481" s="221">
        <f ca="1">IFERROR(__xludf.DUMMYFUNCTION("""COMPUTED_VALUE"""),140)</f>
        <v>140</v>
      </c>
      <c r="H1481" s="221" t="str">
        <f ca="1">IFERROR(__xludf.DUMMYFUNCTION("""COMPUTED_VALUE"""),"CE")</f>
        <v>CE</v>
      </c>
      <c r="I1481" s="221" t="s">
        <v>4</v>
      </c>
      <c r="J1481" s="223">
        <v>2600</v>
      </c>
      <c r="K1481" s="224">
        <v>1</v>
      </c>
      <c r="L1481" s="224">
        <v>1</v>
      </c>
      <c r="M1481" s="225">
        <f t="shared" si="864"/>
        <v>2600</v>
      </c>
      <c r="N1481" s="226">
        <v>0</v>
      </c>
      <c r="O1481" s="227">
        <v>0.8</v>
      </c>
      <c r="P1481" s="228">
        <f t="shared" si="865"/>
        <v>0</v>
      </c>
      <c r="Q1481" s="228">
        <f t="shared" si="866"/>
        <v>2080</v>
      </c>
      <c r="R1481" s="229">
        <f t="shared" si="867"/>
        <v>2080</v>
      </c>
      <c r="S1481" s="229">
        <f t="shared" si="868"/>
        <v>2080</v>
      </c>
      <c r="T1481" s="229">
        <f t="shared" si="880"/>
        <v>20</v>
      </c>
      <c r="U1481" s="229">
        <f t="shared" si="870"/>
        <v>3.8</v>
      </c>
      <c r="V1481" s="229">
        <f t="shared" si="871"/>
        <v>1.04</v>
      </c>
      <c r="W1481" s="229">
        <f t="shared" si="872"/>
        <v>0</v>
      </c>
      <c r="X1481" s="229">
        <f t="shared" si="873"/>
        <v>1.1000000000000001</v>
      </c>
      <c r="Y1481" s="229">
        <f t="shared" si="874"/>
        <v>0</v>
      </c>
      <c r="Z1481" s="229">
        <f t="shared" si="875"/>
        <v>25.94</v>
      </c>
      <c r="AA1481" s="230">
        <f t="shared" si="876"/>
        <v>2054.06</v>
      </c>
      <c r="AB1481" s="231">
        <v>2054</v>
      </c>
      <c r="AC1481" s="232">
        <f t="shared" si="877"/>
        <v>-5.999999999994543E-2</v>
      </c>
      <c r="AD1481" s="233">
        <f t="shared" si="878"/>
        <v>0</v>
      </c>
      <c r="AE1481" s="234">
        <f t="shared" si="879"/>
        <v>1.2470999999999999E-2</v>
      </c>
      <c r="AF1481" s="229"/>
      <c r="AG1481" s="235" t="s">
        <v>416</v>
      </c>
      <c r="AH1481" s="124"/>
    </row>
    <row r="1482" spans="1:34" ht="12" hidden="1" customHeight="1">
      <c r="A1482" s="220">
        <v>44671</v>
      </c>
      <c r="B1482" s="221" t="s">
        <v>762</v>
      </c>
      <c r="C1482" s="7" t="s">
        <v>485</v>
      </c>
      <c r="D1482" s="221" t="str">
        <f t="shared" ca="1" si="863"/>
        <v>Indices</v>
      </c>
      <c r="E1482" s="221" t="str">
        <f ca="1">IFERROR(__xludf.DUMMYFUNCTION("split(B1482,"" "")"),"NIFTY")</f>
        <v>NIFTY</v>
      </c>
      <c r="F1482" s="236" t="str">
        <f ca="1">IFERROR(__xludf.DUMMYFUNCTION("""COMPUTED_VALUE"""),"21!APR")</f>
        <v>21!APR</v>
      </c>
      <c r="G1482" s="221">
        <f ca="1">IFERROR(__xludf.DUMMYFUNCTION("""COMPUTED_VALUE"""),17100)</f>
        <v>17100</v>
      </c>
      <c r="H1482" s="221" t="str">
        <f ca="1">IFERROR(__xludf.DUMMYFUNCTION("""COMPUTED_VALUE"""),"PE")</f>
        <v>PE</v>
      </c>
      <c r="I1482" s="221" t="s">
        <v>4</v>
      </c>
      <c r="J1482" s="223">
        <v>50</v>
      </c>
      <c r="K1482" s="224">
        <v>1</v>
      </c>
      <c r="L1482" s="224">
        <v>1</v>
      </c>
      <c r="M1482" s="225">
        <f t="shared" si="864"/>
        <v>50</v>
      </c>
      <c r="N1482" s="226">
        <v>57.8</v>
      </c>
      <c r="O1482" s="227">
        <v>95</v>
      </c>
      <c r="P1482" s="228">
        <f t="shared" si="865"/>
        <v>2890</v>
      </c>
      <c r="Q1482" s="228">
        <f t="shared" si="866"/>
        <v>4750</v>
      </c>
      <c r="R1482" s="229">
        <f t="shared" si="867"/>
        <v>7640</v>
      </c>
      <c r="S1482" s="229">
        <f t="shared" si="868"/>
        <v>1860.0000000000002</v>
      </c>
      <c r="T1482" s="229">
        <f t="shared" si="880"/>
        <v>40</v>
      </c>
      <c r="U1482" s="229">
        <f t="shared" si="870"/>
        <v>7.93</v>
      </c>
      <c r="V1482" s="229">
        <f t="shared" si="871"/>
        <v>2.38</v>
      </c>
      <c r="W1482" s="229">
        <f t="shared" si="872"/>
        <v>0.09</v>
      </c>
      <c r="X1482" s="229">
        <f t="shared" si="873"/>
        <v>4.05</v>
      </c>
      <c r="Y1482" s="229">
        <f t="shared" si="874"/>
        <v>0.01</v>
      </c>
      <c r="Z1482" s="229">
        <f t="shared" si="875"/>
        <v>54.46</v>
      </c>
      <c r="AA1482" s="230">
        <f t="shared" si="876"/>
        <v>1805.54</v>
      </c>
      <c r="AB1482" s="231">
        <v>1805.56</v>
      </c>
      <c r="AC1482" s="232">
        <f t="shared" si="877"/>
        <v>1.999999999998181E-2</v>
      </c>
      <c r="AD1482" s="233">
        <f t="shared" si="878"/>
        <v>0.64359861591695511</v>
      </c>
      <c r="AE1482" s="234">
        <f t="shared" si="879"/>
        <v>7.1279999999999998E-3</v>
      </c>
      <c r="AF1482" s="229"/>
      <c r="AG1482" s="235" t="s">
        <v>416</v>
      </c>
      <c r="AH1482" s="124"/>
    </row>
    <row r="1483" spans="1:34" ht="12" hidden="1" customHeight="1">
      <c r="A1483" s="220">
        <v>44671</v>
      </c>
      <c r="B1483" s="221" t="s">
        <v>763</v>
      </c>
      <c r="C1483" s="7" t="s">
        <v>485</v>
      </c>
      <c r="D1483" s="221" t="str">
        <f t="shared" ca="1" si="863"/>
        <v>Indices</v>
      </c>
      <c r="E1483" s="221" t="str">
        <f ca="1">IFERROR(__xludf.DUMMYFUNCTION("split(B1483,"" "")"),"BANKNIFTY")</f>
        <v>BANKNIFTY</v>
      </c>
      <c r="F1483" s="236" t="str">
        <f ca="1">IFERROR(__xludf.DUMMYFUNCTION("""COMPUTED_VALUE"""),"21!APR")</f>
        <v>21!APR</v>
      </c>
      <c r="G1483" s="221">
        <f ca="1">IFERROR(__xludf.DUMMYFUNCTION("""COMPUTED_VALUE"""),36200)</f>
        <v>36200</v>
      </c>
      <c r="H1483" s="221" t="str">
        <f ca="1">IFERROR(__xludf.DUMMYFUNCTION("""COMPUTED_VALUE"""),"PE")</f>
        <v>PE</v>
      </c>
      <c r="I1483" s="221" t="s">
        <v>4</v>
      </c>
      <c r="J1483" s="223">
        <v>25</v>
      </c>
      <c r="K1483" s="224">
        <v>1</v>
      </c>
      <c r="L1483" s="224">
        <v>1</v>
      </c>
      <c r="M1483" s="225">
        <f t="shared" si="864"/>
        <v>25</v>
      </c>
      <c r="N1483" s="226">
        <v>140</v>
      </c>
      <c r="O1483" s="227">
        <v>101.7</v>
      </c>
      <c r="P1483" s="228">
        <f t="shared" si="865"/>
        <v>3500</v>
      </c>
      <c r="Q1483" s="228">
        <f t="shared" si="866"/>
        <v>2542.5</v>
      </c>
      <c r="R1483" s="229">
        <f t="shared" si="867"/>
        <v>6042.5</v>
      </c>
      <c r="S1483" s="229">
        <f t="shared" si="868"/>
        <v>-957.49999999999989</v>
      </c>
      <c r="T1483" s="229">
        <f t="shared" si="880"/>
        <v>40</v>
      </c>
      <c r="U1483" s="229">
        <f t="shared" si="870"/>
        <v>7.78</v>
      </c>
      <c r="V1483" s="229">
        <f t="shared" si="871"/>
        <v>1.27</v>
      </c>
      <c r="W1483" s="229">
        <f t="shared" si="872"/>
        <v>0.11</v>
      </c>
      <c r="X1483" s="229">
        <f t="shared" si="873"/>
        <v>3.2</v>
      </c>
      <c r="Y1483" s="229">
        <f t="shared" si="874"/>
        <v>0.01</v>
      </c>
      <c r="Z1483" s="229">
        <f t="shared" si="875"/>
        <v>52.370000000000005</v>
      </c>
      <c r="AA1483" s="230">
        <f t="shared" si="876"/>
        <v>-1009.87</v>
      </c>
      <c r="AB1483" s="231">
        <v>-1010</v>
      </c>
      <c r="AC1483" s="232">
        <f t="shared" si="877"/>
        <v>-0.12999999999999545</v>
      </c>
      <c r="AD1483" s="233">
        <f t="shared" si="878"/>
        <v>-0.27357142857142858</v>
      </c>
      <c r="AE1483" s="234">
        <f t="shared" si="879"/>
        <v>8.6669999999999994E-3</v>
      </c>
      <c r="AF1483" s="229"/>
      <c r="AG1483" s="235" t="s">
        <v>416</v>
      </c>
      <c r="AH1483" s="124"/>
    </row>
    <row r="1484" spans="1:34" ht="12" hidden="1" customHeight="1">
      <c r="A1484" s="220">
        <v>44671</v>
      </c>
      <c r="B1484" s="221" t="s">
        <v>763</v>
      </c>
      <c r="C1484" s="7" t="s">
        <v>485</v>
      </c>
      <c r="D1484" s="221" t="str">
        <f t="shared" ca="1" si="863"/>
        <v>Indices</v>
      </c>
      <c r="E1484" s="221" t="str">
        <f ca="1">IFERROR(__xludf.DUMMYFUNCTION("split(B1484,"" "")"),"BANKNIFTY")</f>
        <v>BANKNIFTY</v>
      </c>
      <c r="F1484" s="236" t="str">
        <f ca="1">IFERROR(__xludf.DUMMYFUNCTION("""COMPUTED_VALUE"""),"21!APR")</f>
        <v>21!APR</v>
      </c>
      <c r="G1484" s="221">
        <f ca="1">IFERROR(__xludf.DUMMYFUNCTION("""COMPUTED_VALUE"""),36200)</f>
        <v>36200</v>
      </c>
      <c r="H1484" s="221" t="str">
        <f ca="1">IFERROR(__xludf.DUMMYFUNCTION("""COMPUTED_VALUE"""),"PE")</f>
        <v>PE</v>
      </c>
      <c r="I1484" s="221" t="s">
        <v>4</v>
      </c>
      <c r="J1484" s="223">
        <v>25</v>
      </c>
      <c r="K1484" s="224">
        <v>1</v>
      </c>
      <c r="L1484" s="224">
        <v>1</v>
      </c>
      <c r="M1484" s="225">
        <f t="shared" si="864"/>
        <v>25</v>
      </c>
      <c r="N1484" s="226">
        <v>170</v>
      </c>
      <c r="O1484" s="227">
        <v>200</v>
      </c>
      <c r="P1484" s="228">
        <f t="shared" si="865"/>
        <v>4250</v>
      </c>
      <c r="Q1484" s="228">
        <f t="shared" si="866"/>
        <v>5000</v>
      </c>
      <c r="R1484" s="229">
        <f t="shared" si="867"/>
        <v>9250</v>
      </c>
      <c r="S1484" s="229">
        <f t="shared" si="868"/>
        <v>750</v>
      </c>
      <c r="T1484" s="229">
        <f t="shared" si="880"/>
        <v>40</v>
      </c>
      <c r="U1484" s="229">
        <f t="shared" si="870"/>
        <v>8.08</v>
      </c>
      <c r="V1484" s="229">
        <f t="shared" si="871"/>
        <v>2.5</v>
      </c>
      <c r="W1484" s="229">
        <f t="shared" si="872"/>
        <v>0.13</v>
      </c>
      <c r="X1484" s="229">
        <f t="shared" si="873"/>
        <v>4.9000000000000004</v>
      </c>
      <c r="Y1484" s="229">
        <f t="shared" si="874"/>
        <v>0.01</v>
      </c>
      <c r="Z1484" s="229">
        <f t="shared" si="875"/>
        <v>55.62</v>
      </c>
      <c r="AA1484" s="230">
        <f t="shared" si="876"/>
        <v>694.38</v>
      </c>
      <c r="AB1484" s="231">
        <v>694</v>
      </c>
      <c r="AC1484" s="232">
        <f t="shared" si="877"/>
        <v>-0.37999999999999545</v>
      </c>
      <c r="AD1484" s="233">
        <f t="shared" si="878"/>
        <v>0.17647058823529413</v>
      </c>
      <c r="AE1484" s="234">
        <f t="shared" si="879"/>
        <v>6.0130000000000001E-3</v>
      </c>
      <c r="AF1484" s="229"/>
      <c r="AG1484" s="235" t="s">
        <v>416</v>
      </c>
      <c r="AH1484" s="124"/>
    </row>
    <row r="1485" spans="1:34" ht="12" hidden="1" customHeight="1">
      <c r="A1485" s="154">
        <v>44671</v>
      </c>
      <c r="B1485" s="221" t="s">
        <v>763</v>
      </c>
      <c r="C1485" s="7" t="s">
        <v>485</v>
      </c>
      <c r="D1485" s="221" t="str">
        <f t="shared" ca="1" si="863"/>
        <v>Indices</v>
      </c>
      <c r="E1485" s="221" t="str">
        <f ca="1">IFERROR(__xludf.DUMMYFUNCTION("split(B1485,"" "")"),"BANKNIFTY")</f>
        <v>BANKNIFTY</v>
      </c>
      <c r="F1485" s="236" t="str">
        <f ca="1">IFERROR(__xludf.DUMMYFUNCTION("""COMPUTED_VALUE"""),"21!APR")</f>
        <v>21!APR</v>
      </c>
      <c r="G1485" s="221">
        <f ca="1">IFERROR(__xludf.DUMMYFUNCTION("""COMPUTED_VALUE"""),36200)</f>
        <v>36200</v>
      </c>
      <c r="H1485" s="221" t="str">
        <f ca="1">IFERROR(__xludf.DUMMYFUNCTION("""COMPUTED_VALUE"""),"PE")</f>
        <v>PE</v>
      </c>
      <c r="I1485" s="221" t="s">
        <v>4</v>
      </c>
      <c r="J1485" s="223">
        <v>25</v>
      </c>
      <c r="K1485" s="224">
        <v>1</v>
      </c>
      <c r="L1485" s="224">
        <v>1</v>
      </c>
      <c r="M1485" s="225">
        <f t="shared" si="864"/>
        <v>25</v>
      </c>
      <c r="N1485" s="226">
        <v>150</v>
      </c>
      <c r="O1485" s="227">
        <v>0</v>
      </c>
      <c r="P1485" s="228">
        <f t="shared" si="865"/>
        <v>3750</v>
      </c>
      <c r="Q1485" s="228">
        <f t="shared" si="866"/>
        <v>0</v>
      </c>
      <c r="R1485" s="229">
        <f t="shared" si="867"/>
        <v>3750</v>
      </c>
      <c r="S1485" s="229">
        <f t="shared" si="868"/>
        <v>-3750</v>
      </c>
      <c r="T1485" s="229">
        <f t="shared" si="880"/>
        <v>20</v>
      </c>
      <c r="U1485" s="229">
        <f t="shared" si="870"/>
        <v>3.96</v>
      </c>
      <c r="V1485" s="229">
        <f t="shared" si="871"/>
        <v>0</v>
      </c>
      <c r="W1485" s="229">
        <f t="shared" si="872"/>
        <v>0.11</v>
      </c>
      <c r="X1485" s="229">
        <f t="shared" si="873"/>
        <v>1.99</v>
      </c>
      <c r="Y1485" s="229">
        <f t="shared" si="874"/>
        <v>0</v>
      </c>
      <c r="Z1485" s="229">
        <f t="shared" si="875"/>
        <v>26.06</v>
      </c>
      <c r="AA1485" s="230">
        <f t="shared" si="876"/>
        <v>-3776.06</v>
      </c>
      <c r="AB1485" s="231">
        <v>-3776</v>
      </c>
      <c r="AC1485" s="232">
        <f t="shared" si="877"/>
        <v>5.999999999994543E-2</v>
      </c>
      <c r="AD1485" s="233">
        <f t="shared" si="878"/>
        <v>-1</v>
      </c>
      <c r="AE1485" s="234">
        <f t="shared" si="879"/>
        <v>6.9490000000000003E-3</v>
      </c>
      <c r="AF1485" s="229"/>
      <c r="AG1485" s="235" t="s">
        <v>416</v>
      </c>
      <c r="AH1485" s="124"/>
    </row>
    <row r="1486" spans="1:34" ht="12" hidden="1" customHeight="1">
      <c r="A1486" s="154">
        <v>44671</v>
      </c>
      <c r="B1486" s="221" t="s">
        <v>763</v>
      </c>
      <c r="C1486" s="7" t="s">
        <v>485</v>
      </c>
      <c r="D1486" s="221" t="str">
        <f t="shared" ca="1" si="863"/>
        <v>Indices</v>
      </c>
      <c r="E1486" s="221" t="str">
        <f ca="1">IFERROR(__xludf.DUMMYFUNCTION("split(B1486,"" "")"),"BANKNIFTY")</f>
        <v>BANKNIFTY</v>
      </c>
      <c r="F1486" s="236" t="str">
        <f ca="1">IFERROR(__xludf.DUMMYFUNCTION("""COMPUTED_VALUE"""),"21!APR")</f>
        <v>21!APR</v>
      </c>
      <c r="G1486" s="221">
        <f ca="1">IFERROR(__xludf.DUMMYFUNCTION("""COMPUTED_VALUE"""),36200)</f>
        <v>36200</v>
      </c>
      <c r="H1486" s="221" t="str">
        <f ca="1">IFERROR(__xludf.DUMMYFUNCTION("""COMPUTED_VALUE"""),"PE")</f>
        <v>PE</v>
      </c>
      <c r="I1486" s="221" t="s">
        <v>4</v>
      </c>
      <c r="J1486" s="223">
        <v>25</v>
      </c>
      <c r="K1486" s="224">
        <v>1</v>
      </c>
      <c r="L1486" s="224">
        <v>1</v>
      </c>
      <c r="M1486" s="225">
        <f t="shared" si="864"/>
        <v>25</v>
      </c>
      <c r="N1486" s="226">
        <v>97</v>
      </c>
      <c r="O1486" s="227">
        <v>0</v>
      </c>
      <c r="P1486" s="228">
        <f t="shared" si="865"/>
        <v>2425</v>
      </c>
      <c r="Q1486" s="228">
        <f t="shared" si="866"/>
        <v>0</v>
      </c>
      <c r="R1486" s="229">
        <f t="shared" si="867"/>
        <v>2425</v>
      </c>
      <c r="S1486" s="229">
        <f t="shared" si="868"/>
        <v>-2425</v>
      </c>
      <c r="T1486" s="229">
        <f t="shared" si="880"/>
        <v>20</v>
      </c>
      <c r="U1486" s="229">
        <f t="shared" si="870"/>
        <v>3.83</v>
      </c>
      <c r="V1486" s="229">
        <f t="shared" si="871"/>
        <v>0</v>
      </c>
      <c r="W1486" s="229">
        <f t="shared" si="872"/>
        <v>7.0000000000000007E-2</v>
      </c>
      <c r="X1486" s="229">
        <f t="shared" si="873"/>
        <v>1.29</v>
      </c>
      <c r="Y1486" s="229">
        <f t="shared" si="874"/>
        <v>0</v>
      </c>
      <c r="Z1486" s="229">
        <f t="shared" si="875"/>
        <v>25.189999999999998</v>
      </c>
      <c r="AA1486" s="230">
        <f t="shared" si="876"/>
        <v>-2450.19</v>
      </c>
      <c r="AB1486" s="231">
        <v>-2450</v>
      </c>
      <c r="AC1486" s="232">
        <f t="shared" si="877"/>
        <v>0.19000000000005457</v>
      </c>
      <c r="AD1486" s="233">
        <f t="shared" si="878"/>
        <v>-1</v>
      </c>
      <c r="AE1486" s="234">
        <f t="shared" si="879"/>
        <v>1.0388E-2</v>
      </c>
      <c r="AF1486" s="229"/>
      <c r="AG1486" s="235" t="s">
        <v>416</v>
      </c>
      <c r="AH1486" s="124"/>
    </row>
    <row r="1487" spans="1:34" ht="12" hidden="1" customHeight="1">
      <c r="A1487" s="155">
        <v>44672</v>
      </c>
      <c r="B1487" s="221" t="s">
        <v>763</v>
      </c>
      <c r="C1487" s="7" t="s">
        <v>485</v>
      </c>
      <c r="D1487" s="221" t="str">
        <f t="shared" ca="1" si="863"/>
        <v>Indices</v>
      </c>
      <c r="E1487" s="221" t="str">
        <f ca="1">IFERROR(__xludf.DUMMYFUNCTION("split(B1487,"" "")"),"BANKNIFTY")</f>
        <v>BANKNIFTY</v>
      </c>
      <c r="F1487" s="236" t="str">
        <f ca="1">IFERROR(__xludf.DUMMYFUNCTION("""COMPUTED_VALUE"""),"21!APR")</f>
        <v>21!APR</v>
      </c>
      <c r="G1487" s="221">
        <f ca="1">IFERROR(__xludf.DUMMYFUNCTION("""COMPUTED_VALUE"""),36200)</f>
        <v>36200</v>
      </c>
      <c r="H1487" s="221" t="str">
        <f ca="1">IFERROR(__xludf.DUMMYFUNCTION("""COMPUTED_VALUE"""),"PE")</f>
        <v>PE</v>
      </c>
      <c r="I1487" s="221" t="s">
        <v>4</v>
      </c>
      <c r="J1487" s="223">
        <v>25</v>
      </c>
      <c r="K1487" s="224">
        <v>2</v>
      </c>
      <c r="L1487" s="224">
        <v>1</v>
      </c>
      <c r="M1487" s="225">
        <f t="shared" si="864"/>
        <v>50</v>
      </c>
      <c r="N1487" s="226">
        <v>0</v>
      </c>
      <c r="O1487" s="227">
        <v>7.15</v>
      </c>
      <c r="P1487" s="228">
        <f t="shared" si="865"/>
        <v>0</v>
      </c>
      <c r="Q1487" s="228">
        <f t="shared" si="866"/>
        <v>357.5</v>
      </c>
      <c r="R1487" s="229">
        <f t="shared" si="867"/>
        <v>357.5</v>
      </c>
      <c r="S1487" s="229">
        <f t="shared" si="868"/>
        <v>357.5</v>
      </c>
      <c r="T1487" s="229">
        <f t="shared" si="880"/>
        <v>20</v>
      </c>
      <c r="U1487" s="229">
        <f t="shared" si="870"/>
        <v>3.63</v>
      </c>
      <c r="V1487" s="229">
        <f t="shared" si="871"/>
        <v>0.18</v>
      </c>
      <c r="W1487" s="229">
        <f t="shared" si="872"/>
        <v>0</v>
      </c>
      <c r="X1487" s="229">
        <f t="shared" si="873"/>
        <v>0.19</v>
      </c>
      <c r="Y1487" s="229">
        <f t="shared" si="874"/>
        <v>0</v>
      </c>
      <c r="Z1487" s="229">
        <f t="shared" si="875"/>
        <v>24</v>
      </c>
      <c r="AA1487" s="230">
        <f t="shared" si="876"/>
        <v>333.5</v>
      </c>
      <c r="AB1487" s="231">
        <v>334</v>
      </c>
      <c r="AC1487" s="232">
        <f t="shared" si="877"/>
        <v>0.5</v>
      </c>
      <c r="AD1487" s="233">
        <f t="shared" si="878"/>
        <v>0</v>
      </c>
      <c r="AE1487" s="234">
        <f t="shared" si="879"/>
        <v>6.7132999999999998E-2</v>
      </c>
      <c r="AF1487" s="229"/>
      <c r="AG1487" s="235" t="s">
        <v>416</v>
      </c>
      <c r="AH1487" s="124"/>
    </row>
    <row r="1488" spans="1:34" ht="12" hidden="1" customHeight="1">
      <c r="A1488" s="220">
        <v>44672</v>
      </c>
      <c r="B1488" s="221" t="s">
        <v>764</v>
      </c>
      <c r="C1488" s="7" t="s">
        <v>485</v>
      </c>
      <c r="D1488" s="221" t="str">
        <f t="shared" ca="1" si="863"/>
        <v>Stocks</v>
      </c>
      <c r="E1488" s="221" t="str">
        <f ca="1">IFERROR(__xludf.DUMMYFUNCTION("split(B1488,"" "")"),"BANDHANBNK")</f>
        <v>BANDHANBNK</v>
      </c>
      <c r="F1488" s="236" t="str">
        <f ca="1">IFERROR(__xludf.DUMMYFUNCTION("""COMPUTED_VALUE"""),"28!APR")</f>
        <v>28!APR</v>
      </c>
      <c r="G1488" s="221">
        <f ca="1">IFERROR(__xludf.DUMMYFUNCTION("""COMPUTED_VALUE"""),335)</f>
        <v>335</v>
      </c>
      <c r="H1488" s="221" t="str">
        <f ca="1">IFERROR(__xludf.DUMMYFUNCTION("""COMPUTED_VALUE"""),"CE")</f>
        <v>CE</v>
      </c>
      <c r="I1488" s="221" t="s">
        <v>4</v>
      </c>
      <c r="J1488" s="223">
        <v>1800</v>
      </c>
      <c r="K1488" s="224">
        <v>1</v>
      </c>
      <c r="L1488" s="224">
        <v>1</v>
      </c>
      <c r="M1488" s="225">
        <f t="shared" si="864"/>
        <v>1800</v>
      </c>
      <c r="N1488" s="226">
        <v>8</v>
      </c>
      <c r="O1488" s="227">
        <v>9</v>
      </c>
      <c r="P1488" s="228">
        <f t="shared" si="865"/>
        <v>14400</v>
      </c>
      <c r="Q1488" s="228">
        <f t="shared" si="866"/>
        <v>16200</v>
      </c>
      <c r="R1488" s="229">
        <f t="shared" si="867"/>
        <v>30600</v>
      </c>
      <c r="S1488" s="229">
        <f t="shared" si="868"/>
        <v>1800</v>
      </c>
      <c r="T1488" s="229">
        <f t="shared" si="880"/>
        <v>40</v>
      </c>
      <c r="U1488" s="229">
        <f t="shared" si="870"/>
        <v>10.119999999999999</v>
      </c>
      <c r="V1488" s="229">
        <f t="shared" si="871"/>
        <v>8.1</v>
      </c>
      <c r="W1488" s="229">
        <f t="shared" si="872"/>
        <v>0.43</v>
      </c>
      <c r="X1488" s="229">
        <f t="shared" si="873"/>
        <v>16.22</v>
      </c>
      <c r="Y1488" s="229">
        <f t="shared" si="874"/>
        <v>0.03</v>
      </c>
      <c r="Z1488" s="229">
        <f t="shared" si="875"/>
        <v>74.900000000000006</v>
      </c>
      <c r="AA1488" s="230">
        <f t="shared" si="876"/>
        <v>1725.1</v>
      </c>
      <c r="AB1488" s="231">
        <v>1725.41</v>
      </c>
      <c r="AC1488" s="232">
        <f t="shared" si="877"/>
        <v>0.3100000000001728</v>
      </c>
      <c r="AD1488" s="233">
        <f t="shared" si="878"/>
        <v>0.125</v>
      </c>
      <c r="AE1488" s="234">
        <f t="shared" si="879"/>
        <v>2.4480000000000001E-3</v>
      </c>
      <c r="AF1488" s="229"/>
      <c r="AG1488" s="235" t="s">
        <v>416</v>
      </c>
      <c r="AH1488" s="124"/>
    </row>
    <row r="1489" spans="1:34" ht="12" hidden="1" customHeight="1">
      <c r="A1489" s="154">
        <v>44679</v>
      </c>
      <c r="B1489" s="221" t="s">
        <v>765</v>
      </c>
      <c r="C1489" s="7" t="s">
        <v>485</v>
      </c>
      <c r="D1489" s="221" t="str">
        <f t="shared" ca="1" si="863"/>
        <v>Stocks</v>
      </c>
      <c r="E1489" s="221" t="str">
        <f ca="1">IFERROR(__xludf.DUMMYFUNCTION("split(B1489,"" "")"),"HINDALCO")</f>
        <v>HINDALCO</v>
      </c>
      <c r="F1489" s="221" t="str">
        <f ca="1">IFERROR(__xludf.DUMMYFUNCTION("""COMPUTED_VALUE"""),"26!MAY")</f>
        <v>26!MAY</v>
      </c>
      <c r="G1489" s="221">
        <f ca="1">IFERROR(__xludf.DUMMYFUNCTION("""COMPUTED_VALUE"""),510)</f>
        <v>510</v>
      </c>
      <c r="H1489" s="221" t="str">
        <f ca="1">IFERROR(__xludf.DUMMYFUNCTION("""COMPUTED_VALUE"""),"CE")</f>
        <v>CE</v>
      </c>
      <c r="I1489" s="221" t="s">
        <v>4</v>
      </c>
      <c r="J1489" s="223">
        <v>1075</v>
      </c>
      <c r="K1489" s="224">
        <v>1</v>
      </c>
      <c r="L1489" s="224">
        <v>1</v>
      </c>
      <c r="M1489" s="225">
        <f t="shared" si="864"/>
        <v>1075</v>
      </c>
      <c r="N1489" s="226">
        <v>10</v>
      </c>
      <c r="O1489" s="227">
        <v>0</v>
      </c>
      <c r="P1489" s="228">
        <f t="shared" si="865"/>
        <v>10750</v>
      </c>
      <c r="Q1489" s="228">
        <f t="shared" si="866"/>
        <v>0</v>
      </c>
      <c r="R1489" s="229">
        <f t="shared" si="867"/>
        <v>10750</v>
      </c>
      <c r="S1489" s="229">
        <f t="shared" si="868"/>
        <v>-10750</v>
      </c>
      <c r="T1489" s="229">
        <f t="shared" si="880"/>
        <v>20</v>
      </c>
      <c r="U1489" s="229">
        <f t="shared" si="870"/>
        <v>4.63</v>
      </c>
      <c r="V1489" s="229">
        <f t="shared" si="871"/>
        <v>0</v>
      </c>
      <c r="W1489" s="229">
        <f t="shared" si="872"/>
        <v>0.32</v>
      </c>
      <c r="X1489" s="229">
        <f t="shared" si="873"/>
        <v>5.7</v>
      </c>
      <c r="Y1489" s="229">
        <f t="shared" si="874"/>
        <v>0.01</v>
      </c>
      <c r="Z1489" s="229">
        <f t="shared" si="875"/>
        <v>30.66</v>
      </c>
      <c r="AA1489" s="230">
        <f t="shared" si="876"/>
        <v>-10780.66</v>
      </c>
      <c r="AB1489" s="231">
        <v>-10780.34</v>
      </c>
      <c r="AC1489" s="232">
        <f t="shared" si="877"/>
        <v>0.31999999999970896</v>
      </c>
      <c r="AD1489" s="233">
        <f t="shared" si="878"/>
        <v>-1</v>
      </c>
      <c r="AE1489" s="234">
        <f t="shared" si="879"/>
        <v>2.8519999999999999E-3</v>
      </c>
      <c r="AF1489" s="229"/>
      <c r="AG1489" s="235" t="s">
        <v>416</v>
      </c>
      <c r="AH1489" s="124"/>
    </row>
    <row r="1490" spans="1:34" ht="12" hidden="1" customHeight="1">
      <c r="A1490" s="155">
        <v>44680</v>
      </c>
      <c r="B1490" s="221" t="s">
        <v>765</v>
      </c>
      <c r="C1490" s="7" t="s">
        <v>485</v>
      </c>
      <c r="D1490" s="221" t="str">
        <f t="shared" ca="1" si="863"/>
        <v>Stocks</v>
      </c>
      <c r="E1490" s="221" t="str">
        <f ca="1">IFERROR(__xludf.DUMMYFUNCTION("split(B1490,"" "")"),"HINDALCO")</f>
        <v>HINDALCO</v>
      </c>
      <c r="F1490" s="221" t="str">
        <f ca="1">IFERROR(__xludf.DUMMYFUNCTION("""COMPUTED_VALUE"""),"26!MAY")</f>
        <v>26!MAY</v>
      </c>
      <c r="G1490" s="221">
        <f ca="1">IFERROR(__xludf.DUMMYFUNCTION("""COMPUTED_VALUE"""),510)</f>
        <v>510</v>
      </c>
      <c r="H1490" s="221" t="str">
        <f ca="1">IFERROR(__xludf.DUMMYFUNCTION("""COMPUTED_VALUE"""),"CE")</f>
        <v>CE</v>
      </c>
      <c r="I1490" s="221" t="s">
        <v>4</v>
      </c>
      <c r="J1490" s="223">
        <v>1075</v>
      </c>
      <c r="K1490" s="224">
        <v>1</v>
      </c>
      <c r="L1490" s="224">
        <v>1</v>
      </c>
      <c r="M1490" s="225">
        <f t="shared" si="864"/>
        <v>1075</v>
      </c>
      <c r="N1490" s="226">
        <v>0</v>
      </c>
      <c r="O1490" s="227">
        <v>11</v>
      </c>
      <c r="P1490" s="228">
        <f t="shared" si="865"/>
        <v>0</v>
      </c>
      <c r="Q1490" s="228">
        <f t="shared" si="866"/>
        <v>11825</v>
      </c>
      <c r="R1490" s="229">
        <f t="shared" si="867"/>
        <v>11825</v>
      </c>
      <c r="S1490" s="229">
        <f t="shared" si="868"/>
        <v>11825</v>
      </c>
      <c r="T1490" s="229">
        <f t="shared" si="880"/>
        <v>20</v>
      </c>
      <c r="U1490" s="229">
        <f t="shared" si="870"/>
        <v>4.7300000000000004</v>
      </c>
      <c r="V1490" s="229">
        <f t="shared" si="871"/>
        <v>5.91</v>
      </c>
      <c r="W1490" s="229">
        <f t="shared" si="872"/>
        <v>0</v>
      </c>
      <c r="X1490" s="229">
        <f t="shared" si="873"/>
        <v>6.27</v>
      </c>
      <c r="Y1490" s="229">
        <f t="shared" si="874"/>
        <v>0.01</v>
      </c>
      <c r="Z1490" s="229">
        <f t="shared" si="875"/>
        <v>36.919999999999995</v>
      </c>
      <c r="AA1490" s="230">
        <f t="shared" si="876"/>
        <v>11788.08</v>
      </c>
      <c r="AB1490" s="231">
        <v>11788.05</v>
      </c>
      <c r="AC1490" s="232">
        <f t="shared" si="877"/>
        <v>-3.0000000000654836E-2</v>
      </c>
      <c r="AD1490" s="233">
        <f t="shared" si="878"/>
        <v>0</v>
      </c>
      <c r="AE1490" s="234">
        <f t="shared" si="879"/>
        <v>3.1220000000000002E-3</v>
      </c>
      <c r="AF1490" s="229"/>
      <c r="AG1490" s="235" t="s">
        <v>416</v>
      </c>
      <c r="AH1490" s="124"/>
    </row>
    <row r="1491" spans="1:34" ht="12" hidden="1" customHeight="1">
      <c r="A1491" s="154">
        <v>44680</v>
      </c>
      <c r="B1491" s="221" t="s">
        <v>765</v>
      </c>
      <c r="C1491" s="7" t="s">
        <v>485</v>
      </c>
      <c r="D1491" s="221" t="str">
        <f t="shared" ca="1" si="863"/>
        <v>Stocks</v>
      </c>
      <c r="E1491" s="221" t="str">
        <f ca="1">IFERROR(__xludf.DUMMYFUNCTION("split(B1491,"" "")"),"HINDALCO")</f>
        <v>HINDALCO</v>
      </c>
      <c r="F1491" s="221" t="str">
        <f ca="1">IFERROR(__xludf.DUMMYFUNCTION("""COMPUTED_VALUE"""),"26!MAY")</f>
        <v>26!MAY</v>
      </c>
      <c r="G1491" s="221">
        <f ca="1">IFERROR(__xludf.DUMMYFUNCTION("""COMPUTED_VALUE"""),510)</f>
        <v>510</v>
      </c>
      <c r="H1491" s="221" t="str">
        <f ca="1">IFERROR(__xludf.DUMMYFUNCTION("""COMPUTED_VALUE"""),"CE")</f>
        <v>CE</v>
      </c>
      <c r="I1491" s="221" t="s">
        <v>4</v>
      </c>
      <c r="J1491" s="223">
        <v>1075</v>
      </c>
      <c r="K1491" s="224">
        <v>1</v>
      </c>
      <c r="L1491" s="224">
        <v>1</v>
      </c>
      <c r="M1491" s="225">
        <f t="shared" si="864"/>
        <v>1075</v>
      </c>
      <c r="N1491" s="226">
        <v>9.75</v>
      </c>
      <c r="O1491" s="227">
        <v>0</v>
      </c>
      <c r="P1491" s="228">
        <f t="shared" si="865"/>
        <v>10481.25</v>
      </c>
      <c r="Q1491" s="228">
        <f t="shared" si="866"/>
        <v>0</v>
      </c>
      <c r="R1491" s="229">
        <f t="shared" si="867"/>
        <v>10481.25</v>
      </c>
      <c r="S1491" s="229">
        <f t="shared" si="868"/>
        <v>-10481.25</v>
      </c>
      <c r="T1491" s="229">
        <f t="shared" si="880"/>
        <v>20</v>
      </c>
      <c r="U1491" s="229">
        <f t="shared" si="870"/>
        <v>4.5999999999999996</v>
      </c>
      <c r="V1491" s="229">
        <f t="shared" si="871"/>
        <v>0</v>
      </c>
      <c r="W1491" s="229">
        <f t="shared" si="872"/>
        <v>0.31</v>
      </c>
      <c r="X1491" s="229">
        <f t="shared" si="873"/>
        <v>5.56</v>
      </c>
      <c r="Y1491" s="229">
        <f t="shared" si="874"/>
        <v>0.01</v>
      </c>
      <c r="Z1491" s="229">
        <f t="shared" si="875"/>
        <v>30.48</v>
      </c>
      <c r="AA1491" s="230">
        <f t="shared" si="876"/>
        <v>-10511.73</v>
      </c>
      <c r="AB1491" s="231">
        <v>-10512</v>
      </c>
      <c r="AC1491" s="232">
        <f t="shared" si="877"/>
        <v>-0.27000000000043656</v>
      </c>
      <c r="AD1491" s="233">
        <f t="shared" si="878"/>
        <v>-1</v>
      </c>
      <c r="AE1491" s="234">
        <f t="shared" si="879"/>
        <v>2.908E-3</v>
      </c>
      <c r="AF1491" s="229"/>
      <c r="AG1491" s="235" t="s">
        <v>416</v>
      </c>
      <c r="AH1491" s="124"/>
    </row>
    <row r="1492" spans="1:34" ht="12" hidden="1" customHeight="1">
      <c r="A1492" s="154">
        <v>44680</v>
      </c>
      <c r="B1492" s="221" t="s">
        <v>765</v>
      </c>
      <c r="C1492" s="7" t="s">
        <v>485</v>
      </c>
      <c r="D1492" s="221" t="str">
        <f t="shared" ca="1" si="863"/>
        <v>Stocks</v>
      </c>
      <c r="E1492" s="221" t="str">
        <f ca="1">IFERROR(__xludf.DUMMYFUNCTION("split(B1492,"" "")"),"HINDALCO")</f>
        <v>HINDALCO</v>
      </c>
      <c r="F1492" s="221" t="str">
        <f ca="1">IFERROR(__xludf.DUMMYFUNCTION("""COMPUTED_VALUE"""),"26!MAY")</f>
        <v>26!MAY</v>
      </c>
      <c r="G1492" s="221">
        <f ca="1">IFERROR(__xludf.DUMMYFUNCTION("""COMPUTED_VALUE"""),510)</f>
        <v>510</v>
      </c>
      <c r="H1492" s="221" t="str">
        <f ca="1">IFERROR(__xludf.DUMMYFUNCTION("""COMPUTED_VALUE"""),"CE")</f>
        <v>CE</v>
      </c>
      <c r="I1492" s="221" t="s">
        <v>4</v>
      </c>
      <c r="J1492" s="223">
        <v>1075</v>
      </c>
      <c r="K1492" s="224">
        <v>1</v>
      </c>
      <c r="L1492" s="224">
        <v>1</v>
      </c>
      <c r="M1492" s="225">
        <f t="shared" si="864"/>
        <v>1075</v>
      </c>
      <c r="N1492" s="226">
        <v>8.8000000000000007</v>
      </c>
      <c r="O1492" s="227">
        <v>0</v>
      </c>
      <c r="P1492" s="228">
        <f t="shared" si="865"/>
        <v>9460</v>
      </c>
      <c r="Q1492" s="228">
        <f t="shared" si="866"/>
        <v>0</v>
      </c>
      <c r="R1492" s="229">
        <f t="shared" si="867"/>
        <v>9460</v>
      </c>
      <c r="S1492" s="229">
        <f t="shared" si="868"/>
        <v>-9460</v>
      </c>
      <c r="T1492" s="229">
        <f t="shared" si="880"/>
        <v>20</v>
      </c>
      <c r="U1492" s="229">
        <f t="shared" si="870"/>
        <v>4.5</v>
      </c>
      <c r="V1492" s="229">
        <f t="shared" si="871"/>
        <v>0</v>
      </c>
      <c r="W1492" s="229">
        <f t="shared" si="872"/>
        <v>0.28000000000000003</v>
      </c>
      <c r="X1492" s="229">
        <f t="shared" si="873"/>
        <v>5.01</v>
      </c>
      <c r="Y1492" s="229">
        <f t="shared" si="874"/>
        <v>0.01</v>
      </c>
      <c r="Z1492" s="229">
        <f t="shared" si="875"/>
        <v>29.8</v>
      </c>
      <c r="AA1492" s="230">
        <f t="shared" si="876"/>
        <v>-9489.7999999999993</v>
      </c>
      <c r="AB1492" s="231">
        <v>-9490</v>
      </c>
      <c r="AC1492" s="232">
        <f t="shared" si="877"/>
        <v>-0.2000000000007276</v>
      </c>
      <c r="AD1492" s="233">
        <f t="shared" si="878"/>
        <v>-1</v>
      </c>
      <c r="AE1492" s="234">
        <f t="shared" si="879"/>
        <v>3.15E-3</v>
      </c>
      <c r="AF1492" s="229"/>
      <c r="AG1492" s="235" t="s">
        <v>416</v>
      </c>
      <c r="AH1492" s="124"/>
    </row>
    <row r="1493" spans="1:34" ht="12" hidden="1" customHeight="1">
      <c r="A1493" s="155">
        <v>44683</v>
      </c>
      <c r="B1493" s="221" t="s">
        <v>765</v>
      </c>
      <c r="C1493" s="7" t="s">
        <v>485</v>
      </c>
      <c r="D1493" s="221" t="str">
        <f t="shared" ca="1" si="863"/>
        <v>Stocks</v>
      </c>
      <c r="E1493" s="221" t="str">
        <f ca="1">IFERROR(__xludf.DUMMYFUNCTION("split(B1493,"" "")"),"HINDALCO")</f>
        <v>HINDALCO</v>
      </c>
      <c r="F1493" s="221" t="str">
        <f ca="1">IFERROR(__xludf.DUMMYFUNCTION("""COMPUTED_VALUE"""),"26!MAY")</f>
        <v>26!MAY</v>
      </c>
      <c r="G1493" s="221">
        <f ca="1">IFERROR(__xludf.DUMMYFUNCTION("""COMPUTED_VALUE"""),510)</f>
        <v>510</v>
      </c>
      <c r="H1493" s="221" t="str">
        <f ca="1">IFERROR(__xludf.DUMMYFUNCTION("""COMPUTED_VALUE"""),"CE")</f>
        <v>CE</v>
      </c>
      <c r="I1493" s="221" t="s">
        <v>4</v>
      </c>
      <c r="J1493" s="223">
        <v>1075</v>
      </c>
      <c r="K1493" s="224">
        <v>2</v>
      </c>
      <c r="L1493" s="224">
        <v>1</v>
      </c>
      <c r="M1493" s="225">
        <f t="shared" si="864"/>
        <v>2150</v>
      </c>
      <c r="N1493" s="226">
        <v>0</v>
      </c>
      <c r="O1493" s="227">
        <v>7.3250000000000002</v>
      </c>
      <c r="P1493" s="228">
        <f t="shared" si="865"/>
        <v>0</v>
      </c>
      <c r="Q1493" s="228">
        <f t="shared" si="866"/>
        <v>15748.75</v>
      </c>
      <c r="R1493" s="229">
        <f t="shared" si="867"/>
        <v>15748.75</v>
      </c>
      <c r="S1493" s="229">
        <f t="shared" si="868"/>
        <v>15748.75</v>
      </c>
      <c r="T1493" s="229">
        <f t="shared" si="880"/>
        <v>20</v>
      </c>
      <c r="U1493" s="229">
        <f t="shared" si="870"/>
        <v>5.0999999999999996</v>
      </c>
      <c r="V1493" s="229">
        <f t="shared" si="871"/>
        <v>7.87</v>
      </c>
      <c r="W1493" s="229">
        <f t="shared" si="872"/>
        <v>0</v>
      </c>
      <c r="X1493" s="229">
        <f t="shared" si="873"/>
        <v>8.35</v>
      </c>
      <c r="Y1493" s="229">
        <f t="shared" si="874"/>
        <v>0.02</v>
      </c>
      <c r="Z1493" s="229">
        <f t="shared" si="875"/>
        <v>41.34</v>
      </c>
      <c r="AA1493" s="230">
        <f t="shared" si="876"/>
        <v>15707.41</v>
      </c>
      <c r="AB1493" s="231">
        <v>15707.75</v>
      </c>
      <c r="AC1493" s="232">
        <f t="shared" si="877"/>
        <v>0.34000000000014552</v>
      </c>
      <c r="AD1493" s="233">
        <f t="shared" si="878"/>
        <v>0</v>
      </c>
      <c r="AE1493" s="234">
        <f t="shared" si="879"/>
        <v>2.6250000000000002E-3</v>
      </c>
      <c r="AF1493" s="229"/>
      <c r="AG1493" s="235" t="s">
        <v>416</v>
      </c>
      <c r="AH1493" s="124"/>
    </row>
    <row r="1494" spans="1:34" ht="12" hidden="1" customHeight="1">
      <c r="A1494" s="220">
        <v>44683</v>
      </c>
      <c r="B1494" s="221" t="s">
        <v>765</v>
      </c>
      <c r="C1494" s="7" t="s">
        <v>485</v>
      </c>
      <c r="D1494" s="221" t="str">
        <f t="shared" ca="1" si="863"/>
        <v>Stocks</v>
      </c>
      <c r="E1494" s="221" t="str">
        <f ca="1">IFERROR(__xludf.DUMMYFUNCTION("split(B1494,"" "")"),"HINDALCO")</f>
        <v>HINDALCO</v>
      </c>
      <c r="F1494" s="221" t="str">
        <f ca="1">IFERROR(__xludf.DUMMYFUNCTION("""COMPUTED_VALUE"""),"26!MAY")</f>
        <v>26!MAY</v>
      </c>
      <c r="G1494" s="221">
        <f ca="1">IFERROR(__xludf.DUMMYFUNCTION("""COMPUTED_VALUE"""),510)</f>
        <v>510</v>
      </c>
      <c r="H1494" s="221" t="str">
        <f ca="1">IFERROR(__xludf.DUMMYFUNCTION("""COMPUTED_VALUE"""),"CE")</f>
        <v>CE</v>
      </c>
      <c r="I1494" s="221" t="s">
        <v>4</v>
      </c>
      <c r="J1494" s="223">
        <v>1075</v>
      </c>
      <c r="K1494" s="224">
        <v>1</v>
      </c>
      <c r="L1494" s="224">
        <v>1</v>
      </c>
      <c r="M1494" s="225">
        <f t="shared" si="864"/>
        <v>1075</v>
      </c>
      <c r="N1494" s="226">
        <v>5.65</v>
      </c>
      <c r="O1494" s="227">
        <v>6.65</v>
      </c>
      <c r="P1494" s="228">
        <f t="shared" si="865"/>
        <v>6073.75</v>
      </c>
      <c r="Q1494" s="228">
        <f t="shared" si="866"/>
        <v>7148.75</v>
      </c>
      <c r="R1494" s="229">
        <f t="shared" si="867"/>
        <v>13222.5</v>
      </c>
      <c r="S1494" s="229">
        <f t="shared" si="868"/>
        <v>1075</v>
      </c>
      <c r="T1494" s="229">
        <f t="shared" si="880"/>
        <v>40</v>
      </c>
      <c r="U1494" s="229">
        <f t="shared" si="870"/>
        <v>8.4600000000000009</v>
      </c>
      <c r="V1494" s="229">
        <f t="shared" si="871"/>
        <v>3.57</v>
      </c>
      <c r="W1494" s="229">
        <f t="shared" si="872"/>
        <v>0.18</v>
      </c>
      <c r="X1494" s="229">
        <f t="shared" si="873"/>
        <v>7.01</v>
      </c>
      <c r="Y1494" s="229">
        <f t="shared" si="874"/>
        <v>0.01</v>
      </c>
      <c r="Z1494" s="229">
        <f t="shared" si="875"/>
        <v>59.23</v>
      </c>
      <c r="AA1494" s="230">
        <f t="shared" si="876"/>
        <v>1015.77</v>
      </c>
      <c r="AB1494" s="231">
        <v>1016</v>
      </c>
      <c r="AC1494" s="232">
        <f t="shared" si="877"/>
        <v>0.23000000000001819</v>
      </c>
      <c r="AD1494" s="233">
        <f t="shared" si="878"/>
        <v>0.17699115044247787</v>
      </c>
      <c r="AE1494" s="234">
        <f t="shared" si="879"/>
        <v>4.4790000000000003E-3</v>
      </c>
      <c r="AF1494" s="229"/>
      <c r="AG1494" s="235" t="s">
        <v>416</v>
      </c>
      <c r="AH1494" s="124"/>
    </row>
    <row r="1495" spans="1:34" ht="12" hidden="1" customHeight="1">
      <c r="A1495" s="154">
        <v>44685</v>
      </c>
      <c r="B1495" s="221" t="s">
        <v>765</v>
      </c>
      <c r="C1495" s="7" t="s">
        <v>485</v>
      </c>
      <c r="D1495" s="221" t="str">
        <f t="shared" ca="1" si="863"/>
        <v>Stocks</v>
      </c>
      <c r="E1495" s="221" t="str">
        <f ca="1">IFERROR(__xludf.DUMMYFUNCTION("split(B1495,"" "")"),"HINDALCO")</f>
        <v>HINDALCO</v>
      </c>
      <c r="F1495" s="221" t="str">
        <f ca="1">IFERROR(__xludf.DUMMYFUNCTION("""COMPUTED_VALUE"""),"26!MAY")</f>
        <v>26!MAY</v>
      </c>
      <c r="G1495" s="221">
        <f ca="1">IFERROR(__xludf.DUMMYFUNCTION("""COMPUTED_VALUE"""),510)</f>
        <v>510</v>
      </c>
      <c r="H1495" s="221" t="str">
        <f ca="1">IFERROR(__xludf.DUMMYFUNCTION("""COMPUTED_VALUE"""),"CE")</f>
        <v>CE</v>
      </c>
      <c r="I1495" s="221" t="s">
        <v>4</v>
      </c>
      <c r="J1495" s="223">
        <v>1075</v>
      </c>
      <c r="K1495" s="224">
        <v>1</v>
      </c>
      <c r="L1495" s="224">
        <v>1</v>
      </c>
      <c r="M1495" s="225">
        <f t="shared" si="864"/>
        <v>1075</v>
      </c>
      <c r="N1495" s="226">
        <v>6.6</v>
      </c>
      <c r="O1495" s="227">
        <v>0</v>
      </c>
      <c r="P1495" s="228">
        <f t="shared" si="865"/>
        <v>7095</v>
      </c>
      <c r="Q1495" s="228">
        <f t="shared" si="866"/>
        <v>0</v>
      </c>
      <c r="R1495" s="229">
        <f t="shared" si="867"/>
        <v>7095</v>
      </c>
      <c r="S1495" s="229">
        <f t="shared" si="868"/>
        <v>-7095</v>
      </c>
      <c r="T1495" s="229">
        <f t="shared" si="880"/>
        <v>20</v>
      </c>
      <c r="U1495" s="229">
        <f t="shared" si="870"/>
        <v>4.28</v>
      </c>
      <c r="V1495" s="229">
        <f t="shared" si="871"/>
        <v>0</v>
      </c>
      <c r="W1495" s="229">
        <f t="shared" si="872"/>
        <v>0.21</v>
      </c>
      <c r="X1495" s="229">
        <f t="shared" si="873"/>
        <v>3.76</v>
      </c>
      <c r="Y1495" s="229">
        <f t="shared" si="874"/>
        <v>0.01</v>
      </c>
      <c r="Z1495" s="229">
        <f t="shared" si="875"/>
        <v>28.26</v>
      </c>
      <c r="AA1495" s="230">
        <f t="shared" si="876"/>
        <v>-7123.26</v>
      </c>
      <c r="AB1495" s="231">
        <v>-7123.05</v>
      </c>
      <c r="AC1495" s="232">
        <f t="shared" si="877"/>
        <v>0.21000000000003638</v>
      </c>
      <c r="AD1495" s="233">
        <f t="shared" si="878"/>
        <v>-1</v>
      </c>
      <c r="AE1495" s="234">
        <f t="shared" si="879"/>
        <v>3.9830000000000004E-3</v>
      </c>
      <c r="AF1495" s="229"/>
      <c r="AG1495" s="235" t="s">
        <v>416</v>
      </c>
      <c r="AH1495" s="124"/>
    </row>
    <row r="1496" spans="1:34" ht="12" hidden="1" customHeight="1">
      <c r="A1496" s="155">
        <v>44698</v>
      </c>
      <c r="B1496" s="221" t="s">
        <v>765</v>
      </c>
      <c r="C1496" s="7" t="s">
        <v>485</v>
      </c>
      <c r="D1496" s="221" t="str">
        <f t="shared" ca="1" si="863"/>
        <v>Stocks</v>
      </c>
      <c r="E1496" s="221" t="str">
        <f ca="1">IFERROR(__xludf.DUMMYFUNCTION("split(B1496,"" "")"),"HINDALCO")</f>
        <v>HINDALCO</v>
      </c>
      <c r="F1496" s="221" t="str">
        <f ca="1">IFERROR(__xludf.DUMMYFUNCTION("""COMPUTED_VALUE"""),"26!MAY")</f>
        <v>26!MAY</v>
      </c>
      <c r="G1496" s="221">
        <f ca="1">IFERROR(__xludf.DUMMYFUNCTION("""COMPUTED_VALUE"""),510)</f>
        <v>510</v>
      </c>
      <c r="H1496" s="221" t="str">
        <f ca="1">IFERROR(__xludf.DUMMYFUNCTION("""COMPUTED_VALUE"""),"CE")</f>
        <v>CE</v>
      </c>
      <c r="I1496" s="221" t="s">
        <v>4</v>
      </c>
      <c r="J1496" s="223">
        <v>1075</v>
      </c>
      <c r="K1496" s="224">
        <v>1</v>
      </c>
      <c r="L1496" s="224">
        <v>1</v>
      </c>
      <c r="M1496" s="225">
        <f t="shared" si="864"/>
        <v>1075</v>
      </c>
      <c r="N1496" s="226">
        <v>0</v>
      </c>
      <c r="O1496" s="227">
        <v>0.5</v>
      </c>
      <c r="P1496" s="228">
        <f t="shared" si="865"/>
        <v>0</v>
      </c>
      <c r="Q1496" s="228">
        <f t="shared" si="866"/>
        <v>537.5</v>
      </c>
      <c r="R1496" s="229">
        <f t="shared" si="867"/>
        <v>537.5</v>
      </c>
      <c r="S1496" s="229">
        <f t="shared" si="868"/>
        <v>537.5</v>
      </c>
      <c r="T1496" s="229">
        <f t="shared" si="880"/>
        <v>20</v>
      </c>
      <c r="U1496" s="229">
        <f t="shared" si="870"/>
        <v>3.65</v>
      </c>
      <c r="V1496" s="229">
        <f t="shared" si="871"/>
        <v>0.27</v>
      </c>
      <c r="W1496" s="229">
        <f t="shared" si="872"/>
        <v>0</v>
      </c>
      <c r="X1496" s="229">
        <f t="shared" si="873"/>
        <v>0.28000000000000003</v>
      </c>
      <c r="Y1496" s="229">
        <f t="shared" si="874"/>
        <v>0</v>
      </c>
      <c r="Z1496" s="229">
        <f t="shared" si="875"/>
        <v>24.2</v>
      </c>
      <c r="AA1496" s="230">
        <f t="shared" si="876"/>
        <v>513.29999999999995</v>
      </c>
      <c r="AB1496" s="231">
        <v>513</v>
      </c>
      <c r="AC1496" s="232">
        <f t="shared" si="877"/>
        <v>-0.29999999999995453</v>
      </c>
      <c r="AD1496" s="233">
        <f t="shared" si="878"/>
        <v>0</v>
      </c>
      <c r="AE1496" s="234">
        <f t="shared" si="879"/>
        <v>4.5023000000000001E-2</v>
      </c>
      <c r="AF1496" s="229"/>
      <c r="AG1496" s="235" t="s">
        <v>416</v>
      </c>
      <c r="AH1496" s="124"/>
    </row>
    <row r="1497" spans="1:34" ht="12" hidden="1" customHeight="1">
      <c r="A1497" s="220">
        <v>44686</v>
      </c>
      <c r="B1497" s="221" t="s">
        <v>766</v>
      </c>
      <c r="C1497" s="7" t="s">
        <v>485</v>
      </c>
      <c r="D1497" s="221" t="str">
        <f t="shared" ca="1" si="863"/>
        <v>Stocks</v>
      </c>
      <c r="E1497" s="221" t="str">
        <f ca="1">IFERROR(__xludf.DUMMYFUNCTION("split(B1497,"" "")"),"ONGC")</f>
        <v>ONGC</v>
      </c>
      <c r="F1497" s="221" t="str">
        <f ca="1">IFERROR(__xludf.DUMMYFUNCTION("""COMPUTED_VALUE"""),"26!MAY")</f>
        <v>26!MAY</v>
      </c>
      <c r="G1497" s="221">
        <f ca="1">IFERROR(__xludf.DUMMYFUNCTION("""COMPUTED_VALUE"""),167.5)</f>
        <v>167.5</v>
      </c>
      <c r="H1497" s="221" t="str">
        <f ca="1">IFERROR(__xludf.DUMMYFUNCTION("""COMPUTED_VALUE"""),"CE")</f>
        <v>CE</v>
      </c>
      <c r="I1497" s="221" t="s">
        <v>4</v>
      </c>
      <c r="J1497" s="223">
        <v>3850</v>
      </c>
      <c r="K1497" s="224">
        <v>1</v>
      </c>
      <c r="L1497" s="224">
        <v>1</v>
      </c>
      <c r="M1497" s="225">
        <f t="shared" si="864"/>
        <v>3850</v>
      </c>
      <c r="N1497" s="226">
        <v>5.25</v>
      </c>
      <c r="O1497" s="227">
        <v>4</v>
      </c>
      <c r="P1497" s="228">
        <f t="shared" si="865"/>
        <v>20212.5</v>
      </c>
      <c r="Q1497" s="228">
        <f t="shared" si="866"/>
        <v>15400</v>
      </c>
      <c r="R1497" s="229">
        <f t="shared" si="867"/>
        <v>35612.5</v>
      </c>
      <c r="S1497" s="229">
        <f t="shared" si="868"/>
        <v>-4812.5</v>
      </c>
      <c r="T1497" s="229">
        <f t="shared" si="880"/>
        <v>40</v>
      </c>
      <c r="U1497" s="229">
        <f t="shared" si="870"/>
        <v>10.6</v>
      </c>
      <c r="V1497" s="229">
        <f t="shared" si="871"/>
        <v>7.7</v>
      </c>
      <c r="W1497" s="229">
        <f t="shared" si="872"/>
        <v>0.61</v>
      </c>
      <c r="X1497" s="229">
        <f t="shared" si="873"/>
        <v>18.87</v>
      </c>
      <c r="Y1497" s="229">
        <f t="shared" si="874"/>
        <v>0.04</v>
      </c>
      <c r="Z1497" s="229">
        <f t="shared" si="875"/>
        <v>77.820000000000007</v>
      </c>
      <c r="AA1497" s="230">
        <f t="shared" si="876"/>
        <v>-4890.32</v>
      </c>
      <c r="AB1497" s="231">
        <v>-4891.01</v>
      </c>
      <c r="AC1497" s="232">
        <f t="shared" si="877"/>
        <v>-0.69000000000050932</v>
      </c>
      <c r="AD1497" s="233">
        <f t="shared" si="878"/>
        <v>-0.23809523809523808</v>
      </c>
      <c r="AE1497" s="234">
        <f t="shared" si="879"/>
        <v>2.1849999999999999E-3</v>
      </c>
      <c r="AF1497" s="229"/>
      <c r="AG1497" s="235" t="s">
        <v>416</v>
      </c>
      <c r="AH1497" s="124"/>
    </row>
    <row r="1498" spans="1:34" ht="12" hidden="1" customHeight="1">
      <c r="A1498" s="220">
        <v>44687</v>
      </c>
      <c r="B1498" s="221" t="s">
        <v>766</v>
      </c>
      <c r="C1498" s="7" t="s">
        <v>485</v>
      </c>
      <c r="D1498" s="221" t="str">
        <f t="shared" ca="1" si="863"/>
        <v>Stocks</v>
      </c>
      <c r="E1498" s="221" t="str">
        <f ca="1">IFERROR(__xludf.DUMMYFUNCTION("split(B1498,"" "")"),"ONGC")</f>
        <v>ONGC</v>
      </c>
      <c r="F1498" s="221" t="str">
        <f ca="1">IFERROR(__xludf.DUMMYFUNCTION("""COMPUTED_VALUE"""),"26!MAY")</f>
        <v>26!MAY</v>
      </c>
      <c r="G1498" s="221">
        <f ca="1">IFERROR(__xludf.DUMMYFUNCTION("""COMPUTED_VALUE"""),167.5)</f>
        <v>167.5</v>
      </c>
      <c r="H1498" s="221" t="str">
        <f ca="1">IFERROR(__xludf.DUMMYFUNCTION("""COMPUTED_VALUE"""),"CE")</f>
        <v>CE</v>
      </c>
      <c r="I1498" s="221" t="s">
        <v>4</v>
      </c>
      <c r="J1498" s="223">
        <v>3850</v>
      </c>
      <c r="K1498" s="224">
        <v>1</v>
      </c>
      <c r="L1498" s="224">
        <v>1</v>
      </c>
      <c r="M1498" s="225">
        <f t="shared" si="864"/>
        <v>3850</v>
      </c>
      <c r="N1498" s="226">
        <v>3.25</v>
      </c>
      <c r="O1498" s="227">
        <v>3.65</v>
      </c>
      <c r="P1498" s="228">
        <f t="shared" si="865"/>
        <v>12512.5</v>
      </c>
      <c r="Q1498" s="228">
        <f t="shared" si="866"/>
        <v>14052.5</v>
      </c>
      <c r="R1498" s="229">
        <f t="shared" si="867"/>
        <v>26565</v>
      </c>
      <c r="S1498" s="229">
        <f t="shared" si="868"/>
        <v>1539.9999999999995</v>
      </c>
      <c r="T1498" s="229">
        <f t="shared" si="880"/>
        <v>40</v>
      </c>
      <c r="U1498" s="229">
        <f t="shared" si="870"/>
        <v>9.73</v>
      </c>
      <c r="V1498" s="229">
        <f t="shared" si="871"/>
        <v>7.03</v>
      </c>
      <c r="W1498" s="229">
        <f t="shared" si="872"/>
        <v>0.38</v>
      </c>
      <c r="X1498" s="229">
        <f t="shared" si="873"/>
        <v>14.08</v>
      </c>
      <c r="Y1498" s="229">
        <f t="shared" si="874"/>
        <v>0.03</v>
      </c>
      <c r="Z1498" s="229">
        <f t="shared" si="875"/>
        <v>71.250000000000014</v>
      </c>
      <c r="AA1498" s="230">
        <f t="shared" si="876"/>
        <v>1468.75</v>
      </c>
      <c r="AB1498" s="231">
        <v>1468.84</v>
      </c>
      <c r="AC1498" s="232">
        <f t="shared" si="877"/>
        <v>8.9999999999918145E-2</v>
      </c>
      <c r="AD1498" s="233">
        <f t="shared" si="878"/>
        <v>0.12307692307692306</v>
      </c>
      <c r="AE1498" s="234">
        <f t="shared" si="879"/>
        <v>2.6819999999999999E-3</v>
      </c>
      <c r="AF1498" s="229"/>
      <c r="AG1498" s="235" t="s">
        <v>416</v>
      </c>
      <c r="AH1498" s="124"/>
    </row>
    <row r="1499" spans="1:34" ht="12" hidden="1" customHeight="1">
      <c r="A1499" s="154">
        <v>44687</v>
      </c>
      <c r="B1499" s="221" t="s">
        <v>767</v>
      </c>
      <c r="C1499" s="7" t="s">
        <v>485</v>
      </c>
      <c r="D1499" s="221" t="str">
        <f t="shared" ca="1" si="863"/>
        <v>Stocks</v>
      </c>
      <c r="E1499" s="221" t="str">
        <f ca="1">IFERROR(__xludf.DUMMYFUNCTION("split(B1499,"" "")"),"ITC")</f>
        <v>ITC</v>
      </c>
      <c r="F1499" s="221" t="str">
        <f ca="1">IFERROR(__xludf.DUMMYFUNCTION("""COMPUTED_VALUE"""),"26!MAY")</f>
        <v>26!MAY</v>
      </c>
      <c r="G1499" s="221">
        <f ca="1">IFERROR(__xludf.DUMMYFUNCTION("""COMPUTED_VALUE"""),270)</f>
        <v>270</v>
      </c>
      <c r="H1499" s="221" t="str">
        <f ca="1">IFERROR(__xludf.DUMMYFUNCTION("""COMPUTED_VALUE"""),"CE")</f>
        <v>CE</v>
      </c>
      <c r="I1499" s="221" t="s">
        <v>4</v>
      </c>
      <c r="J1499" s="223">
        <v>3200</v>
      </c>
      <c r="K1499" s="224">
        <v>1</v>
      </c>
      <c r="L1499" s="224">
        <v>1</v>
      </c>
      <c r="M1499" s="225">
        <f t="shared" si="864"/>
        <v>3200</v>
      </c>
      <c r="N1499" s="226">
        <v>4.8499999999999996</v>
      </c>
      <c r="O1499" s="227">
        <v>0</v>
      </c>
      <c r="P1499" s="228">
        <f t="shared" si="865"/>
        <v>15520</v>
      </c>
      <c r="Q1499" s="228">
        <f t="shared" si="866"/>
        <v>0</v>
      </c>
      <c r="R1499" s="229">
        <f t="shared" si="867"/>
        <v>15520</v>
      </c>
      <c r="S1499" s="229">
        <f t="shared" si="868"/>
        <v>-15519.999999999998</v>
      </c>
      <c r="T1499" s="229">
        <f t="shared" si="880"/>
        <v>20</v>
      </c>
      <c r="U1499" s="229">
        <f t="shared" si="870"/>
        <v>5.08</v>
      </c>
      <c r="V1499" s="229">
        <f t="shared" si="871"/>
        <v>0</v>
      </c>
      <c r="W1499" s="229">
        <f t="shared" si="872"/>
        <v>0.47</v>
      </c>
      <c r="X1499" s="229">
        <f t="shared" si="873"/>
        <v>8.23</v>
      </c>
      <c r="Y1499" s="229">
        <f t="shared" si="874"/>
        <v>0.02</v>
      </c>
      <c r="Z1499" s="229">
        <f t="shared" si="875"/>
        <v>33.800000000000004</v>
      </c>
      <c r="AA1499" s="230">
        <f t="shared" si="876"/>
        <v>-15553.8</v>
      </c>
      <c r="AB1499" s="231">
        <v>-15554</v>
      </c>
      <c r="AC1499" s="232">
        <f t="shared" si="877"/>
        <v>-0.2000000000007276</v>
      </c>
      <c r="AD1499" s="233">
        <f t="shared" si="878"/>
        <v>-1</v>
      </c>
      <c r="AE1499" s="234">
        <f t="shared" si="879"/>
        <v>2.1779999999999998E-3</v>
      </c>
      <c r="AF1499" s="229"/>
      <c r="AG1499" s="235" t="s">
        <v>416</v>
      </c>
      <c r="AH1499" s="124"/>
    </row>
    <row r="1500" spans="1:34" ht="12" hidden="1" customHeight="1">
      <c r="A1500" s="155">
        <v>44698</v>
      </c>
      <c r="B1500" s="221" t="s">
        <v>767</v>
      </c>
      <c r="C1500" s="7" t="s">
        <v>485</v>
      </c>
      <c r="D1500" s="221" t="str">
        <f t="shared" ca="1" si="863"/>
        <v>Stocks</v>
      </c>
      <c r="E1500" s="221" t="str">
        <f ca="1">IFERROR(__xludf.DUMMYFUNCTION("split(B1500,"" "")"),"ITC")</f>
        <v>ITC</v>
      </c>
      <c r="F1500" s="221" t="str">
        <f ca="1">IFERROR(__xludf.DUMMYFUNCTION("""COMPUTED_VALUE"""),"26!MAY")</f>
        <v>26!MAY</v>
      </c>
      <c r="G1500" s="221">
        <f ca="1">IFERROR(__xludf.DUMMYFUNCTION("""COMPUTED_VALUE"""),270)</f>
        <v>270</v>
      </c>
      <c r="H1500" s="221" t="str">
        <f ca="1">IFERROR(__xludf.DUMMYFUNCTION("""COMPUTED_VALUE"""),"CE")</f>
        <v>CE</v>
      </c>
      <c r="I1500" s="221" t="s">
        <v>4</v>
      </c>
      <c r="J1500" s="223">
        <v>3200</v>
      </c>
      <c r="K1500" s="224">
        <v>1</v>
      </c>
      <c r="L1500" s="224">
        <v>1</v>
      </c>
      <c r="M1500" s="225">
        <f t="shared" si="864"/>
        <v>3200</v>
      </c>
      <c r="N1500" s="226">
        <v>0</v>
      </c>
      <c r="O1500" s="227">
        <v>1.1000000000000001</v>
      </c>
      <c r="P1500" s="228">
        <f t="shared" si="865"/>
        <v>0</v>
      </c>
      <c r="Q1500" s="228">
        <f t="shared" si="866"/>
        <v>3520</v>
      </c>
      <c r="R1500" s="229">
        <f t="shared" si="867"/>
        <v>3520</v>
      </c>
      <c r="S1500" s="229">
        <f t="shared" si="868"/>
        <v>3520.0000000000005</v>
      </c>
      <c r="T1500" s="229">
        <f t="shared" si="880"/>
        <v>20</v>
      </c>
      <c r="U1500" s="229">
        <f t="shared" si="870"/>
        <v>3.94</v>
      </c>
      <c r="V1500" s="229">
        <f t="shared" si="871"/>
        <v>1.76</v>
      </c>
      <c r="W1500" s="229">
        <f t="shared" si="872"/>
        <v>0</v>
      </c>
      <c r="X1500" s="229">
        <f t="shared" si="873"/>
        <v>1.87</v>
      </c>
      <c r="Y1500" s="229">
        <f t="shared" si="874"/>
        <v>0</v>
      </c>
      <c r="Z1500" s="229">
        <f t="shared" si="875"/>
        <v>27.570000000000004</v>
      </c>
      <c r="AA1500" s="230">
        <f t="shared" si="876"/>
        <v>3492.43</v>
      </c>
      <c r="AB1500" s="231">
        <v>3492</v>
      </c>
      <c r="AC1500" s="232">
        <f t="shared" si="877"/>
        <v>-0.42999999999983629</v>
      </c>
      <c r="AD1500" s="233">
        <f t="shared" si="878"/>
        <v>0</v>
      </c>
      <c r="AE1500" s="234">
        <f t="shared" si="879"/>
        <v>7.8320000000000004E-3</v>
      </c>
      <c r="AF1500" s="229"/>
      <c r="AG1500" s="235" t="s">
        <v>416</v>
      </c>
      <c r="AH1500" s="124"/>
    </row>
    <row r="1501" spans="1:34" ht="12" hidden="1" customHeight="1">
      <c r="A1501" s="154">
        <v>44691</v>
      </c>
      <c r="B1501" s="221" t="s">
        <v>768</v>
      </c>
      <c r="C1501" s="7" t="s">
        <v>485</v>
      </c>
      <c r="D1501" s="221" t="str">
        <f t="shared" ca="1" si="863"/>
        <v>Stocks</v>
      </c>
      <c r="E1501" s="221" t="str">
        <f ca="1">IFERROR(__xludf.DUMMYFUNCTION("split(B1501,"" "")"),"NTPC")</f>
        <v>NTPC</v>
      </c>
      <c r="F1501" s="221" t="str">
        <f ca="1">IFERROR(__xludf.DUMMYFUNCTION("""COMPUTED_VALUE"""),"26!MAY")</f>
        <v>26!MAY</v>
      </c>
      <c r="G1501" s="221">
        <f ca="1">IFERROR(__xludf.DUMMYFUNCTION("""COMPUTED_VALUE"""),160)</f>
        <v>160</v>
      </c>
      <c r="H1501" s="221" t="str">
        <f ca="1">IFERROR(__xludf.DUMMYFUNCTION("""COMPUTED_VALUE"""),"CE")</f>
        <v>CE</v>
      </c>
      <c r="I1501" s="221" t="s">
        <v>4</v>
      </c>
      <c r="J1501" s="223">
        <v>5700</v>
      </c>
      <c r="K1501" s="224">
        <v>1</v>
      </c>
      <c r="L1501" s="224">
        <v>1</v>
      </c>
      <c r="M1501" s="225">
        <f t="shared" si="864"/>
        <v>5700</v>
      </c>
      <c r="N1501" s="226">
        <v>4</v>
      </c>
      <c r="O1501" s="227">
        <v>0</v>
      </c>
      <c r="P1501" s="228">
        <f t="shared" si="865"/>
        <v>22800</v>
      </c>
      <c r="Q1501" s="228">
        <f t="shared" si="866"/>
        <v>0</v>
      </c>
      <c r="R1501" s="229">
        <f t="shared" si="867"/>
        <v>22800</v>
      </c>
      <c r="S1501" s="229">
        <f t="shared" si="868"/>
        <v>-22800</v>
      </c>
      <c r="T1501" s="229">
        <f t="shared" si="880"/>
        <v>20</v>
      </c>
      <c r="U1501" s="229">
        <f t="shared" si="870"/>
        <v>5.77</v>
      </c>
      <c r="V1501" s="229">
        <f t="shared" si="871"/>
        <v>0</v>
      </c>
      <c r="W1501" s="229">
        <f t="shared" si="872"/>
        <v>0.68</v>
      </c>
      <c r="X1501" s="229">
        <f t="shared" si="873"/>
        <v>12.08</v>
      </c>
      <c r="Y1501" s="229">
        <f t="shared" si="874"/>
        <v>0.02</v>
      </c>
      <c r="Z1501" s="229">
        <f t="shared" si="875"/>
        <v>38.550000000000004</v>
      </c>
      <c r="AA1501" s="230">
        <f t="shared" si="876"/>
        <v>-22838.55</v>
      </c>
      <c r="AB1501" s="231">
        <v>-22838.880000000001</v>
      </c>
      <c r="AC1501" s="232">
        <f t="shared" si="877"/>
        <v>-0.33000000000174623</v>
      </c>
      <c r="AD1501" s="233">
        <f t="shared" si="878"/>
        <v>-1</v>
      </c>
      <c r="AE1501" s="234">
        <f t="shared" si="879"/>
        <v>1.691E-3</v>
      </c>
      <c r="AF1501" s="229"/>
      <c r="AG1501" s="235" t="s">
        <v>416</v>
      </c>
      <c r="AH1501" s="124"/>
    </row>
    <row r="1502" spans="1:34" ht="12" hidden="1" customHeight="1">
      <c r="A1502" s="155">
        <v>44698</v>
      </c>
      <c r="B1502" s="221" t="s">
        <v>768</v>
      </c>
      <c r="C1502" s="7" t="s">
        <v>485</v>
      </c>
      <c r="D1502" s="221" t="str">
        <f t="shared" ca="1" si="863"/>
        <v>Stocks</v>
      </c>
      <c r="E1502" s="221" t="str">
        <f ca="1">IFERROR(__xludf.DUMMYFUNCTION("split(B1502,"" "")"),"NTPC")</f>
        <v>NTPC</v>
      </c>
      <c r="F1502" s="221" t="str">
        <f ca="1">IFERROR(__xludf.DUMMYFUNCTION("""COMPUTED_VALUE"""),"26!MAY")</f>
        <v>26!MAY</v>
      </c>
      <c r="G1502" s="221">
        <f ca="1">IFERROR(__xludf.DUMMYFUNCTION("""COMPUTED_VALUE"""),160)</f>
        <v>160</v>
      </c>
      <c r="H1502" s="221" t="str">
        <f ca="1">IFERROR(__xludf.DUMMYFUNCTION("""COMPUTED_VALUE"""),"CE")</f>
        <v>CE</v>
      </c>
      <c r="I1502" s="221" t="s">
        <v>4</v>
      </c>
      <c r="J1502" s="223">
        <v>5700</v>
      </c>
      <c r="K1502" s="224">
        <v>1</v>
      </c>
      <c r="L1502" s="224">
        <v>1</v>
      </c>
      <c r="M1502" s="225">
        <f t="shared" si="864"/>
        <v>5700</v>
      </c>
      <c r="N1502" s="226">
        <v>0</v>
      </c>
      <c r="O1502" s="227">
        <v>0.45</v>
      </c>
      <c r="P1502" s="228">
        <f t="shared" si="865"/>
        <v>0</v>
      </c>
      <c r="Q1502" s="228">
        <f t="shared" si="866"/>
        <v>2565</v>
      </c>
      <c r="R1502" s="229">
        <f t="shared" si="867"/>
        <v>2565</v>
      </c>
      <c r="S1502" s="229">
        <f t="shared" si="868"/>
        <v>2565</v>
      </c>
      <c r="T1502" s="229">
        <f t="shared" si="880"/>
        <v>20</v>
      </c>
      <c r="U1502" s="229">
        <f t="shared" si="870"/>
        <v>3.84</v>
      </c>
      <c r="V1502" s="229">
        <f t="shared" si="871"/>
        <v>1.28</v>
      </c>
      <c r="W1502" s="229">
        <f t="shared" si="872"/>
        <v>0</v>
      </c>
      <c r="X1502" s="229">
        <f t="shared" si="873"/>
        <v>1.36</v>
      </c>
      <c r="Y1502" s="229">
        <f t="shared" si="874"/>
        <v>0</v>
      </c>
      <c r="Z1502" s="229">
        <f t="shared" si="875"/>
        <v>26.48</v>
      </c>
      <c r="AA1502" s="230">
        <f t="shared" si="876"/>
        <v>2538.52</v>
      </c>
      <c r="AB1502" s="231">
        <v>2538.64</v>
      </c>
      <c r="AC1502" s="232">
        <f t="shared" si="877"/>
        <v>0.11999999999989086</v>
      </c>
      <c r="AD1502" s="233">
        <f t="shared" si="878"/>
        <v>0</v>
      </c>
      <c r="AE1502" s="234">
        <f t="shared" si="879"/>
        <v>1.0324E-2</v>
      </c>
      <c r="AF1502" s="229"/>
      <c r="AG1502" s="235" t="s">
        <v>416</v>
      </c>
      <c r="AH1502" s="124"/>
    </row>
    <row r="1503" spans="1:34" ht="12" hidden="1" customHeight="1">
      <c r="A1503" s="154">
        <v>44694</v>
      </c>
      <c r="B1503" s="221" t="s">
        <v>769</v>
      </c>
      <c r="C1503" s="7" t="s">
        <v>485</v>
      </c>
      <c r="D1503" s="221" t="str">
        <f t="shared" ca="1" si="863"/>
        <v>Stocks</v>
      </c>
      <c r="E1503" s="221" t="str">
        <f ca="1">IFERROR(__xludf.DUMMYFUNCTION("split(B1503,"" "")"),"BAJFINANCE")</f>
        <v>BAJFINANCE</v>
      </c>
      <c r="F1503" s="221" t="str">
        <f ca="1">IFERROR(__xludf.DUMMYFUNCTION("""COMPUTED_VALUE"""),"26!MAY")</f>
        <v>26!MAY</v>
      </c>
      <c r="G1503" s="221">
        <f ca="1">IFERROR(__xludf.DUMMYFUNCTION("""COMPUTED_VALUE"""),5700)</f>
        <v>5700</v>
      </c>
      <c r="H1503" s="221" t="str">
        <f ca="1">IFERROR(__xludf.DUMMYFUNCTION("""COMPUTED_VALUE"""),"CE")</f>
        <v>CE</v>
      </c>
      <c r="I1503" s="221" t="s">
        <v>4</v>
      </c>
      <c r="J1503" s="223">
        <v>125</v>
      </c>
      <c r="K1503" s="224">
        <v>1</v>
      </c>
      <c r="L1503" s="224">
        <v>1</v>
      </c>
      <c r="M1503" s="225">
        <f t="shared" si="864"/>
        <v>125</v>
      </c>
      <c r="N1503" s="226">
        <v>184</v>
      </c>
      <c r="O1503" s="227">
        <v>0</v>
      </c>
      <c r="P1503" s="228">
        <f t="shared" si="865"/>
        <v>23000</v>
      </c>
      <c r="Q1503" s="228">
        <f t="shared" si="866"/>
        <v>0</v>
      </c>
      <c r="R1503" s="229">
        <f t="shared" si="867"/>
        <v>23000</v>
      </c>
      <c r="S1503" s="229">
        <f t="shared" si="868"/>
        <v>-23000</v>
      </c>
      <c r="T1503" s="229">
        <f t="shared" si="880"/>
        <v>20</v>
      </c>
      <c r="U1503" s="229">
        <f t="shared" si="870"/>
        <v>5.79</v>
      </c>
      <c r="V1503" s="229">
        <f t="shared" si="871"/>
        <v>0</v>
      </c>
      <c r="W1503" s="229">
        <f t="shared" si="872"/>
        <v>0.69</v>
      </c>
      <c r="X1503" s="229">
        <f t="shared" si="873"/>
        <v>12.19</v>
      </c>
      <c r="Y1503" s="229">
        <f t="shared" si="874"/>
        <v>0.02</v>
      </c>
      <c r="Z1503" s="229">
        <f t="shared" si="875"/>
        <v>38.690000000000005</v>
      </c>
      <c r="AA1503" s="230">
        <f t="shared" si="876"/>
        <v>-23038.69</v>
      </c>
      <c r="AB1503" s="231">
        <v>-23039</v>
      </c>
      <c r="AC1503" s="232">
        <f t="shared" si="877"/>
        <v>-0.31000000000130967</v>
      </c>
      <c r="AD1503" s="233">
        <f t="shared" si="878"/>
        <v>-1</v>
      </c>
      <c r="AE1503" s="234">
        <f t="shared" si="879"/>
        <v>1.6819999999999999E-3</v>
      </c>
      <c r="AF1503" s="229"/>
      <c r="AG1503" s="235" t="s">
        <v>416</v>
      </c>
      <c r="AH1503" s="124"/>
    </row>
    <row r="1504" spans="1:34" ht="12" hidden="1" customHeight="1">
      <c r="A1504" s="155">
        <v>44698</v>
      </c>
      <c r="B1504" s="221" t="s">
        <v>769</v>
      </c>
      <c r="C1504" s="7" t="s">
        <v>485</v>
      </c>
      <c r="D1504" s="221" t="str">
        <f t="shared" ca="1" si="863"/>
        <v>Stocks</v>
      </c>
      <c r="E1504" s="221" t="str">
        <f ca="1">IFERROR(__xludf.DUMMYFUNCTION("split(B1504,"" "")"),"BAJFINANCE")</f>
        <v>BAJFINANCE</v>
      </c>
      <c r="F1504" s="221" t="str">
        <f ca="1">IFERROR(__xludf.DUMMYFUNCTION("""COMPUTED_VALUE"""),"26!MAY")</f>
        <v>26!MAY</v>
      </c>
      <c r="G1504" s="221">
        <f ca="1">IFERROR(__xludf.DUMMYFUNCTION("""COMPUTED_VALUE"""),5700)</f>
        <v>5700</v>
      </c>
      <c r="H1504" s="221" t="str">
        <f ca="1">IFERROR(__xludf.DUMMYFUNCTION("""COMPUTED_VALUE"""),"CE")</f>
        <v>CE</v>
      </c>
      <c r="I1504" s="221" t="s">
        <v>4</v>
      </c>
      <c r="J1504" s="223">
        <v>125</v>
      </c>
      <c r="K1504" s="224">
        <v>1</v>
      </c>
      <c r="L1504" s="224">
        <v>1</v>
      </c>
      <c r="M1504" s="225">
        <f t="shared" si="864"/>
        <v>125</v>
      </c>
      <c r="N1504" s="226">
        <v>0</v>
      </c>
      <c r="O1504" s="227">
        <v>150</v>
      </c>
      <c r="P1504" s="228">
        <f t="shared" si="865"/>
        <v>0</v>
      </c>
      <c r="Q1504" s="228">
        <f t="shared" si="866"/>
        <v>18750</v>
      </c>
      <c r="R1504" s="229">
        <f t="shared" si="867"/>
        <v>18750</v>
      </c>
      <c r="S1504" s="229">
        <f t="shared" si="868"/>
        <v>18750</v>
      </c>
      <c r="T1504" s="229">
        <f t="shared" si="880"/>
        <v>20</v>
      </c>
      <c r="U1504" s="229">
        <f t="shared" si="870"/>
        <v>5.39</v>
      </c>
      <c r="V1504" s="229">
        <f t="shared" si="871"/>
        <v>9.3800000000000008</v>
      </c>
      <c r="W1504" s="229">
        <f t="shared" si="872"/>
        <v>0</v>
      </c>
      <c r="X1504" s="229">
        <f t="shared" si="873"/>
        <v>9.94</v>
      </c>
      <c r="Y1504" s="229">
        <f t="shared" si="874"/>
        <v>0.02</v>
      </c>
      <c r="Z1504" s="229">
        <f t="shared" si="875"/>
        <v>44.730000000000004</v>
      </c>
      <c r="AA1504" s="230">
        <f t="shared" si="876"/>
        <v>18705.27</v>
      </c>
      <c r="AB1504" s="231">
        <v>18705</v>
      </c>
      <c r="AC1504" s="232">
        <f t="shared" si="877"/>
        <v>-0.27000000000043656</v>
      </c>
      <c r="AD1504" s="233">
        <f t="shared" si="878"/>
        <v>0</v>
      </c>
      <c r="AE1504" s="234">
        <f t="shared" si="879"/>
        <v>2.3860000000000001E-3</v>
      </c>
      <c r="AF1504" s="229"/>
      <c r="AG1504" s="235" t="s">
        <v>416</v>
      </c>
      <c r="AH1504" s="124"/>
    </row>
    <row r="1505" spans="1:34" ht="12" hidden="1" customHeight="1">
      <c r="A1505" s="220">
        <v>44698</v>
      </c>
      <c r="B1505" s="221" t="s">
        <v>770</v>
      </c>
      <c r="C1505" s="7" t="s">
        <v>485</v>
      </c>
      <c r="D1505" s="221" t="str">
        <f t="shared" ca="1" si="863"/>
        <v>Stocks</v>
      </c>
      <c r="E1505" s="221" t="str">
        <f ca="1">IFERROR(__xludf.DUMMYFUNCTION("split(B1505,"" "")"),"TATAMOTORS")</f>
        <v>TATAMOTORS</v>
      </c>
      <c r="F1505" s="221" t="str">
        <f ca="1">IFERROR(__xludf.DUMMYFUNCTION("""COMPUTED_VALUE"""),"26!MAY")</f>
        <v>26!MAY</v>
      </c>
      <c r="G1505" s="221">
        <f ca="1">IFERROR(__xludf.DUMMYFUNCTION("""COMPUTED_VALUE"""),410)</f>
        <v>410</v>
      </c>
      <c r="H1505" s="221" t="str">
        <f ca="1">IFERROR(__xludf.DUMMYFUNCTION("""COMPUTED_VALUE"""),"PE")</f>
        <v>PE</v>
      </c>
      <c r="I1505" s="221" t="s">
        <v>4</v>
      </c>
      <c r="J1505" s="223">
        <v>1425</v>
      </c>
      <c r="K1505" s="224">
        <v>1</v>
      </c>
      <c r="L1505" s="224">
        <v>2</v>
      </c>
      <c r="M1505" s="225">
        <f t="shared" si="864"/>
        <v>2850</v>
      </c>
      <c r="N1505" s="226">
        <v>9.125</v>
      </c>
      <c r="O1505" s="227">
        <v>8.3249999999999993</v>
      </c>
      <c r="P1505" s="228">
        <f t="shared" si="865"/>
        <v>26006.25</v>
      </c>
      <c r="Q1505" s="228">
        <f t="shared" si="866"/>
        <v>23726.25</v>
      </c>
      <c r="R1505" s="229">
        <f t="shared" si="867"/>
        <v>49732.5</v>
      </c>
      <c r="S1505" s="229">
        <f t="shared" si="868"/>
        <v>-2280.0000000000018</v>
      </c>
      <c r="T1505" s="229">
        <f t="shared" si="880"/>
        <v>80</v>
      </c>
      <c r="U1505" s="229">
        <f t="shared" si="870"/>
        <v>19.14</v>
      </c>
      <c r="V1505" s="229">
        <f t="shared" si="871"/>
        <v>11.86</v>
      </c>
      <c r="W1505" s="229">
        <f t="shared" si="872"/>
        <v>0.78</v>
      </c>
      <c r="X1505" s="229">
        <f t="shared" si="873"/>
        <v>26.36</v>
      </c>
      <c r="Y1505" s="229">
        <f t="shared" si="874"/>
        <v>0.05</v>
      </c>
      <c r="Z1505" s="229">
        <f t="shared" si="875"/>
        <v>138.19</v>
      </c>
      <c r="AA1505" s="230">
        <f t="shared" si="876"/>
        <v>-2418.19</v>
      </c>
      <c r="AB1505" s="231">
        <v>-2418</v>
      </c>
      <c r="AC1505" s="232">
        <f t="shared" si="877"/>
        <v>0.19000000000005457</v>
      </c>
      <c r="AD1505" s="233">
        <f t="shared" si="878"/>
        <v>-8.7671232876712413E-2</v>
      </c>
      <c r="AE1505" s="234">
        <f t="shared" si="879"/>
        <v>2.7789999999999998E-3</v>
      </c>
      <c r="AF1505" s="229"/>
      <c r="AG1505" s="235" t="s">
        <v>416</v>
      </c>
      <c r="AH1505" s="124"/>
    </row>
    <row r="1506" spans="1:34" ht="12" hidden="1" customHeight="1">
      <c r="A1506" s="220">
        <v>44699</v>
      </c>
      <c r="B1506" s="221" t="s">
        <v>771</v>
      </c>
      <c r="C1506" s="7" t="s">
        <v>485</v>
      </c>
      <c r="D1506" s="221" t="str">
        <f t="shared" ca="1" si="863"/>
        <v>Stocks</v>
      </c>
      <c r="E1506" s="221" t="str">
        <f ca="1">IFERROR(__xludf.DUMMYFUNCTION("split(B1506,"" "")"),"PVR")</f>
        <v>PVR</v>
      </c>
      <c r="F1506" s="221" t="str">
        <f ca="1">IFERROR(__xludf.DUMMYFUNCTION("""COMPUTED_VALUE"""),"26!MAY")</f>
        <v>26!MAY</v>
      </c>
      <c r="G1506" s="221">
        <f ca="1">IFERROR(__xludf.DUMMYFUNCTION("""COMPUTED_VALUE"""),1800)</f>
        <v>1800</v>
      </c>
      <c r="H1506" s="221" t="str">
        <f ca="1">IFERROR(__xludf.DUMMYFUNCTION("""COMPUTED_VALUE"""),"CE")</f>
        <v>CE</v>
      </c>
      <c r="I1506" s="221" t="s">
        <v>4</v>
      </c>
      <c r="J1506" s="223">
        <v>407</v>
      </c>
      <c r="K1506" s="224">
        <v>1</v>
      </c>
      <c r="L1506" s="224">
        <v>4</v>
      </c>
      <c r="M1506" s="225">
        <f t="shared" si="864"/>
        <v>1628</v>
      </c>
      <c r="N1506" s="226">
        <v>47.75</v>
      </c>
      <c r="O1506" s="227">
        <v>46.875</v>
      </c>
      <c r="P1506" s="228">
        <f t="shared" si="865"/>
        <v>77737</v>
      </c>
      <c r="Q1506" s="228">
        <f t="shared" si="866"/>
        <v>76312.5</v>
      </c>
      <c r="R1506" s="229">
        <f t="shared" si="867"/>
        <v>154049.5</v>
      </c>
      <c r="S1506" s="229">
        <f t="shared" si="868"/>
        <v>-1424.5</v>
      </c>
      <c r="T1506" s="229">
        <f t="shared" si="880"/>
        <v>160</v>
      </c>
      <c r="U1506" s="229">
        <f t="shared" si="870"/>
        <v>43.5</v>
      </c>
      <c r="V1506" s="229">
        <f t="shared" si="871"/>
        <v>38.159999999999997</v>
      </c>
      <c r="W1506" s="229">
        <f t="shared" si="872"/>
        <v>2.33</v>
      </c>
      <c r="X1506" s="229">
        <f t="shared" si="873"/>
        <v>81.650000000000006</v>
      </c>
      <c r="Y1506" s="229">
        <f t="shared" si="874"/>
        <v>0.15</v>
      </c>
      <c r="Z1506" s="229">
        <f t="shared" si="875"/>
        <v>325.78999999999996</v>
      </c>
      <c r="AA1506" s="230">
        <f t="shared" si="876"/>
        <v>-1750.29</v>
      </c>
      <c r="AB1506" s="231">
        <v>-1750</v>
      </c>
      <c r="AC1506" s="232">
        <f t="shared" si="877"/>
        <v>0.28999999999996362</v>
      </c>
      <c r="AD1506" s="233">
        <f t="shared" si="878"/>
        <v>-1.832460732984293E-2</v>
      </c>
      <c r="AE1506" s="234">
        <f t="shared" si="879"/>
        <v>2.1150000000000001E-3</v>
      </c>
      <c r="AF1506" s="229"/>
      <c r="AG1506" s="235" t="s">
        <v>416</v>
      </c>
      <c r="AH1506" s="124"/>
    </row>
    <row r="1507" spans="1:34" ht="12" hidden="1" customHeight="1">
      <c r="A1507" s="154">
        <v>44699</v>
      </c>
      <c r="B1507" s="221" t="s">
        <v>772</v>
      </c>
      <c r="C1507" s="7" t="s">
        <v>485</v>
      </c>
      <c r="D1507" s="221" t="str">
        <f t="shared" ca="1" si="863"/>
        <v>Stocks</v>
      </c>
      <c r="E1507" s="221" t="str">
        <f ca="1">IFERROR(__xludf.DUMMYFUNCTION("split(B1507,"" "")"),"AXISBANK")</f>
        <v>AXISBANK</v>
      </c>
      <c r="F1507" s="221" t="str">
        <f ca="1">IFERROR(__xludf.DUMMYFUNCTION("""COMPUTED_VALUE"""),"26!MAY")</f>
        <v>26!MAY</v>
      </c>
      <c r="G1507" s="221">
        <f ca="1">IFERROR(__xludf.DUMMYFUNCTION("""COMPUTED_VALUE"""),660)</f>
        <v>660</v>
      </c>
      <c r="H1507" s="221" t="str">
        <f ca="1">IFERROR(__xludf.DUMMYFUNCTION("""COMPUTED_VALUE"""),"CE")</f>
        <v>CE</v>
      </c>
      <c r="I1507" s="221" t="s">
        <v>4</v>
      </c>
      <c r="J1507" s="223">
        <v>1200</v>
      </c>
      <c r="K1507" s="224">
        <v>1</v>
      </c>
      <c r="L1507" s="224">
        <v>1</v>
      </c>
      <c r="M1507" s="225">
        <f t="shared" si="864"/>
        <v>1200</v>
      </c>
      <c r="N1507" s="226">
        <v>11.6</v>
      </c>
      <c r="O1507" s="227">
        <v>0</v>
      </c>
      <c r="P1507" s="228">
        <f t="shared" si="865"/>
        <v>13920</v>
      </c>
      <c r="Q1507" s="228">
        <f t="shared" si="866"/>
        <v>0</v>
      </c>
      <c r="R1507" s="229">
        <f t="shared" si="867"/>
        <v>13920</v>
      </c>
      <c r="S1507" s="229">
        <f t="shared" si="868"/>
        <v>-13920</v>
      </c>
      <c r="T1507" s="229">
        <f t="shared" si="880"/>
        <v>20</v>
      </c>
      <c r="U1507" s="229">
        <f t="shared" si="870"/>
        <v>4.93</v>
      </c>
      <c r="V1507" s="229">
        <f t="shared" si="871"/>
        <v>0</v>
      </c>
      <c r="W1507" s="229">
        <f t="shared" si="872"/>
        <v>0.42</v>
      </c>
      <c r="X1507" s="229">
        <f t="shared" si="873"/>
        <v>7.38</v>
      </c>
      <c r="Y1507" s="229">
        <f t="shared" si="874"/>
        <v>0.01</v>
      </c>
      <c r="Z1507" s="229">
        <f t="shared" si="875"/>
        <v>32.74</v>
      </c>
      <c r="AA1507" s="230">
        <f t="shared" si="876"/>
        <v>-13952.74</v>
      </c>
      <c r="AB1507" s="231">
        <v>-13953.11</v>
      </c>
      <c r="AC1507" s="232">
        <f t="shared" si="877"/>
        <v>-0.37000000000080036</v>
      </c>
      <c r="AD1507" s="233">
        <f t="shared" si="878"/>
        <v>-1</v>
      </c>
      <c r="AE1507" s="234">
        <f t="shared" si="879"/>
        <v>2.3519999999999999E-3</v>
      </c>
      <c r="AF1507" s="229"/>
      <c r="AG1507" s="235" t="s">
        <v>416</v>
      </c>
      <c r="AH1507" s="124"/>
    </row>
    <row r="1508" spans="1:34" ht="12" hidden="1" customHeight="1">
      <c r="A1508" s="155">
        <v>44701</v>
      </c>
      <c r="B1508" s="221" t="s">
        <v>772</v>
      </c>
      <c r="C1508" s="7" t="s">
        <v>485</v>
      </c>
      <c r="D1508" s="221" t="str">
        <f t="shared" ca="1" si="863"/>
        <v>Stocks</v>
      </c>
      <c r="E1508" s="221" t="str">
        <f ca="1">IFERROR(__xludf.DUMMYFUNCTION("split(B1508,"" "")"),"AXISBANK")</f>
        <v>AXISBANK</v>
      </c>
      <c r="F1508" s="221" t="str">
        <f ca="1">IFERROR(__xludf.DUMMYFUNCTION("""COMPUTED_VALUE"""),"26!MAY")</f>
        <v>26!MAY</v>
      </c>
      <c r="G1508" s="221">
        <f ca="1">IFERROR(__xludf.DUMMYFUNCTION("""COMPUTED_VALUE"""),660)</f>
        <v>660</v>
      </c>
      <c r="H1508" s="221" t="str">
        <f ca="1">IFERROR(__xludf.DUMMYFUNCTION("""COMPUTED_VALUE"""),"CE")</f>
        <v>CE</v>
      </c>
      <c r="I1508" s="221" t="s">
        <v>4</v>
      </c>
      <c r="J1508" s="223">
        <v>1200</v>
      </c>
      <c r="K1508" s="224">
        <v>1</v>
      </c>
      <c r="L1508" s="224">
        <v>1</v>
      </c>
      <c r="M1508" s="225">
        <f t="shared" si="864"/>
        <v>1200</v>
      </c>
      <c r="N1508" s="226">
        <v>0</v>
      </c>
      <c r="O1508" s="227">
        <v>13</v>
      </c>
      <c r="P1508" s="228">
        <f t="shared" si="865"/>
        <v>0</v>
      </c>
      <c r="Q1508" s="228">
        <f t="shared" si="866"/>
        <v>15600</v>
      </c>
      <c r="R1508" s="229">
        <f t="shared" si="867"/>
        <v>15600</v>
      </c>
      <c r="S1508" s="229">
        <f t="shared" si="868"/>
        <v>15600</v>
      </c>
      <c r="T1508" s="229">
        <f t="shared" si="880"/>
        <v>20</v>
      </c>
      <c r="U1508" s="229">
        <f t="shared" si="870"/>
        <v>5.09</v>
      </c>
      <c r="V1508" s="229">
        <f t="shared" si="871"/>
        <v>7.8</v>
      </c>
      <c r="W1508" s="229">
        <f t="shared" si="872"/>
        <v>0</v>
      </c>
      <c r="X1508" s="229">
        <f t="shared" si="873"/>
        <v>8.27</v>
      </c>
      <c r="Y1508" s="229">
        <f t="shared" si="874"/>
        <v>0.02</v>
      </c>
      <c r="Z1508" s="229">
        <f t="shared" si="875"/>
        <v>41.18</v>
      </c>
      <c r="AA1508" s="230">
        <f t="shared" si="876"/>
        <v>15558.82</v>
      </c>
      <c r="AB1508" s="231">
        <v>15558.62</v>
      </c>
      <c r="AC1508" s="232">
        <f t="shared" si="877"/>
        <v>-0.19999999999890861</v>
      </c>
      <c r="AD1508" s="233">
        <f t="shared" si="878"/>
        <v>0</v>
      </c>
      <c r="AE1508" s="234">
        <f t="shared" si="879"/>
        <v>2.64E-3</v>
      </c>
      <c r="AF1508" s="229"/>
      <c r="AG1508" s="235" t="s">
        <v>416</v>
      </c>
      <c r="AH1508" s="124"/>
    </row>
    <row r="1509" spans="1:34" ht="12" hidden="1" customHeight="1">
      <c r="A1509" s="154">
        <v>44700</v>
      </c>
      <c r="B1509" s="221" t="s">
        <v>773</v>
      </c>
      <c r="C1509" s="7" t="s">
        <v>485</v>
      </c>
      <c r="D1509" s="221" t="str">
        <f t="shared" ca="1" si="863"/>
        <v>Stocks</v>
      </c>
      <c r="E1509" s="221" t="str">
        <f ca="1">IFERROR(__xludf.DUMMYFUNCTION("split(B1509,"" "")"),"ICICIBANK")</f>
        <v>ICICIBANK</v>
      </c>
      <c r="F1509" s="221" t="str">
        <f ca="1">IFERROR(__xludf.DUMMYFUNCTION("""COMPUTED_VALUE"""),"26!MAY")</f>
        <v>26!MAY</v>
      </c>
      <c r="G1509" s="221">
        <f ca="1">IFERROR(__xludf.DUMMYFUNCTION("""COMPUTED_VALUE"""),700)</f>
        <v>700</v>
      </c>
      <c r="H1509" s="221" t="str">
        <f ca="1">IFERROR(__xludf.DUMMYFUNCTION("""COMPUTED_VALUE"""),"PE")</f>
        <v>PE</v>
      </c>
      <c r="I1509" s="221" t="s">
        <v>4</v>
      </c>
      <c r="J1509" s="223">
        <v>1375</v>
      </c>
      <c r="K1509" s="224">
        <v>1</v>
      </c>
      <c r="L1509" s="224">
        <v>1</v>
      </c>
      <c r="M1509" s="225">
        <f t="shared" si="864"/>
        <v>1375</v>
      </c>
      <c r="N1509" s="226">
        <v>17.5</v>
      </c>
      <c r="O1509" s="227">
        <v>0</v>
      </c>
      <c r="P1509" s="228">
        <f t="shared" si="865"/>
        <v>24062.5</v>
      </c>
      <c r="Q1509" s="228">
        <f t="shared" si="866"/>
        <v>0</v>
      </c>
      <c r="R1509" s="229">
        <f t="shared" si="867"/>
        <v>24062.5</v>
      </c>
      <c r="S1509" s="229">
        <f t="shared" si="868"/>
        <v>-24062.5</v>
      </c>
      <c r="T1509" s="229">
        <f t="shared" si="880"/>
        <v>20</v>
      </c>
      <c r="U1509" s="229">
        <f t="shared" si="870"/>
        <v>5.9</v>
      </c>
      <c r="V1509" s="229">
        <f t="shared" si="871"/>
        <v>0</v>
      </c>
      <c r="W1509" s="229">
        <f t="shared" si="872"/>
        <v>0.72</v>
      </c>
      <c r="X1509" s="229">
        <f t="shared" si="873"/>
        <v>12.75</v>
      </c>
      <c r="Y1509" s="229">
        <f t="shared" si="874"/>
        <v>0.02</v>
      </c>
      <c r="Z1509" s="229">
        <f t="shared" si="875"/>
        <v>39.39</v>
      </c>
      <c r="AA1509" s="230">
        <f t="shared" si="876"/>
        <v>-24101.89</v>
      </c>
      <c r="AB1509" s="231">
        <v>-24102.11</v>
      </c>
      <c r="AC1509" s="232">
        <f t="shared" si="877"/>
        <v>-0.22000000000116415</v>
      </c>
      <c r="AD1509" s="233">
        <f t="shared" si="878"/>
        <v>-1</v>
      </c>
      <c r="AE1509" s="234">
        <f t="shared" si="879"/>
        <v>1.637E-3</v>
      </c>
      <c r="AF1509" s="229"/>
      <c r="AG1509" s="235" t="s">
        <v>416</v>
      </c>
      <c r="AH1509" s="124"/>
    </row>
    <row r="1510" spans="1:34" ht="12" hidden="1" customHeight="1">
      <c r="A1510" s="155">
        <v>44706</v>
      </c>
      <c r="B1510" s="221" t="s">
        <v>773</v>
      </c>
      <c r="C1510" s="7" t="s">
        <v>485</v>
      </c>
      <c r="D1510" s="221" t="str">
        <f t="shared" ca="1" si="863"/>
        <v>Stocks</v>
      </c>
      <c r="E1510" s="221" t="str">
        <f ca="1">IFERROR(__xludf.DUMMYFUNCTION("split(B1510,"" "")"),"ICICIBANK")</f>
        <v>ICICIBANK</v>
      </c>
      <c r="F1510" s="221" t="str">
        <f ca="1">IFERROR(__xludf.DUMMYFUNCTION("""COMPUTED_VALUE"""),"26!MAY")</f>
        <v>26!MAY</v>
      </c>
      <c r="G1510" s="221">
        <f ca="1">IFERROR(__xludf.DUMMYFUNCTION("""COMPUTED_VALUE"""),700)</f>
        <v>700</v>
      </c>
      <c r="H1510" s="221" t="str">
        <f ca="1">IFERROR(__xludf.DUMMYFUNCTION("""COMPUTED_VALUE"""),"PE")</f>
        <v>PE</v>
      </c>
      <c r="I1510" s="221" t="s">
        <v>4</v>
      </c>
      <c r="J1510" s="223">
        <v>1375</v>
      </c>
      <c r="K1510" s="224">
        <v>1</v>
      </c>
      <c r="L1510" s="224">
        <v>1</v>
      </c>
      <c r="M1510" s="225">
        <f t="shared" si="864"/>
        <v>1375</v>
      </c>
      <c r="N1510" s="226">
        <v>0</v>
      </c>
      <c r="O1510" s="227">
        <v>1</v>
      </c>
      <c r="P1510" s="228">
        <f t="shared" si="865"/>
        <v>0</v>
      </c>
      <c r="Q1510" s="228">
        <f t="shared" si="866"/>
        <v>1375</v>
      </c>
      <c r="R1510" s="229">
        <f t="shared" si="867"/>
        <v>1375</v>
      </c>
      <c r="S1510" s="229">
        <f t="shared" si="868"/>
        <v>1375</v>
      </c>
      <c r="T1510" s="229">
        <f t="shared" si="880"/>
        <v>20</v>
      </c>
      <c r="U1510" s="229">
        <f t="shared" si="870"/>
        <v>3.73</v>
      </c>
      <c r="V1510" s="229">
        <f t="shared" si="871"/>
        <v>0.69</v>
      </c>
      <c r="W1510" s="229">
        <f t="shared" si="872"/>
        <v>0</v>
      </c>
      <c r="X1510" s="229">
        <f t="shared" si="873"/>
        <v>0.73</v>
      </c>
      <c r="Y1510" s="229">
        <f t="shared" si="874"/>
        <v>0</v>
      </c>
      <c r="Z1510" s="229">
        <f t="shared" si="875"/>
        <v>25.150000000000002</v>
      </c>
      <c r="AA1510" s="230">
        <f t="shared" si="876"/>
        <v>1349.85</v>
      </c>
      <c r="AB1510" s="231">
        <v>1348.9</v>
      </c>
      <c r="AC1510" s="232">
        <f t="shared" si="877"/>
        <v>-0.9499999999998181</v>
      </c>
      <c r="AD1510" s="233">
        <f t="shared" si="878"/>
        <v>0</v>
      </c>
      <c r="AE1510" s="234">
        <f t="shared" si="879"/>
        <v>1.8291000000000002E-2</v>
      </c>
      <c r="AF1510" s="229"/>
      <c r="AG1510" s="235" t="s">
        <v>416</v>
      </c>
      <c r="AH1510" s="124"/>
    </row>
    <row r="1511" spans="1:34" ht="12" hidden="1" customHeight="1">
      <c r="A1511" s="154">
        <v>44706</v>
      </c>
      <c r="B1511" s="221" t="s">
        <v>774</v>
      </c>
      <c r="C1511" s="7" t="s">
        <v>485</v>
      </c>
      <c r="D1511" s="221" t="str">
        <f t="shared" ca="1" si="863"/>
        <v>Stocks</v>
      </c>
      <c r="E1511" s="221" t="str">
        <f ca="1">IFERROR(__xludf.DUMMYFUNCTION("split(B1511,"" "")"),"KOTAKBANK")</f>
        <v>KOTAKBANK</v>
      </c>
      <c r="F1511" s="221" t="str">
        <f ca="1">IFERROR(__xludf.DUMMYFUNCTION("""COMPUTED_VALUE"""),"30!JUN")</f>
        <v>30!JUN</v>
      </c>
      <c r="G1511" s="221">
        <f ca="1">IFERROR(__xludf.DUMMYFUNCTION("""COMPUTED_VALUE"""),1920)</f>
        <v>1920</v>
      </c>
      <c r="H1511" s="221" t="str">
        <f ca="1">IFERROR(__xludf.DUMMYFUNCTION("""COMPUTED_VALUE"""),"CE")</f>
        <v>CE</v>
      </c>
      <c r="I1511" s="221" t="s">
        <v>4</v>
      </c>
      <c r="J1511" s="223">
        <v>400</v>
      </c>
      <c r="K1511" s="224">
        <v>1</v>
      </c>
      <c r="L1511" s="224">
        <v>1</v>
      </c>
      <c r="M1511" s="225">
        <f t="shared" si="864"/>
        <v>400</v>
      </c>
      <c r="N1511" s="226">
        <v>60</v>
      </c>
      <c r="O1511" s="227">
        <v>0</v>
      </c>
      <c r="P1511" s="228">
        <f t="shared" si="865"/>
        <v>24000</v>
      </c>
      <c r="Q1511" s="228">
        <f t="shared" si="866"/>
        <v>0</v>
      </c>
      <c r="R1511" s="229">
        <f t="shared" si="867"/>
        <v>24000</v>
      </c>
      <c r="S1511" s="229">
        <f t="shared" si="868"/>
        <v>-24000</v>
      </c>
      <c r="T1511" s="229">
        <f t="shared" si="880"/>
        <v>20</v>
      </c>
      <c r="U1511" s="229">
        <f t="shared" si="870"/>
        <v>5.89</v>
      </c>
      <c r="V1511" s="229">
        <f t="shared" si="871"/>
        <v>0</v>
      </c>
      <c r="W1511" s="229">
        <f t="shared" si="872"/>
        <v>0.72</v>
      </c>
      <c r="X1511" s="229">
        <f t="shared" si="873"/>
        <v>12.72</v>
      </c>
      <c r="Y1511" s="229">
        <f t="shared" si="874"/>
        <v>0.02</v>
      </c>
      <c r="Z1511" s="229">
        <f t="shared" si="875"/>
        <v>39.35</v>
      </c>
      <c r="AA1511" s="230">
        <f t="shared" si="876"/>
        <v>-24039.35</v>
      </c>
      <c r="AB1511" s="231">
        <v>-24039</v>
      </c>
      <c r="AC1511" s="232">
        <f t="shared" si="877"/>
        <v>0.34999999999854481</v>
      </c>
      <c r="AD1511" s="233">
        <f t="shared" si="878"/>
        <v>-1</v>
      </c>
      <c r="AE1511" s="234">
        <f t="shared" si="879"/>
        <v>1.64E-3</v>
      </c>
      <c r="AF1511" s="229"/>
      <c r="AG1511" s="235" t="s">
        <v>416</v>
      </c>
      <c r="AH1511" s="124"/>
    </row>
    <row r="1512" spans="1:34" ht="12" hidden="1" customHeight="1">
      <c r="A1512" s="155">
        <v>44708</v>
      </c>
      <c r="B1512" s="221" t="s">
        <v>774</v>
      </c>
      <c r="C1512" s="7" t="s">
        <v>485</v>
      </c>
      <c r="D1512" s="221" t="str">
        <f t="shared" ca="1" si="863"/>
        <v>Stocks</v>
      </c>
      <c r="E1512" s="221" t="str">
        <f ca="1">IFERROR(__xludf.DUMMYFUNCTION("split(B1512,"" "")"),"KOTAKBANK")</f>
        <v>KOTAKBANK</v>
      </c>
      <c r="F1512" s="221" t="str">
        <f ca="1">IFERROR(__xludf.DUMMYFUNCTION("""COMPUTED_VALUE"""),"30!JUN")</f>
        <v>30!JUN</v>
      </c>
      <c r="G1512" s="221">
        <f ca="1">IFERROR(__xludf.DUMMYFUNCTION("""COMPUTED_VALUE"""),1920)</f>
        <v>1920</v>
      </c>
      <c r="H1512" s="221" t="str">
        <f ca="1">IFERROR(__xludf.DUMMYFUNCTION("""COMPUTED_VALUE"""),"CE")</f>
        <v>CE</v>
      </c>
      <c r="I1512" s="221" t="s">
        <v>4</v>
      </c>
      <c r="J1512" s="223">
        <v>400</v>
      </c>
      <c r="K1512" s="224">
        <v>1</v>
      </c>
      <c r="L1512" s="224">
        <v>1</v>
      </c>
      <c r="M1512" s="225">
        <f t="shared" si="864"/>
        <v>400</v>
      </c>
      <c r="N1512" s="226">
        <v>0</v>
      </c>
      <c r="O1512" s="227">
        <v>74.5</v>
      </c>
      <c r="P1512" s="228">
        <f t="shared" si="865"/>
        <v>0</v>
      </c>
      <c r="Q1512" s="228">
        <f t="shared" si="866"/>
        <v>29800</v>
      </c>
      <c r="R1512" s="229">
        <f t="shared" si="867"/>
        <v>29800</v>
      </c>
      <c r="S1512" s="229">
        <f t="shared" si="868"/>
        <v>29800</v>
      </c>
      <c r="T1512" s="229">
        <f t="shared" si="880"/>
        <v>20</v>
      </c>
      <c r="U1512" s="229">
        <f t="shared" si="870"/>
        <v>6.44</v>
      </c>
      <c r="V1512" s="229">
        <f t="shared" si="871"/>
        <v>14.9</v>
      </c>
      <c r="W1512" s="229">
        <f t="shared" si="872"/>
        <v>0</v>
      </c>
      <c r="X1512" s="229">
        <f t="shared" si="873"/>
        <v>15.79</v>
      </c>
      <c r="Y1512" s="229">
        <f t="shared" si="874"/>
        <v>0.03</v>
      </c>
      <c r="Z1512" s="229">
        <f t="shared" si="875"/>
        <v>57.160000000000004</v>
      </c>
      <c r="AA1512" s="230">
        <f t="shared" si="876"/>
        <v>29742.84</v>
      </c>
      <c r="AB1512" s="231">
        <v>29742.45</v>
      </c>
      <c r="AC1512" s="232">
        <f t="shared" si="877"/>
        <v>-0.38999999999941792</v>
      </c>
      <c r="AD1512" s="233">
        <f t="shared" si="878"/>
        <v>0</v>
      </c>
      <c r="AE1512" s="234">
        <f t="shared" si="879"/>
        <v>1.918E-3</v>
      </c>
      <c r="AF1512" s="229"/>
      <c r="AG1512" s="235" t="s">
        <v>416</v>
      </c>
      <c r="AH1512" s="124"/>
    </row>
    <row r="1513" spans="1:34" ht="12" hidden="1" customHeight="1">
      <c r="A1513" s="154">
        <v>44708</v>
      </c>
      <c r="B1513" s="221" t="s">
        <v>775</v>
      </c>
      <c r="C1513" s="7" t="s">
        <v>485</v>
      </c>
      <c r="D1513" s="221" t="str">
        <f t="shared" ca="1" si="863"/>
        <v>Stocks</v>
      </c>
      <c r="E1513" s="221" t="str">
        <f ca="1">IFERROR(__xludf.DUMMYFUNCTION("split(B1513,"" "")"),"CANBK")</f>
        <v>CANBK</v>
      </c>
      <c r="F1513" s="221" t="str">
        <f ca="1">IFERROR(__xludf.DUMMYFUNCTION("""COMPUTED_VALUE"""),"30!JUN")</f>
        <v>30!JUN</v>
      </c>
      <c r="G1513" s="221">
        <f ca="1">IFERROR(__xludf.DUMMYFUNCTION("""COMPUTED_VALUE"""),200)</f>
        <v>200</v>
      </c>
      <c r="H1513" s="221" t="str">
        <f ca="1">IFERROR(__xludf.DUMMYFUNCTION("""COMPUTED_VALUE"""),"CE")</f>
        <v>CE</v>
      </c>
      <c r="I1513" s="221" t="s">
        <v>4</v>
      </c>
      <c r="J1513" s="223">
        <v>2700</v>
      </c>
      <c r="K1513" s="224">
        <v>1</v>
      </c>
      <c r="L1513" s="224">
        <v>1</v>
      </c>
      <c r="M1513" s="225">
        <f t="shared" si="864"/>
        <v>2700</v>
      </c>
      <c r="N1513" s="226">
        <v>7.5</v>
      </c>
      <c r="O1513" s="227">
        <v>0</v>
      </c>
      <c r="P1513" s="228">
        <f t="shared" si="865"/>
        <v>20250</v>
      </c>
      <c r="Q1513" s="228">
        <f t="shared" si="866"/>
        <v>0</v>
      </c>
      <c r="R1513" s="229">
        <f t="shared" si="867"/>
        <v>20250</v>
      </c>
      <c r="S1513" s="229">
        <f t="shared" si="868"/>
        <v>-20250</v>
      </c>
      <c r="T1513" s="229">
        <f t="shared" si="880"/>
        <v>20</v>
      </c>
      <c r="U1513" s="229">
        <f t="shared" si="870"/>
        <v>5.53</v>
      </c>
      <c r="V1513" s="229">
        <f t="shared" si="871"/>
        <v>0</v>
      </c>
      <c r="W1513" s="229">
        <f t="shared" si="872"/>
        <v>0.61</v>
      </c>
      <c r="X1513" s="229">
        <f t="shared" si="873"/>
        <v>10.73</v>
      </c>
      <c r="Y1513" s="229">
        <f t="shared" si="874"/>
        <v>0.02</v>
      </c>
      <c r="Z1513" s="229">
        <f t="shared" si="875"/>
        <v>36.890000000000008</v>
      </c>
      <c r="AA1513" s="230">
        <f t="shared" si="876"/>
        <v>-20286.89</v>
      </c>
      <c r="AB1513" s="231">
        <v>-20287</v>
      </c>
      <c r="AC1513" s="232">
        <f t="shared" si="877"/>
        <v>-0.11000000000058208</v>
      </c>
      <c r="AD1513" s="233">
        <f t="shared" si="878"/>
        <v>-1</v>
      </c>
      <c r="AE1513" s="234">
        <f t="shared" si="879"/>
        <v>1.8220000000000001E-3</v>
      </c>
      <c r="AF1513" s="229"/>
      <c r="AG1513" s="235" t="s">
        <v>416</v>
      </c>
      <c r="AH1513" s="124"/>
    </row>
    <row r="1514" spans="1:34" ht="12" hidden="1" customHeight="1">
      <c r="A1514" s="155">
        <v>44713</v>
      </c>
      <c r="B1514" s="221" t="s">
        <v>775</v>
      </c>
      <c r="C1514" s="7" t="s">
        <v>485</v>
      </c>
      <c r="D1514" s="221" t="str">
        <f t="shared" ca="1" si="863"/>
        <v>Stocks</v>
      </c>
      <c r="E1514" s="221" t="str">
        <f ca="1">IFERROR(__xludf.DUMMYFUNCTION("split(B1514,"" "")"),"CANBK")</f>
        <v>CANBK</v>
      </c>
      <c r="F1514" s="221" t="str">
        <f ca="1">IFERROR(__xludf.DUMMYFUNCTION("""COMPUTED_VALUE"""),"30!JUN")</f>
        <v>30!JUN</v>
      </c>
      <c r="G1514" s="221">
        <f ca="1">IFERROR(__xludf.DUMMYFUNCTION("""COMPUTED_VALUE"""),200)</f>
        <v>200</v>
      </c>
      <c r="H1514" s="221" t="str">
        <f ca="1">IFERROR(__xludf.DUMMYFUNCTION("""COMPUTED_VALUE"""),"CE")</f>
        <v>CE</v>
      </c>
      <c r="I1514" s="221" t="s">
        <v>4</v>
      </c>
      <c r="J1514" s="223">
        <v>2700</v>
      </c>
      <c r="K1514" s="224">
        <v>1</v>
      </c>
      <c r="L1514" s="224">
        <v>1</v>
      </c>
      <c r="M1514" s="225">
        <f t="shared" si="864"/>
        <v>2700</v>
      </c>
      <c r="N1514" s="226">
        <v>0</v>
      </c>
      <c r="O1514" s="227">
        <v>10</v>
      </c>
      <c r="P1514" s="228">
        <f t="shared" si="865"/>
        <v>0</v>
      </c>
      <c r="Q1514" s="228">
        <f t="shared" si="866"/>
        <v>27000</v>
      </c>
      <c r="R1514" s="229">
        <f t="shared" si="867"/>
        <v>27000</v>
      </c>
      <c r="S1514" s="229">
        <f t="shared" si="868"/>
        <v>27000</v>
      </c>
      <c r="T1514" s="229">
        <f t="shared" si="880"/>
        <v>20</v>
      </c>
      <c r="U1514" s="229">
        <f t="shared" si="870"/>
        <v>6.18</v>
      </c>
      <c r="V1514" s="229">
        <f t="shared" si="871"/>
        <v>13.5</v>
      </c>
      <c r="W1514" s="229">
        <f t="shared" si="872"/>
        <v>0</v>
      </c>
      <c r="X1514" s="229">
        <f t="shared" si="873"/>
        <v>14.31</v>
      </c>
      <c r="Y1514" s="229">
        <f t="shared" si="874"/>
        <v>0.03</v>
      </c>
      <c r="Z1514" s="229">
        <f t="shared" si="875"/>
        <v>54.02</v>
      </c>
      <c r="AA1514" s="230">
        <f t="shared" si="876"/>
        <v>26945.98</v>
      </c>
      <c r="AB1514" s="231">
        <v>26946</v>
      </c>
      <c r="AC1514" s="232">
        <f t="shared" si="877"/>
        <v>2.0000000000436557E-2</v>
      </c>
      <c r="AD1514" s="233">
        <f t="shared" si="878"/>
        <v>0</v>
      </c>
      <c r="AE1514" s="234">
        <f t="shared" si="879"/>
        <v>2.0010000000000002E-3</v>
      </c>
      <c r="AF1514" s="229"/>
      <c r="AG1514" s="235" t="s">
        <v>416</v>
      </c>
      <c r="AH1514" s="124"/>
    </row>
    <row r="1515" spans="1:34" ht="12" hidden="1" customHeight="1">
      <c r="A1515" s="220">
        <v>44713</v>
      </c>
      <c r="B1515" s="221" t="s">
        <v>776</v>
      </c>
      <c r="C1515" s="7" t="s">
        <v>485</v>
      </c>
      <c r="D1515" s="221" t="str">
        <f t="shared" ca="1" si="863"/>
        <v>Stocks</v>
      </c>
      <c r="E1515" s="221" t="str">
        <f ca="1">IFERROR(__xludf.DUMMYFUNCTION("split(B1515,"" "")"),"CANBK")</f>
        <v>CANBK</v>
      </c>
      <c r="F1515" s="221" t="str">
        <f ca="1">IFERROR(__xludf.DUMMYFUNCTION("""COMPUTED_VALUE"""),"30!JUN")</f>
        <v>30!JUN</v>
      </c>
      <c r="G1515" s="221">
        <f ca="1">IFERROR(__xludf.DUMMYFUNCTION("""COMPUTED_VALUE"""),210)</f>
        <v>210</v>
      </c>
      <c r="H1515" s="221" t="str">
        <f ca="1">IFERROR(__xludf.DUMMYFUNCTION("""COMPUTED_VALUE"""),"CE")</f>
        <v>CE</v>
      </c>
      <c r="I1515" s="221" t="s">
        <v>4</v>
      </c>
      <c r="J1515" s="223">
        <v>2700</v>
      </c>
      <c r="K1515" s="224">
        <v>1</v>
      </c>
      <c r="L1515" s="224">
        <v>1</v>
      </c>
      <c r="M1515" s="225">
        <f t="shared" si="864"/>
        <v>2700</v>
      </c>
      <c r="N1515" s="226">
        <v>5</v>
      </c>
      <c r="O1515" s="227">
        <v>5.5</v>
      </c>
      <c r="P1515" s="228">
        <f t="shared" si="865"/>
        <v>13500</v>
      </c>
      <c r="Q1515" s="228">
        <f t="shared" si="866"/>
        <v>14850</v>
      </c>
      <c r="R1515" s="229">
        <f t="shared" si="867"/>
        <v>28350</v>
      </c>
      <c r="S1515" s="229">
        <f t="shared" si="868"/>
        <v>1350</v>
      </c>
      <c r="T1515" s="229">
        <f t="shared" si="880"/>
        <v>40</v>
      </c>
      <c r="U1515" s="229">
        <f t="shared" si="870"/>
        <v>9.91</v>
      </c>
      <c r="V1515" s="229">
        <f t="shared" si="871"/>
        <v>7.43</v>
      </c>
      <c r="W1515" s="229">
        <f t="shared" si="872"/>
        <v>0.41</v>
      </c>
      <c r="X1515" s="229">
        <f t="shared" si="873"/>
        <v>15.03</v>
      </c>
      <c r="Y1515" s="229">
        <f t="shared" si="874"/>
        <v>0.03</v>
      </c>
      <c r="Z1515" s="229">
        <f t="shared" si="875"/>
        <v>72.809999999999988</v>
      </c>
      <c r="AA1515" s="230">
        <f t="shared" si="876"/>
        <v>1277.19</v>
      </c>
      <c r="AB1515" s="231">
        <v>1277</v>
      </c>
      <c r="AC1515" s="232">
        <f t="shared" si="877"/>
        <v>-0.19000000000005457</v>
      </c>
      <c r="AD1515" s="233">
        <f t="shared" si="878"/>
        <v>0.1</v>
      </c>
      <c r="AE1515" s="234">
        <f t="shared" si="879"/>
        <v>2.568E-3</v>
      </c>
      <c r="AF1515" s="229"/>
      <c r="AG1515" s="235" t="s">
        <v>416</v>
      </c>
      <c r="AH1515" s="124"/>
    </row>
    <row r="1516" spans="1:34" ht="12" hidden="1" customHeight="1">
      <c r="A1516" s="220">
        <v>44713</v>
      </c>
      <c r="B1516" s="221" t="s">
        <v>777</v>
      </c>
      <c r="C1516" s="7" t="s">
        <v>485</v>
      </c>
      <c r="D1516" s="221" t="str">
        <f t="shared" ca="1" si="863"/>
        <v>Stocks</v>
      </c>
      <c r="E1516" s="221" t="str">
        <f ca="1">IFERROR(__xludf.DUMMYFUNCTION("split(B1516,"" "")"),"TATASTEEL")</f>
        <v>TATASTEEL</v>
      </c>
      <c r="F1516" s="221" t="str">
        <f ca="1">IFERROR(__xludf.DUMMYFUNCTION("""COMPUTED_VALUE"""),"30!JUN")</f>
        <v>30!JUN</v>
      </c>
      <c r="G1516" s="221">
        <f ca="1">IFERROR(__xludf.DUMMYFUNCTION("""COMPUTED_VALUE"""),1080)</f>
        <v>1080</v>
      </c>
      <c r="H1516" s="221" t="str">
        <f ca="1">IFERROR(__xludf.DUMMYFUNCTION("""COMPUTED_VALUE"""),"CE")</f>
        <v>CE</v>
      </c>
      <c r="I1516" s="221" t="s">
        <v>4</v>
      </c>
      <c r="J1516" s="223">
        <v>425</v>
      </c>
      <c r="K1516" s="224">
        <v>1</v>
      </c>
      <c r="L1516" s="224">
        <v>1</v>
      </c>
      <c r="M1516" s="225">
        <f t="shared" si="864"/>
        <v>425</v>
      </c>
      <c r="N1516" s="226">
        <v>28</v>
      </c>
      <c r="O1516" s="227">
        <v>26</v>
      </c>
      <c r="P1516" s="228">
        <f t="shared" si="865"/>
        <v>11900</v>
      </c>
      <c r="Q1516" s="228">
        <f t="shared" si="866"/>
        <v>11050</v>
      </c>
      <c r="R1516" s="229">
        <f t="shared" si="867"/>
        <v>22950</v>
      </c>
      <c r="S1516" s="229">
        <f t="shared" si="868"/>
        <v>-850</v>
      </c>
      <c r="T1516" s="229">
        <f t="shared" si="880"/>
        <v>40</v>
      </c>
      <c r="U1516" s="229">
        <f t="shared" si="870"/>
        <v>9.39</v>
      </c>
      <c r="V1516" s="229">
        <f t="shared" si="871"/>
        <v>5.53</v>
      </c>
      <c r="W1516" s="229">
        <f t="shared" si="872"/>
        <v>0.36</v>
      </c>
      <c r="X1516" s="229">
        <f t="shared" si="873"/>
        <v>12.16</v>
      </c>
      <c r="Y1516" s="229">
        <f t="shared" si="874"/>
        <v>0.02</v>
      </c>
      <c r="Z1516" s="229">
        <f t="shared" si="875"/>
        <v>67.459999999999994</v>
      </c>
      <c r="AA1516" s="230">
        <f t="shared" si="876"/>
        <v>-917.46</v>
      </c>
      <c r="AB1516" s="231">
        <v>-917.05</v>
      </c>
      <c r="AC1516" s="232">
        <f t="shared" si="877"/>
        <v>0.41000000000008185</v>
      </c>
      <c r="AD1516" s="233">
        <f t="shared" si="878"/>
        <v>-7.1428571428571425E-2</v>
      </c>
      <c r="AE1516" s="234">
        <f t="shared" si="879"/>
        <v>2.9390000000000002E-3</v>
      </c>
      <c r="AF1516" s="229"/>
      <c r="AG1516" s="235" t="s">
        <v>416</v>
      </c>
      <c r="AH1516" s="124"/>
    </row>
    <row r="1517" spans="1:34" ht="12" hidden="1" customHeight="1">
      <c r="A1517" s="220">
        <v>44714</v>
      </c>
      <c r="B1517" s="221" t="s">
        <v>778</v>
      </c>
      <c r="C1517" s="7" t="s">
        <v>485</v>
      </c>
      <c r="D1517" s="221" t="str">
        <f t="shared" ca="1" si="863"/>
        <v>Stocks</v>
      </c>
      <c r="E1517" s="221" t="str">
        <f ca="1">IFERROR(__xludf.DUMMYFUNCTION("split(B1517,"" "")"),"CANBK")</f>
        <v>CANBK</v>
      </c>
      <c r="F1517" s="221" t="str">
        <f ca="1">IFERROR(__xludf.DUMMYFUNCTION("""COMPUTED_VALUE"""),"30!JUN")</f>
        <v>30!JUN</v>
      </c>
      <c r="G1517" s="221">
        <f ca="1">IFERROR(__xludf.DUMMYFUNCTION("""COMPUTED_VALUE"""),215)</f>
        <v>215</v>
      </c>
      <c r="H1517" s="221" t="str">
        <f ca="1">IFERROR(__xludf.DUMMYFUNCTION("""COMPUTED_VALUE"""),"CE")</f>
        <v>CE</v>
      </c>
      <c r="I1517" s="221" t="s">
        <v>4</v>
      </c>
      <c r="J1517" s="223">
        <v>2700</v>
      </c>
      <c r="K1517" s="224">
        <v>1</v>
      </c>
      <c r="L1517" s="224">
        <v>1</v>
      </c>
      <c r="M1517" s="225">
        <f t="shared" si="864"/>
        <v>2700</v>
      </c>
      <c r="N1517" s="226">
        <v>5</v>
      </c>
      <c r="O1517" s="227">
        <v>5.9</v>
      </c>
      <c r="P1517" s="228">
        <f t="shared" si="865"/>
        <v>13500</v>
      </c>
      <c r="Q1517" s="228">
        <f t="shared" si="866"/>
        <v>15930</v>
      </c>
      <c r="R1517" s="229">
        <f t="shared" si="867"/>
        <v>29430</v>
      </c>
      <c r="S1517" s="229">
        <f t="shared" si="868"/>
        <v>2430.0000000000009</v>
      </c>
      <c r="T1517" s="229">
        <f t="shared" si="880"/>
        <v>40</v>
      </c>
      <c r="U1517" s="229">
        <f t="shared" si="870"/>
        <v>10.01</v>
      </c>
      <c r="V1517" s="229">
        <f t="shared" si="871"/>
        <v>7.97</v>
      </c>
      <c r="W1517" s="229">
        <f t="shared" si="872"/>
        <v>0.41</v>
      </c>
      <c r="X1517" s="229">
        <f t="shared" si="873"/>
        <v>15.6</v>
      </c>
      <c r="Y1517" s="229">
        <f t="shared" si="874"/>
        <v>0.03</v>
      </c>
      <c r="Z1517" s="229">
        <f t="shared" si="875"/>
        <v>74.02</v>
      </c>
      <c r="AA1517" s="230">
        <f t="shared" si="876"/>
        <v>2355.98</v>
      </c>
      <c r="AB1517" s="231">
        <v>2356.36</v>
      </c>
      <c r="AC1517" s="232">
        <f t="shared" si="877"/>
        <v>0.38000000000010914</v>
      </c>
      <c r="AD1517" s="233">
        <f t="shared" si="878"/>
        <v>0.18000000000000008</v>
      </c>
      <c r="AE1517" s="234">
        <f t="shared" si="879"/>
        <v>2.5149999999999999E-3</v>
      </c>
      <c r="AF1517" s="229"/>
      <c r="AG1517" s="235" t="s">
        <v>416</v>
      </c>
      <c r="AH1517" s="124"/>
    </row>
    <row r="1518" spans="1:34" ht="12" hidden="1" customHeight="1">
      <c r="A1518" s="154">
        <v>44715</v>
      </c>
      <c r="B1518" s="221" t="s">
        <v>779</v>
      </c>
      <c r="C1518" s="7" t="s">
        <v>485</v>
      </c>
      <c r="D1518" s="221" t="str">
        <f t="shared" ca="1" si="863"/>
        <v>Stocks</v>
      </c>
      <c r="E1518" s="221" t="str">
        <f ca="1">IFERROR(__xludf.DUMMYFUNCTION("split(B1518,"" "")"),"L&amp;TFH")</f>
        <v>L&amp;TFH</v>
      </c>
      <c r="F1518" s="221" t="str">
        <f ca="1">IFERROR(__xludf.DUMMYFUNCTION("""COMPUTED_VALUE"""),"30!JUN")</f>
        <v>30!JUN</v>
      </c>
      <c r="G1518" s="221">
        <f ca="1">IFERROR(__xludf.DUMMYFUNCTION("""COMPUTED_VALUE"""),78)</f>
        <v>78</v>
      </c>
      <c r="H1518" s="221" t="str">
        <f ca="1">IFERROR(__xludf.DUMMYFUNCTION("""COMPUTED_VALUE"""),"CE")</f>
        <v>CE</v>
      </c>
      <c r="I1518" s="221" t="s">
        <v>4</v>
      </c>
      <c r="J1518" s="223">
        <v>8924</v>
      </c>
      <c r="K1518" s="224">
        <v>1</v>
      </c>
      <c r="L1518" s="224">
        <v>1</v>
      </c>
      <c r="M1518" s="225">
        <f t="shared" si="864"/>
        <v>8924</v>
      </c>
      <c r="N1518" s="226">
        <v>4</v>
      </c>
      <c r="O1518" s="227">
        <v>0</v>
      </c>
      <c r="P1518" s="228">
        <f t="shared" si="865"/>
        <v>35696</v>
      </c>
      <c r="Q1518" s="228">
        <f t="shared" si="866"/>
        <v>0</v>
      </c>
      <c r="R1518" s="229">
        <f t="shared" si="867"/>
        <v>35696</v>
      </c>
      <c r="S1518" s="229">
        <f t="shared" si="868"/>
        <v>-35696</v>
      </c>
      <c r="T1518" s="229">
        <f t="shared" si="880"/>
        <v>20</v>
      </c>
      <c r="U1518" s="229">
        <f t="shared" si="870"/>
        <v>7.01</v>
      </c>
      <c r="V1518" s="229">
        <f t="shared" si="871"/>
        <v>0</v>
      </c>
      <c r="W1518" s="229">
        <f t="shared" si="872"/>
        <v>1.07</v>
      </c>
      <c r="X1518" s="229">
        <f t="shared" si="873"/>
        <v>18.920000000000002</v>
      </c>
      <c r="Y1518" s="229">
        <f t="shared" si="874"/>
        <v>0.04</v>
      </c>
      <c r="Z1518" s="229">
        <f t="shared" si="875"/>
        <v>47.04</v>
      </c>
      <c r="AA1518" s="230">
        <f t="shared" si="876"/>
        <v>-35743.040000000001</v>
      </c>
      <c r="AB1518" s="231">
        <v>-35743</v>
      </c>
      <c r="AC1518" s="232">
        <f t="shared" si="877"/>
        <v>4.0000000000873115E-2</v>
      </c>
      <c r="AD1518" s="233">
        <f t="shared" si="878"/>
        <v>-1</v>
      </c>
      <c r="AE1518" s="234">
        <f t="shared" si="879"/>
        <v>1.3179999999999999E-3</v>
      </c>
      <c r="AF1518" s="229"/>
      <c r="AG1518" s="235" t="s">
        <v>416</v>
      </c>
      <c r="AH1518" s="124"/>
    </row>
    <row r="1519" spans="1:34" ht="12" hidden="1" customHeight="1">
      <c r="A1519" s="155">
        <v>44735</v>
      </c>
      <c r="B1519" s="221" t="s">
        <v>779</v>
      </c>
      <c r="C1519" s="7" t="s">
        <v>485</v>
      </c>
      <c r="D1519" s="221" t="str">
        <f t="shared" ca="1" si="863"/>
        <v>Stocks</v>
      </c>
      <c r="E1519" s="221" t="str">
        <f ca="1">IFERROR(__xludf.DUMMYFUNCTION("split(B1519,"" "")"),"L&amp;TFH")</f>
        <v>L&amp;TFH</v>
      </c>
      <c r="F1519" s="221" t="str">
        <f ca="1">IFERROR(__xludf.DUMMYFUNCTION("""COMPUTED_VALUE"""),"30!JUN")</f>
        <v>30!JUN</v>
      </c>
      <c r="G1519" s="221">
        <f ca="1">IFERROR(__xludf.DUMMYFUNCTION("""COMPUTED_VALUE"""),78)</f>
        <v>78</v>
      </c>
      <c r="H1519" s="221" t="str">
        <f ca="1">IFERROR(__xludf.DUMMYFUNCTION("""COMPUTED_VALUE"""),"CE")</f>
        <v>CE</v>
      </c>
      <c r="I1519" s="221" t="s">
        <v>4</v>
      </c>
      <c r="J1519" s="223">
        <v>8924</v>
      </c>
      <c r="K1519" s="224">
        <v>1</v>
      </c>
      <c r="L1519" s="224">
        <v>1</v>
      </c>
      <c r="M1519" s="225">
        <f t="shared" si="864"/>
        <v>8924</v>
      </c>
      <c r="N1519" s="226">
        <v>0</v>
      </c>
      <c r="O1519" s="227">
        <v>0.05</v>
      </c>
      <c r="P1519" s="228">
        <f t="shared" si="865"/>
        <v>0</v>
      </c>
      <c r="Q1519" s="228">
        <f t="shared" si="866"/>
        <v>446.2</v>
      </c>
      <c r="R1519" s="229">
        <f t="shared" si="867"/>
        <v>446.2</v>
      </c>
      <c r="S1519" s="229">
        <f t="shared" si="868"/>
        <v>446.20000000000005</v>
      </c>
      <c r="T1519" s="229">
        <f t="shared" si="880"/>
        <v>20</v>
      </c>
      <c r="U1519" s="229">
        <f t="shared" si="870"/>
        <v>3.64</v>
      </c>
      <c r="V1519" s="229">
        <f t="shared" si="871"/>
        <v>0.22</v>
      </c>
      <c r="W1519" s="229">
        <f t="shared" si="872"/>
        <v>0</v>
      </c>
      <c r="X1519" s="229">
        <f t="shared" si="873"/>
        <v>0.24</v>
      </c>
      <c r="Y1519" s="229">
        <f t="shared" si="874"/>
        <v>0</v>
      </c>
      <c r="Z1519" s="229">
        <f t="shared" si="875"/>
        <v>24.099999999999998</v>
      </c>
      <c r="AA1519" s="230">
        <f t="shared" si="876"/>
        <v>422.1</v>
      </c>
      <c r="AB1519" s="231">
        <f>ROUND(AA1519,0)</f>
        <v>422</v>
      </c>
      <c r="AC1519" s="232">
        <f t="shared" si="877"/>
        <v>-0.10000000000002274</v>
      </c>
      <c r="AD1519" s="233">
        <f t="shared" si="878"/>
        <v>0</v>
      </c>
      <c r="AE1519" s="234">
        <f t="shared" si="879"/>
        <v>5.4011999999999998E-2</v>
      </c>
      <c r="AF1519" s="229"/>
      <c r="AG1519" s="235" t="s">
        <v>416</v>
      </c>
      <c r="AH1519" s="124"/>
    </row>
    <row r="1520" spans="1:34" ht="12" hidden="1" customHeight="1">
      <c r="A1520" s="154">
        <v>44715</v>
      </c>
      <c r="B1520" s="221" t="s">
        <v>780</v>
      </c>
      <c r="C1520" s="7" t="s">
        <v>485</v>
      </c>
      <c r="D1520" s="221" t="str">
        <f t="shared" ca="1" si="863"/>
        <v>Stocks</v>
      </c>
      <c r="E1520" s="221" t="str">
        <f ca="1">IFERROR(__xludf.DUMMYFUNCTION("split(B1520,"" "")"),"COALINDIA")</f>
        <v>COALINDIA</v>
      </c>
      <c r="F1520" s="221" t="str">
        <f ca="1">IFERROR(__xludf.DUMMYFUNCTION("""COMPUTED_VALUE"""),"30!JUN")</f>
        <v>30!JUN</v>
      </c>
      <c r="G1520" s="221">
        <f ca="1">IFERROR(__xludf.DUMMYFUNCTION("""COMPUTED_VALUE"""),200)</f>
        <v>200</v>
      </c>
      <c r="H1520" s="221" t="str">
        <f ca="1">IFERROR(__xludf.DUMMYFUNCTION("""COMPUTED_VALUE"""),"CE")</f>
        <v>CE</v>
      </c>
      <c r="I1520" s="221" t="s">
        <v>4</v>
      </c>
      <c r="J1520" s="223">
        <v>4200</v>
      </c>
      <c r="K1520" s="224">
        <v>1</v>
      </c>
      <c r="L1520" s="224">
        <v>1</v>
      </c>
      <c r="M1520" s="225">
        <f t="shared" si="864"/>
        <v>4200</v>
      </c>
      <c r="N1520" s="226">
        <v>6.2</v>
      </c>
      <c r="O1520" s="227">
        <v>0</v>
      </c>
      <c r="P1520" s="228">
        <f t="shared" si="865"/>
        <v>26040</v>
      </c>
      <c r="Q1520" s="228">
        <f t="shared" si="866"/>
        <v>0</v>
      </c>
      <c r="R1520" s="229">
        <f t="shared" si="867"/>
        <v>26040</v>
      </c>
      <c r="S1520" s="229">
        <f t="shared" si="868"/>
        <v>-26040</v>
      </c>
      <c r="T1520" s="229">
        <f t="shared" si="880"/>
        <v>20</v>
      </c>
      <c r="U1520" s="229">
        <f t="shared" si="870"/>
        <v>6.08</v>
      </c>
      <c r="V1520" s="229">
        <f t="shared" si="871"/>
        <v>0</v>
      </c>
      <c r="W1520" s="229">
        <f t="shared" si="872"/>
        <v>0.78</v>
      </c>
      <c r="X1520" s="229">
        <f t="shared" si="873"/>
        <v>13.8</v>
      </c>
      <c r="Y1520" s="229">
        <f t="shared" si="874"/>
        <v>0.03</v>
      </c>
      <c r="Z1520" s="229">
        <f t="shared" si="875"/>
        <v>40.69</v>
      </c>
      <c r="AA1520" s="230">
        <f t="shared" si="876"/>
        <v>-26080.69</v>
      </c>
      <c r="AB1520" s="231">
        <v>-26080.87</v>
      </c>
      <c r="AC1520" s="232">
        <f t="shared" si="877"/>
        <v>-0.18000000000029104</v>
      </c>
      <c r="AD1520" s="233">
        <f t="shared" si="878"/>
        <v>-1</v>
      </c>
      <c r="AE1520" s="234">
        <f t="shared" si="879"/>
        <v>1.5629999999999999E-3</v>
      </c>
      <c r="AF1520" s="229"/>
      <c r="AG1520" s="235" t="s">
        <v>416</v>
      </c>
      <c r="AH1520" s="124"/>
    </row>
    <row r="1521" spans="1:34" ht="12" hidden="1" customHeight="1">
      <c r="A1521" s="155">
        <v>44720</v>
      </c>
      <c r="B1521" s="221" t="s">
        <v>780</v>
      </c>
      <c r="C1521" s="7" t="s">
        <v>485</v>
      </c>
      <c r="D1521" s="221" t="str">
        <f t="shared" ca="1" si="863"/>
        <v>Stocks</v>
      </c>
      <c r="E1521" s="221" t="str">
        <f ca="1">IFERROR(__xludf.DUMMYFUNCTION("split(B1521,"" "")"),"COALINDIA")</f>
        <v>COALINDIA</v>
      </c>
      <c r="F1521" s="221" t="str">
        <f ca="1">IFERROR(__xludf.DUMMYFUNCTION("""COMPUTED_VALUE"""),"30!JUN")</f>
        <v>30!JUN</v>
      </c>
      <c r="G1521" s="221">
        <f ca="1">IFERROR(__xludf.DUMMYFUNCTION("""COMPUTED_VALUE"""),200)</f>
        <v>200</v>
      </c>
      <c r="H1521" s="221" t="str">
        <f ca="1">IFERROR(__xludf.DUMMYFUNCTION("""COMPUTED_VALUE"""),"CE")</f>
        <v>CE</v>
      </c>
      <c r="I1521" s="221" t="s">
        <v>4</v>
      </c>
      <c r="J1521" s="223">
        <v>4200</v>
      </c>
      <c r="K1521" s="224">
        <v>1</v>
      </c>
      <c r="L1521" s="224">
        <v>1</v>
      </c>
      <c r="M1521" s="225">
        <f t="shared" si="864"/>
        <v>4200</v>
      </c>
      <c r="N1521" s="226">
        <v>0</v>
      </c>
      <c r="O1521" s="227">
        <v>7.3</v>
      </c>
      <c r="P1521" s="228">
        <f t="shared" si="865"/>
        <v>0</v>
      </c>
      <c r="Q1521" s="228">
        <f t="shared" si="866"/>
        <v>30660</v>
      </c>
      <c r="R1521" s="229">
        <f t="shared" si="867"/>
        <v>30660</v>
      </c>
      <c r="S1521" s="229">
        <f t="shared" si="868"/>
        <v>30660</v>
      </c>
      <c r="T1521" s="229">
        <f t="shared" si="880"/>
        <v>20</v>
      </c>
      <c r="U1521" s="229">
        <f t="shared" si="870"/>
        <v>6.53</v>
      </c>
      <c r="V1521" s="229">
        <f t="shared" si="871"/>
        <v>15.33</v>
      </c>
      <c r="W1521" s="229">
        <f t="shared" si="872"/>
        <v>0</v>
      </c>
      <c r="X1521" s="229">
        <f t="shared" si="873"/>
        <v>16.25</v>
      </c>
      <c r="Y1521" s="229">
        <f t="shared" si="874"/>
        <v>0.03</v>
      </c>
      <c r="Z1521" s="229">
        <f t="shared" si="875"/>
        <v>58.14</v>
      </c>
      <c r="AA1521" s="230">
        <f t="shared" si="876"/>
        <v>30601.86</v>
      </c>
      <c r="AB1521" s="231">
        <v>30602.2</v>
      </c>
      <c r="AC1521" s="232">
        <f t="shared" si="877"/>
        <v>0.34000000000014552</v>
      </c>
      <c r="AD1521" s="233">
        <f t="shared" si="878"/>
        <v>0</v>
      </c>
      <c r="AE1521" s="234">
        <f t="shared" si="879"/>
        <v>1.8959999999999999E-3</v>
      </c>
      <c r="AF1521" s="229"/>
      <c r="AG1521" s="235" t="s">
        <v>416</v>
      </c>
      <c r="AH1521" s="124"/>
    </row>
    <row r="1522" spans="1:34" ht="12" hidden="1" customHeight="1">
      <c r="A1522" s="154">
        <v>44718</v>
      </c>
      <c r="B1522" s="221" t="s">
        <v>781</v>
      </c>
      <c r="C1522" s="7" t="s">
        <v>485</v>
      </c>
      <c r="D1522" s="221" t="str">
        <f t="shared" ca="1" si="863"/>
        <v>Stocks</v>
      </c>
      <c r="E1522" s="221" t="str">
        <f ca="1">IFERROR(__xludf.DUMMYFUNCTION("split(B1522,"" "")"),"BHARATFORG")</f>
        <v>BHARATFORG</v>
      </c>
      <c r="F1522" s="221" t="str">
        <f ca="1">IFERROR(__xludf.DUMMYFUNCTION("""COMPUTED_VALUE"""),"30!JUN")</f>
        <v>30!JUN</v>
      </c>
      <c r="G1522" s="221">
        <f ca="1">IFERROR(__xludf.DUMMYFUNCTION("""COMPUTED_VALUE"""),650)</f>
        <v>650</v>
      </c>
      <c r="H1522" s="221" t="str">
        <f ca="1">IFERROR(__xludf.DUMMYFUNCTION("""COMPUTED_VALUE"""),"PE")</f>
        <v>PE</v>
      </c>
      <c r="I1522" s="221" t="s">
        <v>4</v>
      </c>
      <c r="J1522" s="223">
        <v>750</v>
      </c>
      <c r="K1522" s="224">
        <v>1</v>
      </c>
      <c r="L1522" s="224">
        <v>1</v>
      </c>
      <c r="M1522" s="225">
        <f t="shared" si="864"/>
        <v>750</v>
      </c>
      <c r="N1522" s="226">
        <v>27</v>
      </c>
      <c r="O1522" s="227">
        <v>0</v>
      </c>
      <c r="P1522" s="228">
        <f t="shared" si="865"/>
        <v>20250</v>
      </c>
      <c r="Q1522" s="228">
        <f t="shared" si="866"/>
        <v>0</v>
      </c>
      <c r="R1522" s="229">
        <f t="shared" si="867"/>
        <v>20250</v>
      </c>
      <c r="S1522" s="229">
        <f t="shared" si="868"/>
        <v>-20250</v>
      </c>
      <c r="T1522" s="229">
        <f t="shared" si="880"/>
        <v>20</v>
      </c>
      <c r="U1522" s="229">
        <f t="shared" si="870"/>
        <v>5.53</v>
      </c>
      <c r="V1522" s="229">
        <f t="shared" si="871"/>
        <v>0</v>
      </c>
      <c r="W1522" s="229">
        <f t="shared" si="872"/>
        <v>0.61</v>
      </c>
      <c r="X1522" s="229">
        <f t="shared" si="873"/>
        <v>10.73</v>
      </c>
      <c r="Y1522" s="229">
        <f t="shared" si="874"/>
        <v>0.02</v>
      </c>
      <c r="Z1522" s="229">
        <f t="shared" si="875"/>
        <v>36.890000000000008</v>
      </c>
      <c r="AA1522" s="230">
        <f t="shared" si="876"/>
        <v>-20286.89</v>
      </c>
      <c r="AB1522" s="231">
        <v>-20287.28</v>
      </c>
      <c r="AC1522" s="232">
        <f t="shared" si="877"/>
        <v>-0.38999999999941792</v>
      </c>
      <c r="AD1522" s="233">
        <f t="shared" si="878"/>
        <v>-1</v>
      </c>
      <c r="AE1522" s="234">
        <f t="shared" si="879"/>
        <v>1.8220000000000001E-3</v>
      </c>
      <c r="AF1522" s="229"/>
      <c r="AG1522" s="235" t="s">
        <v>416</v>
      </c>
      <c r="AH1522" s="124"/>
    </row>
    <row r="1523" spans="1:34" ht="12" hidden="1" customHeight="1">
      <c r="A1523" s="155">
        <v>44725</v>
      </c>
      <c r="B1523" s="221" t="s">
        <v>781</v>
      </c>
      <c r="C1523" s="7" t="s">
        <v>485</v>
      </c>
      <c r="D1523" s="221" t="str">
        <f t="shared" ca="1" si="863"/>
        <v>Stocks</v>
      </c>
      <c r="E1523" s="221" t="str">
        <f ca="1">IFERROR(__xludf.DUMMYFUNCTION("split(B1523,"" "")"),"BHARATFORG")</f>
        <v>BHARATFORG</v>
      </c>
      <c r="F1523" s="221" t="str">
        <f ca="1">IFERROR(__xludf.DUMMYFUNCTION("""COMPUTED_VALUE"""),"30!JUN")</f>
        <v>30!JUN</v>
      </c>
      <c r="G1523" s="221">
        <f ca="1">IFERROR(__xludf.DUMMYFUNCTION("""COMPUTED_VALUE"""),650)</f>
        <v>650</v>
      </c>
      <c r="H1523" s="221" t="str">
        <f ca="1">IFERROR(__xludf.DUMMYFUNCTION("""COMPUTED_VALUE"""),"PE")</f>
        <v>PE</v>
      </c>
      <c r="I1523" s="221" t="s">
        <v>4</v>
      </c>
      <c r="J1523" s="223">
        <v>750</v>
      </c>
      <c r="K1523" s="224">
        <v>1</v>
      </c>
      <c r="L1523" s="224">
        <v>1</v>
      </c>
      <c r="M1523" s="225">
        <f t="shared" si="864"/>
        <v>750</v>
      </c>
      <c r="N1523" s="226">
        <v>0</v>
      </c>
      <c r="O1523" s="227">
        <v>25</v>
      </c>
      <c r="P1523" s="228">
        <f t="shared" si="865"/>
        <v>0</v>
      </c>
      <c r="Q1523" s="228">
        <f t="shared" si="866"/>
        <v>18750</v>
      </c>
      <c r="R1523" s="229">
        <f t="shared" si="867"/>
        <v>18750</v>
      </c>
      <c r="S1523" s="229">
        <f t="shared" si="868"/>
        <v>18750</v>
      </c>
      <c r="T1523" s="229">
        <f t="shared" si="880"/>
        <v>20</v>
      </c>
      <c r="U1523" s="229">
        <f t="shared" si="870"/>
        <v>5.39</v>
      </c>
      <c r="V1523" s="229">
        <f t="shared" si="871"/>
        <v>9.3800000000000008</v>
      </c>
      <c r="W1523" s="229">
        <f t="shared" si="872"/>
        <v>0</v>
      </c>
      <c r="X1523" s="229">
        <f t="shared" si="873"/>
        <v>9.94</v>
      </c>
      <c r="Y1523" s="229">
        <f t="shared" si="874"/>
        <v>0.02</v>
      </c>
      <c r="Z1523" s="229">
        <f t="shared" si="875"/>
        <v>44.730000000000004</v>
      </c>
      <c r="AA1523" s="230">
        <f t="shared" si="876"/>
        <v>18705.27</v>
      </c>
      <c r="AB1523" s="231">
        <v>18705.650000000001</v>
      </c>
      <c r="AC1523" s="232">
        <f t="shared" si="877"/>
        <v>0.38000000000101863</v>
      </c>
      <c r="AD1523" s="233">
        <f t="shared" si="878"/>
        <v>0</v>
      </c>
      <c r="AE1523" s="234">
        <f t="shared" si="879"/>
        <v>2.3860000000000001E-3</v>
      </c>
      <c r="AF1523" s="229"/>
      <c r="AG1523" s="235" t="s">
        <v>416</v>
      </c>
      <c r="AH1523" s="124"/>
    </row>
    <row r="1524" spans="1:34" ht="12" hidden="1" customHeight="1">
      <c r="A1524" s="220">
        <v>44721</v>
      </c>
      <c r="B1524" s="221" t="s">
        <v>782</v>
      </c>
      <c r="C1524" s="7" t="s">
        <v>485</v>
      </c>
      <c r="D1524" s="221" t="str">
        <f t="shared" ca="1" si="863"/>
        <v>Stocks</v>
      </c>
      <c r="E1524" s="221" t="str">
        <f ca="1">IFERROR(__xludf.DUMMYFUNCTION("split(B1524,"" "")"),"ONGC")</f>
        <v>ONGC</v>
      </c>
      <c r="F1524" s="221" t="str">
        <f ca="1">IFERROR(__xludf.DUMMYFUNCTION("""COMPUTED_VALUE"""),"30!JUN")</f>
        <v>30!JUN</v>
      </c>
      <c r="G1524" s="221">
        <f ca="1">IFERROR(__xludf.DUMMYFUNCTION("""COMPUTED_VALUE"""),165)</f>
        <v>165</v>
      </c>
      <c r="H1524" s="221" t="str">
        <f ca="1">IFERROR(__xludf.DUMMYFUNCTION("""COMPUTED_VALUE"""),"CE")</f>
        <v>CE</v>
      </c>
      <c r="I1524" s="221" t="s">
        <v>4</v>
      </c>
      <c r="J1524" s="223">
        <v>3850</v>
      </c>
      <c r="K1524" s="224">
        <v>1</v>
      </c>
      <c r="L1524" s="224">
        <v>2</v>
      </c>
      <c r="M1524" s="225">
        <f t="shared" si="864"/>
        <v>7700</v>
      </c>
      <c r="N1524" s="226">
        <v>3.95</v>
      </c>
      <c r="O1524" s="227">
        <v>4.3250000000000002</v>
      </c>
      <c r="P1524" s="228">
        <f t="shared" si="865"/>
        <v>30415</v>
      </c>
      <c r="Q1524" s="228">
        <f t="shared" si="866"/>
        <v>33302.5</v>
      </c>
      <c r="R1524" s="229">
        <f t="shared" si="867"/>
        <v>63717.5</v>
      </c>
      <c r="S1524" s="229">
        <f t="shared" si="868"/>
        <v>2887.5</v>
      </c>
      <c r="T1524" s="229">
        <f t="shared" si="880"/>
        <v>80</v>
      </c>
      <c r="U1524" s="229">
        <f t="shared" si="870"/>
        <v>20.48</v>
      </c>
      <c r="V1524" s="229">
        <f t="shared" si="871"/>
        <v>16.649999999999999</v>
      </c>
      <c r="W1524" s="229">
        <f t="shared" si="872"/>
        <v>0.91</v>
      </c>
      <c r="X1524" s="229">
        <f t="shared" si="873"/>
        <v>33.770000000000003</v>
      </c>
      <c r="Y1524" s="229">
        <f t="shared" si="874"/>
        <v>0.06</v>
      </c>
      <c r="Z1524" s="229">
        <f t="shared" si="875"/>
        <v>151.87</v>
      </c>
      <c r="AA1524" s="230">
        <f t="shared" si="876"/>
        <v>2735.63</v>
      </c>
      <c r="AB1524" s="231">
        <v>2735.19</v>
      </c>
      <c r="AC1524" s="232">
        <f t="shared" si="877"/>
        <v>-0.44000000000005457</v>
      </c>
      <c r="AD1524" s="233">
        <f t="shared" si="878"/>
        <v>9.4936708860759486E-2</v>
      </c>
      <c r="AE1524" s="234">
        <f t="shared" si="879"/>
        <v>2.3830000000000001E-3</v>
      </c>
      <c r="AF1524" s="229"/>
      <c r="AG1524" s="235" t="s">
        <v>416</v>
      </c>
      <c r="AH1524" s="124"/>
    </row>
    <row r="1525" spans="1:34" ht="12" hidden="1" customHeight="1">
      <c r="A1525" s="220">
        <v>44722</v>
      </c>
      <c r="B1525" s="221" t="s">
        <v>783</v>
      </c>
      <c r="C1525" s="7" t="s">
        <v>485</v>
      </c>
      <c r="D1525" s="221" t="str">
        <f t="shared" ca="1" si="863"/>
        <v>Stocks</v>
      </c>
      <c r="E1525" s="221" t="str">
        <f ca="1">IFERROR(__xludf.DUMMYFUNCTION("split(B1525,"" "")"),"NMDC")</f>
        <v>NMDC</v>
      </c>
      <c r="F1525" s="221" t="str">
        <f ca="1">IFERROR(__xludf.DUMMYFUNCTION("""COMPUTED_VALUE"""),"30!JUN")</f>
        <v>30!JUN</v>
      </c>
      <c r="G1525" s="221">
        <f ca="1">IFERROR(__xludf.DUMMYFUNCTION("""COMPUTED_VALUE"""),120)</f>
        <v>120</v>
      </c>
      <c r="H1525" s="221" t="str">
        <f ca="1">IFERROR(__xludf.DUMMYFUNCTION("""COMPUTED_VALUE"""),"PE")</f>
        <v>PE</v>
      </c>
      <c r="I1525" s="221" t="s">
        <v>4</v>
      </c>
      <c r="J1525" s="223">
        <v>3350</v>
      </c>
      <c r="K1525" s="224">
        <v>1</v>
      </c>
      <c r="L1525" s="224">
        <v>1</v>
      </c>
      <c r="M1525" s="225">
        <f t="shared" si="864"/>
        <v>3350</v>
      </c>
      <c r="N1525" s="226">
        <v>4</v>
      </c>
      <c r="O1525" s="227">
        <v>4.8499999999999996</v>
      </c>
      <c r="P1525" s="228">
        <f t="shared" si="865"/>
        <v>13400</v>
      </c>
      <c r="Q1525" s="228">
        <f t="shared" si="866"/>
        <v>16247.5</v>
      </c>
      <c r="R1525" s="229">
        <f t="shared" si="867"/>
        <v>29647.5</v>
      </c>
      <c r="S1525" s="229">
        <f t="shared" si="868"/>
        <v>2847.4999999999986</v>
      </c>
      <c r="T1525" s="229">
        <f t="shared" si="880"/>
        <v>40</v>
      </c>
      <c r="U1525" s="229">
        <f t="shared" si="870"/>
        <v>10.029999999999999</v>
      </c>
      <c r="V1525" s="229">
        <f t="shared" si="871"/>
        <v>8.1199999999999992</v>
      </c>
      <c r="W1525" s="229">
        <f t="shared" si="872"/>
        <v>0.4</v>
      </c>
      <c r="X1525" s="229">
        <f t="shared" si="873"/>
        <v>15.71</v>
      </c>
      <c r="Y1525" s="229">
        <f t="shared" si="874"/>
        <v>0.03</v>
      </c>
      <c r="Z1525" s="229">
        <f t="shared" si="875"/>
        <v>74.289999999999992</v>
      </c>
      <c r="AA1525" s="230">
        <f t="shared" si="876"/>
        <v>2773.21</v>
      </c>
      <c r="AB1525" s="231">
        <v>2773.73</v>
      </c>
      <c r="AC1525" s="232">
        <f t="shared" si="877"/>
        <v>0.51999999999998181</v>
      </c>
      <c r="AD1525" s="233">
        <f t="shared" si="878"/>
        <v>0.21249999999999991</v>
      </c>
      <c r="AE1525" s="234">
        <f t="shared" si="879"/>
        <v>2.506E-3</v>
      </c>
      <c r="AF1525" s="229"/>
      <c r="AG1525" s="235" t="s">
        <v>416</v>
      </c>
      <c r="AH1525" s="124"/>
    </row>
    <row r="1526" spans="1:34" ht="12" hidden="1" customHeight="1">
      <c r="A1526" s="154">
        <v>44726</v>
      </c>
      <c r="B1526" s="221" t="s">
        <v>784</v>
      </c>
      <c r="C1526" s="7" t="s">
        <v>485</v>
      </c>
      <c r="D1526" s="221" t="str">
        <f t="shared" ca="1" si="863"/>
        <v>Stocks</v>
      </c>
      <c r="E1526" s="221" t="str">
        <f ca="1">IFERROR(__xludf.DUMMYFUNCTION("split(B1526,"" "")"),"HCLTECH")</f>
        <v>HCLTECH</v>
      </c>
      <c r="F1526" s="221" t="str">
        <f ca="1">IFERROR(__xludf.DUMMYFUNCTION("""COMPUTED_VALUE"""),"30!JUN")</f>
        <v>30!JUN</v>
      </c>
      <c r="G1526" s="221">
        <f ca="1">IFERROR(__xludf.DUMMYFUNCTION("""COMPUTED_VALUE"""),980)</f>
        <v>980</v>
      </c>
      <c r="H1526" s="221" t="str">
        <f ca="1">IFERROR(__xludf.DUMMYFUNCTION("""COMPUTED_VALUE"""),"PE")</f>
        <v>PE</v>
      </c>
      <c r="I1526" s="221" t="s">
        <v>4</v>
      </c>
      <c r="J1526" s="223">
        <v>700</v>
      </c>
      <c r="K1526" s="224">
        <v>1</v>
      </c>
      <c r="L1526" s="224">
        <v>1</v>
      </c>
      <c r="M1526" s="225">
        <f t="shared" si="864"/>
        <v>700</v>
      </c>
      <c r="N1526" s="226">
        <v>21</v>
      </c>
      <c r="O1526" s="227">
        <v>0</v>
      </c>
      <c r="P1526" s="228">
        <f t="shared" si="865"/>
        <v>14700</v>
      </c>
      <c r="Q1526" s="228">
        <f t="shared" si="866"/>
        <v>0</v>
      </c>
      <c r="R1526" s="229">
        <f t="shared" si="867"/>
        <v>14700</v>
      </c>
      <c r="S1526" s="229">
        <f t="shared" si="868"/>
        <v>-14700</v>
      </c>
      <c r="T1526" s="229">
        <f t="shared" si="880"/>
        <v>20</v>
      </c>
      <c r="U1526" s="229">
        <f t="shared" si="870"/>
        <v>5</v>
      </c>
      <c r="V1526" s="229">
        <f t="shared" si="871"/>
        <v>0</v>
      </c>
      <c r="W1526" s="229">
        <f t="shared" si="872"/>
        <v>0.44</v>
      </c>
      <c r="X1526" s="229">
        <f t="shared" si="873"/>
        <v>7.79</v>
      </c>
      <c r="Y1526" s="229">
        <f t="shared" si="874"/>
        <v>0.01</v>
      </c>
      <c r="Z1526" s="229">
        <f t="shared" si="875"/>
        <v>33.24</v>
      </c>
      <c r="AA1526" s="230">
        <f t="shared" si="876"/>
        <v>-14733.24</v>
      </c>
      <c r="AB1526" s="231">
        <v>-14732.8</v>
      </c>
      <c r="AC1526" s="232">
        <f t="shared" si="877"/>
        <v>0.44000000000050932</v>
      </c>
      <c r="AD1526" s="233">
        <f t="shared" si="878"/>
        <v>-1</v>
      </c>
      <c r="AE1526" s="234">
        <f t="shared" si="879"/>
        <v>2.261E-3</v>
      </c>
      <c r="AF1526" s="229"/>
      <c r="AG1526" s="235" t="s">
        <v>416</v>
      </c>
      <c r="AH1526" s="124"/>
    </row>
    <row r="1527" spans="1:34" ht="12" hidden="1" customHeight="1">
      <c r="A1527" s="155">
        <v>44727</v>
      </c>
      <c r="B1527" s="221" t="s">
        <v>784</v>
      </c>
      <c r="C1527" s="7" t="s">
        <v>485</v>
      </c>
      <c r="D1527" s="221" t="str">
        <f t="shared" ca="1" si="863"/>
        <v>Stocks</v>
      </c>
      <c r="E1527" s="221" t="str">
        <f ca="1">IFERROR(__xludf.DUMMYFUNCTION("split(B1527,"" "")"),"HCLTECH")</f>
        <v>HCLTECH</v>
      </c>
      <c r="F1527" s="221" t="str">
        <f ca="1">IFERROR(__xludf.DUMMYFUNCTION("""COMPUTED_VALUE"""),"30!JUN")</f>
        <v>30!JUN</v>
      </c>
      <c r="G1527" s="221">
        <f ca="1">IFERROR(__xludf.DUMMYFUNCTION("""COMPUTED_VALUE"""),980)</f>
        <v>980</v>
      </c>
      <c r="H1527" s="221" t="str">
        <f ca="1">IFERROR(__xludf.DUMMYFUNCTION("""COMPUTED_VALUE"""),"PE")</f>
        <v>PE</v>
      </c>
      <c r="I1527" s="221" t="s">
        <v>4</v>
      </c>
      <c r="J1527" s="223">
        <v>700</v>
      </c>
      <c r="K1527" s="224">
        <v>1</v>
      </c>
      <c r="L1527" s="224">
        <v>1</v>
      </c>
      <c r="M1527" s="225">
        <f t="shared" si="864"/>
        <v>700</v>
      </c>
      <c r="N1527" s="226">
        <v>0</v>
      </c>
      <c r="O1527" s="227">
        <v>19</v>
      </c>
      <c r="P1527" s="228">
        <f t="shared" si="865"/>
        <v>0</v>
      </c>
      <c r="Q1527" s="228">
        <f t="shared" si="866"/>
        <v>13300</v>
      </c>
      <c r="R1527" s="229">
        <f t="shared" si="867"/>
        <v>13300</v>
      </c>
      <c r="S1527" s="229">
        <f t="shared" si="868"/>
        <v>13300</v>
      </c>
      <c r="T1527" s="229">
        <f t="shared" si="880"/>
        <v>20</v>
      </c>
      <c r="U1527" s="229">
        <f t="shared" si="870"/>
        <v>4.87</v>
      </c>
      <c r="V1527" s="229">
        <f t="shared" si="871"/>
        <v>6.65</v>
      </c>
      <c r="W1527" s="229">
        <f t="shared" si="872"/>
        <v>0</v>
      </c>
      <c r="X1527" s="229">
        <f t="shared" si="873"/>
        <v>7.05</v>
      </c>
      <c r="Y1527" s="229">
        <f t="shared" si="874"/>
        <v>0.01</v>
      </c>
      <c r="Z1527" s="229">
        <f t="shared" si="875"/>
        <v>38.58</v>
      </c>
      <c r="AA1527" s="230">
        <f t="shared" si="876"/>
        <v>13261.42</v>
      </c>
      <c r="AB1527" s="231">
        <v>13261.07</v>
      </c>
      <c r="AC1527" s="232">
        <f t="shared" si="877"/>
        <v>-0.3500000000003638</v>
      </c>
      <c r="AD1527" s="233">
        <f t="shared" si="878"/>
        <v>0</v>
      </c>
      <c r="AE1527" s="234">
        <f t="shared" si="879"/>
        <v>2.9009999999999999E-3</v>
      </c>
      <c r="AF1527" s="229"/>
      <c r="AG1527" s="235" t="s">
        <v>416</v>
      </c>
      <c r="AH1527" s="124"/>
    </row>
    <row r="1528" spans="1:34" ht="12" hidden="1" customHeight="1">
      <c r="A1528" s="220">
        <v>44728</v>
      </c>
      <c r="B1528" s="221" t="s">
        <v>785</v>
      </c>
      <c r="C1528" s="7" t="s">
        <v>485</v>
      </c>
      <c r="D1528" s="221" t="str">
        <f t="shared" ca="1" si="863"/>
        <v>Stocks</v>
      </c>
      <c r="E1528" s="221" t="str">
        <f ca="1">IFERROR(__xludf.DUMMYFUNCTION("split(B1528,"" "")"),"LTTS")</f>
        <v>LTTS</v>
      </c>
      <c r="F1528" s="221" t="str">
        <f ca="1">IFERROR(__xludf.DUMMYFUNCTION("""COMPUTED_VALUE"""),"30!JUN")</f>
        <v>30!JUN</v>
      </c>
      <c r="G1528" s="221">
        <f ca="1">IFERROR(__xludf.DUMMYFUNCTION("""COMPUTED_VALUE"""),3300)</f>
        <v>3300</v>
      </c>
      <c r="H1528" s="221" t="str">
        <f ca="1">IFERROR(__xludf.DUMMYFUNCTION("""COMPUTED_VALUE"""),"CE")</f>
        <v>CE</v>
      </c>
      <c r="I1528" s="221" t="s">
        <v>4</v>
      </c>
      <c r="J1528" s="223">
        <v>200</v>
      </c>
      <c r="K1528" s="224">
        <v>1</v>
      </c>
      <c r="L1528" s="224">
        <v>1</v>
      </c>
      <c r="M1528" s="225">
        <f t="shared" si="864"/>
        <v>200</v>
      </c>
      <c r="N1528" s="226">
        <v>116</v>
      </c>
      <c r="O1528" s="227">
        <v>90.55</v>
      </c>
      <c r="P1528" s="228">
        <f t="shared" si="865"/>
        <v>23200</v>
      </c>
      <c r="Q1528" s="228">
        <f t="shared" si="866"/>
        <v>18110</v>
      </c>
      <c r="R1528" s="229">
        <f t="shared" si="867"/>
        <v>41310</v>
      </c>
      <c r="S1528" s="229">
        <f t="shared" si="868"/>
        <v>-5090.0000000000009</v>
      </c>
      <c r="T1528" s="229">
        <f t="shared" si="880"/>
        <v>40</v>
      </c>
      <c r="U1528" s="229">
        <f t="shared" si="870"/>
        <v>11.14</v>
      </c>
      <c r="V1528" s="229">
        <f t="shared" si="871"/>
        <v>9.06</v>
      </c>
      <c r="W1528" s="229">
        <f t="shared" si="872"/>
        <v>0.7</v>
      </c>
      <c r="X1528" s="229">
        <f t="shared" si="873"/>
        <v>21.89</v>
      </c>
      <c r="Y1528" s="229">
        <f t="shared" si="874"/>
        <v>0.04</v>
      </c>
      <c r="Z1528" s="229">
        <f t="shared" si="875"/>
        <v>82.830000000000013</v>
      </c>
      <c r="AA1528" s="230">
        <f t="shared" si="876"/>
        <v>-5172.83</v>
      </c>
      <c r="AB1528" s="231">
        <v>-5173</v>
      </c>
      <c r="AC1528" s="232">
        <f t="shared" si="877"/>
        <v>-0.17000000000007276</v>
      </c>
      <c r="AD1528" s="233">
        <f t="shared" si="878"/>
        <v>-0.21939655172413797</v>
      </c>
      <c r="AE1528" s="234">
        <f t="shared" si="879"/>
        <v>2.0049999999999998E-3</v>
      </c>
      <c r="AF1528" s="229"/>
      <c r="AG1528" s="235" t="s">
        <v>416</v>
      </c>
      <c r="AH1528" s="124"/>
    </row>
    <row r="1529" spans="1:34" ht="12" hidden="1" customHeight="1">
      <c r="A1529" s="220">
        <v>44728</v>
      </c>
      <c r="B1529" s="221" t="s">
        <v>786</v>
      </c>
      <c r="C1529" s="7" t="s">
        <v>485</v>
      </c>
      <c r="D1529" s="221" t="str">
        <f t="shared" ca="1" si="863"/>
        <v>Stocks</v>
      </c>
      <c r="E1529" s="221" t="str">
        <f ca="1">IFERROR(__xludf.DUMMYFUNCTION("split(B1529,"" "")"),"TITAN")</f>
        <v>TITAN</v>
      </c>
      <c r="F1529" s="221" t="str">
        <f ca="1">IFERROR(__xludf.DUMMYFUNCTION("""COMPUTED_VALUE"""),"30!JUN")</f>
        <v>30!JUN</v>
      </c>
      <c r="G1529" s="221">
        <f ca="1">IFERROR(__xludf.DUMMYFUNCTION("""COMPUTED_VALUE"""),2100)</f>
        <v>2100</v>
      </c>
      <c r="H1529" s="221" t="str">
        <f ca="1">IFERROR(__xludf.DUMMYFUNCTION("""COMPUTED_VALUE"""),"CE")</f>
        <v>CE</v>
      </c>
      <c r="I1529" s="221" t="s">
        <v>4</v>
      </c>
      <c r="J1529" s="223">
        <v>375</v>
      </c>
      <c r="K1529" s="224">
        <v>1</v>
      </c>
      <c r="L1529" s="224">
        <v>1</v>
      </c>
      <c r="M1529" s="225">
        <f t="shared" si="864"/>
        <v>375</v>
      </c>
      <c r="N1529" s="226">
        <v>72</v>
      </c>
      <c r="O1529" s="227">
        <v>53</v>
      </c>
      <c r="P1529" s="228">
        <f t="shared" si="865"/>
        <v>27000</v>
      </c>
      <c r="Q1529" s="228">
        <f t="shared" si="866"/>
        <v>19875</v>
      </c>
      <c r="R1529" s="229">
        <f t="shared" si="867"/>
        <v>46875</v>
      </c>
      <c r="S1529" s="229">
        <f t="shared" si="868"/>
        <v>-7125</v>
      </c>
      <c r="T1529" s="229">
        <f t="shared" si="880"/>
        <v>40</v>
      </c>
      <c r="U1529" s="229">
        <f t="shared" si="870"/>
        <v>11.67</v>
      </c>
      <c r="V1529" s="229">
        <f t="shared" si="871"/>
        <v>9.94</v>
      </c>
      <c r="W1529" s="229">
        <f t="shared" si="872"/>
        <v>0.81</v>
      </c>
      <c r="X1529" s="229">
        <f t="shared" si="873"/>
        <v>24.84</v>
      </c>
      <c r="Y1529" s="229">
        <f t="shared" si="874"/>
        <v>0.05</v>
      </c>
      <c r="Z1529" s="229">
        <f t="shared" si="875"/>
        <v>87.31</v>
      </c>
      <c r="AA1529" s="230">
        <f t="shared" si="876"/>
        <v>-7212.31</v>
      </c>
      <c r="AB1529" s="231">
        <v>-7212</v>
      </c>
      <c r="AC1529" s="232">
        <f t="shared" si="877"/>
        <v>0.31000000000040018</v>
      </c>
      <c r="AD1529" s="233">
        <f t="shared" si="878"/>
        <v>-0.2638888888888889</v>
      </c>
      <c r="AE1529" s="234">
        <f t="shared" si="879"/>
        <v>1.8630000000000001E-3</v>
      </c>
      <c r="AF1529" s="229"/>
      <c r="AG1529" s="235" t="s">
        <v>416</v>
      </c>
      <c r="AH1529" s="124"/>
    </row>
    <row r="1530" spans="1:34" ht="12" hidden="1" customHeight="1">
      <c r="A1530" s="220">
        <v>44728</v>
      </c>
      <c r="B1530" s="221" t="s">
        <v>787</v>
      </c>
      <c r="C1530" s="7" t="s">
        <v>485</v>
      </c>
      <c r="D1530" s="221" t="str">
        <f t="shared" ca="1" si="863"/>
        <v>Indices</v>
      </c>
      <c r="E1530" s="221" t="str">
        <f ca="1">IFERROR(__xludf.DUMMYFUNCTION("split(B1530,"" "")"),"NIFTY")</f>
        <v>NIFTY</v>
      </c>
      <c r="F1530" s="236" t="str">
        <f ca="1">IFERROR(__xludf.DUMMYFUNCTION("""COMPUTED_VALUE"""),"16!JUN")</f>
        <v>16!JUN</v>
      </c>
      <c r="G1530" s="221">
        <f ca="1">IFERROR(__xludf.DUMMYFUNCTION("""COMPUTED_VALUE"""),15600)</f>
        <v>15600</v>
      </c>
      <c r="H1530" s="221" t="str">
        <f ca="1">IFERROR(__xludf.DUMMYFUNCTION("""COMPUTED_VALUE"""),"PE")</f>
        <v>PE</v>
      </c>
      <c r="I1530" s="221" t="s">
        <v>4</v>
      </c>
      <c r="J1530" s="223">
        <v>50</v>
      </c>
      <c r="K1530" s="224">
        <v>1</v>
      </c>
      <c r="L1530" s="224">
        <v>1</v>
      </c>
      <c r="M1530" s="225">
        <f t="shared" si="864"/>
        <v>50</v>
      </c>
      <c r="N1530" s="226">
        <v>69</v>
      </c>
      <c r="O1530" s="227">
        <v>87.25</v>
      </c>
      <c r="P1530" s="228">
        <f t="shared" si="865"/>
        <v>3450</v>
      </c>
      <c r="Q1530" s="228">
        <f t="shared" si="866"/>
        <v>4362.5</v>
      </c>
      <c r="R1530" s="229">
        <f t="shared" si="867"/>
        <v>7812.5</v>
      </c>
      <c r="S1530" s="229">
        <f t="shared" si="868"/>
        <v>912.5</v>
      </c>
      <c r="T1530" s="229">
        <f t="shared" si="880"/>
        <v>40</v>
      </c>
      <c r="U1530" s="229">
        <f t="shared" si="870"/>
        <v>7.95</v>
      </c>
      <c r="V1530" s="229">
        <f t="shared" si="871"/>
        <v>2.1800000000000002</v>
      </c>
      <c r="W1530" s="229">
        <f t="shared" si="872"/>
        <v>0.1</v>
      </c>
      <c r="X1530" s="229">
        <f t="shared" si="873"/>
        <v>4.1399999999999997</v>
      </c>
      <c r="Y1530" s="229">
        <f t="shared" si="874"/>
        <v>0.01</v>
      </c>
      <c r="Z1530" s="229">
        <f t="shared" si="875"/>
        <v>54.38</v>
      </c>
      <c r="AA1530" s="230">
        <f t="shared" si="876"/>
        <v>858.12</v>
      </c>
      <c r="AB1530" s="231">
        <v>858</v>
      </c>
      <c r="AC1530" s="232">
        <f t="shared" si="877"/>
        <v>-0.12000000000000455</v>
      </c>
      <c r="AD1530" s="233">
        <f t="shared" si="878"/>
        <v>0.26449275362318841</v>
      </c>
      <c r="AE1530" s="234">
        <f t="shared" si="879"/>
        <v>6.9610000000000002E-3</v>
      </c>
      <c r="AF1530" s="229"/>
      <c r="AG1530" s="235" t="s">
        <v>416</v>
      </c>
      <c r="AH1530" s="124"/>
    </row>
    <row r="1531" spans="1:34" ht="12" hidden="1" customHeight="1">
      <c r="A1531" s="220">
        <v>44728</v>
      </c>
      <c r="B1531" s="221" t="s">
        <v>788</v>
      </c>
      <c r="C1531" s="7" t="s">
        <v>485</v>
      </c>
      <c r="D1531" s="221" t="str">
        <f t="shared" ca="1" si="863"/>
        <v>Indices</v>
      </c>
      <c r="E1531" s="221" t="str">
        <f ca="1">IFERROR(__xludf.DUMMYFUNCTION("split(B1531,"" "")"),"NIFTY")</f>
        <v>NIFTY</v>
      </c>
      <c r="F1531" s="236" t="str">
        <f ca="1">IFERROR(__xludf.DUMMYFUNCTION("""COMPUTED_VALUE"""),"16!JUN")</f>
        <v>16!JUN</v>
      </c>
      <c r="G1531" s="221">
        <f ca="1">IFERROR(__xludf.DUMMYFUNCTION("""COMPUTED_VALUE"""),15500)</f>
        <v>15500</v>
      </c>
      <c r="H1531" s="221" t="str">
        <f ca="1">IFERROR(__xludf.DUMMYFUNCTION("""COMPUTED_VALUE"""),"PE")</f>
        <v>PE</v>
      </c>
      <c r="I1531" s="221" t="s">
        <v>4</v>
      </c>
      <c r="J1531" s="223">
        <v>50</v>
      </c>
      <c r="K1531" s="224">
        <v>1</v>
      </c>
      <c r="L1531" s="224">
        <v>1</v>
      </c>
      <c r="M1531" s="225">
        <f t="shared" si="864"/>
        <v>50</v>
      </c>
      <c r="N1531" s="226">
        <v>35</v>
      </c>
      <c r="O1531" s="227">
        <v>42</v>
      </c>
      <c r="P1531" s="228">
        <f t="shared" si="865"/>
        <v>1750</v>
      </c>
      <c r="Q1531" s="228">
        <f t="shared" si="866"/>
        <v>2100</v>
      </c>
      <c r="R1531" s="229">
        <f t="shared" si="867"/>
        <v>3850</v>
      </c>
      <c r="S1531" s="229">
        <f t="shared" si="868"/>
        <v>350</v>
      </c>
      <c r="T1531" s="229">
        <f t="shared" si="880"/>
        <v>40</v>
      </c>
      <c r="U1531" s="229">
        <f t="shared" si="870"/>
        <v>7.57</v>
      </c>
      <c r="V1531" s="229">
        <f t="shared" si="871"/>
        <v>1.05</v>
      </c>
      <c r="W1531" s="229">
        <f t="shared" si="872"/>
        <v>0.05</v>
      </c>
      <c r="X1531" s="229">
        <f t="shared" si="873"/>
        <v>2.04</v>
      </c>
      <c r="Y1531" s="229">
        <f t="shared" si="874"/>
        <v>0</v>
      </c>
      <c r="Z1531" s="229">
        <f t="shared" si="875"/>
        <v>50.709999999999994</v>
      </c>
      <c r="AA1531" s="230">
        <f t="shared" si="876"/>
        <v>299.29000000000002</v>
      </c>
      <c r="AB1531" s="231">
        <v>299</v>
      </c>
      <c r="AC1531" s="232">
        <f t="shared" si="877"/>
        <v>-0.29000000000002046</v>
      </c>
      <c r="AD1531" s="233">
        <f t="shared" si="878"/>
        <v>0.2</v>
      </c>
      <c r="AE1531" s="234">
        <f t="shared" si="879"/>
        <v>1.3171E-2</v>
      </c>
      <c r="AF1531" s="229"/>
      <c r="AG1531" s="235" t="s">
        <v>416</v>
      </c>
      <c r="AH1531" s="124"/>
    </row>
    <row r="1532" spans="1:34" ht="12" hidden="1" customHeight="1">
      <c r="A1532" s="220">
        <v>44728</v>
      </c>
      <c r="B1532" s="221" t="s">
        <v>789</v>
      </c>
      <c r="C1532" s="7" t="s">
        <v>485</v>
      </c>
      <c r="D1532" s="221" t="str">
        <f t="shared" ca="1" si="863"/>
        <v>Indices</v>
      </c>
      <c r="E1532" s="221" t="str">
        <f ca="1">IFERROR(__xludf.DUMMYFUNCTION("split(B1532,"" "")"),"NIFTY")</f>
        <v>NIFTY</v>
      </c>
      <c r="F1532" s="236" t="str">
        <f ca="1">IFERROR(__xludf.DUMMYFUNCTION("""COMPUTED_VALUE"""),"16!JUN")</f>
        <v>16!JUN</v>
      </c>
      <c r="G1532" s="221">
        <f ca="1">IFERROR(__xludf.DUMMYFUNCTION("""COMPUTED_VALUE"""),15450)</f>
        <v>15450</v>
      </c>
      <c r="H1532" s="221" t="str">
        <f ca="1">IFERROR(__xludf.DUMMYFUNCTION("""COMPUTED_VALUE"""),"PE")</f>
        <v>PE</v>
      </c>
      <c r="I1532" s="221" t="s">
        <v>4</v>
      </c>
      <c r="J1532" s="223">
        <v>50</v>
      </c>
      <c r="K1532" s="224">
        <v>1</v>
      </c>
      <c r="L1532" s="224">
        <v>1</v>
      </c>
      <c r="M1532" s="225">
        <f t="shared" si="864"/>
        <v>50</v>
      </c>
      <c r="N1532" s="226">
        <v>25</v>
      </c>
      <c r="O1532" s="227">
        <v>32</v>
      </c>
      <c r="P1532" s="228">
        <f t="shared" si="865"/>
        <v>1250</v>
      </c>
      <c r="Q1532" s="228">
        <f t="shared" si="866"/>
        <v>1600</v>
      </c>
      <c r="R1532" s="229">
        <f t="shared" si="867"/>
        <v>2850</v>
      </c>
      <c r="S1532" s="229">
        <f t="shared" si="868"/>
        <v>350</v>
      </c>
      <c r="T1532" s="229">
        <f t="shared" si="880"/>
        <v>40</v>
      </c>
      <c r="U1532" s="229">
        <f t="shared" si="870"/>
        <v>7.47</v>
      </c>
      <c r="V1532" s="229">
        <f t="shared" si="871"/>
        <v>0.8</v>
      </c>
      <c r="W1532" s="229">
        <f t="shared" si="872"/>
        <v>0.04</v>
      </c>
      <c r="X1532" s="229">
        <f t="shared" si="873"/>
        <v>1.51</v>
      </c>
      <c r="Y1532" s="229">
        <f t="shared" si="874"/>
        <v>0</v>
      </c>
      <c r="Z1532" s="229">
        <f t="shared" si="875"/>
        <v>49.819999999999993</v>
      </c>
      <c r="AA1532" s="230">
        <f t="shared" si="876"/>
        <v>300.18</v>
      </c>
      <c r="AB1532" s="231">
        <v>300</v>
      </c>
      <c r="AC1532" s="232">
        <f t="shared" si="877"/>
        <v>-0.18000000000000682</v>
      </c>
      <c r="AD1532" s="233">
        <f t="shared" si="878"/>
        <v>0.28000000000000003</v>
      </c>
      <c r="AE1532" s="234">
        <f t="shared" si="879"/>
        <v>1.7481E-2</v>
      </c>
      <c r="AF1532" s="229"/>
      <c r="AG1532" s="235" t="s">
        <v>416</v>
      </c>
      <c r="AH1532" s="124"/>
    </row>
    <row r="1533" spans="1:34" ht="12" hidden="1" customHeight="1">
      <c r="A1533" s="220">
        <v>44728</v>
      </c>
      <c r="B1533" s="221" t="s">
        <v>790</v>
      </c>
      <c r="C1533" s="7" t="s">
        <v>485</v>
      </c>
      <c r="D1533" s="221" t="str">
        <f t="shared" ca="1" si="863"/>
        <v>Indices</v>
      </c>
      <c r="E1533" s="221" t="str">
        <f ca="1">IFERROR(__xludf.DUMMYFUNCTION("split(B1533,"" "")"),"NIFTY")</f>
        <v>NIFTY</v>
      </c>
      <c r="F1533" s="236" t="str">
        <f ca="1">IFERROR(__xludf.DUMMYFUNCTION("""COMPUTED_VALUE"""),"16!JUN")</f>
        <v>16!JUN</v>
      </c>
      <c r="G1533" s="221">
        <f ca="1">IFERROR(__xludf.DUMMYFUNCTION("""COMPUTED_VALUE"""),15350)</f>
        <v>15350</v>
      </c>
      <c r="H1533" s="221" t="str">
        <f ca="1">IFERROR(__xludf.DUMMYFUNCTION("""COMPUTED_VALUE"""),"PE")</f>
        <v>PE</v>
      </c>
      <c r="I1533" s="221" t="s">
        <v>4</v>
      </c>
      <c r="J1533" s="223">
        <v>50</v>
      </c>
      <c r="K1533" s="224">
        <v>1</v>
      </c>
      <c r="L1533" s="224">
        <v>1</v>
      </c>
      <c r="M1533" s="225">
        <f t="shared" si="864"/>
        <v>50</v>
      </c>
      <c r="N1533" s="226">
        <v>32</v>
      </c>
      <c r="O1533" s="227">
        <v>0</v>
      </c>
      <c r="P1533" s="228">
        <f t="shared" si="865"/>
        <v>1600</v>
      </c>
      <c r="Q1533" s="228">
        <f t="shared" si="866"/>
        <v>0</v>
      </c>
      <c r="R1533" s="229">
        <f t="shared" si="867"/>
        <v>1600</v>
      </c>
      <c r="S1533" s="229">
        <f t="shared" si="868"/>
        <v>-1600</v>
      </c>
      <c r="T1533" s="229">
        <f t="shared" si="880"/>
        <v>20</v>
      </c>
      <c r="U1533" s="229">
        <f t="shared" si="870"/>
        <v>3.75</v>
      </c>
      <c r="V1533" s="229">
        <f t="shared" si="871"/>
        <v>0</v>
      </c>
      <c r="W1533" s="229">
        <f t="shared" si="872"/>
        <v>0.05</v>
      </c>
      <c r="X1533" s="229">
        <f t="shared" si="873"/>
        <v>0.85</v>
      </c>
      <c r="Y1533" s="229">
        <f t="shared" si="874"/>
        <v>0</v>
      </c>
      <c r="Z1533" s="229">
        <f t="shared" si="875"/>
        <v>24.650000000000002</v>
      </c>
      <c r="AA1533" s="230">
        <f t="shared" si="876"/>
        <v>-1624.65</v>
      </c>
      <c r="AB1533" s="231">
        <v>-1625</v>
      </c>
      <c r="AC1533" s="232">
        <f t="shared" si="877"/>
        <v>-0.34999999999990905</v>
      </c>
      <c r="AD1533" s="233">
        <f t="shared" si="878"/>
        <v>-1</v>
      </c>
      <c r="AE1533" s="234">
        <f t="shared" si="879"/>
        <v>1.5406E-2</v>
      </c>
      <c r="AF1533" s="229"/>
      <c r="AG1533" s="235" t="s">
        <v>416</v>
      </c>
      <c r="AH1533" s="124"/>
    </row>
    <row r="1534" spans="1:34" ht="12" hidden="1" customHeight="1">
      <c r="A1534" s="220">
        <v>44728</v>
      </c>
      <c r="B1534" s="221" t="s">
        <v>790</v>
      </c>
      <c r="C1534" s="7" t="s">
        <v>485</v>
      </c>
      <c r="D1534" s="221" t="str">
        <f t="shared" ca="1" si="863"/>
        <v>Indices</v>
      </c>
      <c r="E1534" s="221" t="str">
        <f ca="1">IFERROR(__xludf.DUMMYFUNCTION("split(B1534,"" "")"),"NIFTY")</f>
        <v>NIFTY</v>
      </c>
      <c r="F1534" s="236" t="str">
        <f ca="1">IFERROR(__xludf.DUMMYFUNCTION("""COMPUTED_VALUE"""),"16!JUN")</f>
        <v>16!JUN</v>
      </c>
      <c r="G1534" s="221">
        <f ca="1">IFERROR(__xludf.DUMMYFUNCTION("""COMPUTED_VALUE"""),15350)</f>
        <v>15350</v>
      </c>
      <c r="H1534" s="221" t="str">
        <f ca="1">IFERROR(__xludf.DUMMYFUNCTION("""COMPUTED_VALUE"""),"PE")</f>
        <v>PE</v>
      </c>
      <c r="I1534" s="221" t="s">
        <v>4</v>
      </c>
      <c r="J1534" s="223">
        <v>50</v>
      </c>
      <c r="K1534" s="224">
        <v>1</v>
      </c>
      <c r="L1534" s="224">
        <v>1</v>
      </c>
      <c r="M1534" s="225">
        <f t="shared" si="864"/>
        <v>50</v>
      </c>
      <c r="N1534" s="226">
        <v>15</v>
      </c>
      <c r="O1534" s="227">
        <v>0</v>
      </c>
      <c r="P1534" s="228">
        <f t="shared" si="865"/>
        <v>750</v>
      </c>
      <c r="Q1534" s="228">
        <f t="shared" si="866"/>
        <v>0</v>
      </c>
      <c r="R1534" s="229">
        <f t="shared" si="867"/>
        <v>750</v>
      </c>
      <c r="S1534" s="229">
        <f t="shared" si="868"/>
        <v>-750</v>
      </c>
      <c r="T1534" s="229">
        <f t="shared" si="880"/>
        <v>20</v>
      </c>
      <c r="U1534" s="229">
        <f t="shared" si="870"/>
        <v>3.67</v>
      </c>
      <c r="V1534" s="229">
        <f t="shared" si="871"/>
        <v>0</v>
      </c>
      <c r="W1534" s="229">
        <f t="shared" si="872"/>
        <v>0.02</v>
      </c>
      <c r="X1534" s="229">
        <f t="shared" si="873"/>
        <v>0.4</v>
      </c>
      <c r="Y1534" s="229">
        <f t="shared" si="874"/>
        <v>0</v>
      </c>
      <c r="Z1534" s="229">
        <f t="shared" si="875"/>
        <v>24.09</v>
      </c>
      <c r="AA1534" s="230">
        <f t="shared" si="876"/>
        <v>-774.09</v>
      </c>
      <c r="AB1534" s="231">
        <v>-774</v>
      </c>
      <c r="AC1534" s="232">
        <f t="shared" si="877"/>
        <v>9.0000000000031832E-2</v>
      </c>
      <c r="AD1534" s="233">
        <f t="shared" si="878"/>
        <v>-1</v>
      </c>
      <c r="AE1534" s="234">
        <f t="shared" si="879"/>
        <v>3.2120000000000003E-2</v>
      </c>
      <c r="AF1534" s="229"/>
      <c r="AG1534" s="235" t="s">
        <v>416</v>
      </c>
      <c r="AH1534" s="124"/>
    </row>
    <row r="1535" spans="1:34" ht="12" hidden="1" customHeight="1">
      <c r="A1535" s="220">
        <v>44728</v>
      </c>
      <c r="B1535" s="221" t="s">
        <v>790</v>
      </c>
      <c r="C1535" s="7" t="s">
        <v>485</v>
      </c>
      <c r="D1535" s="221" t="str">
        <f t="shared" ca="1" si="863"/>
        <v>Indices</v>
      </c>
      <c r="E1535" s="221" t="str">
        <f ca="1">IFERROR(__xludf.DUMMYFUNCTION("split(B1535,"" "")"),"NIFTY")</f>
        <v>NIFTY</v>
      </c>
      <c r="F1535" s="236" t="str">
        <f ca="1">IFERROR(__xludf.DUMMYFUNCTION("""COMPUTED_VALUE"""),"16!JUN")</f>
        <v>16!JUN</v>
      </c>
      <c r="G1535" s="221">
        <f ca="1">IFERROR(__xludf.DUMMYFUNCTION("""COMPUTED_VALUE"""),15350)</f>
        <v>15350</v>
      </c>
      <c r="H1535" s="221" t="str">
        <f ca="1">IFERROR(__xludf.DUMMYFUNCTION("""COMPUTED_VALUE"""),"PE")</f>
        <v>PE</v>
      </c>
      <c r="I1535" s="221" t="s">
        <v>4</v>
      </c>
      <c r="J1535" s="223">
        <v>50</v>
      </c>
      <c r="K1535" s="224">
        <v>2</v>
      </c>
      <c r="L1535" s="224">
        <v>1</v>
      </c>
      <c r="M1535" s="225">
        <f t="shared" si="864"/>
        <v>100</v>
      </c>
      <c r="N1535" s="226">
        <v>0</v>
      </c>
      <c r="O1535" s="227">
        <v>14</v>
      </c>
      <c r="P1535" s="228">
        <f t="shared" si="865"/>
        <v>0</v>
      </c>
      <c r="Q1535" s="228">
        <f t="shared" si="866"/>
        <v>1400</v>
      </c>
      <c r="R1535" s="229">
        <f t="shared" si="867"/>
        <v>1400</v>
      </c>
      <c r="S1535" s="229">
        <f t="shared" si="868"/>
        <v>1400</v>
      </c>
      <c r="T1535" s="229">
        <f t="shared" si="880"/>
        <v>20</v>
      </c>
      <c r="U1535" s="229">
        <f t="shared" si="870"/>
        <v>3.73</v>
      </c>
      <c r="V1535" s="229">
        <f t="shared" si="871"/>
        <v>0.7</v>
      </c>
      <c r="W1535" s="229">
        <f t="shared" si="872"/>
        <v>0</v>
      </c>
      <c r="X1535" s="229">
        <f t="shared" si="873"/>
        <v>0.74</v>
      </c>
      <c r="Y1535" s="229">
        <f t="shared" si="874"/>
        <v>0</v>
      </c>
      <c r="Z1535" s="229">
        <f t="shared" si="875"/>
        <v>25.169999999999998</v>
      </c>
      <c r="AA1535" s="230">
        <f t="shared" si="876"/>
        <v>1374.83</v>
      </c>
      <c r="AB1535" s="231">
        <v>1375.01</v>
      </c>
      <c r="AC1535" s="232">
        <f t="shared" si="877"/>
        <v>0.18000000000006366</v>
      </c>
      <c r="AD1535" s="233">
        <f t="shared" si="878"/>
        <v>0</v>
      </c>
      <c r="AE1535" s="234">
        <f t="shared" si="879"/>
        <v>1.7978999999999998E-2</v>
      </c>
      <c r="AF1535" s="229"/>
      <c r="AG1535" s="235" t="s">
        <v>416</v>
      </c>
      <c r="AH1535" s="124"/>
    </row>
    <row r="1536" spans="1:34" ht="12" hidden="1" customHeight="1">
      <c r="A1536" s="220">
        <v>44732</v>
      </c>
      <c r="B1536" s="221" t="s">
        <v>791</v>
      </c>
      <c r="C1536" s="7" t="s">
        <v>485</v>
      </c>
      <c r="D1536" s="221" t="str">
        <f t="shared" ca="1" si="863"/>
        <v>Indices</v>
      </c>
      <c r="E1536" s="221" t="str">
        <f ca="1">IFERROR(__xludf.DUMMYFUNCTION("split(B1536,"" "")"),"NIFTY")</f>
        <v>NIFTY</v>
      </c>
      <c r="F1536" s="236" t="str">
        <f ca="1">IFERROR(__xludf.DUMMYFUNCTION("""COMPUTED_VALUE"""),"23!JUN")</f>
        <v>23!JUN</v>
      </c>
      <c r="G1536" s="221">
        <f ca="1">IFERROR(__xludf.DUMMYFUNCTION("""COMPUTED_VALUE"""),15350)</f>
        <v>15350</v>
      </c>
      <c r="H1536" s="221" t="str">
        <f ca="1">IFERROR(__xludf.DUMMYFUNCTION("""COMPUTED_VALUE"""),"CE")</f>
        <v>CE</v>
      </c>
      <c r="I1536" s="221" t="s">
        <v>4</v>
      </c>
      <c r="J1536" s="223">
        <v>50</v>
      </c>
      <c r="K1536" s="224">
        <v>1</v>
      </c>
      <c r="L1536" s="224">
        <v>1</v>
      </c>
      <c r="M1536" s="225">
        <f t="shared" si="864"/>
        <v>50</v>
      </c>
      <c r="N1536" s="226">
        <v>149</v>
      </c>
      <c r="O1536" s="227">
        <v>155</v>
      </c>
      <c r="P1536" s="228">
        <f t="shared" si="865"/>
        <v>7450</v>
      </c>
      <c r="Q1536" s="228">
        <f t="shared" si="866"/>
        <v>7750</v>
      </c>
      <c r="R1536" s="229">
        <f t="shared" si="867"/>
        <v>15200</v>
      </c>
      <c r="S1536" s="229">
        <f t="shared" si="868"/>
        <v>300</v>
      </c>
      <c r="T1536" s="229">
        <f t="shared" si="880"/>
        <v>40</v>
      </c>
      <c r="U1536" s="229">
        <f t="shared" si="870"/>
        <v>8.65</v>
      </c>
      <c r="V1536" s="229">
        <f t="shared" si="871"/>
        <v>3.88</v>
      </c>
      <c r="W1536" s="229">
        <f t="shared" si="872"/>
        <v>0.22</v>
      </c>
      <c r="X1536" s="229">
        <f t="shared" si="873"/>
        <v>8.06</v>
      </c>
      <c r="Y1536" s="229">
        <f t="shared" si="874"/>
        <v>0.02</v>
      </c>
      <c r="Z1536" s="229">
        <f t="shared" si="875"/>
        <v>60.830000000000005</v>
      </c>
      <c r="AA1536" s="230">
        <f t="shared" si="876"/>
        <v>239.17</v>
      </c>
      <c r="AB1536" s="231">
        <v>239</v>
      </c>
      <c r="AC1536" s="232">
        <f t="shared" si="877"/>
        <v>-0.16999999999998749</v>
      </c>
      <c r="AD1536" s="233">
        <f t="shared" si="878"/>
        <v>4.0268456375838924E-2</v>
      </c>
      <c r="AE1536" s="234">
        <f t="shared" si="879"/>
        <v>4.0020000000000003E-3</v>
      </c>
      <c r="AF1536" s="229"/>
      <c r="AG1536" s="235" t="s">
        <v>416</v>
      </c>
      <c r="AH1536" s="124"/>
    </row>
    <row r="1537" spans="1:34" ht="12" hidden="1" customHeight="1">
      <c r="A1537" s="220">
        <v>44732</v>
      </c>
      <c r="B1537" s="221" t="s">
        <v>792</v>
      </c>
      <c r="C1537" s="7" t="s">
        <v>485</v>
      </c>
      <c r="D1537" s="221" t="str">
        <f t="shared" ca="1" si="863"/>
        <v>Indices</v>
      </c>
      <c r="E1537" s="221" t="str">
        <f ca="1">IFERROR(__xludf.DUMMYFUNCTION("split(B1537,"" "")"),"NIFTY")</f>
        <v>NIFTY</v>
      </c>
      <c r="F1537" s="236" t="str">
        <f ca="1">IFERROR(__xludf.DUMMYFUNCTION("""COMPUTED_VALUE"""),"23!JUN")</f>
        <v>23!JUN</v>
      </c>
      <c r="G1537" s="221">
        <f ca="1">IFERROR(__xludf.DUMMYFUNCTION("""COMPUTED_VALUE"""),15300)</f>
        <v>15300</v>
      </c>
      <c r="H1537" s="221" t="str">
        <f ca="1">IFERROR(__xludf.DUMMYFUNCTION("""COMPUTED_VALUE"""),"PE")</f>
        <v>PE</v>
      </c>
      <c r="I1537" s="221" t="s">
        <v>4</v>
      </c>
      <c r="J1537" s="223">
        <v>50</v>
      </c>
      <c r="K1537" s="224">
        <v>1</v>
      </c>
      <c r="L1537" s="224">
        <v>2</v>
      </c>
      <c r="M1537" s="225">
        <f t="shared" si="864"/>
        <v>100</v>
      </c>
      <c r="N1537" s="226">
        <v>141.27500000000001</v>
      </c>
      <c r="O1537" s="227">
        <v>145</v>
      </c>
      <c r="P1537" s="228">
        <f t="shared" si="865"/>
        <v>14127.5</v>
      </c>
      <c r="Q1537" s="228">
        <f t="shared" si="866"/>
        <v>14500</v>
      </c>
      <c r="R1537" s="229">
        <f t="shared" si="867"/>
        <v>28627.5</v>
      </c>
      <c r="S1537" s="229">
        <f t="shared" si="868"/>
        <v>372.49999999999943</v>
      </c>
      <c r="T1537" s="229">
        <f t="shared" si="880"/>
        <v>80</v>
      </c>
      <c r="U1537" s="229">
        <f t="shared" si="870"/>
        <v>17.13</v>
      </c>
      <c r="V1537" s="229">
        <f t="shared" si="871"/>
        <v>7.25</v>
      </c>
      <c r="W1537" s="229">
        <f t="shared" si="872"/>
        <v>0.42</v>
      </c>
      <c r="X1537" s="229">
        <f t="shared" si="873"/>
        <v>15.17</v>
      </c>
      <c r="Y1537" s="229">
        <f t="shared" si="874"/>
        <v>0.03</v>
      </c>
      <c r="Z1537" s="229">
        <f t="shared" si="875"/>
        <v>120</v>
      </c>
      <c r="AA1537" s="230">
        <f t="shared" si="876"/>
        <v>252.5</v>
      </c>
      <c r="AB1537" s="231">
        <v>252.45</v>
      </c>
      <c r="AC1537" s="232">
        <f t="shared" si="877"/>
        <v>-5.0000000000011369E-2</v>
      </c>
      <c r="AD1537" s="233">
        <f t="shared" si="878"/>
        <v>2.6367014687665859E-2</v>
      </c>
      <c r="AE1537" s="234">
        <f t="shared" si="879"/>
        <v>4.1920000000000004E-3</v>
      </c>
      <c r="AF1537" s="229"/>
      <c r="AG1537" s="235" t="s">
        <v>416</v>
      </c>
      <c r="AH1537" s="124"/>
    </row>
    <row r="1538" spans="1:34" ht="12" hidden="1" customHeight="1">
      <c r="A1538" s="220">
        <v>44733</v>
      </c>
      <c r="B1538" s="221" t="s">
        <v>793</v>
      </c>
      <c r="C1538" s="7" t="s">
        <v>485</v>
      </c>
      <c r="D1538" s="221" t="str">
        <f t="shared" ca="1" si="863"/>
        <v>Stocks</v>
      </c>
      <c r="E1538" s="221" t="str">
        <f ca="1">IFERROR(__xludf.DUMMYFUNCTION("split(B1538,"" "")"),"KOTAKBANK")</f>
        <v>KOTAKBANK</v>
      </c>
      <c r="F1538" s="236" t="str">
        <f ca="1">IFERROR(__xludf.DUMMYFUNCTION("""COMPUTED_VALUE"""),"30!JUN")</f>
        <v>30!JUN</v>
      </c>
      <c r="G1538" s="221">
        <f ca="1">IFERROR(__xludf.DUMMYFUNCTION("""COMPUTED_VALUE"""),1680)</f>
        <v>1680</v>
      </c>
      <c r="H1538" s="221" t="str">
        <f ca="1">IFERROR(__xludf.DUMMYFUNCTION("""COMPUTED_VALUE"""),"CE")</f>
        <v>CE</v>
      </c>
      <c r="I1538" s="221" t="s">
        <v>4</v>
      </c>
      <c r="J1538" s="223">
        <v>400</v>
      </c>
      <c r="K1538" s="224">
        <v>1</v>
      </c>
      <c r="L1538" s="224">
        <v>1</v>
      </c>
      <c r="M1538" s="225">
        <f t="shared" si="864"/>
        <v>400</v>
      </c>
      <c r="N1538" s="226">
        <v>38</v>
      </c>
      <c r="O1538" s="227">
        <v>43</v>
      </c>
      <c r="P1538" s="228">
        <f t="shared" si="865"/>
        <v>15200</v>
      </c>
      <c r="Q1538" s="228">
        <f t="shared" si="866"/>
        <v>17200</v>
      </c>
      <c r="R1538" s="229">
        <f t="shared" si="867"/>
        <v>32400</v>
      </c>
      <c r="S1538" s="229">
        <f t="shared" si="868"/>
        <v>2000</v>
      </c>
      <c r="T1538" s="229">
        <f t="shared" si="880"/>
        <v>40</v>
      </c>
      <c r="U1538" s="229">
        <f t="shared" si="870"/>
        <v>10.29</v>
      </c>
      <c r="V1538" s="229">
        <f t="shared" si="871"/>
        <v>8.6</v>
      </c>
      <c r="W1538" s="229">
        <f t="shared" si="872"/>
        <v>0.46</v>
      </c>
      <c r="X1538" s="229">
        <f t="shared" si="873"/>
        <v>17.170000000000002</v>
      </c>
      <c r="Y1538" s="229">
        <f t="shared" si="874"/>
        <v>0.03</v>
      </c>
      <c r="Z1538" s="229">
        <f t="shared" si="875"/>
        <v>76.550000000000011</v>
      </c>
      <c r="AA1538" s="230">
        <f t="shared" si="876"/>
        <v>1923.45</v>
      </c>
      <c r="AB1538" s="231">
        <v>1923</v>
      </c>
      <c r="AC1538" s="232">
        <f t="shared" si="877"/>
        <v>-0.45000000000004547</v>
      </c>
      <c r="AD1538" s="233">
        <f t="shared" si="878"/>
        <v>0.13157894736842105</v>
      </c>
      <c r="AE1538" s="234">
        <f t="shared" si="879"/>
        <v>2.3630000000000001E-3</v>
      </c>
      <c r="AF1538" s="229"/>
      <c r="AG1538" s="235" t="s">
        <v>416</v>
      </c>
      <c r="AH1538" s="124"/>
    </row>
    <row r="1539" spans="1:34" ht="12" hidden="1" customHeight="1">
      <c r="A1539" s="220">
        <v>44733</v>
      </c>
      <c r="B1539" s="221" t="s">
        <v>794</v>
      </c>
      <c r="C1539" s="7" t="s">
        <v>485</v>
      </c>
      <c r="D1539" s="221" t="str">
        <f t="shared" ca="1" si="863"/>
        <v>Indices</v>
      </c>
      <c r="E1539" s="221" t="str">
        <f ca="1">IFERROR(__xludf.DUMMYFUNCTION("split(B1539,"" "")"),"NIFTY")</f>
        <v>NIFTY</v>
      </c>
      <c r="F1539" s="236" t="str">
        <f ca="1">IFERROR(__xludf.DUMMYFUNCTION("""COMPUTED_VALUE"""),"23!JUN")</f>
        <v>23!JUN</v>
      </c>
      <c r="G1539" s="221">
        <f ca="1">IFERROR(__xludf.DUMMYFUNCTION("""COMPUTED_VALUE"""),15600)</f>
        <v>15600</v>
      </c>
      <c r="H1539" s="221" t="str">
        <f ca="1">IFERROR(__xludf.DUMMYFUNCTION("""COMPUTED_VALUE"""),"PE")</f>
        <v>PE</v>
      </c>
      <c r="I1539" s="221" t="s">
        <v>4</v>
      </c>
      <c r="J1539" s="223">
        <v>50</v>
      </c>
      <c r="K1539" s="224">
        <v>1</v>
      </c>
      <c r="L1539" s="224">
        <v>1</v>
      </c>
      <c r="M1539" s="225">
        <f t="shared" si="864"/>
        <v>50</v>
      </c>
      <c r="N1539" s="226">
        <v>95</v>
      </c>
      <c r="O1539" s="227">
        <v>80</v>
      </c>
      <c r="P1539" s="228">
        <f t="shared" si="865"/>
        <v>4750</v>
      </c>
      <c r="Q1539" s="228">
        <f t="shared" si="866"/>
        <v>4000</v>
      </c>
      <c r="R1539" s="229">
        <f t="shared" si="867"/>
        <v>8750</v>
      </c>
      <c r="S1539" s="229">
        <f t="shared" si="868"/>
        <v>-750</v>
      </c>
      <c r="T1539" s="229">
        <f t="shared" si="880"/>
        <v>40</v>
      </c>
      <c r="U1539" s="229">
        <f t="shared" si="870"/>
        <v>8.0399999999999991</v>
      </c>
      <c r="V1539" s="229">
        <f t="shared" si="871"/>
        <v>2</v>
      </c>
      <c r="W1539" s="229">
        <f t="shared" si="872"/>
        <v>0.14000000000000001</v>
      </c>
      <c r="X1539" s="229">
        <f t="shared" si="873"/>
        <v>4.6399999999999997</v>
      </c>
      <c r="Y1539" s="229">
        <f t="shared" si="874"/>
        <v>0.01</v>
      </c>
      <c r="Z1539" s="229">
        <f t="shared" si="875"/>
        <v>54.83</v>
      </c>
      <c r="AA1539" s="230">
        <f t="shared" si="876"/>
        <v>-804.83</v>
      </c>
      <c r="AB1539" s="231">
        <v>-805.18</v>
      </c>
      <c r="AC1539" s="232">
        <f t="shared" si="877"/>
        <v>-0.34999999999990905</v>
      </c>
      <c r="AD1539" s="233">
        <f t="shared" si="878"/>
        <v>-0.15789473684210525</v>
      </c>
      <c r="AE1539" s="234">
        <f t="shared" si="879"/>
        <v>6.2659999999999999E-3</v>
      </c>
      <c r="AF1539" s="229"/>
      <c r="AG1539" s="235" t="s">
        <v>416</v>
      </c>
      <c r="AH1539" s="124"/>
    </row>
    <row r="1540" spans="1:34" ht="12" hidden="1" customHeight="1">
      <c r="A1540" s="220">
        <v>44734</v>
      </c>
      <c r="B1540" s="221" t="s">
        <v>795</v>
      </c>
      <c r="C1540" s="7" t="s">
        <v>485</v>
      </c>
      <c r="D1540" s="221" t="str">
        <f t="shared" ca="1" si="863"/>
        <v>Indices</v>
      </c>
      <c r="E1540" s="221" t="str">
        <f ca="1">IFERROR(__xludf.DUMMYFUNCTION("split(B1540,"" "")"),"NIFTY")</f>
        <v>NIFTY</v>
      </c>
      <c r="F1540" s="236" t="str">
        <f ca="1">IFERROR(__xludf.DUMMYFUNCTION("""COMPUTED_VALUE"""),"23!JUN")</f>
        <v>23!JUN</v>
      </c>
      <c r="G1540" s="221">
        <f ca="1">IFERROR(__xludf.DUMMYFUNCTION("""COMPUTED_VALUE"""),15400)</f>
        <v>15400</v>
      </c>
      <c r="H1540" s="221" t="str">
        <f ca="1">IFERROR(__xludf.DUMMYFUNCTION("""COMPUTED_VALUE"""),"PE")</f>
        <v>PE</v>
      </c>
      <c r="I1540" s="221" t="s">
        <v>4</v>
      </c>
      <c r="J1540" s="223">
        <v>50</v>
      </c>
      <c r="K1540" s="224">
        <v>1</v>
      </c>
      <c r="L1540" s="224">
        <v>5</v>
      </c>
      <c r="M1540" s="225">
        <f t="shared" si="864"/>
        <v>250</v>
      </c>
      <c r="N1540" s="226">
        <v>64.2</v>
      </c>
      <c r="O1540" s="227">
        <v>66.31</v>
      </c>
      <c r="P1540" s="228">
        <f t="shared" si="865"/>
        <v>16050</v>
      </c>
      <c r="Q1540" s="228">
        <f t="shared" si="866"/>
        <v>16577.5</v>
      </c>
      <c r="R1540" s="229">
        <f t="shared" si="867"/>
        <v>32627.5</v>
      </c>
      <c r="S1540" s="229">
        <f t="shared" si="868"/>
        <v>527.49999999999989</v>
      </c>
      <c r="T1540" s="229">
        <f t="shared" si="880"/>
        <v>200</v>
      </c>
      <c r="U1540" s="229">
        <f t="shared" si="870"/>
        <v>39.11</v>
      </c>
      <c r="V1540" s="229">
        <f t="shared" si="871"/>
        <v>8.2899999999999991</v>
      </c>
      <c r="W1540" s="229">
        <f t="shared" si="872"/>
        <v>0.48</v>
      </c>
      <c r="X1540" s="229">
        <f t="shared" si="873"/>
        <v>17.29</v>
      </c>
      <c r="Y1540" s="229">
        <f t="shared" si="874"/>
        <v>0.03</v>
      </c>
      <c r="Z1540" s="229">
        <f t="shared" si="875"/>
        <v>265.2</v>
      </c>
      <c r="AA1540" s="230">
        <f t="shared" si="876"/>
        <v>262.3</v>
      </c>
      <c r="AB1540" s="231">
        <v>262.18</v>
      </c>
      <c r="AC1540" s="232">
        <f t="shared" si="877"/>
        <v>-0.12000000000000455</v>
      </c>
      <c r="AD1540" s="233">
        <f t="shared" si="878"/>
        <v>3.2866043613707152E-2</v>
      </c>
      <c r="AE1540" s="234">
        <f t="shared" si="879"/>
        <v>8.1279999999999998E-3</v>
      </c>
      <c r="AF1540" s="229"/>
      <c r="AG1540" s="235" t="s">
        <v>416</v>
      </c>
      <c r="AH1540" s="124"/>
    </row>
    <row r="1541" spans="1:34" ht="12" hidden="1" customHeight="1">
      <c r="A1541" s="220">
        <v>44734</v>
      </c>
      <c r="B1541" s="221" t="s">
        <v>796</v>
      </c>
      <c r="C1541" s="7" t="s">
        <v>485</v>
      </c>
      <c r="D1541" s="221" t="str">
        <f t="shared" ca="1" si="863"/>
        <v>Stocks</v>
      </c>
      <c r="E1541" s="221" t="str">
        <f ca="1">IFERROR(__xludf.DUMMYFUNCTION("split(B1541,"" "")"),"TCS")</f>
        <v>TCS</v>
      </c>
      <c r="F1541" s="236" t="str">
        <f ca="1">IFERROR(__xludf.DUMMYFUNCTION("""COMPUTED_VALUE"""),"30!JUN")</f>
        <v>30!JUN</v>
      </c>
      <c r="G1541" s="221">
        <f ca="1">IFERROR(__xludf.DUMMYFUNCTION("""COMPUTED_VALUE"""),3200)</f>
        <v>3200</v>
      </c>
      <c r="H1541" s="221" t="str">
        <f ca="1">IFERROR(__xludf.DUMMYFUNCTION("""COMPUTED_VALUE"""),"CE")</f>
        <v>CE</v>
      </c>
      <c r="I1541" s="221" t="s">
        <v>4</v>
      </c>
      <c r="J1541" s="223">
        <v>150</v>
      </c>
      <c r="K1541" s="224">
        <v>1</v>
      </c>
      <c r="L1541" s="224">
        <v>1</v>
      </c>
      <c r="M1541" s="225">
        <f t="shared" si="864"/>
        <v>150</v>
      </c>
      <c r="N1541" s="226">
        <v>75</v>
      </c>
      <c r="O1541" s="227">
        <v>60</v>
      </c>
      <c r="P1541" s="228">
        <f t="shared" si="865"/>
        <v>11250</v>
      </c>
      <c r="Q1541" s="228">
        <f t="shared" si="866"/>
        <v>9000</v>
      </c>
      <c r="R1541" s="229">
        <f t="shared" si="867"/>
        <v>20250</v>
      </c>
      <c r="S1541" s="229">
        <f t="shared" si="868"/>
        <v>-2250</v>
      </c>
      <c r="T1541" s="229">
        <f t="shared" si="880"/>
        <v>40</v>
      </c>
      <c r="U1541" s="229">
        <f t="shared" si="870"/>
        <v>9.1300000000000008</v>
      </c>
      <c r="V1541" s="229">
        <f t="shared" si="871"/>
        <v>4.5</v>
      </c>
      <c r="W1541" s="229">
        <f t="shared" si="872"/>
        <v>0.34</v>
      </c>
      <c r="X1541" s="229">
        <f t="shared" si="873"/>
        <v>10.73</v>
      </c>
      <c r="Y1541" s="229">
        <f t="shared" si="874"/>
        <v>0.02</v>
      </c>
      <c r="Z1541" s="229">
        <f t="shared" si="875"/>
        <v>64.72</v>
      </c>
      <c r="AA1541" s="230">
        <f t="shared" si="876"/>
        <v>-2314.7199999999998</v>
      </c>
      <c r="AB1541" s="231">
        <v>-2315</v>
      </c>
      <c r="AC1541" s="232">
        <f t="shared" si="877"/>
        <v>-0.28000000000020009</v>
      </c>
      <c r="AD1541" s="233">
        <f t="shared" si="878"/>
        <v>-0.2</v>
      </c>
      <c r="AE1541" s="234">
        <f t="shared" si="879"/>
        <v>3.1960000000000001E-3</v>
      </c>
      <c r="AF1541" s="229"/>
      <c r="AG1541" s="235" t="s">
        <v>416</v>
      </c>
      <c r="AH1541" s="124"/>
    </row>
    <row r="1542" spans="1:34" ht="12" hidden="1" customHeight="1">
      <c r="A1542" s="220">
        <v>44735</v>
      </c>
      <c r="B1542" s="221" t="s">
        <v>797</v>
      </c>
      <c r="C1542" s="7" t="s">
        <v>485</v>
      </c>
      <c r="D1542" s="221" t="str">
        <f t="shared" ca="1" si="863"/>
        <v>Indices</v>
      </c>
      <c r="E1542" s="221" t="str">
        <f ca="1">IFERROR(__xludf.DUMMYFUNCTION("split(B1542,"" "")"),"NIFTY")</f>
        <v>NIFTY</v>
      </c>
      <c r="F1542" s="236" t="str">
        <f ca="1">IFERROR(__xludf.DUMMYFUNCTION("""COMPUTED_VALUE"""),"23!JUN")</f>
        <v>23!JUN</v>
      </c>
      <c r="G1542" s="221">
        <f ca="1">IFERROR(__xludf.DUMMYFUNCTION("""COMPUTED_VALUE"""),15600)</f>
        <v>15600</v>
      </c>
      <c r="H1542" s="221" t="str">
        <f ca="1">IFERROR(__xludf.DUMMYFUNCTION("""COMPUTED_VALUE"""),"CE")</f>
        <v>CE</v>
      </c>
      <c r="I1542" s="221" t="s">
        <v>4</v>
      </c>
      <c r="J1542" s="223">
        <v>50</v>
      </c>
      <c r="K1542" s="224">
        <v>1</v>
      </c>
      <c r="L1542" s="224">
        <v>2</v>
      </c>
      <c r="M1542" s="225">
        <f t="shared" si="864"/>
        <v>100</v>
      </c>
      <c r="N1542" s="226">
        <v>40.450000000000003</v>
      </c>
      <c r="O1542" s="227">
        <v>0</v>
      </c>
      <c r="P1542" s="228">
        <f t="shared" si="865"/>
        <v>4045</v>
      </c>
      <c r="Q1542" s="228">
        <f t="shared" si="866"/>
        <v>0</v>
      </c>
      <c r="R1542" s="229">
        <f t="shared" si="867"/>
        <v>4045</v>
      </c>
      <c r="S1542" s="229">
        <f t="shared" si="868"/>
        <v>-4045.0000000000005</v>
      </c>
      <c r="T1542" s="229">
        <f t="shared" si="880"/>
        <v>40</v>
      </c>
      <c r="U1542" s="229">
        <f t="shared" si="870"/>
        <v>7.59</v>
      </c>
      <c r="V1542" s="229">
        <f t="shared" si="871"/>
        <v>0</v>
      </c>
      <c r="W1542" s="229">
        <f t="shared" si="872"/>
        <v>0.12</v>
      </c>
      <c r="X1542" s="229">
        <f t="shared" si="873"/>
        <v>2.14</v>
      </c>
      <c r="Y1542" s="229">
        <f t="shared" si="874"/>
        <v>0</v>
      </c>
      <c r="Z1542" s="229">
        <f t="shared" si="875"/>
        <v>49.85</v>
      </c>
      <c r="AA1542" s="230">
        <f t="shared" si="876"/>
        <v>-4094.85</v>
      </c>
      <c r="AB1542" s="231">
        <v>-4095</v>
      </c>
      <c r="AC1542" s="232">
        <f t="shared" si="877"/>
        <v>-0.15000000000009095</v>
      </c>
      <c r="AD1542" s="233">
        <f t="shared" si="878"/>
        <v>-1</v>
      </c>
      <c r="AE1542" s="234">
        <f t="shared" si="879"/>
        <v>1.2324E-2</v>
      </c>
      <c r="AF1542" s="229"/>
      <c r="AG1542" s="235" t="s">
        <v>416</v>
      </c>
      <c r="AH1542" s="124"/>
    </row>
    <row r="1543" spans="1:34" ht="12" hidden="1" customHeight="1">
      <c r="A1543" s="220">
        <v>44735</v>
      </c>
      <c r="B1543" s="221" t="s">
        <v>797</v>
      </c>
      <c r="C1543" s="7" t="s">
        <v>485</v>
      </c>
      <c r="D1543" s="221" t="str">
        <f t="shared" ca="1" si="863"/>
        <v>Indices</v>
      </c>
      <c r="E1543" s="221" t="str">
        <f ca="1">IFERROR(__xludf.DUMMYFUNCTION("split(B1543,"" "")"),"NIFTY")</f>
        <v>NIFTY</v>
      </c>
      <c r="F1543" s="236" t="str">
        <f ca="1">IFERROR(__xludf.DUMMYFUNCTION("""COMPUTED_VALUE"""),"23!JUN")</f>
        <v>23!JUN</v>
      </c>
      <c r="G1543" s="221">
        <f ca="1">IFERROR(__xludf.DUMMYFUNCTION("""COMPUTED_VALUE"""),15600)</f>
        <v>15600</v>
      </c>
      <c r="H1543" s="221" t="str">
        <f ca="1">IFERROR(__xludf.DUMMYFUNCTION("""COMPUTED_VALUE"""),"CE")</f>
        <v>CE</v>
      </c>
      <c r="I1543" s="221" t="s">
        <v>4</v>
      </c>
      <c r="J1543" s="223">
        <v>50</v>
      </c>
      <c r="K1543" s="224">
        <v>2</v>
      </c>
      <c r="L1543" s="224">
        <v>1</v>
      </c>
      <c r="M1543" s="225">
        <f t="shared" si="864"/>
        <v>100</v>
      </c>
      <c r="N1543" s="226">
        <v>0</v>
      </c>
      <c r="O1543" s="227">
        <v>52.9</v>
      </c>
      <c r="P1543" s="228">
        <f t="shared" si="865"/>
        <v>0</v>
      </c>
      <c r="Q1543" s="228">
        <f t="shared" si="866"/>
        <v>5290</v>
      </c>
      <c r="R1543" s="229">
        <f t="shared" si="867"/>
        <v>5290</v>
      </c>
      <c r="S1543" s="229">
        <f t="shared" si="868"/>
        <v>5290</v>
      </c>
      <c r="T1543" s="229">
        <f t="shared" si="880"/>
        <v>20</v>
      </c>
      <c r="U1543" s="229">
        <f t="shared" si="870"/>
        <v>4.0999999999999996</v>
      </c>
      <c r="V1543" s="229">
        <f t="shared" si="871"/>
        <v>2.65</v>
      </c>
      <c r="W1543" s="229">
        <f t="shared" si="872"/>
        <v>0</v>
      </c>
      <c r="X1543" s="229">
        <f t="shared" si="873"/>
        <v>2.8</v>
      </c>
      <c r="Y1543" s="229">
        <f t="shared" si="874"/>
        <v>0.01</v>
      </c>
      <c r="Z1543" s="229">
        <f t="shared" si="875"/>
        <v>29.560000000000002</v>
      </c>
      <c r="AA1543" s="230">
        <f t="shared" si="876"/>
        <v>5260.44</v>
      </c>
      <c r="AB1543" s="231">
        <v>5260.84</v>
      </c>
      <c r="AC1543" s="232">
        <f t="shared" si="877"/>
        <v>0.4000000000005457</v>
      </c>
      <c r="AD1543" s="233">
        <f t="shared" si="878"/>
        <v>0</v>
      </c>
      <c r="AE1543" s="234">
        <f t="shared" si="879"/>
        <v>5.5880000000000001E-3</v>
      </c>
      <c r="AF1543" s="229"/>
      <c r="AG1543" s="235" t="s">
        <v>416</v>
      </c>
      <c r="AH1543" s="124"/>
    </row>
    <row r="1544" spans="1:34" ht="12" hidden="1" customHeight="1">
      <c r="A1544" s="220">
        <v>44735</v>
      </c>
      <c r="B1544" s="221" t="s">
        <v>798</v>
      </c>
      <c r="C1544" s="7" t="s">
        <v>485</v>
      </c>
      <c r="D1544" s="221" t="str">
        <f t="shared" ca="1" si="863"/>
        <v>Indices</v>
      </c>
      <c r="E1544" s="221" t="str">
        <f ca="1">IFERROR(__xludf.DUMMYFUNCTION("split(B1544,"" "")"),"NIFTY")</f>
        <v>NIFTY</v>
      </c>
      <c r="F1544" s="236" t="str">
        <f ca="1">IFERROR(__xludf.DUMMYFUNCTION("""COMPUTED_VALUE"""),"23!JUN")</f>
        <v>23!JUN</v>
      </c>
      <c r="G1544" s="221">
        <f ca="1">IFERROR(__xludf.DUMMYFUNCTION("""COMPUTED_VALUE"""),15650)</f>
        <v>15650</v>
      </c>
      <c r="H1544" s="221" t="str">
        <f ca="1">IFERROR(__xludf.DUMMYFUNCTION("""COMPUTED_VALUE"""),"CE")</f>
        <v>CE</v>
      </c>
      <c r="I1544" s="221" t="s">
        <v>4</v>
      </c>
      <c r="J1544" s="223">
        <v>50</v>
      </c>
      <c r="K1544" s="224">
        <v>1</v>
      </c>
      <c r="L1544" s="224">
        <v>3</v>
      </c>
      <c r="M1544" s="225">
        <f t="shared" si="864"/>
        <v>150</v>
      </c>
      <c r="N1544" s="226">
        <v>13.2667</v>
      </c>
      <c r="O1544" s="227">
        <v>0</v>
      </c>
      <c r="P1544" s="228">
        <f t="shared" si="865"/>
        <v>1990.01</v>
      </c>
      <c r="Q1544" s="228">
        <f t="shared" si="866"/>
        <v>0</v>
      </c>
      <c r="R1544" s="229">
        <f t="shared" si="867"/>
        <v>1990.01</v>
      </c>
      <c r="S1544" s="229">
        <f t="shared" si="868"/>
        <v>-1990.0050000000001</v>
      </c>
      <c r="T1544" s="229">
        <f t="shared" si="880"/>
        <v>60</v>
      </c>
      <c r="U1544" s="229">
        <f t="shared" si="870"/>
        <v>10.99</v>
      </c>
      <c r="V1544" s="229">
        <f t="shared" si="871"/>
        <v>0</v>
      </c>
      <c r="W1544" s="229">
        <f t="shared" si="872"/>
        <v>0.06</v>
      </c>
      <c r="X1544" s="229">
        <f t="shared" si="873"/>
        <v>1.05</v>
      </c>
      <c r="Y1544" s="229">
        <f t="shared" si="874"/>
        <v>0</v>
      </c>
      <c r="Z1544" s="229">
        <f t="shared" si="875"/>
        <v>72.099999999999994</v>
      </c>
      <c r="AA1544" s="230">
        <f t="shared" si="876"/>
        <v>-2062.11</v>
      </c>
      <c r="AB1544" s="231">
        <v>-2062</v>
      </c>
      <c r="AC1544" s="232">
        <f t="shared" si="877"/>
        <v>0.11000000000012733</v>
      </c>
      <c r="AD1544" s="233">
        <f t="shared" si="878"/>
        <v>-1</v>
      </c>
      <c r="AE1544" s="234">
        <f t="shared" si="879"/>
        <v>3.6230999999999999E-2</v>
      </c>
      <c r="AF1544" s="229"/>
      <c r="AG1544" s="235" t="s">
        <v>416</v>
      </c>
      <c r="AH1544" s="124"/>
    </row>
    <row r="1545" spans="1:34" ht="12" hidden="1" customHeight="1">
      <c r="A1545" s="220">
        <v>44735</v>
      </c>
      <c r="B1545" s="221" t="s">
        <v>798</v>
      </c>
      <c r="C1545" s="7" t="s">
        <v>485</v>
      </c>
      <c r="D1545" s="221" t="str">
        <f t="shared" ca="1" si="863"/>
        <v>Indices</v>
      </c>
      <c r="E1545" s="221" t="str">
        <f ca="1">IFERROR(__xludf.DUMMYFUNCTION("split(B1545,"" "")"),"NIFTY")</f>
        <v>NIFTY</v>
      </c>
      <c r="F1545" s="236" t="str">
        <f ca="1">IFERROR(__xludf.DUMMYFUNCTION("""COMPUTED_VALUE"""),"23!JUN")</f>
        <v>23!JUN</v>
      </c>
      <c r="G1545" s="221">
        <f ca="1">IFERROR(__xludf.DUMMYFUNCTION("""COMPUTED_VALUE"""),15650)</f>
        <v>15650</v>
      </c>
      <c r="H1545" s="221" t="str">
        <f ca="1">IFERROR(__xludf.DUMMYFUNCTION("""COMPUTED_VALUE"""),"CE")</f>
        <v>CE</v>
      </c>
      <c r="I1545" s="221" t="s">
        <v>4</v>
      </c>
      <c r="J1545" s="223">
        <v>50</v>
      </c>
      <c r="K1545" s="224">
        <v>3</v>
      </c>
      <c r="L1545" s="224">
        <v>1</v>
      </c>
      <c r="M1545" s="225">
        <f t="shared" si="864"/>
        <v>150</v>
      </c>
      <c r="N1545" s="226">
        <v>0</v>
      </c>
      <c r="O1545" s="227">
        <v>1.5</v>
      </c>
      <c r="P1545" s="228">
        <f t="shared" si="865"/>
        <v>0</v>
      </c>
      <c r="Q1545" s="228">
        <f t="shared" si="866"/>
        <v>225</v>
      </c>
      <c r="R1545" s="229">
        <f t="shared" si="867"/>
        <v>225</v>
      </c>
      <c r="S1545" s="229">
        <f t="shared" si="868"/>
        <v>225</v>
      </c>
      <c r="T1545" s="229">
        <f t="shared" si="880"/>
        <v>20</v>
      </c>
      <c r="U1545" s="229">
        <f t="shared" si="870"/>
        <v>3.62</v>
      </c>
      <c r="V1545" s="229">
        <f t="shared" si="871"/>
        <v>0.11</v>
      </c>
      <c r="W1545" s="229">
        <f t="shared" si="872"/>
        <v>0</v>
      </c>
      <c r="X1545" s="229">
        <f t="shared" si="873"/>
        <v>0.12</v>
      </c>
      <c r="Y1545" s="229">
        <f t="shared" si="874"/>
        <v>0</v>
      </c>
      <c r="Z1545" s="229">
        <f t="shared" si="875"/>
        <v>23.85</v>
      </c>
      <c r="AA1545" s="230">
        <f t="shared" si="876"/>
        <v>201.15</v>
      </c>
      <c r="AB1545" s="231">
        <v>201</v>
      </c>
      <c r="AC1545" s="232">
        <f t="shared" si="877"/>
        <v>-0.15000000000000568</v>
      </c>
      <c r="AD1545" s="233">
        <f t="shared" si="878"/>
        <v>0</v>
      </c>
      <c r="AE1545" s="234">
        <f t="shared" si="879"/>
        <v>0.106</v>
      </c>
      <c r="AF1545" s="229"/>
      <c r="AG1545" s="235" t="s">
        <v>416</v>
      </c>
      <c r="AH1545" s="124"/>
    </row>
    <row r="1546" spans="1:34" ht="12" hidden="1" customHeight="1">
      <c r="A1546" s="220">
        <v>44735</v>
      </c>
      <c r="B1546" s="221" t="s">
        <v>791</v>
      </c>
      <c r="C1546" s="7" t="s">
        <v>485</v>
      </c>
      <c r="D1546" s="221" t="str">
        <f t="shared" ca="1" si="863"/>
        <v>Indices</v>
      </c>
      <c r="E1546" s="221" t="str">
        <f ca="1">IFERROR(__xludf.DUMMYFUNCTION("split(B1546,"" "")"),"NIFTY")</f>
        <v>NIFTY</v>
      </c>
      <c r="F1546" s="236" t="str">
        <f ca="1">IFERROR(__xludf.DUMMYFUNCTION("""COMPUTED_VALUE"""),"23!JUN")</f>
        <v>23!JUN</v>
      </c>
      <c r="G1546" s="221">
        <f ca="1">IFERROR(__xludf.DUMMYFUNCTION("""COMPUTED_VALUE"""),15350)</f>
        <v>15350</v>
      </c>
      <c r="H1546" s="221" t="str">
        <f ca="1">IFERROR(__xludf.DUMMYFUNCTION("""COMPUTED_VALUE"""),"CE")</f>
        <v>CE</v>
      </c>
      <c r="I1546" s="221" t="s">
        <v>4</v>
      </c>
      <c r="J1546" s="223">
        <v>50</v>
      </c>
      <c r="K1546" s="224">
        <v>1</v>
      </c>
      <c r="L1546" s="224">
        <v>1</v>
      </c>
      <c r="M1546" s="225">
        <f t="shared" si="864"/>
        <v>50</v>
      </c>
      <c r="N1546" s="226">
        <v>25</v>
      </c>
      <c r="O1546" s="227">
        <v>2.1</v>
      </c>
      <c r="P1546" s="228">
        <f t="shared" si="865"/>
        <v>1250</v>
      </c>
      <c r="Q1546" s="228">
        <f t="shared" si="866"/>
        <v>105</v>
      </c>
      <c r="R1546" s="229">
        <f t="shared" si="867"/>
        <v>1355</v>
      </c>
      <c r="S1546" s="229">
        <f t="shared" si="868"/>
        <v>-1145</v>
      </c>
      <c r="T1546" s="229">
        <f t="shared" si="880"/>
        <v>40</v>
      </c>
      <c r="U1546" s="229">
        <f t="shared" si="870"/>
        <v>7.33</v>
      </c>
      <c r="V1546" s="229">
        <f t="shared" si="871"/>
        <v>0.05</v>
      </c>
      <c r="W1546" s="229">
        <f t="shared" si="872"/>
        <v>0.04</v>
      </c>
      <c r="X1546" s="229">
        <f t="shared" si="873"/>
        <v>0.72</v>
      </c>
      <c r="Y1546" s="229">
        <f t="shared" si="874"/>
        <v>0</v>
      </c>
      <c r="Z1546" s="229">
        <f t="shared" si="875"/>
        <v>48.139999999999993</v>
      </c>
      <c r="AA1546" s="230">
        <f t="shared" si="876"/>
        <v>-1193.1400000000001</v>
      </c>
      <c r="AB1546" s="231">
        <v>-1193</v>
      </c>
      <c r="AC1546" s="232">
        <f t="shared" si="877"/>
        <v>0.14000000000010004</v>
      </c>
      <c r="AD1546" s="233">
        <f t="shared" si="878"/>
        <v>-0.91599999999999993</v>
      </c>
      <c r="AE1546" s="234">
        <f t="shared" si="879"/>
        <v>3.5527999999999997E-2</v>
      </c>
      <c r="AF1546" s="229"/>
      <c r="AG1546" s="235" t="s">
        <v>416</v>
      </c>
      <c r="AH1546" s="124"/>
    </row>
    <row r="1547" spans="1:34" ht="12" hidden="1" customHeight="1">
      <c r="A1547" s="220">
        <v>44736</v>
      </c>
      <c r="B1547" s="221" t="s">
        <v>799</v>
      </c>
      <c r="C1547" s="7" t="s">
        <v>485</v>
      </c>
      <c r="D1547" s="221" t="str">
        <f t="shared" ca="1" si="863"/>
        <v>Indices</v>
      </c>
      <c r="E1547" s="221" t="str">
        <f ca="1">IFERROR(__xludf.DUMMYFUNCTION("split(B1547,"" "")"),"NIFTY")</f>
        <v>NIFTY</v>
      </c>
      <c r="F1547" s="236" t="str">
        <f ca="1">IFERROR(__xludf.DUMMYFUNCTION("""COMPUTED_VALUE"""),"30!JUN")</f>
        <v>30!JUN</v>
      </c>
      <c r="G1547" s="221">
        <f ca="1">IFERROR(__xludf.DUMMYFUNCTION("""COMPUTED_VALUE"""),15750)</f>
        <v>15750</v>
      </c>
      <c r="H1547" s="221" t="str">
        <f ca="1">IFERROR(__xludf.DUMMYFUNCTION("""COMPUTED_VALUE"""),"CE")</f>
        <v>CE</v>
      </c>
      <c r="I1547" s="221" t="s">
        <v>4</v>
      </c>
      <c r="J1547" s="223">
        <v>50</v>
      </c>
      <c r="K1547" s="224">
        <v>1</v>
      </c>
      <c r="L1547" s="224">
        <v>2</v>
      </c>
      <c r="M1547" s="225">
        <f t="shared" si="864"/>
        <v>100</v>
      </c>
      <c r="N1547" s="226">
        <v>152.5</v>
      </c>
      <c r="O1547" s="227">
        <v>153</v>
      </c>
      <c r="P1547" s="228">
        <f t="shared" si="865"/>
        <v>15250</v>
      </c>
      <c r="Q1547" s="228">
        <f t="shared" si="866"/>
        <v>15300</v>
      </c>
      <c r="R1547" s="229">
        <f t="shared" si="867"/>
        <v>30550</v>
      </c>
      <c r="S1547" s="229">
        <f t="shared" si="868"/>
        <v>50</v>
      </c>
      <c r="T1547" s="229">
        <f t="shared" si="880"/>
        <v>80</v>
      </c>
      <c r="U1547" s="229">
        <f t="shared" si="870"/>
        <v>17.309999999999999</v>
      </c>
      <c r="V1547" s="229">
        <f t="shared" si="871"/>
        <v>7.65</v>
      </c>
      <c r="W1547" s="229">
        <f t="shared" si="872"/>
        <v>0.46</v>
      </c>
      <c r="X1547" s="229">
        <f t="shared" si="873"/>
        <v>16.190000000000001</v>
      </c>
      <c r="Y1547" s="229">
        <f t="shared" si="874"/>
        <v>0.03</v>
      </c>
      <c r="Z1547" s="229">
        <f t="shared" si="875"/>
        <v>121.64</v>
      </c>
      <c r="AA1547" s="230">
        <f t="shared" si="876"/>
        <v>-71.64</v>
      </c>
      <c r="AB1547" s="231">
        <v>-72.680000000000007</v>
      </c>
      <c r="AC1547" s="232">
        <f t="shared" si="877"/>
        <v>-1.0400000000000063</v>
      </c>
      <c r="AD1547" s="233">
        <f t="shared" si="878"/>
        <v>3.2786885245901639E-3</v>
      </c>
      <c r="AE1547" s="234">
        <f t="shared" si="879"/>
        <v>3.9820000000000003E-3</v>
      </c>
      <c r="AF1547" s="229"/>
      <c r="AG1547" s="235" t="s">
        <v>416</v>
      </c>
      <c r="AH1547" s="124"/>
    </row>
    <row r="1548" spans="1:34" ht="12" hidden="1" customHeight="1">
      <c r="A1548" s="154">
        <v>44736</v>
      </c>
      <c r="B1548" s="221" t="s">
        <v>800</v>
      </c>
      <c r="C1548" s="7" t="s">
        <v>485</v>
      </c>
      <c r="D1548" s="221" t="str">
        <f t="shared" ca="1" si="863"/>
        <v>Stocks</v>
      </c>
      <c r="E1548" s="221" t="str">
        <f ca="1">IFERROR(__xludf.DUMMYFUNCTION("split(B1548,"" "")"),"TCS")</f>
        <v>TCS</v>
      </c>
      <c r="F1548" s="221" t="str">
        <f ca="1">IFERROR(__xludf.DUMMYFUNCTION("""COMPUTED_VALUE"""),"30!JUN")</f>
        <v>30!JUN</v>
      </c>
      <c r="G1548" s="221">
        <f ca="1">IFERROR(__xludf.DUMMYFUNCTION("""COMPUTED_VALUE"""),3300)</f>
        <v>3300</v>
      </c>
      <c r="H1548" s="221" t="str">
        <f ca="1">IFERROR(__xludf.DUMMYFUNCTION("""COMPUTED_VALUE"""),"CE")</f>
        <v>CE</v>
      </c>
      <c r="I1548" s="221" t="s">
        <v>4</v>
      </c>
      <c r="J1548" s="223">
        <v>150</v>
      </c>
      <c r="K1548" s="224">
        <v>1</v>
      </c>
      <c r="L1548" s="224">
        <v>1</v>
      </c>
      <c r="M1548" s="225">
        <f t="shared" si="864"/>
        <v>150</v>
      </c>
      <c r="N1548" s="226">
        <v>59</v>
      </c>
      <c r="O1548" s="227">
        <v>0</v>
      </c>
      <c r="P1548" s="228">
        <f t="shared" si="865"/>
        <v>8850</v>
      </c>
      <c r="Q1548" s="228">
        <f t="shared" si="866"/>
        <v>0</v>
      </c>
      <c r="R1548" s="229">
        <f t="shared" si="867"/>
        <v>8850</v>
      </c>
      <c r="S1548" s="229">
        <f t="shared" si="868"/>
        <v>-8850</v>
      </c>
      <c r="T1548" s="229">
        <f t="shared" si="880"/>
        <v>20</v>
      </c>
      <c r="U1548" s="229">
        <f t="shared" si="870"/>
        <v>4.4400000000000004</v>
      </c>
      <c r="V1548" s="229">
        <f t="shared" si="871"/>
        <v>0</v>
      </c>
      <c r="W1548" s="229">
        <f t="shared" si="872"/>
        <v>0.27</v>
      </c>
      <c r="X1548" s="229">
        <f t="shared" si="873"/>
        <v>4.6900000000000004</v>
      </c>
      <c r="Y1548" s="229">
        <f t="shared" si="874"/>
        <v>0.01</v>
      </c>
      <c r="Z1548" s="229">
        <f t="shared" si="875"/>
        <v>29.410000000000004</v>
      </c>
      <c r="AA1548" s="230">
        <f t="shared" si="876"/>
        <v>-8879.41</v>
      </c>
      <c r="AB1548" s="231">
        <v>-8879</v>
      </c>
      <c r="AC1548" s="232">
        <f t="shared" si="877"/>
        <v>0.40999999999985448</v>
      </c>
      <c r="AD1548" s="233">
        <f t="shared" si="878"/>
        <v>-1</v>
      </c>
      <c r="AE1548" s="234">
        <f t="shared" si="879"/>
        <v>3.323E-3</v>
      </c>
      <c r="AF1548" s="229"/>
      <c r="AG1548" s="235" t="s">
        <v>416</v>
      </c>
      <c r="AH1548" s="124"/>
    </row>
    <row r="1549" spans="1:34" ht="12" hidden="1" customHeight="1">
      <c r="A1549" s="155">
        <v>44739</v>
      </c>
      <c r="B1549" s="221" t="s">
        <v>800</v>
      </c>
      <c r="C1549" s="7" t="s">
        <v>485</v>
      </c>
      <c r="D1549" s="221" t="str">
        <f t="shared" ca="1" si="863"/>
        <v>Stocks</v>
      </c>
      <c r="E1549" s="221" t="str">
        <f ca="1">IFERROR(__xludf.DUMMYFUNCTION("split(B1549,"" "")"),"TCS")</f>
        <v>TCS</v>
      </c>
      <c r="F1549" s="221" t="str">
        <f ca="1">IFERROR(__xludf.DUMMYFUNCTION("""COMPUTED_VALUE"""),"30!JUN")</f>
        <v>30!JUN</v>
      </c>
      <c r="G1549" s="221">
        <f ca="1">IFERROR(__xludf.DUMMYFUNCTION("""COMPUTED_VALUE"""),3300)</f>
        <v>3300</v>
      </c>
      <c r="H1549" s="221" t="str">
        <f ca="1">IFERROR(__xludf.DUMMYFUNCTION("""COMPUTED_VALUE"""),"CE")</f>
        <v>CE</v>
      </c>
      <c r="I1549" s="221" t="s">
        <v>4</v>
      </c>
      <c r="J1549" s="223">
        <v>150</v>
      </c>
      <c r="K1549" s="224">
        <v>1</v>
      </c>
      <c r="L1549" s="224">
        <v>1</v>
      </c>
      <c r="M1549" s="225">
        <f t="shared" si="864"/>
        <v>150</v>
      </c>
      <c r="N1549" s="226">
        <v>0</v>
      </c>
      <c r="O1549" s="227">
        <v>66</v>
      </c>
      <c r="P1549" s="228">
        <f t="shared" si="865"/>
        <v>0</v>
      </c>
      <c r="Q1549" s="228">
        <f t="shared" si="866"/>
        <v>9900</v>
      </c>
      <c r="R1549" s="229">
        <f t="shared" si="867"/>
        <v>9900</v>
      </c>
      <c r="S1549" s="229">
        <f t="shared" si="868"/>
        <v>9900</v>
      </c>
      <c r="T1549" s="229">
        <f t="shared" si="880"/>
        <v>20</v>
      </c>
      <c r="U1549" s="229">
        <f t="shared" si="870"/>
        <v>4.55</v>
      </c>
      <c r="V1549" s="229">
        <f t="shared" si="871"/>
        <v>4.95</v>
      </c>
      <c r="W1549" s="229">
        <f t="shared" si="872"/>
        <v>0</v>
      </c>
      <c r="X1549" s="229">
        <f t="shared" si="873"/>
        <v>5.25</v>
      </c>
      <c r="Y1549" s="229">
        <f t="shared" si="874"/>
        <v>0.01</v>
      </c>
      <c r="Z1549" s="229">
        <f t="shared" si="875"/>
        <v>34.76</v>
      </c>
      <c r="AA1549" s="230">
        <f t="shared" si="876"/>
        <v>9865.24</v>
      </c>
      <c r="AB1549" s="231">
        <v>9865</v>
      </c>
      <c r="AC1549" s="232">
        <f t="shared" si="877"/>
        <v>-0.23999999999978172</v>
      </c>
      <c r="AD1549" s="233">
        <f t="shared" si="878"/>
        <v>0</v>
      </c>
      <c r="AE1549" s="234">
        <f t="shared" si="879"/>
        <v>3.5109999999999998E-3</v>
      </c>
      <c r="AF1549" s="229"/>
      <c r="AG1549" s="235" t="s">
        <v>416</v>
      </c>
      <c r="AH1549" s="124"/>
    </row>
    <row r="1550" spans="1:34" ht="12" hidden="1" customHeight="1">
      <c r="A1550" s="220">
        <v>44739</v>
      </c>
      <c r="B1550" s="221" t="s">
        <v>801</v>
      </c>
      <c r="C1550" s="7" t="s">
        <v>485</v>
      </c>
      <c r="D1550" s="221" t="str">
        <f t="shared" ca="1" si="863"/>
        <v>Indices</v>
      </c>
      <c r="E1550" s="221" t="str">
        <f ca="1">IFERROR(__xludf.DUMMYFUNCTION("split(B1550,"" "")"),"NIFTY")</f>
        <v>NIFTY</v>
      </c>
      <c r="F1550" s="221" t="str">
        <f ca="1">IFERROR(__xludf.DUMMYFUNCTION("""COMPUTED_VALUE"""),"30!JUN")</f>
        <v>30!JUN</v>
      </c>
      <c r="G1550" s="221">
        <f ca="1">IFERROR(__xludf.DUMMYFUNCTION("""COMPUTED_VALUE"""),15900)</f>
        <v>15900</v>
      </c>
      <c r="H1550" s="221" t="str">
        <f ca="1">IFERROR(__xludf.DUMMYFUNCTION("""COMPUTED_VALUE"""),"CE")</f>
        <v>CE</v>
      </c>
      <c r="I1550" s="221" t="s">
        <v>4</v>
      </c>
      <c r="J1550" s="223">
        <v>50</v>
      </c>
      <c r="K1550" s="224">
        <v>1</v>
      </c>
      <c r="L1550" s="224">
        <v>4</v>
      </c>
      <c r="M1550" s="225">
        <f t="shared" si="864"/>
        <v>200</v>
      </c>
      <c r="N1550" s="226">
        <v>120.25</v>
      </c>
      <c r="O1550" s="227">
        <v>0</v>
      </c>
      <c r="P1550" s="228">
        <f t="shared" si="865"/>
        <v>24050</v>
      </c>
      <c r="Q1550" s="228">
        <f t="shared" si="866"/>
        <v>0</v>
      </c>
      <c r="R1550" s="229">
        <f t="shared" si="867"/>
        <v>24050</v>
      </c>
      <c r="S1550" s="229">
        <f t="shared" si="868"/>
        <v>-24050</v>
      </c>
      <c r="T1550" s="229">
        <f t="shared" si="880"/>
        <v>80</v>
      </c>
      <c r="U1550" s="229">
        <f t="shared" si="870"/>
        <v>16.7</v>
      </c>
      <c r="V1550" s="229">
        <f t="shared" si="871"/>
        <v>0</v>
      </c>
      <c r="W1550" s="229">
        <f t="shared" si="872"/>
        <v>0.72</v>
      </c>
      <c r="X1550" s="229">
        <f t="shared" si="873"/>
        <v>12.75</v>
      </c>
      <c r="Y1550" s="229">
        <f t="shared" si="874"/>
        <v>0.02</v>
      </c>
      <c r="Z1550" s="229">
        <f t="shared" si="875"/>
        <v>110.19</v>
      </c>
      <c r="AA1550" s="230">
        <f t="shared" si="876"/>
        <v>-24160.19</v>
      </c>
      <c r="AB1550" s="231">
        <v>-24160</v>
      </c>
      <c r="AC1550" s="232">
        <f t="shared" si="877"/>
        <v>0.18999999999869033</v>
      </c>
      <c r="AD1550" s="233">
        <f t="shared" si="878"/>
        <v>-1</v>
      </c>
      <c r="AE1550" s="234">
        <f t="shared" si="879"/>
        <v>4.5820000000000001E-3</v>
      </c>
      <c r="AF1550" s="229"/>
      <c r="AG1550" s="235" t="s">
        <v>416</v>
      </c>
      <c r="AH1550" s="124"/>
    </row>
    <row r="1551" spans="1:34" ht="12" hidden="1" customHeight="1">
      <c r="A1551" s="220">
        <v>44739</v>
      </c>
      <c r="B1551" s="221" t="s">
        <v>801</v>
      </c>
      <c r="C1551" s="7" t="s">
        <v>485</v>
      </c>
      <c r="D1551" s="221" t="str">
        <f t="shared" ca="1" si="863"/>
        <v>Indices</v>
      </c>
      <c r="E1551" s="221" t="str">
        <f ca="1">IFERROR(__xludf.DUMMYFUNCTION("split(B1551,"" "")"),"NIFTY")</f>
        <v>NIFTY</v>
      </c>
      <c r="F1551" s="221" t="str">
        <f ca="1">IFERROR(__xludf.DUMMYFUNCTION("""COMPUTED_VALUE"""),"30!JUN")</f>
        <v>30!JUN</v>
      </c>
      <c r="G1551" s="221">
        <f ca="1">IFERROR(__xludf.DUMMYFUNCTION("""COMPUTED_VALUE"""),15900)</f>
        <v>15900</v>
      </c>
      <c r="H1551" s="221" t="str">
        <f ca="1">IFERROR(__xludf.DUMMYFUNCTION("""COMPUTED_VALUE"""),"CE")</f>
        <v>CE</v>
      </c>
      <c r="I1551" s="221" t="s">
        <v>4</v>
      </c>
      <c r="J1551" s="223">
        <v>50</v>
      </c>
      <c r="K1551" s="224">
        <v>1</v>
      </c>
      <c r="L1551" s="224">
        <v>1</v>
      </c>
      <c r="M1551" s="225">
        <f t="shared" si="864"/>
        <v>50</v>
      </c>
      <c r="N1551" s="226">
        <v>0</v>
      </c>
      <c r="O1551" s="227">
        <v>149</v>
      </c>
      <c r="P1551" s="228">
        <f t="shared" si="865"/>
        <v>0</v>
      </c>
      <c r="Q1551" s="228">
        <f t="shared" si="866"/>
        <v>7450</v>
      </c>
      <c r="R1551" s="229">
        <f t="shared" si="867"/>
        <v>7450</v>
      </c>
      <c r="S1551" s="229">
        <f t="shared" si="868"/>
        <v>7450</v>
      </c>
      <c r="T1551" s="229">
        <f t="shared" si="880"/>
        <v>20</v>
      </c>
      <c r="U1551" s="229">
        <f t="shared" si="870"/>
        <v>4.3099999999999996</v>
      </c>
      <c r="V1551" s="229">
        <f t="shared" si="871"/>
        <v>3.73</v>
      </c>
      <c r="W1551" s="229">
        <f t="shared" si="872"/>
        <v>0</v>
      </c>
      <c r="X1551" s="229">
        <f t="shared" si="873"/>
        <v>3.95</v>
      </c>
      <c r="Y1551" s="229">
        <f t="shared" si="874"/>
        <v>0.01</v>
      </c>
      <c r="Z1551" s="229">
        <f t="shared" si="875"/>
        <v>32</v>
      </c>
      <c r="AA1551" s="230">
        <f t="shared" si="876"/>
        <v>7418</v>
      </c>
      <c r="AB1551" s="231">
        <v>7418</v>
      </c>
      <c r="AC1551" s="232">
        <f t="shared" si="877"/>
        <v>0</v>
      </c>
      <c r="AD1551" s="233">
        <f t="shared" si="878"/>
        <v>0</v>
      </c>
      <c r="AE1551" s="234">
        <f t="shared" si="879"/>
        <v>4.2950000000000002E-3</v>
      </c>
      <c r="AF1551" s="229"/>
      <c r="AG1551" s="235" t="s">
        <v>416</v>
      </c>
      <c r="AH1551" s="124"/>
    </row>
    <row r="1552" spans="1:34" ht="12" hidden="1" customHeight="1">
      <c r="A1552" s="220">
        <v>44739</v>
      </c>
      <c r="B1552" s="221" t="s">
        <v>801</v>
      </c>
      <c r="C1552" s="7" t="s">
        <v>485</v>
      </c>
      <c r="D1552" s="221" t="str">
        <f t="shared" ca="1" si="863"/>
        <v>Indices</v>
      </c>
      <c r="E1552" s="221" t="str">
        <f ca="1">IFERROR(__xludf.DUMMYFUNCTION("split(B1552,"" "")"),"NIFTY")</f>
        <v>NIFTY</v>
      </c>
      <c r="F1552" s="221" t="str">
        <f ca="1">IFERROR(__xludf.DUMMYFUNCTION("""COMPUTED_VALUE"""),"30!JUN")</f>
        <v>30!JUN</v>
      </c>
      <c r="G1552" s="221">
        <f ca="1">IFERROR(__xludf.DUMMYFUNCTION("""COMPUTED_VALUE"""),15900)</f>
        <v>15900</v>
      </c>
      <c r="H1552" s="221" t="str">
        <f ca="1">IFERROR(__xludf.DUMMYFUNCTION("""COMPUTED_VALUE"""),"CE")</f>
        <v>CE</v>
      </c>
      <c r="I1552" s="221" t="s">
        <v>4</v>
      </c>
      <c r="J1552" s="223">
        <v>50</v>
      </c>
      <c r="K1552" s="224">
        <v>3</v>
      </c>
      <c r="L1552" s="224">
        <v>1</v>
      </c>
      <c r="M1552" s="225">
        <f t="shared" si="864"/>
        <v>150</v>
      </c>
      <c r="N1552" s="226">
        <v>0</v>
      </c>
      <c r="O1552" s="227">
        <v>136</v>
      </c>
      <c r="P1552" s="228">
        <f t="shared" si="865"/>
        <v>0</v>
      </c>
      <c r="Q1552" s="228">
        <f t="shared" si="866"/>
        <v>20400</v>
      </c>
      <c r="R1552" s="229">
        <f t="shared" si="867"/>
        <v>20400</v>
      </c>
      <c r="S1552" s="229">
        <f t="shared" si="868"/>
        <v>20400</v>
      </c>
      <c r="T1552" s="229">
        <f t="shared" si="880"/>
        <v>20</v>
      </c>
      <c r="U1552" s="229">
        <f t="shared" si="870"/>
        <v>5.55</v>
      </c>
      <c r="V1552" s="229">
        <f t="shared" si="871"/>
        <v>10.199999999999999</v>
      </c>
      <c r="W1552" s="229">
        <f t="shared" si="872"/>
        <v>0</v>
      </c>
      <c r="X1552" s="229">
        <f t="shared" si="873"/>
        <v>10.81</v>
      </c>
      <c r="Y1552" s="229">
        <f t="shared" si="874"/>
        <v>0.02</v>
      </c>
      <c r="Z1552" s="229">
        <f t="shared" si="875"/>
        <v>46.580000000000005</v>
      </c>
      <c r="AA1552" s="230">
        <f t="shared" si="876"/>
        <v>20353.419999999998</v>
      </c>
      <c r="AB1552" s="231">
        <v>20352.439999999999</v>
      </c>
      <c r="AC1552" s="232">
        <f t="shared" si="877"/>
        <v>-0.97999999999956344</v>
      </c>
      <c r="AD1552" s="233">
        <f t="shared" si="878"/>
        <v>0</v>
      </c>
      <c r="AE1552" s="234">
        <f t="shared" si="879"/>
        <v>2.2829999999999999E-3</v>
      </c>
      <c r="AF1552" s="229"/>
      <c r="AG1552" s="235" t="s">
        <v>416</v>
      </c>
      <c r="AH1552" s="124"/>
    </row>
    <row r="1553" spans="1:34" ht="12" hidden="1" customHeight="1">
      <c r="A1553" s="154">
        <v>44739</v>
      </c>
      <c r="B1553" s="221" t="s">
        <v>801</v>
      </c>
      <c r="C1553" s="7" t="s">
        <v>485</v>
      </c>
      <c r="D1553" s="221" t="str">
        <f t="shared" ca="1" si="863"/>
        <v>Indices</v>
      </c>
      <c r="E1553" s="221" t="str">
        <f ca="1">IFERROR(__xludf.DUMMYFUNCTION("split(B1553,"" "")"),"NIFTY")</f>
        <v>NIFTY</v>
      </c>
      <c r="F1553" s="221" t="str">
        <f ca="1">IFERROR(__xludf.DUMMYFUNCTION("""COMPUTED_VALUE"""),"30!JUN")</f>
        <v>30!JUN</v>
      </c>
      <c r="G1553" s="221">
        <f ca="1">IFERROR(__xludf.DUMMYFUNCTION("""COMPUTED_VALUE"""),15900)</f>
        <v>15900</v>
      </c>
      <c r="H1553" s="221" t="str">
        <f ca="1">IFERROR(__xludf.DUMMYFUNCTION("""COMPUTED_VALUE"""),"CE")</f>
        <v>CE</v>
      </c>
      <c r="I1553" s="221" t="s">
        <v>4</v>
      </c>
      <c r="J1553" s="223">
        <v>50</v>
      </c>
      <c r="K1553" s="224">
        <v>1</v>
      </c>
      <c r="L1553" s="224">
        <v>2</v>
      </c>
      <c r="M1553" s="225">
        <f t="shared" si="864"/>
        <v>100</v>
      </c>
      <c r="N1553" s="226">
        <v>105</v>
      </c>
      <c r="O1553" s="227">
        <v>0</v>
      </c>
      <c r="P1553" s="228">
        <f t="shared" si="865"/>
        <v>10500</v>
      </c>
      <c r="Q1553" s="228">
        <f t="shared" si="866"/>
        <v>0</v>
      </c>
      <c r="R1553" s="229">
        <f t="shared" si="867"/>
        <v>10500</v>
      </c>
      <c r="S1553" s="229">
        <f t="shared" si="868"/>
        <v>-10500</v>
      </c>
      <c r="T1553" s="229">
        <f t="shared" si="880"/>
        <v>40</v>
      </c>
      <c r="U1553" s="229">
        <f t="shared" si="870"/>
        <v>8.1999999999999993</v>
      </c>
      <c r="V1553" s="229">
        <f t="shared" si="871"/>
        <v>0</v>
      </c>
      <c r="W1553" s="229">
        <f t="shared" si="872"/>
        <v>0.32</v>
      </c>
      <c r="X1553" s="229">
        <f t="shared" si="873"/>
        <v>5.57</v>
      </c>
      <c r="Y1553" s="229">
        <f t="shared" si="874"/>
        <v>0.01</v>
      </c>
      <c r="Z1553" s="229">
        <f t="shared" si="875"/>
        <v>54.1</v>
      </c>
      <c r="AA1553" s="230">
        <f t="shared" si="876"/>
        <v>-10554.1</v>
      </c>
      <c r="AB1553" s="231">
        <v>-10554</v>
      </c>
      <c r="AC1553" s="232">
        <f t="shared" si="877"/>
        <v>0.1000000000003638</v>
      </c>
      <c r="AD1553" s="233">
        <f t="shared" si="878"/>
        <v>-1</v>
      </c>
      <c r="AE1553" s="234">
        <f t="shared" si="879"/>
        <v>5.1520000000000003E-3</v>
      </c>
      <c r="AF1553" s="229"/>
      <c r="AG1553" s="235" t="s">
        <v>416</v>
      </c>
      <c r="AH1553" s="124"/>
    </row>
    <row r="1554" spans="1:34" ht="12" hidden="1" customHeight="1">
      <c r="A1554" s="154">
        <v>44741</v>
      </c>
      <c r="B1554" s="221" t="s">
        <v>801</v>
      </c>
      <c r="C1554" s="7" t="s">
        <v>485</v>
      </c>
      <c r="D1554" s="221" t="str">
        <f t="shared" ca="1" si="863"/>
        <v>Indices</v>
      </c>
      <c r="E1554" s="221" t="str">
        <f ca="1">IFERROR(__xludf.DUMMYFUNCTION("split(B1554,"" "")"),"NIFTY")</f>
        <v>NIFTY</v>
      </c>
      <c r="F1554" s="221" t="str">
        <f ca="1">IFERROR(__xludf.DUMMYFUNCTION("""COMPUTED_VALUE"""),"30!JUN")</f>
        <v>30!JUN</v>
      </c>
      <c r="G1554" s="221">
        <f ca="1">IFERROR(__xludf.DUMMYFUNCTION("""COMPUTED_VALUE"""),15900)</f>
        <v>15900</v>
      </c>
      <c r="H1554" s="221" t="str">
        <f ca="1">IFERROR(__xludf.DUMMYFUNCTION("""COMPUTED_VALUE"""),"CE")</f>
        <v>CE</v>
      </c>
      <c r="I1554" s="221" t="s">
        <v>4</v>
      </c>
      <c r="J1554" s="223">
        <v>50</v>
      </c>
      <c r="K1554" s="224">
        <v>1</v>
      </c>
      <c r="L1554" s="224">
        <v>1</v>
      </c>
      <c r="M1554" s="225">
        <f t="shared" si="864"/>
        <v>50</v>
      </c>
      <c r="N1554" s="226">
        <v>35</v>
      </c>
      <c r="O1554" s="227">
        <v>0</v>
      </c>
      <c r="P1554" s="228">
        <f t="shared" si="865"/>
        <v>1750</v>
      </c>
      <c r="Q1554" s="228">
        <f t="shared" si="866"/>
        <v>0</v>
      </c>
      <c r="R1554" s="229">
        <f t="shared" si="867"/>
        <v>1750</v>
      </c>
      <c r="S1554" s="229">
        <f t="shared" si="868"/>
        <v>-1750</v>
      </c>
      <c r="T1554" s="229">
        <f t="shared" si="880"/>
        <v>20</v>
      </c>
      <c r="U1554" s="229">
        <f t="shared" si="870"/>
        <v>3.77</v>
      </c>
      <c r="V1554" s="229">
        <f t="shared" si="871"/>
        <v>0</v>
      </c>
      <c r="W1554" s="229">
        <f t="shared" si="872"/>
        <v>0.05</v>
      </c>
      <c r="X1554" s="229">
        <f t="shared" si="873"/>
        <v>0.93</v>
      </c>
      <c r="Y1554" s="229">
        <f t="shared" si="874"/>
        <v>0</v>
      </c>
      <c r="Z1554" s="229">
        <f t="shared" si="875"/>
        <v>24.75</v>
      </c>
      <c r="AA1554" s="230">
        <f t="shared" si="876"/>
        <v>-1774.75</v>
      </c>
      <c r="AB1554" s="231">
        <v>-1775</v>
      </c>
      <c r="AC1554" s="232">
        <f t="shared" si="877"/>
        <v>-0.25</v>
      </c>
      <c r="AD1554" s="233">
        <f t="shared" si="878"/>
        <v>-1</v>
      </c>
      <c r="AE1554" s="234">
        <f t="shared" si="879"/>
        <v>1.4142999999999999E-2</v>
      </c>
      <c r="AF1554" s="229"/>
      <c r="AG1554" s="235" t="s">
        <v>416</v>
      </c>
      <c r="AH1554" s="124"/>
    </row>
    <row r="1555" spans="1:34" ht="12" hidden="1" customHeight="1">
      <c r="A1555" s="155">
        <v>44741</v>
      </c>
      <c r="B1555" s="221" t="s">
        <v>801</v>
      </c>
      <c r="C1555" s="7" t="s">
        <v>485</v>
      </c>
      <c r="D1555" s="221" t="str">
        <f t="shared" ca="1" si="863"/>
        <v>Indices</v>
      </c>
      <c r="E1555" s="221" t="str">
        <f ca="1">IFERROR(__xludf.DUMMYFUNCTION("split(B1555,"" "")"),"NIFTY")</f>
        <v>NIFTY</v>
      </c>
      <c r="F1555" s="221" t="str">
        <f ca="1">IFERROR(__xludf.DUMMYFUNCTION("""COMPUTED_VALUE"""),"30!JUN")</f>
        <v>30!JUN</v>
      </c>
      <c r="G1555" s="221">
        <f ca="1">IFERROR(__xludf.DUMMYFUNCTION("""COMPUTED_VALUE"""),15900)</f>
        <v>15900</v>
      </c>
      <c r="H1555" s="221" t="str">
        <f ca="1">IFERROR(__xludf.DUMMYFUNCTION("""COMPUTED_VALUE"""),"CE")</f>
        <v>CE</v>
      </c>
      <c r="I1555" s="221" t="s">
        <v>4</v>
      </c>
      <c r="J1555" s="223">
        <v>50</v>
      </c>
      <c r="K1555" s="224">
        <v>3</v>
      </c>
      <c r="L1555" s="224">
        <v>1</v>
      </c>
      <c r="M1555" s="225">
        <f t="shared" si="864"/>
        <v>150</v>
      </c>
      <c r="N1555" s="226">
        <v>0</v>
      </c>
      <c r="O1555" s="227">
        <v>44</v>
      </c>
      <c r="P1555" s="228">
        <f t="shared" si="865"/>
        <v>0</v>
      </c>
      <c r="Q1555" s="228">
        <f t="shared" si="866"/>
        <v>6600</v>
      </c>
      <c r="R1555" s="229">
        <f t="shared" si="867"/>
        <v>6600</v>
      </c>
      <c r="S1555" s="229">
        <f t="shared" si="868"/>
        <v>6600</v>
      </c>
      <c r="T1555" s="229">
        <f t="shared" si="880"/>
        <v>20</v>
      </c>
      <c r="U1555" s="229">
        <f t="shared" si="870"/>
        <v>4.2300000000000004</v>
      </c>
      <c r="V1555" s="229">
        <f t="shared" si="871"/>
        <v>3.3</v>
      </c>
      <c r="W1555" s="229">
        <f t="shared" si="872"/>
        <v>0</v>
      </c>
      <c r="X1555" s="229">
        <f t="shared" si="873"/>
        <v>3.5</v>
      </c>
      <c r="Y1555" s="229">
        <f t="shared" si="874"/>
        <v>0.01</v>
      </c>
      <c r="Z1555" s="229">
        <f t="shared" si="875"/>
        <v>31.040000000000003</v>
      </c>
      <c r="AA1555" s="230">
        <f t="shared" si="876"/>
        <v>6568.96</v>
      </c>
      <c r="AB1555" s="231">
        <v>6569</v>
      </c>
      <c r="AC1555" s="232">
        <f t="shared" si="877"/>
        <v>3.999999999996362E-2</v>
      </c>
      <c r="AD1555" s="233">
        <f t="shared" si="878"/>
        <v>0</v>
      </c>
      <c r="AE1555" s="234">
        <f t="shared" si="879"/>
        <v>4.7029999999999997E-3</v>
      </c>
      <c r="AF1555" s="229"/>
      <c r="AG1555" s="235" t="s">
        <v>416</v>
      </c>
      <c r="AH1555" s="124"/>
    </row>
    <row r="1556" spans="1:34" ht="12" hidden="1" customHeight="1">
      <c r="A1556" s="154">
        <v>44739</v>
      </c>
      <c r="B1556" s="221" t="s">
        <v>802</v>
      </c>
      <c r="C1556" s="7" t="s">
        <v>485</v>
      </c>
      <c r="D1556" s="221" t="str">
        <f t="shared" ca="1" si="863"/>
        <v>Stocks</v>
      </c>
      <c r="E1556" s="221" t="str">
        <f ca="1">IFERROR(__xludf.DUMMYFUNCTION("split(B1556,"" "")"),"ASHOKLEY")</f>
        <v>ASHOKLEY</v>
      </c>
      <c r="F1556" s="221" t="str">
        <f ca="1">IFERROR(__xludf.DUMMYFUNCTION("""COMPUTED_VALUE"""),"30!JUN")</f>
        <v>30!JUN</v>
      </c>
      <c r="G1556" s="221">
        <f ca="1">IFERROR(__xludf.DUMMYFUNCTION("""COMPUTED_VALUE"""),140)</f>
        <v>140</v>
      </c>
      <c r="H1556" s="221" t="str">
        <f ca="1">IFERROR(__xludf.DUMMYFUNCTION("""COMPUTED_VALUE"""),"CE")</f>
        <v>CE</v>
      </c>
      <c r="I1556" s="221" t="s">
        <v>4</v>
      </c>
      <c r="J1556" s="223">
        <v>4500</v>
      </c>
      <c r="K1556" s="224">
        <v>1</v>
      </c>
      <c r="L1556" s="224">
        <v>1</v>
      </c>
      <c r="M1556" s="225">
        <f t="shared" si="864"/>
        <v>4500</v>
      </c>
      <c r="N1556" s="226">
        <v>4</v>
      </c>
      <c r="O1556" s="227">
        <v>0</v>
      </c>
      <c r="P1556" s="228">
        <f t="shared" si="865"/>
        <v>18000</v>
      </c>
      <c r="Q1556" s="228">
        <f t="shared" si="866"/>
        <v>0</v>
      </c>
      <c r="R1556" s="229">
        <f t="shared" si="867"/>
        <v>18000</v>
      </c>
      <c r="S1556" s="229">
        <f t="shared" si="868"/>
        <v>-18000</v>
      </c>
      <c r="T1556" s="229">
        <f t="shared" si="880"/>
        <v>20</v>
      </c>
      <c r="U1556" s="229">
        <f t="shared" si="870"/>
        <v>5.32</v>
      </c>
      <c r="V1556" s="229">
        <f t="shared" si="871"/>
        <v>0</v>
      </c>
      <c r="W1556" s="229">
        <f t="shared" si="872"/>
        <v>0.54</v>
      </c>
      <c r="X1556" s="229">
        <f t="shared" si="873"/>
        <v>9.5399999999999991</v>
      </c>
      <c r="Y1556" s="229">
        <f t="shared" si="874"/>
        <v>0.02</v>
      </c>
      <c r="Z1556" s="229">
        <f t="shared" si="875"/>
        <v>35.42</v>
      </c>
      <c r="AA1556" s="230">
        <f t="shared" si="876"/>
        <v>-18035.419999999998</v>
      </c>
      <c r="AB1556" s="231">
        <v>-18035</v>
      </c>
      <c r="AC1556" s="232">
        <f t="shared" si="877"/>
        <v>0.41999999999825377</v>
      </c>
      <c r="AD1556" s="233">
        <f t="shared" si="878"/>
        <v>-1</v>
      </c>
      <c r="AE1556" s="234">
        <f t="shared" si="879"/>
        <v>1.9680000000000001E-3</v>
      </c>
      <c r="AF1556" s="229"/>
      <c r="AG1556" s="235" t="s">
        <v>416</v>
      </c>
      <c r="AH1556" s="124"/>
    </row>
    <row r="1557" spans="1:34" ht="12" hidden="1" customHeight="1">
      <c r="A1557" s="155">
        <v>44740</v>
      </c>
      <c r="B1557" s="221" t="s">
        <v>802</v>
      </c>
      <c r="C1557" s="7" t="s">
        <v>485</v>
      </c>
      <c r="D1557" s="221" t="str">
        <f t="shared" ca="1" si="863"/>
        <v>Stocks</v>
      </c>
      <c r="E1557" s="221" t="str">
        <f ca="1">IFERROR(__xludf.DUMMYFUNCTION("split(B1557,"" "")"),"ASHOKLEY")</f>
        <v>ASHOKLEY</v>
      </c>
      <c r="F1557" s="221" t="str">
        <f ca="1">IFERROR(__xludf.DUMMYFUNCTION("""COMPUTED_VALUE"""),"30!JUN")</f>
        <v>30!JUN</v>
      </c>
      <c r="G1557" s="221">
        <f ca="1">IFERROR(__xludf.DUMMYFUNCTION("""COMPUTED_VALUE"""),140)</f>
        <v>140</v>
      </c>
      <c r="H1557" s="221" t="str">
        <f ca="1">IFERROR(__xludf.DUMMYFUNCTION("""COMPUTED_VALUE"""),"CE")</f>
        <v>CE</v>
      </c>
      <c r="I1557" s="221" t="s">
        <v>4</v>
      </c>
      <c r="J1557" s="223">
        <v>4500</v>
      </c>
      <c r="K1557" s="224">
        <v>1</v>
      </c>
      <c r="L1557" s="224">
        <v>1</v>
      </c>
      <c r="M1557" s="225">
        <f t="shared" si="864"/>
        <v>4500</v>
      </c>
      <c r="N1557" s="226">
        <v>0</v>
      </c>
      <c r="O1557" s="227">
        <v>2.5</v>
      </c>
      <c r="P1557" s="228">
        <f t="shared" si="865"/>
        <v>0</v>
      </c>
      <c r="Q1557" s="228">
        <f t="shared" si="866"/>
        <v>11250</v>
      </c>
      <c r="R1557" s="229">
        <f t="shared" si="867"/>
        <v>11250</v>
      </c>
      <c r="S1557" s="229">
        <f t="shared" si="868"/>
        <v>11250</v>
      </c>
      <c r="T1557" s="229">
        <f t="shared" si="880"/>
        <v>20</v>
      </c>
      <c r="U1557" s="229">
        <f t="shared" si="870"/>
        <v>4.67</v>
      </c>
      <c r="V1557" s="229">
        <f t="shared" si="871"/>
        <v>5.63</v>
      </c>
      <c r="W1557" s="229">
        <f t="shared" si="872"/>
        <v>0</v>
      </c>
      <c r="X1557" s="229">
        <f t="shared" si="873"/>
        <v>5.96</v>
      </c>
      <c r="Y1557" s="229">
        <f t="shared" si="874"/>
        <v>0.01</v>
      </c>
      <c r="Z1557" s="229">
        <f t="shared" si="875"/>
        <v>36.269999999999996</v>
      </c>
      <c r="AA1557" s="230">
        <f t="shared" si="876"/>
        <v>11213.73</v>
      </c>
      <c r="AB1557" s="231">
        <v>11213.39</v>
      </c>
      <c r="AC1557" s="232">
        <f t="shared" si="877"/>
        <v>-0.34000000000014552</v>
      </c>
      <c r="AD1557" s="233">
        <f t="shared" si="878"/>
        <v>0</v>
      </c>
      <c r="AE1557" s="234">
        <f t="shared" si="879"/>
        <v>3.2239999999999999E-3</v>
      </c>
      <c r="AF1557" s="229"/>
      <c r="AG1557" s="235" t="s">
        <v>416</v>
      </c>
      <c r="AH1557" s="124"/>
    </row>
    <row r="1558" spans="1:34" ht="12" hidden="1" customHeight="1">
      <c r="A1558" s="220">
        <v>44740</v>
      </c>
      <c r="B1558" s="221" t="s">
        <v>801</v>
      </c>
      <c r="C1558" s="7" t="s">
        <v>485</v>
      </c>
      <c r="D1558" s="221" t="str">
        <f t="shared" ca="1" si="863"/>
        <v>Indices</v>
      </c>
      <c r="E1558" s="221" t="str">
        <f ca="1">IFERROR(__xludf.DUMMYFUNCTION("split(B1558,"" "")"),"NIFTY")</f>
        <v>NIFTY</v>
      </c>
      <c r="F1558" s="221" t="str">
        <f ca="1">IFERROR(__xludf.DUMMYFUNCTION("""COMPUTED_VALUE"""),"30!JUN")</f>
        <v>30!JUN</v>
      </c>
      <c r="G1558" s="221">
        <f ca="1">IFERROR(__xludf.DUMMYFUNCTION("""COMPUTED_VALUE"""),15900)</f>
        <v>15900</v>
      </c>
      <c r="H1558" s="221" t="str">
        <f ca="1">IFERROR(__xludf.DUMMYFUNCTION("""COMPUTED_VALUE"""),"CE")</f>
        <v>CE</v>
      </c>
      <c r="I1558" s="221" t="s">
        <v>4</v>
      </c>
      <c r="J1558" s="223">
        <v>50</v>
      </c>
      <c r="K1558" s="224">
        <v>1</v>
      </c>
      <c r="L1558" s="224">
        <v>5</v>
      </c>
      <c r="M1558" s="225">
        <f t="shared" si="864"/>
        <v>250</v>
      </c>
      <c r="N1558" s="226">
        <v>57.07</v>
      </c>
      <c r="O1558" s="227">
        <v>63</v>
      </c>
      <c r="P1558" s="228">
        <f t="shared" si="865"/>
        <v>14267.5</v>
      </c>
      <c r="Q1558" s="228">
        <f t="shared" si="866"/>
        <v>15750</v>
      </c>
      <c r="R1558" s="229">
        <f t="shared" si="867"/>
        <v>30017.5</v>
      </c>
      <c r="S1558" s="229">
        <f t="shared" si="868"/>
        <v>1482.5</v>
      </c>
      <c r="T1558" s="229">
        <f t="shared" si="880"/>
        <v>200</v>
      </c>
      <c r="U1558" s="229">
        <f t="shared" si="870"/>
        <v>38.86</v>
      </c>
      <c r="V1558" s="229">
        <f t="shared" si="871"/>
        <v>7.88</v>
      </c>
      <c r="W1558" s="229">
        <f t="shared" si="872"/>
        <v>0.43</v>
      </c>
      <c r="X1558" s="229">
        <f t="shared" si="873"/>
        <v>15.91</v>
      </c>
      <c r="Y1558" s="229">
        <f t="shared" si="874"/>
        <v>0.03</v>
      </c>
      <c r="Z1558" s="229">
        <f t="shared" si="875"/>
        <v>263.11</v>
      </c>
      <c r="AA1558" s="230">
        <f t="shared" si="876"/>
        <v>1219.3900000000001</v>
      </c>
      <c r="AB1558" s="231">
        <v>1219.44</v>
      </c>
      <c r="AC1558" s="232">
        <f t="shared" si="877"/>
        <v>4.9999999999954525E-2</v>
      </c>
      <c r="AD1558" s="233">
        <f t="shared" si="878"/>
        <v>0.10390748203960049</v>
      </c>
      <c r="AE1558" s="234">
        <f t="shared" si="879"/>
        <v>8.7650000000000002E-3</v>
      </c>
      <c r="AF1558" s="229"/>
      <c r="AG1558" s="235" t="s">
        <v>416</v>
      </c>
      <c r="AH1558" s="124"/>
    </row>
    <row r="1559" spans="1:34" ht="12" hidden="1" customHeight="1">
      <c r="A1559" s="220">
        <v>44740</v>
      </c>
      <c r="B1559" s="221" t="s">
        <v>803</v>
      </c>
      <c r="C1559" s="7" t="s">
        <v>485</v>
      </c>
      <c r="D1559" s="221" t="str">
        <f t="shared" ca="1" si="863"/>
        <v>Stocks</v>
      </c>
      <c r="E1559" s="221" t="str">
        <f ca="1">IFERROR(__xludf.DUMMYFUNCTION("split(B1559,"" "")"),"VEDL")</f>
        <v>VEDL</v>
      </c>
      <c r="F1559" s="221" t="str">
        <f ca="1">IFERROR(__xludf.DUMMYFUNCTION("""COMPUTED_VALUE"""),"30!JUL")</f>
        <v>30!JUL</v>
      </c>
      <c r="G1559" s="221">
        <f ca="1">IFERROR(__xludf.DUMMYFUNCTION("""COMPUTED_VALUE"""),240)</f>
        <v>240</v>
      </c>
      <c r="H1559" s="221" t="str">
        <f ca="1">IFERROR(__xludf.DUMMYFUNCTION("""COMPUTED_VALUE"""),"CE")</f>
        <v>CE</v>
      </c>
      <c r="I1559" s="221" t="s">
        <v>4</v>
      </c>
      <c r="J1559" s="223">
        <v>1550</v>
      </c>
      <c r="K1559" s="224">
        <v>1</v>
      </c>
      <c r="L1559" s="224">
        <v>1</v>
      </c>
      <c r="M1559" s="225">
        <f t="shared" si="864"/>
        <v>1550</v>
      </c>
      <c r="N1559" s="226">
        <v>12</v>
      </c>
      <c r="O1559" s="227">
        <v>13.25</v>
      </c>
      <c r="P1559" s="228">
        <f t="shared" si="865"/>
        <v>18600</v>
      </c>
      <c r="Q1559" s="228">
        <f t="shared" si="866"/>
        <v>20537.5</v>
      </c>
      <c r="R1559" s="229">
        <f t="shared" si="867"/>
        <v>39137.5</v>
      </c>
      <c r="S1559" s="229">
        <f t="shared" si="868"/>
        <v>1937.5</v>
      </c>
      <c r="T1559" s="229">
        <f t="shared" si="880"/>
        <v>40</v>
      </c>
      <c r="U1559" s="229">
        <f t="shared" si="870"/>
        <v>10.93</v>
      </c>
      <c r="V1559" s="229">
        <f t="shared" si="871"/>
        <v>10.27</v>
      </c>
      <c r="W1559" s="229">
        <f t="shared" si="872"/>
        <v>0.56000000000000005</v>
      </c>
      <c r="X1559" s="229">
        <f t="shared" si="873"/>
        <v>20.74</v>
      </c>
      <c r="Y1559" s="229">
        <f t="shared" si="874"/>
        <v>0.04</v>
      </c>
      <c r="Z1559" s="229">
        <f t="shared" si="875"/>
        <v>82.54</v>
      </c>
      <c r="AA1559" s="230">
        <f t="shared" si="876"/>
        <v>1854.96</v>
      </c>
      <c r="AB1559" s="231">
        <v>1855</v>
      </c>
      <c r="AC1559" s="232">
        <f t="shared" si="877"/>
        <v>3.999999999996362E-2</v>
      </c>
      <c r="AD1559" s="233">
        <f t="shared" si="878"/>
        <v>0.10416666666666667</v>
      </c>
      <c r="AE1559" s="234">
        <f t="shared" si="879"/>
        <v>2.1090000000000002E-3</v>
      </c>
      <c r="AF1559" s="229"/>
      <c r="AG1559" s="235" t="s">
        <v>416</v>
      </c>
      <c r="AH1559" s="124"/>
    </row>
    <row r="1560" spans="1:34" ht="12" hidden="1" customHeight="1">
      <c r="A1560" s="220">
        <v>44741</v>
      </c>
      <c r="B1560" s="221" t="s">
        <v>804</v>
      </c>
      <c r="C1560" s="7" t="s">
        <v>485</v>
      </c>
      <c r="D1560" s="221" t="str">
        <f t="shared" ca="1" si="863"/>
        <v>Indices</v>
      </c>
      <c r="E1560" s="221" t="str">
        <f ca="1">IFERROR(__xludf.DUMMYFUNCTION("split(B1560,"" "")"),"NIFTY")</f>
        <v>NIFTY</v>
      </c>
      <c r="F1560" s="221" t="str">
        <f ca="1">IFERROR(__xludf.DUMMYFUNCTION("""COMPUTED_VALUE"""),"30!JUN")</f>
        <v>30!JUN</v>
      </c>
      <c r="G1560" s="221">
        <f ca="1">IFERROR(__xludf.DUMMYFUNCTION("""COMPUTED_VALUE"""),15800)</f>
        <v>15800</v>
      </c>
      <c r="H1560" s="221" t="str">
        <f ca="1">IFERROR(__xludf.DUMMYFUNCTION("""COMPUTED_VALUE"""),"PE")</f>
        <v>PE</v>
      </c>
      <c r="I1560" s="221" t="s">
        <v>4</v>
      </c>
      <c r="J1560" s="223">
        <v>50</v>
      </c>
      <c r="K1560" s="224">
        <v>1</v>
      </c>
      <c r="L1560" s="224">
        <v>5</v>
      </c>
      <c r="M1560" s="225">
        <f t="shared" si="864"/>
        <v>250</v>
      </c>
      <c r="N1560" s="226">
        <v>85</v>
      </c>
      <c r="O1560" s="227">
        <v>0</v>
      </c>
      <c r="P1560" s="228">
        <f t="shared" si="865"/>
        <v>21250</v>
      </c>
      <c r="Q1560" s="228">
        <f t="shared" si="866"/>
        <v>0</v>
      </c>
      <c r="R1560" s="229">
        <f t="shared" si="867"/>
        <v>21250</v>
      </c>
      <c r="S1560" s="229">
        <f t="shared" si="868"/>
        <v>-21250</v>
      </c>
      <c r="T1560" s="229">
        <f t="shared" si="880"/>
        <v>100</v>
      </c>
      <c r="U1560" s="229">
        <f t="shared" si="870"/>
        <v>20.03</v>
      </c>
      <c r="V1560" s="229">
        <f t="shared" si="871"/>
        <v>0</v>
      </c>
      <c r="W1560" s="229">
        <f t="shared" si="872"/>
        <v>0.64</v>
      </c>
      <c r="X1560" s="229">
        <f t="shared" si="873"/>
        <v>11.26</v>
      </c>
      <c r="Y1560" s="229">
        <f t="shared" si="874"/>
        <v>0.02</v>
      </c>
      <c r="Z1560" s="229">
        <f t="shared" si="875"/>
        <v>131.95000000000002</v>
      </c>
      <c r="AA1560" s="230">
        <f t="shared" si="876"/>
        <v>-21381.95</v>
      </c>
      <c r="AB1560" s="231">
        <v>-21382</v>
      </c>
      <c r="AC1560" s="232">
        <f t="shared" si="877"/>
        <v>-4.9999999999272404E-2</v>
      </c>
      <c r="AD1560" s="233">
        <f t="shared" si="878"/>
        <v>-1</v>
      </c>
      <c r="AE1560" s="234">
        <f t="shared" si="879"/>
        <v>6.2090000000000001E-3</v>
      </c>
      <c r="AF1560" s="229"/>
      <c r="AG1560" s="235" t="s">
        <v>416</v>
      </c>
      <c r="AH1560" s="124"/>
    </row>
    <row r="1561" spans="1:34" ht="12" hidden="1" customHeight="1">
      <c r="A1561" s="220">
        <v>44741</v>
      </c>
      <c r="B1561" s="221" t="s">
        <v>804</v>
      </c>
      <c r="C1561" s="7" t="s">
        <v>485</v>
      </c>
      <c r="D1561" s="221" t="str">
        <f t="shared" ca="1" si="863"/>
        <v>Indices</v>
      </c>
      <c r="E1561" s="221" t="str">
        <f ca="1">IFERROR(__xludf.DUMMYFUNCTION("split(B1561,"" "")"),"NIFTY")</f>
        <v>NIFTY</v>
      </c>
      <c r="F1561" s="221" t="str">
        <f ca="1">IFERROR(__xludf.DUMMYFUNCTION("""COMPUTED_VALUE"""),"30!JUN")</f>
        <v>30!JUN</v>
      </c>
      <c r="G1561" s="221">
        <f ca="1">IFERROR(__xludf.DUMMYFUNCTION("""COMPUTED_VALUE"""),15800)</f>
        <v>15800</v>
      </c>
      <c r="H1561" s="221" t="str">
        <f ca="1">IFERROR(__xludf.DUMMYFUNCTION("""COMPUTED_VALUE"""),"PE")</f>
        <v>PE</v>
      </c>
      <c r="I1561" s="221" t="s">
        <v>4</v>
      </c>
      <c r="J1561" s="223">
        <v>50</v>
      </c>
      <c r="K1561" s="224">
        <v>1</v>
      </c>
      <c r="L1561" s="224">
        <v>1</v>
      </c>
      <c r="M1561" s="225">
        <f t="shared" si="864"/>
        <v>50</v>
      </c>
      <c r="N1561" s="226">
        <v>0</v>
      </c>
      <c r="O1561" s="227">
        <v>88</v>
      </c>
      <c r="P1561" s="228">
        <f t="shared" si="865"/>
        <v>0</v>
      </c>
      <c r="Q1561" s="228">
        <f t="shared" si="866"/>
        <v>4400</v>
      </c>
      <c r="R1561" s="229">
        <f t="shared" si="867"/>
        <v>4400</v>
      </c>
      <c r="S1561" s="229">
        <f t="shared" si="868"/>
        <v>4400</v>
      </c>
      <c r="T1561" s="229">
        <f t="shared" si="880"/>
        <v>20</v>
      </c>
      <c r="U1561" s="229">
        <f t="shared" si="870"/>
        <v>4.0199999999999996</v>
      </c>
      <c r="V1561" s="229">
        <f t="shared" si="871"/>
        <v>2.2000000000000002</v>
      </c>
      <c r="W1561" s="229">
        <f t="shared" si="872"/>
        <v>0</v>
      </c>
      <c r="X1561" s="229">
        <f t="shared" si="873"/>
        <v>2.33</v>
      </c>
      <c r="Y1561" s="229">
        <f t="shared" si="874"/>
        <v>0</v>
      </c>
      <c r="Z1561" s="229">
        <f t="shared" si="875"/>
        <v>28.549999999999997</v>
      </c>
      <c r="AA1561" s="230">
        <f t="shared" si="876"/>
        <v>4371.45</v>
      </c>
      <c r="AB1561" s="231">
        <v>4371.74</v>
      </c>
      <c r="AC1561" s="232">
        <f t="shared" si="877"/>
        <v>0.28999999999996362</v>
      </c>
      <c r="AD1561" s="233">
        <f t="shared" si="878"/>
        <v>0</v>
      </c>
      <c r="AE1561" s="234">
        <f t="shared" si="879"/>
        <v>6.489E-3</v>
      </c>
      <c r="AF1561" s="229"/>
      <c r="AG1561" s="235" t="s">
        <v>416</v>
      </c>
      <c r="AH1561" s="124"/>
    </row>
    <row r="1562" spans="1:34" ht="12" hidden="1" customHeight="1">
      <c r="A1562" s="220">
        <v>44741</v>
      </c>
      <c r="B1562" s="221" t="s">
        <v>804</v>
      </c>
      <c r="C1562" s="7" t="s">
        <v>485</v>
      </c>
      <c r="D1562" s="221" t="str">
        <f t="shared" ca="1" si="863"/>
        <v>Indices</v>
      </c>
      <c r="E1562" s="221" t="str">
        <f ca="1">IFERROR(__xludf.DUMMYFUNCTION("split(B1562,"" "")"),"NIFTY")</f>
        <v>NIFTY</v>
      </c>
      <c r="F1562" s="221" t="str">
        <f ca="1">IFERROR(__xludf.DUMMYFUNCTION("""COMPUTED_VALUE"""),"30!JUN")</f>
        <v>30!JUN</v>
      </c>
      <c r="G1562" s="221">
        <f ca="1">IFERROR(__xludf.DUMMYFUNCTION("""COMPUTED_VALUE"""),15800)</f>
        <v>15800</v>
      </c>
      <c r="H1562" s="221" t="str">
        <f ca="1">IFERROR(__xludf.DUMMYFUNCTION("""COMPUTED_VALUE"""),"PE")</f>
        <v>PE</v>
      </c>
      <c r="I1562" s="221" t="s">
        <v>4</v>
      </c>
      <c r="J1562" s="223">
        <v>50</v>
      </c>
      <c r="K1562" s="224">
        <v>2</v>
      </c>
      <c r="L1562" s="224">
        <v>2</v>
      </c>
      <c r="M1562" s="225">
        <f t="shared" si="864"/>
        <v>200</v>
      </c>
      <c r="N1562" s="226">
        <v>0</v>
      </c>
      <c r="O1562" s="227">
        <v>85.5</v>
      </c>
      <c r="P1562" s="228">
        <f t="shared" si="865"/>
        <v>0</v>
      </c>
      <c r="Q1562" s="228">
        <f t="shared" si="866"/>
        <v>17100</v>
      </c>
      <c r="R1562" s="229">
        <f t="shared" si="867"/>
        <v>17100</v>
      </c>
      <c r="S1562" s="229">
        <f t="shared" si="868"/>
        <v>17100</v>
      </c>
      <c r="T1562" s="229">
        <f t="shared" si="880"/>
        <v>40</v>
      </c>
      <c r="U1562" s="229">
        <f t="shared" si="870"/>
        <v>8.83</v>
      </c>
      <c r="V1562" s="229">
        <f t="shared" si="871"/>
        <v>8.5500000000000007</v>
      </c>
      <c r="W1562" s="229">
        <f t="shared" si="872"/>
        <v>0</v>
      </c>
      <c r="X1562" s="229">
        <f t="shared" si="873"/>
        <v>9.06</v>
      </c>
      <c r="Y1562" s="229">
        <f t="shared" si="874"/>
        <v>0.02</v>
      </c>
      <c r="Z1562" s="229">
        <f t="shared" si="875"/>
        <v>66.459999999999994</v>
      </c>
      <c r="AA1562" s="230">
        <f t="shared" si="876"/>
        <v>17033.54</v>
      </c>
      <c r="AB1562" s="231">
        <v>17034</v>
      </c>
      <c r="AC1562" s="232">
        <f t="shared" si="877"/>
        <v>0.45999999999912689</v>
      </c>
      <c r="AD1562" s="233">
        <f t="shared" si="878"/>
        <v>0</v>
      </c>
      <c r="AE1562" s="234">
        <f t="shared" si="879"/>
        <v>3.8869999999999998E-3</v>
      </c>
      <c r="AF1562" s="229"/>
      <c r="AG1562" s="235" t="s">
        <v>416</v>
      </c>
      <c r="AH1562" s="124"/>
    </row>
    <row r="1563" spans="1:34" ht="12" hidden="1" customHeight="1">
      <c r="A1563" s="220">
        <v>44742</v>
      </c>
      <c r="B1563" s="221" t="s">
        <v>805</v>
      </c>
      <c r="C1563" s="7" t="s">
        <v>485</v>
      </c>
      <c r="D1563" s="221" t="str">
        <f t="shared" ca="1" si="863"/>
        <v>Indices</v>
      </c>
      <c r="E1563" s="221" t="str">
        <f ca="1">IFERROR(__xludf.DUMMYFUNCTION("split(B1563,"" "")"),"NIFTY")</f>
        <v>NIFTY</v>
      </c>
      <c r="F1563" s="222" t="str">
        <f ca="1">IFERROR(__xludf.DUMMYFUNCTION("""COMPUTED_VALUE"""),"07!JUN")</f>
        <v>07!JUN</v>
      </c>
      <c r="G1563" s="221">
        <f ca="1">IFERROR(__xludf.DUMMYFUNCTION("""COMPUTED_VALUE"""),15750)</f>
        <v>15750</v>
      </c>
      <c r="H1563" s="221" t="str">
        <f ca="1">IFERROR(__xludf.DUMMYFUNCTION("""COMPUTED_VALUE"""),"CE")</f>
        <v>CE</v>
      </c>
      <c r="I1563" s="221" t="s">
        <v>4</v>
      </c>
      <c r="J1563" s="223">
        <v>50</v>
      </c>
      <c r="K1563" s="224">
        <v>1</v>
      </c>
      <c r="L1563" s="224">
        <v>4</v>
      </c>
      <c r="M1563" s="225">
        <f t="shared" si="864"/>
        <v>200</v>
      </c>
      <c r="N1563" s="226">
        <v>196.65</v>
      </c>
      <c r="O1563" s="227">
        <v>210.25</v>
      </c>
      <c r="P1563" s="228">
        <f t="shared" si="865"/>
        <v>39330</v>
      </c>
      <c r="Q1563" s="228">
        <f t="shared" si="866"/>
        <v>42050</v>
      </c>
      <c r="R1563" s="229">
        <f t="shared" si="867"/>
        <v>81380</v>
      </c>
      <c r="S1563" s="229">
        <f t="shared" si="868"/>
        <v>2719.9999999999991</v>
      </c>
      <c r="T1563" s="229">
        <f t="shared" si="880"/>
        <v>160</v>
      </c>
      <c r="U1563" s="229">
        <f t="shared" si="870"/>
        <v>36.56</v>
      </c>
      <c r="V1563" s="229">
        <f t="shared" si="871"/>
        <v>21.03</v>
      </c>
      <c r="W1563" s="229">
        <f t="shared" si="872"/>
        <v>1.18</v>
      </c>
      <c r="X1563" s="229">
        <f t="shared" si="873"/>
        <v>43.13</v>
      </c>
      <c r="Y1563" s="229">
        <f t="shared" si="874"/>
        <v>0.08</v>
      </c>
      <c r="Z1563" s="229">
        <f t="shared" si="875"/>
        <v>261.98</v>
      </c>
      <c r="AA1563" s="230">
        <f t="shared" si="876"/>
        <v>2458.02</v>
      </c>
      <c r="AB1563" s="231">
        <v>2457.96</v>
      </c>
      <c r="AC1563" s="232">
        <f t="shared" si="877"/>
        <v>-5.999999999994543E-2</v>
      </c>
      <c r="AD1563" s="233">
        <f t="shared" si="878"/>
        <v>6.9158403254513057E-2</v>
      </c>
      <c r="AE1563" s="234">
        <f t="shared" si="879"/>
        <v>3.2190000000000001E-3</v>
      </c>
      <c r="AF1563" s="229"/>
      <c r="AG1563" s="235" t="s">
        <v>416</v>
      </c>
      <c r="AH1563" s="124"/>
    </row>
    <row r="1564" spans="1:34" ht="12" hidden="1" customHeight="1">
      <c r="A1564" s="154">
        <v>44742</v>
      </c>
      <c r="B1564" s="221" t="s">
        <v>805</v>
      </c>
      <c r="C1564" s="7" t="s">
        <v>485</v>
      </c>
      <c r="D1564" s="221" t="str">
        <f t="shared" ca="1" si="863"/>
        <v>Indices</v>
      </c>
      <c r="E1564" s="221" t="str">
        <f ca="1">IFERROR(__xludf.DUMMYFUNCTION("split(B1564,"" "")"),"NIFTY")</f>
        <v>NIFTY</v>
      </c>
      <c r="F1564" s="222" t="str">
        <f ca="1">IFERROR(__xludf.DUMMYFUNCTION("""COMPUTED_VALUE"""),"07!JUN")</f>
        <v>07!JUN</v>
      </c>
      <c r="G1564" s="221">
        <f ca="1">IFERROR(__xludf.DUMMYFUNCTION("""COMPUTED_VALUE"""),15750)</f>
        <v>15750</v>
      </c>
      <c r="H1564" s="221" t="str">
        <f ca="1">IFERROR(__xludf.DUMMYFUNCTION("""COMPUTED_VALUE"""),"CE")</f>
        <v>CE</v>
      </c>
      <c r="I1564" s="221" t="s">
        <v>4</v>
      </c>
      <c r="J1564" s="223">
        <v>50</v>
      </c>
      <c r="K1564" s="224">
        <v>1</v>
      </c>
      <c r="L1564" s="224">
        <v>2</v>
      </c>
      <c r="M1564" s="225">
        <f t="shared" si="864"/>
        <v>100</v>
      </c>
      <c r="N1564" s="226">
        <v>191.25</v>
      </c>
      <c r="O1564" s="227">
        <v>0</v>
      </c>
      <c r="P1564" s="228">
        <f t="shared" si="865"/>
        <v>19125</v>
      </c>
      <c r="Q1564" s="228">
        <f t="shared" si="866"/>
        <v>0</v>
      </c>
      <c r="R1564" s="229">
        <f t="shared" si="867"/>
        <v>19125</v>
      </c>
      <c r="S1564" s="229">
        <f t="shared" si="868"/>
        <v>-19125</v>
      </c>
      <c r="T1564" s="229">
        <f t="shared" si="880"/>
        <v>40</v>
      </c>
      <c r="U1564" s="229">
        <f t="shared" si="870"/>
        <v>9.0299999999999994</v>
      </c>
      <c r="V1564" s="229">
        <f t="shared" si="871"/>
        <v>0</v>
      </c>
      <c r="W1564" s="229">
        <f t="shared" si="872"/>
        <v>0.56999999999999995</v>
      </c>
      <c r="X1564" s="229">
        <f t="shared" si="873"/>
        <v>10.14</v>
      </c>
      <c r="Y1564" s="229">
        <f t="shared" si="874"/>
        <v>0.02</v>
      </c>
      <c r="Z1564" s="229">
        <f t="shared" si="875"/>
        <v>59.760000000000005</v>
      </c>
      <c r="AA1564" s="230">
        <f t="shared" si="876"/>
        <v>-19184.759999999998</v>
      </c>
      <c r="AB1564" s="231">
        <v>-19185</v>
      </c>
      <c r="AC1564" s="232">
        <f t="shared" si="877"/>
        <v>-0.24000000000160071</v>
      </c>
      <c r="AD1564" s="233">
        <f t="shared" si="878"/>
        <v>-1</v>
      </c>
      <c r="AE1564" s="234">
        <f t="shared" si="879"/>
        <v>3.1250000000000002E-3</v>
      </c>
      <c r="AF1564" s="229"/>
      <c r="AG1564" s="235" t="s">
        <v>416</v>
      </c>
      <c r="AH1564" s="124"/>
    </row>
    <row r="1565" spans="1:34" ht="12" hidden="1" customHeight="1">
      <c r="A1565" s="155">
        <v>44743</v>
      </c>
      <c r="B1565" s="221" t="s">
        <v>805</v>
      </c>
      <c r="C1565" s="7" t="s">
        <v>485</v>
      </c>
      <c r="D1565" s="221" t="str">
        <f t="shared" ca="1" si="863"/>
        <v>Indices</v>
      </c>
      <c r="E1565" s="221" t="str">
        <f ca="1">IFERROR(__xludf.DUMMYFUNCTION("split(B1565,"" "")"),"NIFTY")</f>
        <v>NIFTY</v>
      </c>
      <c r="F1565" s="222" t="str">
        <f ca="1">IFERROR(__xludf.DUMMYFUNCTION("""COMPUTED_VALUE"""),"07!JUN")</f>
        <v>07!JUN</v>
      </c>
      <c r="G1565" s="221">
        <f ca="1">IFERROR(__xludf.DUMMYFUNCTION("""COMPUTED_VALUE"""),15750)</f>
        <v>15750</v>
      </c>
      <c r="H1565" s="221" t="str">
        <f ca="1">IFERROR(__xludf.DUMMYFUNCTION("""COMPUTED_VALUE"""),"CE")</f>
        <v>CE</v>
      </c>
      <c r="I1565" s="221" t="s">
        <v>4</v>
      </c>
      <c r="J1565" s="223">
        <v>50</v>
      </c>
      <c r="K1565" s="224">
        <v>1</v>
      </c>
      <c r="L1565" s="224">
        <v>2</v>
      </c>
      <c r="M1565" s="225">
        <f t="shared" si="864"/>
        <v>100</v>
      </c>
      <c r="N1565" s="226">
        <v>0</v>
      </c>
      <c r="O1565" s="227">
        <v>135.5</v>
      </c>
      <c r="P1565" s="228">
        <f t="shared" si="865"/>
        <v>0</v>
      </c>
      <c r="Q1565" s="228">
        <f t="shared" si="866"/>
        <v>13550</v>
      </c>
      <c r="R1565" s="229">
        <f t="shared" si="867"/>
        <v>13550</v>
      </c>
      <c r="S1565" s="229">
        <f t="shared" si="868"/>
        <v>13550</v>
      </c>
      <c r="T1565" s="229">
        <f t="shared" si="880"/>
        <v>40</v>
      </c>
      <c r="U1565" s="229">
        <f t="shared" si="870"/>
        <v>8.49</v>
      </c>
      <c r="V1565" s="229">
        <f t="shared" si="871"/>
        <v>6.78</v>
      </c>
      <c r="W1565" s="229">
        <f t="shared" si="872"/>
        <v>0</v>
      </c>
      <c r="X1565" s="229">
        <f t="shared" si="873"/>
        <v>7.18</v>
      </c>
      <c r="Y1565" s="229">
        <f t="shared" si="874"/>
        <v>0.01</v>
      </c>
      <c r="Z1565" s="229">
        <f t="shared" si="875"/>
        <v>62.46</v>
      </c>
      <c r="AA1565" s="230">
        <f t="shared" si="876"/>
        <v>13487.54</v>
      </c>
      <c r="AB1565" s="231">
        <v>13487.31</v>
      </c>
      <c r="AC1565" s="232">
        <f t="shared" si="877"/>
        <v>-0.23000000000138243</v>
      </c>
      <c r="AD1565" s="233">
        <f t="shared" si="878"/>
        <v>0</v>
      </c>
      <c r="AE1565" s="234">
        <f t="shared" si="879"/>
        <v>4.6100000000000004E-3</v>
      </c>
      <c r="AF1565" s="229"/>
      <c r="AG1565" s="235" t="s">
        <v>416</v>
      </c>
      <c r="AH1565" s="124"/>
    </row>
    <row r="1566" spans="1:34" ht="12" hidden="1" customHeight="1">
      <c r="A1566" s="154">
        <v>44742</v>
      </c>
      <c r="B1566" s="221" t="s">
        <v>805</v>
      </c>
      <c r="C1566" s="7" t="s">
        <v>485</v>
      </c>
      <c r="D1566" s="221" t="str">
        <f t="shared" ca="1" si="863"/>
        <v>Indices</v>
      </c>
      <c r="E1566" s="221" t="str">
        <f ca="1">IFERROR(__xludf.DUMMYFUNCTION("split(B1566,"" "")"),"NIFTY")</f>
        <v>NIFTY</v>
      </c>
      <c r="F1566" s="222" t="str">
        <f ca="1">IFERROR(__xludf.DUMMYFUNCTION("""COMPUTED_VALUE"""),"07!JUN")</f>
        <v>07!JUN</v>
      </c>
      <c r="G1566" s="221">
        <f ca="1">IFERROR(__xludf.DUMMYFUNCTION("""COMPUTED_VALUE"""),15750)</f>
        <v>15750</v>
      </c>
      <c r="H1566" s="221" t="str">
        <f ca="1">IFERROR(__xludf.DUMMYFUNCTION("""COMPUTED_VALUE"""),"CE")</f>
        <v>CE</v>
      </c>
      <c r="I1566" s="221" t="s">
        <v>4</v>
      </c>
      <c r="J1566" s="223">
        <v>50</v>
      </c>
      <c r="K1566" s="224">
        <v>1</v>
      </c>
      <c r="L1566" s="224">
        <v>1</v>
      </c>
      <c r="M1566" s="225">
        <f t="shared" si="864"/>
        <v>50</v>
      </c>
      <c r="N1566" s="226">
        <v>239</v>
      </c>
      <c r="O1566" s="227">
        <v>0</v>
      </c>
      <c r="P1566" s="228">
        <f t="shared" si="865"/>
        <v>11950</v>
      </c>
      <c r="Q1566" s="228">
        <f t="shared" si="866"/>
        <v>0</v>
      </c>
      <c r="R1566" s="229">
        <f t="shared" si="867"/>
        <v>11950</v>
      </c>
      <c r="S1566" s="229">
        <f t="shared" si="868"/>
        <v>-11950</v>
      </c>
      <c r="T1566" s="229">
        <f t="shared" si="880"/>
        <v>20</v>
      </c>
      <c r="U1566" s="229">
        <f t="shared" si="870"/>
        <v>4.74</v>
      </c>
      <c r="V1566" s="229">
        <f t="shared" si="871"/>
        <v>0</v>
      </c>
      <c r="W1566" s="229">
        <f t="shared" si="872"/>
        <v>0.36</v>
      </c>
      <c r="X1566" s="229">
        <f t="shared" si="873"/>
        <v>6.33</v>
      </c>
      <c r="Y1566" s="229">
        <f t="shared" si="874"/>
        <v>0.01</v>
      </c>
      <c r="Z1566" s="229">
        <f t="shared" si="875"/>
        <v>31.44</v>
      </c>
      <c r="AA1566" s="230">
        <f t="shared" si="876"/>
        <v>-11981.44</v>
      </c>
      <c r="AB1566" s="231">
        <v>-11981</v>
      </c>
      <c r="AC1566" s="232">
        <f t="shared" si="877"/>
        <v>0.44000000000050932</v>
      </c>
      <c r="AD1566" s="233">
        <f t="shared" si="878"/>
        <v>-1</v>
      </c>
      <c r="AE1566" s="234">
        <f t="shared" si="879"/>
        <v>2.6310000000000001E-3</v>
      </c>
      <c r="AF1566" s="229"/>
      <c r="AG1566" s="235" t="s">
        <v>416</v>
      </c>
      <c r="AH1566" s="124"/>
    </row>
    <row r="1567" spans="1:34" ht="12" hidden="1" customHeight="1">
      <c r="A1567" s="155">
        <v>44747</v>
      </c>
      <c r="B1567" s="221" t="s">
        <v>805</v>
      </c>
      <c r="C1567" s="7" t="s">
        <v>485</v>
      </c>
      <c r="D1567" s="221" t="str">
        <f t="shared" ca="1" si="863"/>
        <v>Indices</v>
      </c>
      <c r="E1567" s="221" t="str">
        <f ca="1">IFERROR(__xludf.DUMMYFUNCTION("split(B1567,"" "")"),"NIFTY")</f>
        <v>NIFTY</v>
      </c>
      <c r="F1567" s="222" t="str">
        <f ca="1">IFERROR(__xludf.DUMMYFUNCTION("""COMPUTED_VALUE"""),"07!JUN")</f>
        <v>07!JUN</v>
      </c>
      <c r="G1567" s="221">
        <f ca="1">IFERROR(__xludf.DUMMYFUNCTION("""COMPUTED_VALUE"""),15750)</f>
        <v>15750</v>
      </c>
      <c r="H1567" s="221" t="str">
        <f ca="1">IFERROR(__xludf.DUMMYFUNCTION("""COMPUTED_VALUE"""),"CE")</f>
        <v>CE</v>
      </c>
      <c r="I1567" s="221" t="s">
        <v>4</v>
      </c>
      <c r="J1567" s="223">
        <v>50</v>
      </c>
      <c r="K1567" s="224">
        <v>1</v>
      </c>
      <c r="L1567" s="224">
        <v>1</v>
      </c>
      <c r="M1567" s="225">
        <f t="shared" si="864"/>
        <v>50</v>
      </c>
      <c r="N1567" s="226">
        <v>0</v>
      </c>
      <c r="O1567" s="227">
        <v>220</v>
      </c>
      <c r="P1567" s="228">
        <f t="shared" si="865"/>
        <v>0</v>
      </c>
      <c r="Q1567" s="228">
        <f t="shared" si="866"/>
        <v>11000</v>
      </c>
      <c r="R1567" s="229">
        <f t="shared" si="867"/>
        <v>11000</v>
      </c>
      <c r="S1567" s="229">
        <f t="shared" si="868"/>
        <v>11000</v>
      </c>
      <c r="T1567" s="229">
        <f t="shared" si="880"/>
        <v>20</v>
      </c>
      <c r="U1567" s="229">
        <f t="shared" si="870"/>
        <v>4.6500000000000004</v>
      </c>
      <c r="V1567" s="229">
        <f t="shared" si="871"/>
        <v>5.5</v>
      </c>
      <c r="W1567" s="229">
        <f t="shared" si="872"/>
        <v>0</v>
      </c>
      <c r="X1567" s="229">
        <f t="shared" si="873"/>
        <v>5.83</v>
      </c>
      <c r="Y1567" s="229">
        <f t="shared" si="874"/>
        <v>0.01</v>
      </c>
      <c r="Z1567" s="229">
        <f t="shared" si="875"/>
        <v>35.989999999999995</v>
      </c>
      <c r="AA1567" s="230">
        <f t="shared" si="876"/>
        <v>10964.01</v>
      </c>
      <c r="AB1567" s="231">
        <v>10964</v>
      </c>
      <c r="AC1567" s="232">
        <f t="shared" si="877"/>
        <v>-1.0000000000218279E-2</v>
      </c>
      <c r="AD1567" s="233">
        <f t="shared" si="878"/>
        <v>0</v>
      </c>
      <c r="AE1567" s="234">
        <f t="shared" si="879"/>
        <v>3.2720000000000002E-3</v>
      </c>
      <c r="AF1567" s="229"/>
      <c r="AG1567" s="235" t="s">
        <v>416</v>
      </c>
      <c r="AH1567" s="124"/>
    </row>
    <row r="1568" spans="1:34" ht="12" hidden="1" customHeight="1">
      <c r="A1568" s="220">
        <v>44746</v>
      </c>
      <c r="B1568" s="221" t="s">
        <v>806</v>
      </c>
      <c r="C1568" s="7" t="s">
        <v>485</v>
      </c>
      <c r="D1568" s="221" t="str">
        <f t="shared" ca="1" si="863"/>
        <v>Stocks</v>
      </c>
      <c r="E1568" s="221" t="str">
        <f ca="1">IFERROR(__xludf.DUMMYFUNCTION("split(B1568,"" "")"),"SUNPHARMA")</f>
        <v>SUNPHARMA</v>
      </c>
      <c r="F1568" s="222" t="str">
        <f ca="1">IFERROR(__xludf.DUMMYFUNCTION("""COMPUTED_VALUE"""),"28!JUL")</f>
        <v>28!JUL</v>
      </c>
      <c r="G1568" s="221">
        <f ca="1">IFERROR(__xludf.DUMMYFUNCTION("""COMPUTED_VALUE"""),830)</f>
        <v>830</v>
      </c>
      <c r="H1568" s="221" t="str">
        <f ca="1">IFERROR(__xludf.DUMMYFUNCTION("""COMPUTED_VALUE"""),"PE")</f>
        <v>PE</v>
      </c>
      <c r="I1568" s="221" t="s">
        <v>4</v>
      </c>
      <c r="J1568" s="223">
        <v>700</v>
      </c>
      <c r="K1568" s="224">
        <v>1</v>
      </c>
      <c r="L1568" s="224">
        <v>1</v>
      </c>
      <c r="M1568" s="225">
        <f t="shared" si="864"/>
        <v>700</v>
      </c>
      <c r="N1568" s="226">
        <v>20.25</v>
      </c>
      <c r="O1568" s="227">
        <v>22</v>
      </c>
      <c r="P1568" s="228">
        <f t="shared" si="865"/>
        <v>14175</v>
      </c>
      <c r="Q1568" s="228">
        <f t="shared" si="866"/>
        <v>15400</v>
      </c>
      <c r="R1568" s="229">
        <f t="shared" si="867"/>
        <v>29575</v>
      </c>
      <c r="S1568" s="229">
        <f t="shared" si="868"/>
        <v>1225</v>
      </c>
      <c r="T1568" s="229">
        <f t="shared" si="880"/>
        <v>40</v>
      </c>
      <c r="U1568" s="229">
        <f t="shared" si="870"/>
        <v>10.02</v>
      </c>
      <c r="V1568" s="229">
        <f t="shared" si="871"/>
        <v>7.7</v>
      </c>
      <c r="W1568" s="229">
        <f t="shared" si="872"/>
        <v>0.43</v>
      </c>
      <c r="X1568" s="229">
        <f t="shared" si="873"/>
        <v>15.67</v>
      </c>
      <c r="Y1568" s="229">
        <f t="shared" si="874"/>
        <v>0.03</v>
      </c>
      <c r="Z1568" s="229">
        <f t="shared" si="875"/>
        <v>73.849999999999994</v>
      </c>
      <c r="AA1568" s="230">
        <f t="shared" si="876"/>
        <v>1151.1500000000001</v>
      </c>
      <c r="AB1568" s="231">
        <v>1151.27</v>
      </c>
      <c r="AC1568" s="232">
        <f t="shared" si="877"/>
        <v>0.11999999999989086</v>
      </c>
      <c r="AD1568" s="233">
        <f t="shared" si="878"/>
        <v>8.6419753086419748E-2</v>
      </c>
      <c r="AE1568" s="234">
        <f t="shared" si="879"/>
        <v>2.4970000000000001E-3</v>
      </c>
      <c r="AF1568" s="229"/>
      <c r="AG1568" s="235" t="s">
        <v>416</v>
      </c>
      <c r="AH1568" s="124"/>
    </row>
    <row r="1569" spans="1:34" ht="12" hidden="1" customHeight="1">
      <c r="A1569" s="220">
        <v>44747</v>
      </c>
      <c r="B1569" s="221" t="s">
        <v>807</v>
      </c>
      <c r="C1569" s="7" t="s">
        <v>485</v>
      </c>
      <c r="D1569" s="221" t="str">
        <f t="shared" ca="1" si="863"/>
        <v>Indices</v>
      </c>
      <c r="E1569" s="221" t="str">
        <f ca="1">IFERROR(__xludf.DUMMYFUNCTION("split(B1569,"" "")"),"NIFTY")</f>
        <v>NIFTY</v>
      </c>
      <c r="F1569" s="222" t="str">
        <f ca="1">IFERROR(__xludf.DUMMYFUNCTION("""COMPUTED_VALUE"""),"07!JUN")</f>
        <v>07!JUN</v>
      </c>
      <c r="G1569" s="221">
        <f ca="1">IFERROR(__xludf.DUMMYFUNCTION("""COMPUTED_VALUE"""),15750)</f>
        <v>15750</v>
      </c>
      <c r="H1569" s="221" t="str">
        <f ca="1">IFERROR(__xludf.DUMMYFUNCTION("""COMPUTED_VALUE"""),"PE")</f>
        <v>PE</v>
      </c>
      <c r="I1569" s="221" t="s">
        <v>4</v>
      </c>
      <c r="J1569" s="223">
        <v>50</v>
      </c>
      <c r="K1569" s="224">
        <v>1</v>
      </c>
      <c r="L1569" s="224">
        <v>1</v>
      </c>
      <c r="M1569" s="225">
        <f t="shared" si="864"/>
        <v>50</v>
      </c>
      <c r="N1569" s="226">
        <v>36.25</v>
      </c>
      <c r="O1569" s="227">
        <v>39.25</v>
      </c>
      <c r="P1569" s="228">
        <f t="shared" si="865"/>
        <v>1812.5</v>
      </c>
      <c r="Q1569" s="228">
        <f t="shared" si="866"/>
        <v>1962.5</v>
      </c>
      <c r="R1569" s="229">
        <f t="shared" si="867"/>
        <v>3775</v>
      </c>
      <c r="S1569" s="229">
        <f t="shared" si="868"/>
        <v>150</v>
      </c>
      <c r="T1569" s="229">
        <f t="shared" si="880"/>
        <v>40</v>
      </c>
      <c r="U1569" s="229">
        <f t="shared" si="870"/>
        <v>7.56</v>
      </c>
      <c r="V1569" s="229">
        <f t="shared" si="871"/>
        <v>0.98</v>
      </c>
      <c r="W1569" s="229">
        <f t="shared" si="872"/>
        <v>0.05</v>
      </c>
      <c r="X1569" s="229">
        <f t="shared" si="873"/>
        <v>2</v>
      </c>
      <c r="Y1569" s="229">
        <f t="shared" si="874"/>
        <v>0</v>
      </c>
      <c r="Z1569" s="229">
        <f t="shared" si="875"/>
        <v>50.589999999999996</v>
      </c>
      <c r="AA1569" s="230">
        <f t="shared" si="876"/>
        <v>99.41</v>
      </c>
      <c r="AB1569" s="231">
        <v>99.94</v>
      </c>
      <c r="AC1569" s="232">
        <f t="shared" si="877"/>
        <v>0.53000000000000114</v>
      </c>
      <c r="AD1569" s="233">
        <f t="shared" si="878"/>
        <v>8.2758620689655171E-2</v>
      </c>
      <c r="AE1569" s="234">
        <f t="shared" si="879"/>
        <v>1.3401E-2</v>
      </c>
      <c r="AF1569" s="229"/>
      <c r="AG1569" s="235" t="s">
        <v>416</v>
      </c>
      <c r="AH1569" s="124"/>
    </row>
    <row r="1570" spans="1:34" ht="12" hidden="1" customHeight="1">
      <c r="A1570" s="220">
        <v>44748</v>
      </c>
      <c r="B1570" s="221" t="s">
        <v>808</v>
      </c>
      <c r="C1570" s="7" t="s">
        <v>485</v>
      </c>
      <c r="D1570" s="221" t="str">
        <f t="shared" ca="1" si="863"/>
        <v>Indices</v>
      </c>
      <c r="E1570" s="221" t="str">
        <f ca="1">IFERROR(__xludf.DUMMYFUNCTION("split(B1570,"" "")"),"NIFTY")</f>
        <v>NIFTY</v>
      </c>
      <c r="F1570" s="222" t="str">
        <f ca="1">IFERROR(__xludf.DUMMYFUNCTION("""COMPUTED_VALUE"""),"07!JUN")</f>
        <v>07!JUN</v>
      </c>
      <c r="G1570" s="221">
        <f ca="1">IFERROR(__xludf.DUMMYFUNCTION("""COMPUTED_VALUE"""),15900)</f>
        <v>15900</v>
      </c>
      <c r="H1570" s="221" t="str">
        <f ca="1">IFERROR(__xludf.DUMMYFUNCTION("""COMPUTED_VALUE"""),"PE")</f>
        <v>PE</v>
      </c>
      <c r="I1570" s="221" t="s">
        <v>4</v>
      </c>
      <c r="J1570" s="223">
        <v>50</v>
      </c>
      <c r="K1570" s="224">
        <v>1</v>
      </c>
      <c r="L1570" s="224">
        <v>5</v>
      </c>
      <c r="M1570" s="225">
        <f t="shared" si="864"/>
        <v>250</v>
      </c>
      <c r="N1570" s="226">
        <v>86.8</v>
      </c>
      <c r="O1570" s="227">
        <v>0</v>
      </c>
      <c r="P1570" s="228">
        <f t="shared" si="865"/>
        <v>21700</v>
      </c>
      <c r="Q1570" s="228">
        <f t="shared" si="866"/>
        <v>0</v>
      </c>
      <c r="R1570" s="229">
        <f t="shared" si="867"/>
        <v>21700</v>
      </c>
      <c r="S1570" s="229">
        <f t="shared" si="868"/>
        <v>-21700</v>
      </c>
      <c r="T1570" s="229">
        <f t="shared" si="880"/>
        <v>100</v>
      </c>
      <c r="U1570" s="229">
        <f t="shared" si="870"/>
        <v>20.07</v>
      </c>
      <c r="V1570" s="229">
        <f t="shared" si="871"/>
        <v>0</v>
      </c>
      <c r="W1570" s="229">
        <f t="shared" si="872"/>
        <v>0.65</v>
      </c>
      <c r="X1570" s="229">
        <f t="shared" si="873"/>
        <v>11.5</v>
      </c>
      <c r="Y1570" s="229">
        <f t="shared" si="874"/>
        <v>0.02</v>
      </c>
      <c r="Z1570" s="229">
        <f t="shared" si="875"/>
        <v>132.24</v>
      </c>
      <c r="AA1570" s="230">
        <f t="shared" si="876"/>
        <v>-21832.240000000002</v>
      </c>
      <c r="AB1570" s="231">
        <v>-21832.97</v>
      </c>
      <c r="AC1570" s="232">
        <f t="shared" si="877"/>
        <v>-0.72999999999956344</v>
      </c>
      <c r="AD1570" s="233">
        <f t="shared" si="878"/>
        <v>-1</v>
      </c>
      <c r="AE1570" s="234">
        <f t="shared" si="879"/>
        <v>6.0939999999999996E-3</v>
      </c>
      <c r="AF1570" s="229"/>
      <c r="AG1570" s="235" t="s">
        <v>416</v>
      </c>
      <c r="AH1570" s="124"/>
    </row>
    <row r="1571" spans="1:34" ht="12" hidden="1" customHeight="1">
      <c r="A1571" s="220">
        <v>44748</v>
      </c>
      <c r="B1571" s="221" t="s">
        <v>808</v>
      </c>
      <c r="C1571" s="7" t="s">
        <v>485</v>
      </c>
      <c r="D1571" s="221" t="str">
        <f t="shared" ca="1" si="863"/>
        <v>Indices</v>
      </c>
      <c r="E1571" s="221" t="str">
        <f ca="1">IFERROR(__xludf.DUMMYFUNCTION("split(B1571,"" "")"),"NIFTY")</f>
        <v>NIFTY</v>
      </c>
      <c r="F1571" s="222" t="str">
        <f ca="1">IFERROR(__xludf.DUMMYFUNCTION("""COMPUTED_VALUE"""),"07!JUN")</f>
        <v>07!JUN</v>
      </c>
      <c r="G1571" s="221">
        <f ca="1">IFERROR(__xludf.DUMMYFUNCTION("""COMPUTED_VALUE"""),15900)</f>
        <v>15900</v>
      </c>
      <c r="H1571" s="221" t="str">
        <f ca="1">IFERROR(__xludf.DUMMYFUNCTION("""COMPUTED_VALUE"""),"PE")</f>
        <v>PE</v>
      </c>
      <c r="I1571" s="221" t="s">
        <v>4</v>
      </c>
      <c r="J1571" s="223">
        <v>50</v>
      </c>
      <c r="K1571" s="224">
        <v>5</v>
      </c>
      <c r="L1571" s="224">
        <v>1</v>
      </c>
      <c r="M1571" s="225">
        <f t="shared" si="864"/>
        <v>250</v>
      </c>
      <c r="N1571" s="226">
        <v>0</v>
      </c>
      <c r="O1571" s="227">
        <v>88</v>
      </c>
      <c r="P1571" s="228">
        <f t="shared" si="865"/>
        <v>0</v>
      </c>
      <c r="Q1571" s="228">
        <f t="shared" si="866"/>
        <v>22000</v>
      </c>
      <c r="R1571" s="229">
        <f t="shared" si="867"/>
        <v>22000</v>
      </c>
      <c r="S1571" s="229">
        <f t="shared" si="868"/>
        <v>22000</v>
      </c>
      <c r="T1571" s="229">
        <f t="shared" si="880"/>
        <v>20</v>
      </c>
      <c r="U1571" s="229">
        <f t="shared" si="870"/>
        <v>5.7</v>
      </c>
      <c r="V1571" s="229">
        <f t="shared" si="871"/>
        <v>11</v>
      </c>
      <c r="W1571" s="229">
        <f t="shared" si="872"/>
        <v>0</v>
      </c>
      <c r="X1571" s="229">
        <f t="shared" si="873"/>
        <v>11.66</v>
      </c>
      <c r="Y1571" s="229">
        <f t="shared" si="874"/>
        <v>0.02</v>
      </c>
      <c r="Z1571" s="229">
        <f t="shared" si="875"/>
        <v>48.38</v>
      </c>
      <c r="AA1571" s="230">
        <f t="shared" si="876"/>
        <v>21951.62</v>
      </c>
      <c r="AB1571" s="231">
        <v>21952</v>
      </c>
      <c r="AC1571" s="232">
        <f t="shared" si="877"/>
        <v>0.38000000000101863</v>
      </c>
      <c r="AD1571" s="233">
        <f t="shared" si="878"/>
        <v>0</v>
      </c>
      <c r="AE1571" s="234">
        <f t="shared" si="879"/>
        <v>2.199E-3</v>
      </c>
      <c r="AF1571" s="229"/>
      <c r="AG1571" s="235" t="s">
        <v>416</v>
      </c>
      <c r="AH1571" s="124"/>
    </row>
    <row r="1572" spans="1:34" ht="12" hidden="1" customHeight="1">
      <c r="A1572" s="220">
        <v>44749</v>
      </c>
      <c r="B1572" s="221" t="s">
        <v>809</v>
      </c>
      <c r="C1572" s="7" t="s">
        <v>485</v>
      </c>
      <c r="D1572" s="221" t="str">
        <f t="shared" ca="1" si="863"/>
        <v>Indices</v>
      </c>
      <c r="E1572" s="221" t="str">
        <f ca="1">IFERROR(__xludf.DUMMYFUNCTION("split(B1572,"" "")"),"NIFTY")</f>
        <v>NIFTY</v>
      </c>
      <c r="F1572" s="222" t="str">
        <f ca="1">IFERROR(__xludf.DUMMYFUNCTION("""COMPUTED_VALUE"""),"07!JUL")</f>
        <v>07!JUL</v>
      </c>
      <c r="G1572" s="221">
        <f ca="1">IFERROR(__xludf.DUMMYFUNCTION("""COMPUTED_VALUE"""),15900)</f>
        <v>15900</v>
      </c>
      <c r="H1572" s="221" t="str">
        <f ca="1">IFERROR(__xludf.DUMMYFUNCTION("""COMPUTED_VALUE"""),"PE")</f>
        <v>PE</v>
      </c>
      <c r="I1572" s="221" t="s">
        <v>4</v>
      </c>
      <c r="J1572" s="223">
        <v>50</v>
      </c>
      <c r="K1572" s="224">
        <v>1</v>
      </c>
      <c r="L1572" s="224">
        <v>4</v>
      </c>
      <c r="M1572" s="225">
        <f t="shared" si="864"/>
        <v>200</v>
      </c>
      <c r="N1572" s="226">
        <v>2.3125</v>
      </c>
      <c r="O1572" s="227">
        <v>0</v>
      </c>
      <c r="P1572" s="228">
        <f t="shared" si="865"/>
        <v>462.5</v>
      </c>
      <c r="Q1572" s="228">
        <f t="shared" si="866"/>
        <v>0</v>
      </c>
      <c r="R1572" s="229">
        <f t="shared" si="867"/>
        <v>462.5</v>
      </c>
      <c r="S1572" s="229">
        <f t="shared" si="868"/>
        <v>-462.5</v>
      </c>
      <c r="T1572" s="229">
        <f t="shared" si="880"/>
        <v>80</v>
      </c>
      <c r="U1572" s="229">
        <f t="shared" si="870"/>
        <v>14.45</v>
      </c>
      <c r="V1572" s="229">
        <f t="shared" si="871"/>
        <v>0</v>
      </c>
      <c r="W1572" s="229">
        <f t="shared" si="872"/>
        <v>0.01</v>
      </c>
      <c r="X1572" s="229">
        <f t="shared" si="873"/>
        <v>0.25</v>
      </c>
      <c r="Y1572" s="229">
        <f t="shared" si="874"/>
        <v>0</v>
      </c>
      <c r="Z1572" s="229">
        <f t="shared" si="875"/>
        <v>94.710000000000008</v>
      </c>
      <c r="AA1572" s="230">
        <f t="shared" si="876"/>
        <v>-557.21</v>
      </c>
      <c r="AB1572" s="231">
        <v>-557</v>
      </c>
      <c r="AC1572" s="232">
        <f t="shared" si="877"/>
        <v>0.21000000000003638</v>
      </c>
      <c r="AD1572" s="233">
        <f t="shared" si="878"/>
        <v>-1</v>
      </c>
      <c r="AE1572" s="234">
        <f t="shared" si="879"/>
        <v>0.20477799999999999</v>
      </c>
      <c r="AF1572" s="229"/>
      <c r="AG1572" s="235" t="s">
        <v>416</v>
      </c>
      <c r="AH1572" s="124"/>
    </row>
    <row r="1573" spans="1:34" ht="12" hidden="1" customHeight="1">
      <c r="A1573" s="220">
        <v>44749</v>
      </c>
      <c r="B1573" s="221" t="s">
        <v>809</v>
      </c>
      <c r="C1573" s="7" t="s">
        <v>485</v>
      </c>
      <c r="D1573" s="221" t="str">
        <f t="shared" ca="1" si="863"/>
        <v>Indices</v>
      </c>
      <c r="E1573" s="221" t="str">
        <f ca="1">IFERROR(__xludf.DUMMYFUNCTION("split(B1573,"" "")"),"NIFTY")</f>
        <v>NIFTY</v>
      </c>
      <c r="F1573" s="222" t="str">
        <f ca="1">IFERROR(__xludf.DUMMYFUNCTION("""COMPUTED_VALUE"""),"07!JUL")</f>
        <v>07!JUL</v>
      </c>
      <c r="G1573" s="221">
        <f ca="1">IFERROR(__xludf.DUMMYFUNCTION("""COMPUTED_VALUE"""),15900)</f>
        <v>15900</v>
      </c>
      <c r="H1573" s="221" t="str">
        <f ca="1">IFERROR(__xludf.DUMMYFUNCTION("""COMPUTED_VALUE"""),"PE")</f>
        <v>PE</v>
      </c>
      <c r="I1573" s="221" t="s">
        <v>4</v>
      </c>
      <c r="J1573" s="223">
        <v>50</v>
      </c>
      <c r="K1573" s="224">
        <v>4</v>
      </c>
      <c r="L1573" s="224">
        <v>1</v>
      </c>
      <c r="M1573" s="225">
        <f t="shared" si="864"/>
        <v>200</v>
      </c>
      <c r="N1573" s="226">
        <v>0</v>
      </c>
      <c r="O1573" s="227">
        <v>0.1</v>
      </c>
      <c r="P1573" s="228">
        <f t="shared" si="865"/>
        <v>0</v>
      </c>
      <c r="Q1573" s="228">
        <f t="shared" si="866"/>
        <v>20</v>
      </c>
      <c r="R1573" s="229">
        <f t="shared" si="867"/>
        <v>20</v>
      </c>
      <c r="S1573" s="229">
        <f t="shared" si="868"/>
        <v>20</v>
      </c>
      <c r="T1573" s="229">
        <f t="shared" si="880"/>
        <v>20</v>
      </c>
      <c r="U1573" s="229">
        <f t="shared" si="870"/>
        <v>3.6</v>
      </c>
      <c r="V1573" s="229">
        <f t="shared" si="871"/>
        <v>0.01</v>
      </c>
      <c r="W1573" s="229">
        <f t="shared" si="872"/>
        <v>0</v>
      </c>
      <c r="X1573" s="229">
        <f t="shared" si="873"/>
        <v>0.01</v>
      </c>
      <c r="Y1573" s="229">
        <f t="shared" si="874"/>
        <v>0</v>
      </c>
      <c r="Z1573" s="229">
        <f t="shared" si="875"/>
        <v>23.620000000000005</v>
      </c>
      <c r="AA1573" s="230">
        <f t="shared" si="876"/>
        <v>-3.62</v>
      </c>
      <c r="AB1573" s="231">
        <v>-3.8</v>
      </c>
      <c r="AC1573" s="232">
        <f t="shared" si="877"/>
        <v>-0.17999999999999972</v>
      </c>
      <c r="AD1573" s="233">
        <f t="shared" si="878"/>
        <v>0</v>
      </c>
      <c r="AE1573" s="234">
        <f t="shared" si="879"/>
        <v>1.181</v>
      </c>
      <c r="AF1573" s="229"/>
      <c r="AG1573" s="235" t="s">
        <v>416</v>
      </c>
      <c r="AH1573" s="124"/>
    </row>
    <row r="1574" spans="1:34" ht="12" hidden="1" customHeight="1">
      <c r="A1574" s="154">
        <v>44753</v>
      </c>
      <c r="B1574" s="221" t="s">
        <v>810</v>
      </c>
      <c r="C1574" s="7" t="s">
        <v>485</v>
      </c>
      <c r="D1574" s="221" t="str">
        <f t="shared" ca="1" si="863"/>
        <v>Indices</v>
      </c>
      <c r="E1574" s="221" t="str">
        <f ca="1">IFERROR(__xludf.DUMMYFUNCTION("split(B1574,"" "")"),"NIFTY")</f>
        <v>NIFTY</v>
      </c>
      <c r="F1574" s="236" t="str">
        <f ca="1">IFERROR(__xludf.DUMMYFUNCTION("""COMPUTED_VALUE"""),"14!JUL")</f>
        <v>14!JUL</v>
      </c>
      <c r="G1574" s="221">
        <f ca="1">IFERROR(__xludf.DUMMYFUNCTION("""COMPUTED_VALUE"""),16200)</f>
        <v>16200</v>
      </c>
      <c r="H1574" s="221" t="str">
        <f ca="1">IFERROR(__xludf.DUMMYFUNCTION("""COMPUTED_VALUE"""),"CE")</f>
        <v>CE</v>
      </c>
      <c r="I1574" s="221" t="s">
        <v>4</v>
      </c>
      <c r="J1574" s="223">
        <v>50</v>
      </c>
      <c r="K1574" s="224">
        <v>2</v>
      </c>
      <c r="L1574" s="224">
        <v>1</v>
      </c>
      <c r="M1574" s="225">
        <f t="shared" si="864"/>
        <v>100</v>
      </c>
      <c r="N1574" s="226">
        <v>100.5</v>
      </c>
      <c r="O1574" s="227">
        <v>0</v>
      </c>
      <c r="P1574" s="228">
        <f t="shared" si="865"/>
        <v>10050</v>
      </c>
      <c r="Q1574" s="228">
        <f t="shared" si="866"/>
        <v>0</v>
      </c>
      <c r="R1574" s="229">
        <f t="shared" si="867"/>
        <v>10050</v>
      </c>
      <c r="S1574" s="229">
        <f t="shared" si="868"/>
        <v>-10050</v>
      </c>
      <c r="T1574" s="229">
        <f t="shared" si="880"/>
        <v>20</v>
      </c>
      <c r="U1574" s="229">
        <f t="shared" si="870"/>
        <v>4.5599999999999996</v>
      </c>
      <c r="V1574" s="229">
        <f t="shared" si="871"/>
        <v>0</v>
      </c>
      <c r="W1574" s="229">
        <f t="shared" si="872"/>
        <v>0.3</v>
      </c>
      <c r="X1574" s="229">
        <f t="shared" si="873"/>
        <v>5.33</v>
      </c>
      <c r="Y1574" s="229">
        <f t="shared" si="874"/>
        <v>0.01</v>
      </c>
      <c r="Z1574" s="229">
        <f t="shared" si="875"/>
        <v>30.2</v>
      </c>
      <c r="AA1574" s="230">
        <f t="shared" si="876"/>
        <v>-10080.200000000001</v>
      </c>
      <c r="AB1574" s="231">
        <v>-10080</v>
      </c>
      <c r="AC1574" s="232">
        <f t="shared" si="877"/>
        <v>0.2000000000007276</v>
      </c>
      <c r="AD1574" s="233">
        <f t="shared" si="878"/>
        <v>-1</v>
      </c>
      <c r="AE1574" s="234">
        <f t="shared" si="879"/>
        <v>3.0049999999999999E-3</v>
      </c>
      <c r="AF1574" s="229"/>
      <c r="AG1574" s="235" t="s">
        <v>416</v>
      </c>
      <c r="AH1574" s="124"/>
    </row>
    <row r="1575" spans="1:34" ht="12" hidden="1" customHeight="1">
      <c r="A1575" s="155">
        <v>44754</v>
      </c>
      <c r="B1575" s="221" t="s">
        <v>810</v>
      </c>
      <c r="C1575" s="7" t="s">
        <v>485</v>
      </c>
      <c r="D1575" s="221" t="str">
        <f t="shared" ca="1" si="863"/>
        <v>Indices</v>
      </c>
      <c r="E1575" s="221" t="str">
        <f ca="1">IFERROR(__xludf.DUMMYFUNCTION("split(B1575,"" "")"),"NIFTY")</f>
        <v>NIFTY</v>
      </c>
      <c r="F1575" s="236" t="str">
        <f ca="1">IFERROR(__xludf.DUMMYFUNCTION("""COMPUTED_VALUE"""),"14!JUL")</f>
        <v>14!JUL</v>
      </c>
      <c r="G1575" s="221">
        <f ca="1">IFERROR(__xludf.DUMMYFUNCTION("""COMPUTED_VALUE"""),16200)</f>
        <v>16200</v>
      </c>
      <c r="H1575" s="221" t="str">
        <f ca="1">IFERROR(__xludf.DUMMYFUNCTION("""COMPUTED_VALUE"""),"CE")</f>
        <v>CE</v>
      </c>
      <c r="I1575" s="221" t="s">
        <v>4</v>
      </c>
      <c r="J1575" s="223">
        <v>50</v>
      </c>
      <c r="K1575" s="224">
        <v>2</v>
      </c>
      <c r="L1575" s="224">
        <v>1</v>
      </c>
      <c r="M1575" s="225">
        <f t="shared" si="864"/>
        <v>100</v>
      </c>
      <c r="N1575" s="226">
        <v>0</v>
      </c>
      <c r="O1575" s="227">
        <v>59.15</v>
      </c>
      <c r="P1575" s="228">
        <f t="shared" si="865"/>
        <v>0</v>
      </c>
      <c r="Q1575" s="228">
        <f t="shared" si="866"/>
        <v>5915</v>
      </c>
      <c r="R1575" s="229">
        <f t="shared" si="867"/>
        <v>5915</v>
      </c>
      <c r="S1575" s="229">
        <f t="shared" si="868"/>
        <v>5915</v>
      </c>
      <c r="T1575" s="229">
        <f t="shared" si="880"/>
        <v>20</v>
      </c>
      <c r="U1575" s="229">
        <f t="shared" si="870"/>
        <v>4.16</v>
      </c>
      <c r="V1575" s="229">
        <f t="shared" si="871"/>
        <v>2.96</v>
      </c>
      <c r="W1575" s="229">
        <f t="shared" si="872"/>
        <v>0</v>
      </c>
      <c r="X1575" s="229">
        <f t="shared" si="873"/>
        <v>3.13</v>
      </c>
      <c r="Y1575" s="229">
        <f t="shared" si="874"/>
        <v>0.01</v>
      </c>
      <c r="Z1575" s="229">
        <f t="shared" si="875"/>
        <v>30.26</v>
      </c>
      <c r="AA1575" s="230">
        <f t="shared" si="876"/>
        <v>5884.74</v>
      </c>
      <c r="AB1575" s="231">
        <v>5885</v>
      </c>
      <c r="AC1575" s="232">
        <f t="shared" si="877"/>
        <v>0.26000000000021828</v>
      </c>
      <c r="AD1575" s="233">
        <f t="shared" si="878"/>
        <v>0</v>
      </c>
      <c r="AE1575" s="234">
        <f t="shared" si="879"/>
        <v>5.1159999999999999E-3</v>
      </c>
      <c r="AF1575" s="229"/>
      <c r="AG1575" s="235" t="s">
        <v>416</v>
      </c>
      <c r="AH1575" s="124"/>
    </row>
    <row r="1576" spans="1:34" ht="12" hidden="1" customHeight="1">
      <c r="A1576" s="154">
        <v>44753</v>
      </c>
      <c r="B1576" s="221" t="s">
        <v>811</v>
      </c>
      <c r="C1576" s="7" t="s">
        <v>485</v>
      </c>
      <c r="D1576" s="221" t="str">
        <f t="shared" ca="1" si="863"/>
        <v>Indices</v>
      </c>
      <c r="E1576" s="221" t="str">
        <f ca="1">IFERROR(__xludf.DUMMYFUNCTION("split(B1576,"" "")"),"NIFTY")</f>
        <v>NIFTY</v>
      </c>
      <c r="F1576" s="236" t="str">
        <f ca="1">IFERROR(__xludf.DUMMYFUNCTION("""COMPUTED_VALUE"""),"14!JUL")</f>
        <v>14!JUL</v>
      </c>
      <c r="G1576" s="221">
        <f ca="1">IFERROR(__xludf.DUMMYFUNCTION("""COMPUTED_VALUE"""),16100)</f>
        <v>16100</v>
      </c>
      <c r="H1576" s="221" t="str">
        <f ca="1">IFERROR(__xludf.DUMMYFUNCTION("""COMPUTED_VALUE"""),"PE")</f>
        <v>PE</v>
      </c>
      <c r="I1576" s="221" t="s">
        <v>4</v>
      </c>
      <c r="J1576" s="223">
        <v>50</v>
      </c>
      <c r="K1576" s="224">
        <v>1</v>
      </c>
      <c r="L1576" s="224">
        <v>4</v>
      </c>
      <c r="M1576" s="225">
        <f t="shared" si="864"/>
        <v>200</v>
      </c>
      <c r="N1576" s="226">
        <v>86.25</v>
      </c>
      <c r="O1576" s="227">
        <v>0</v>
      </c>
      <c r="P1576" s="228">
        <f t="shared" si="865"/>
        <v>17250</v>
      </c>
      <c r="Q1576" s="228">
        <f t="shared" si="866"/>
        <v>0</v>
      </c>
      <c r="R1576" s="229">
        <f t="shared" si="867"/>
        <v>17250</v>
      </c>
      <c r="S1576" s="229">
        <f t="shared" si="868"/>
        <v>-17250</v>
      </c>
      <c r="T1576" s="229">
        <f t="shared" si="880"/>
        <v>80</v>
      </c>
      <c r="U1576" s="229">
        <f t="shared" si="870"/>
        <v>16.05</v>
      </c>
      <c r="V1576" s="229">
        <f t="shared" si="871"/>
        <v>0</v>
      </c>
      <c r="W1576" s="229">
        <f t="shared" si="872"/>
        <v>0.52</v>
      </c>
      <c r="X1576" s="229">
        <f t="shared" si="873"/>
        <v>9.14</v>
      </c>
      <c r="Y1576" s="229">
        <f t="shared" si="874"/>
        <v>0.02</v>
      </c>
      <c r="Z1576" s="229">
        <f t="shared" si="875"/>
        <v>105.72999999999999</v>
      </c>
      <c r="AA1576" s="230">
        <f t="shared" si="876"/>
        <v>-17355.73</v>
      </c>
      <c r="AB1576" s="231">
        <v>-17356.099999999999</v>
      </c>
      <c r="AC1576" s="232">
        <f t="shared" si="877"/>
        <v>-0.36999999999898137</v>
      </c>
      <c r="AD1576" s="233">
        <f t="shared" si="878"/>
        <v>-1</v>
      </c>
      <c r="AE1576" s="234">
        <f t="shared" si="879"/>
        <v>6.1289999999999999E-3</v>
      </c>
      <c r="AF1576" s="229"/>
      <c r="AG1576" s="235" t="s">
        <v>416</v>
      </c>
      <c r="AH1576" s="124"/>
    </row>
    <row r="1577" spans="1:34" ht="12" hidden="1" customHeight="1">
      <c r="A1577" s="155">
        <v>44754</v>
      </c>
      <c r="B1577" s="221" t="s">
        <v>811</v>
      </c>
      <c r="C1577" s="7" t="s">
        <v>485</v>
      </c>
      <c r="D1577" s="221" t="str">
        <f t="shared" ca="1" si="863"/>
        <v>Indices</v>
      </c>
      <c r="E1577" s="221" t="str">
        <f ca="1">IFERROR(__xludf.DUMMYFUNCTION("split(B1577,"" "")"),"NIFTY")</f>
        <v>NIFTY</v>
      </c>
      <c r="F1577" s="236" t="str">
        <f ca="1">IFERROR(__xludf.DUMMYFUNCTION("""COMPUTED_VALUE"""),"14!JUL")</f>
        <v>14!JUL</v>
      </c>
      <c r="G1577" s="221">
        <f ca="1">IFERROR(__xludf.DUMMYFUNCTION("""COMPUTED_VALUE"""),16100)</f>
        <v>16100</v>
      </c>
      <c r="H1577" s="221" t="str">
        <f ca="1">IFERROR(__xludf.DUMMYFUNCTION("""COMPUTED_VALUE"""),"PE")</f>
        <v>PE</v>
      </c>
      <c r="I1577" s="221" t="s">
        <v>4</v>
      </c>
      <c r="J1577" s="223">
        <v>50</v>
      </c>
      <c r="K1577" s="224">
        <v>4</v>
      </c>
      <c r="L1577" s="224">
        <v>1</v>
      </c>
      <c r="M1577" s="225">
        <f t="shared" si="864"/>
        <v>200</v>
      </c>
      <c r="N1577" s="226">
        <v>0</v>
      </c>
      <c r="O1577" s="227">
        <v>105</v>
      </c>
      <c r="P1577" s="228">
        <f t="shared" si="865"/>
        <v>0</v>
      </c>
      <c r="Q1577" s="228">
        <f t="shared" si="866"/>
        <v>21000</v>
      </c>
      <c r="R1577" s="229">
        <f t="shared" si="867"/>
        <v>21000</v>
      </c>
      <c r="S1577" s="229">
        <f t="shared" si="868"/>
        <v>21000</v>
      </c>
      <c r="T1577" s="229">
        <f t="shared" si="880"/>
        <v>20</v>
      </c>
      <c r="U1577" s="229">
        <f t="shared" si="870"/>
        <v>5.6</v>
      </c>
      <c r="V1577" s="229">
        <f t="shared" si="871"/>
        <v>10.5</v>
      </c>
      <c r="W1577" s="229">
        <f t="shared" si="872"/>
        <v>0</v>
      </c>
      <c r="X1577" s="229">
        <f t="shared" si="873"/>
        <v>11.13</v>
      </c>
      <c r="Y1577" s="229">
        <f t="shared" si="874"/>
        <v>0.02</v>
      </c>
      <c r="Z1577" s="229">
        <f t="shared" si="875"/>
        <v>47.250000000000007</v>
      </c>
      <c r="AA1577" s="230">
        <f t="shared" si="876"/>
        <v>20952.75</v>
      </c>
      <c r="AB1577" s="231">
        <v>20953</v>
      </c>
      <c r="AC1577" s="232">
        <f t="shared" si="877"/>
        <v>0.25</v>
      </c>
      <c r="AD1577" s="233">
        <f t="shared" si="878"/>
        <v>0</v>
      </c>
      <c r="AE1577" s="234">
        <f t="shared" si="879"/>
        <v>2.2499999999999998E-3</v>
      </c>
      <c r="AF1577" s="229"/>
      <c r="AG1577" s="235" t="s">
        <v>416</v>
      </c>
      <c r="AH1577" s="124"/>
    </row>
    <row r="1578" spans="1:34" ht="12" hidden="1" customHeight="1">
      <c r="A1578" s="220">
        <v>44754</v>
      </c>
      <c r="B1578" s="221" t="s">
        <v>811</v>
      </c>
      <c r="C1578" s="7" t="s">
        <v>485</v>
      </c>
      <c r="D1578" s="221" t="str">
        <f t="shared" ca="1" si="863"/>
        <v>Indices</v>
      </c>
      <c r="E1578" s="221" t="str">
        <f ca="1">IFERROR(__xludf.DUMMYFUNCTION("split(B1578,"" "")"),"NIFTY")</f>
        <v>NIFTY</v>
      </c>
      <c r="F1578" s="236" t="str">
        <f ca="1">IFERROR(__xludf.DUMMYFUNCTION("""COMPUTED_VALUE"""),"14!JUL")</f>
        <v>14!JUL</v>
      </c>
      <c r="G1578" s="221">
        <f ca="1">IFERROR(__xludf.DUMMYFUNCTION("""COMPUTED_VALUE"""),16100)</f>
        <v>16100</v>
      </c>
      <c r="H1578" s="221" t="str">
        <f ca="1">IFERROR(__xludf.DUMMYFUNCTION("""COMPUTED_VALUE"""),"PE")</f>
        <v>PE</v>
      </c>
      <c r="I1578" s="221" t="s">
        <v>4</v>
      </c>
      <c r="J1578" s="223">
        <v>50</v>
      </c>
      <c r="K1578" s="224">
        <v>1</v>
      </c>
      <c r="L1578" s="224">
        <v>4</v>
      </c>
      <c r="M1578" s="225">
        <f t="shared" si="864"/>
        <v>200</v>
      </c>
      <c r="N1578" s="226">
        <v>96.75</v>
      </c>
      <c r="O1578" s="227">
        <v>102.6</v>
      </c>
      <c r="P1578" s="228">
        <f t="shared" si="865"/>
        <v>19350</v>
      </c>
      <c r="Q1578" s="228">
        <f t="shared" si="866"/>
        <v>20520</v>
      </c>
      <c r="R1578" s="229">
        <f t="shared" si="867"/>
        <v>39870</v>
      </c>
      <c r="S1578" s="229">
        <f t="shared" si="868"/>
        <v>1169.9999999999989</v>
      </c>
      <c r="T1578" s="229">
        <f t="shared" si="880"/>
        <v>160</v>
      </c>
      <c r="U1578" s="229">
        <f t="shared" si="870"/>
        <v>32.6</v>
      </c>
      <c r="V1578" s="229">
        <f t="shared" si="871"/>
        <v>10.26</v>
      </c>
      <c r="W1578" s="229">
        <f t="shared" si="872"/>
        <v>0.57999999999999996</v>
      </c>
      <c r="X1578" s="229">
        <f t="shared" si="873"/>
        <v>21.13</v>
      </c>
      <c r="Y1578" s="229">
        <f t="shared" si="874"/>
        <v>0.04</v>
      </c>
      <c r="Z1578" s="229">
        <f t="shared" si="875"/>
        <v>224.60999999999999</v>
      </c>
      <c r="AA1578" s="230">
        <f t="shared" si="876"/>
        <v>945.39</v>
      </c>
      <c r="AB1578" s="231">
        <v>944.17</v>
      </c>
      <c r="AC1578" s="232">
        <f t="shared" si="877"/>
        <v>-1.2200000000000273</v>
      </c>
      <c r="AD1578" s="233">
        <f t="shared" si="878"/>
        <v>6.0465116279069711E-2</v>
      </c>
      <c r="AE1578" s="234">
        <f t="shared" si="879"/>
        <v>5.6340000000000001E-3</v>
      </c>
      <c r="AF1578" s="229"/>
      <c r="AG1578" s="235" t="s">
        <v>416</v>
      </c>
      <c r="AH1578" s="124"/>
    </row>
    <row r="1579" spans="1:34" ht="12" hidden="1" customHeight="1">
      <c r="A1579" s="220">
        <v>44755</v>
      </c>
      <c r="B1579" s="221" t="s">
        <v>812</v>
      </c>
      <c r="C1579" s="7" t="s">
        <v>485</v>
      </c>
      <c r="D1579" s="221" t="str">
        <f t="shared" ca="1" si="863"/>
        <v>Stocks</v>
      </c>
      <c r="E1579" s="221" t="str">
        <f ca="1">IFERROR(__xludf.DUMMYFUNCTION("split(B1579,"" "")"),"INDUSTOWER")</f>
        <v>INDUSTOWER</v>
      </c>
      <c r="F1579" s="236" t="str">
        <f ca="1">IFERROR(__xludf.DUMMYFUNCTION("""COMPUTED_VALUE"""),"28!JUL")</f>
        <v>28!JUL</v>
      </c>
      <c r="G1579" s="221">
        <f ca="1">IFERROR(__xludf.DUMMYFUNCTION("""COMPUTED_VALUE"""),220)</f>
        <v>220</v>
      </c>
      <c r="H1579" s="221" t="str">
        <f ca="1">IFERROR(__xludf.DUMMYFUNCTION("""COMPUTED_VALUE"""),"CE")</f>
        <v>CE</v>
      </c>
      <c r="I1579" s="221" t="s">
        <v>4</v>
      </c>
      <c r="J1579" s="223">
        <v>2800</v>
      </c>
      <c r="K1579" s="224">
        <v>1</v>
      </c>
      <c r="L1579" s="224">
        <v>1</v>
      </c>
      <c r="M1579" s="225">
        <f t="shared" si="864"/>
        <v>2800</v>
      </c>
      <c r="N1579" s="226">
        <v>9</v>
      </c>
      <c r="O1579" s="227">
        <v>9.1999999999999993</v>
      </c>
      <c r="P1579" s="228">
        <f t="shared" si="865"/>
        <v>25200</v>
      </c>
      <c r="Q1579" s="228">
        <f t="shared" si="866"/>
        <v>25760</v>
      </c>
      <c r="R1579" s="229">
        <f t="shared" si="867"/>
        <v>50960</v>
      </c>
      <c r="S1579" s="229">
        <f t="shared" si="868"/>
        <v>559.99999999999795</v>
      </c>
      <c r="T1579" s="229">
        <f t="shared" si="880"/>
        <v>40</v>
      </c>
      <c r="U1579" s="229">
        <f t="shared" si="870"/>
        <v>12.06</v>
      </c>
      <c r="V1579" s="229">
        <f t="shared" si="871"/>
        <v>12.88</v>
      </c>
      <c r="W1579" s="229">
        <f t="shared" si="872"/>
        <v>0.76</v>
      </c>
      <c r="X1579" s="229">
        <f t="shared" si="873"/>
        <v>27.01</v>
      </c>
      <c r="Y1579" s="229">
        <f t="shared" si="874"/>
        <v>0.05</v>
      </c>
      <c r="Z1579" s="229">
        <f t="shared" si="875"/>
        <v>92.76</v>
      </c>
      <c r="AA1579" s="230">
        <f t="shared" si="876"/>
        <v>467.24</v>
      </c>
      <c r="AB1579" s="231">
        <v>467.54</v>
      </c>
      <c r="AC1579" s="232">
        <f t="shared" si="877"/>
        <v>0.30000000000001137</v>
      </c>
      <c r="AD1579" s="233">
        <f t="shared" si="878"/>
        <v>2.2222222222222143E-2</v>
      </c>
      <c r="AE1579" s="234">
        <f t="shared" si="879"/>
        <v>1.82E-3</v>
      </c>
      <c r="AF1579" s="229"/>
      <c r="AG1579" s="235" t="s">
        <v>416</v>
      </c>
      <c r="AH1579" s="124"/>
    </row>
    <row r="1580" spans="1:34" ht="12" hidden="1" customHeight="1">
      <c r="A1580" s="154">
        <v>44755</v>
      </c>
      <c r="B1580" s="221" t="s">
        <v>812</v>
      </c>
      <c r="C1580" s="7" t="s">
        <v>485</v>
      </c>
      <c r="D1580" s="221" t="str">
        <f t="shared" ca="1" si="863"/>
        <v>Stocks</v>
      </c>
      <c r="E1580" s="221" t="str">
        <f ca="1">IFERROR(__xludf.DUMMYFUNCTION("split(B1580,"" "")"),"INDUSTOWER")</f>
        <v>INDUSTOWER</v>
      </c>
      <c r="F1580" s="221" t="str">
        <f ca="1">IFERROR(__xludf.DUMMYFUNCTION("""COMPUTED_VALUE"""),"28!JUL")</f>
        <v>28!JUL</v>
      </c>
      <c r="G1580" s="221">
        <f ca="1">IFERROR(__xludf.DUMMYFUNCTION("""COMPUTED_VALUE"""),220)</f>
        <v>220</v>
      </c>
      <c r="H1580" s="221" t="str">
        <f ca="1">IFERROR(__xludf.DUMMYFUNCTION("""COMPUTED_VALUE"""),"CE")</f>
        <v>CE</v>
      </c>
      <c r="I1580" s="221" t="s">
        <v>4</v>
      </c>
      <c r="J1580" s="223">
        <v>2800</v>
      </c>
      <c r="K1580" s="224">
        <v>1</v>
      </c>
      <c r="L1580" s="224">
        <v>1</v>
      </c>
      <c r="M1580" s="225">
        <f t="shared" si="864"/>
        <v>2800</v>
      </c>
      <c r="N1580" s="226">
        <v>9.3000000000000007</v>
      </c>
      <c r="O1580" s="227">
        <v>0</v>
      </c>
      <c r="P1580" s="228">
        <f t="shared" si="865"/>
        <v>26040</v>
      </c>
      <c r="Q1580" s="228">
        <f t="shared" si="866"/>
        <v>0</v>
      </c>
      <c r="R1580" s="229">
        <f t="shared" si="867"/>
        <v>26040</v>
      </c>
      <c r="S1580" s="229">
        <f t="shared" si="868"/>
        <v>-26040.000000000004</v>
      </c>
      <c r="T1580" s="229">
        <f t="shared" si="880"/>
        <v>20</v>
      </c>
      <c r="U1580" s="229">
        <f t="shared" si="870"/>
        <v>6.08</v>
      </c>
      <c r="V1580" s="229">
        <f t="shared" si="871"/>
        <v>0</v>
      </c>
      <c r="W1580" s="229">
        <f t="shared" si="872"/>
        <v>0.78</v>
      </c>
      <c r="X1580" s="229">
        <f t="shared" si="873"/>
        <v>13.8</v>
      </c>
      <c r="Y1580" s="229">
        <f t="shared" si="874"/>
        <v>0.03</v>
      </c>
      <c r="Z1580" s="229">
        <f t="shared" si="875"/>
        <v>40.69</v>
      </c>
      <c r="AA1580" s="230">
        <f t="shared" si="876"/>
        <v>-26080.69</v>
      </c>
      <c r="AB1580" s="231">
        <v>-26081</v>
      </c>
      <c r="AC1580" s="232">
        <f t="shared" si="877"/>
        <v>-0.31000000000130967</v>
      </c>
      <c r="AD1580" s="233">
        <f t="shared" si="878"/>
        <v>-1</v>
      </c>
      <c r="AE1580" s="234">
        <f t="shared" si="879"/>
        <v>1.5629999999999999E-3</v>
      </c>
      <c r="AF1580" s="229"/>
      <c r="AG1580" s="235" t="s">
        <v>416</v>
      </c>
      <c r="AH1580" s="124"/>
    </row>
    <row r="1581" spans="1:34" ht="12" hidden="1" customHeight="1">
      <c r="A1581" s="155">
        <v>44756</v>
      </c>
      <c r="B1581" s="221" t="s">
        <v>812</v>
      </c>
      <c r="C1581" s="7" t="s">
        <v>485</v>
      </c>
      <c r="D1581" s="221" t="str">
        <f t="shared" ca="1" si="863"/>
        <v>Stocks</v>
      </c>
      <c r="E1581" s="221" t="str">
        <f ca="1">IFERROR(__xludf.DUMMYFUNCTION("split(B1581,"" "")"),"INDUSTOWER")</f>
        <v>INDUSTOWER</v>
      </c>
      <c r="F1581" s="221" t="str">
        <f ca="1">IFERROR(__xludf.DUMMYFUNCTION("""COMPUTED_VALUE"""),"28!JUL")</f>
        <v>28!JUL</v>
      </c>
      <c r="G1581" s="221">
        <f ca="1">IFERROR(__xludf.DUMMYFUNCTION("""COMPUTED_VALUE"""),220)</f>
        <v>220</v>
      </c>
      <c r="H1581" s="221" t="str">
        <f ca="1">IFERROR(__xludf.DUMMYFUNCTION("""COMPUTED_VALUE"""),"CE")</f>
        <v>CE</v>
      </c>
      <c r="I1581" s="221" t="s">
        <v>4</v>
      </c>
      <c r="J1581" s="223">
        <v>2800</v>
      </c>
      <c r="K1581" s="224">
        <v>1</v>
      </c>
      <c r="L1581" s="224">
        <v>1</v>
      </c>
      <c r="M1581" s="225">
        <f t="shared" si="864"/>
        <v>2800</v>
      </c>
      <c r="N1581" s="226">
        <v>0</v>
      </c>
      <c r="O1581" s="227">
        <v>9.9</v>
      </c>
      <c r="P1581" s="228">
        <f t="shared" si="865"/>
        <v>0</v>
      </c>
      <c r="Q1581" s="228">
        <f t="shared" si="866"/>
        <v>27720</v>
      </c>
      <c r="R1581" s="229">
        <f t="shared" si="867"/>
        <v>27720</v>
      </c>
      <c r="S1581" s="229">
        <f t="shared" si="868"/>
        <v>27720</v>
      </c>
      <c r="T1581" s="229">
        <f t="shared" si="880"/>
        <v>20</v>
      </c>
      <c r="U1581" s="229">
        <f t="shared" si="870"/>
        <v>6.24</v>
      </c>
      <c r="V1581" s="229">
        <f t="shared" si="871"/>
        <v>13.86</v>
      </c>
      <c r="W1581" s="229">
        <f t="shared" si="872"/>
        <v>0</v>
      </c>
      <c r="X1581" s="229">
        <f t="shared" si="873"/>
        <v>14.69</v>
      </c>
      <c r="Y1581" s="229">
        <f t="shared" si="874"/>
        <v>0.03</v>
      </c>
      <c r="Z1581" s="229">
        <f t="shared" si="875"/>
        <v>54.82</v>
      </c>
      <c r="AA1581" s="230">
        <f t="shared" si="876"/>
        <v>27665.18</v>
      </c>
      <c r="AB1581" s="231">
        <v>27665.5</v>
      </c>
      <c r="AC1581" s="232">
        <f t="shared" si="877"/>
        <v>0.31999999999970896</v>
      </c>
      <c r="AD1581" s="233">
        <f t="shared" si="878"/>
        <v>0</v>
      </c>
      <c r="AE1581" s="234">
        <f t="shared" si="879"/>
        <v>1.9780000000000002E-3</v>
      </c>
      <c r="AF1581" s="229"/>
      <c r="AG1581" s="235" t="s">
        <v>416</v>
      </c>
      <c r="AH1581" s="124"/>
    </row>
    <row r="1582" spans="1:34" ht="12" hidden="1" customHeight="1">
      <c r="A1582" s="154">
        <v>44755</v>
      </c>
      <c r="B1582" s="221" t="s">
        <v>813</v>
      </c>
      <c r="C1582" s="7" t="s">
        <v>485</v>
      </c>
      <c r="D1582" s="221" t="str">
        <f t="shared" ca="1" si="863"/>
        <v>Indices</v>
      </c>
      <c r="E1582" s="221" t="str">
        <f ca="1">IFERROR(__xludf.DUMMYFUNCTION("split(B1582,"" "")"),"NIFTY")</f>
        <v>NIFTY</v>
      </c>
      <c r="F1582" s="236" t="str">
        <f ca="1">IFERROR(__xludf.DUMMYFUNCTION("""COMPUTED_VALUE"""),"14!JUL")</f>
        <v>14!JUL</v>
      </c>
      <c r="G1582" s="221">
        <f ca="1">IFERROR(__xludf.DUMMYFUNCTION("""COMPUTED_VALUE"""),16000)</f>
        <v>16000</v>
      </c>
      <c r="H1582" s="221" t="str">
        <f ca="1">IFERROR(__xludf.DUMMYFUNCTION("""COMPUTED_VALUE"""),"PE")</f>
        <v>PE</v>
      </c>
      <c r="I1582" s="221" t="s">
        <v>4</v>
      </c>
      <c r="J1582" s="223">
        <v>50</v>
      </c>
      <c r="K1582" s="224">
        <v>1</v>
      </c>
      <c r="L1582" s="224">
        <v>3</v>
      </c>
      <c r="M1582" s="225">
        <f t="shared" si="864"/>
        <v>150</v>
      </c>
      <c r="N1582" s="226">
        <v>92.666690000000003</v>
      </c>
      <c r="O1582" s="227">
        <v>0</v>
      </c>
      <c r="P1582" s="228">
        <f t="shared" si="865"/>
        <v>13900</v>
      </c>
      <c r="Q1582" s="228">
        <f t="shared" si="866"/>
        <v>0</v>
      </c>
      <c r="R1582" s="229">
        <f t="shared" si="867"/>
        <v>13900</v>
      </c>
      <c r="S1582" s="229">
        <f t="shared" si="868"/>
        <v>-13900.003500000001</v>
      </c>
      <c r="T1582" s="229">
        <f t="shared" si="880"/>
        <v>60</v>
      </c>
      <c r="U1582" s="229">
        <f t="shared" si="870"/>
        <v>12.13</v>
      </c>
      <c r="V1582" s="229">
        <f t="shared" si="871"/>
        <v>0</v>
      </c>
      <c r="W1582" s="229">
        <f t="shared" si="872"/>
        <v>0.42</v>
      </c>
      <c r="X1582" s="229">
        <f t="shared" si="873"/>
        <v>7.37</v>
      </c>
      <c r="Y1582" s="229">
        <f t="shared" si="874"/>
        <v>0.01</v>
      </c>
      <c r="Z1582" s="229">
        <f t="shared" si="875"/>
        <v>79.930000000000007</v>
      </c>
      <c r="AA1582" s="230">
        <f t="shared" si="876"/>
        <v>-13979.93</v>
      </c>
      <c r="AB1582" s="231">
        <v>-13980</v>
      </c>
      <c r="AC1582" s="232">
        <f t="shared" si="877"/>
        <v>-6.9999999999708962E-2</v>
      </c>
      <c r="AD1582" s="233">
        <f t="shared" si="878"/>
        <v>-1</v>
      </c>
      <c r="AE1582" s="234">
        <f t="shared" si="879"/>
        <v>5.7499999999999999E-3</v>
      </c>
      <c r="AF1582" s="229"/>
      <c r="AG1582" s="235" t="s">
        <v>416</v>
      </c>
      <c r="AH1582" s="124"/>
    </row>
    <row r="1583" spans="1:34" ht="12" hidden="1" customHeight="1">
      <c r="A1583" s="155">
        <v>44756</v>
      </c>
      <c r="B1583" s="221" t="s">
        <v>813</v>
      </c>
      <c r="C1583" s="7" t="s">
        <v>485</v>
      </c>
      <c r="D1583" s="221" t="str">
        <f t="shared" ca="1" si="863"/>
        <v>Indices</v>
      </c>
      <c r="E1583" s="221" t="str">
        <f ca="1">IFERROR(__xludf.DUMMYFUNCTION("split(B1583,"" "")"),"NIFTY")</f>
        <v>NIFTY</v>
      </c>
      <c r="F1583" s="236" t="str">
        <f ca="1">IFERROR(__xludf.DUMMYFUNCTION("""COMPUTED_VALUE"""),"14!JUL")</f>
        <v>14!JUL</v>
      </c>
      <c r="G1583" s="221">
        <f ca="1">IFERROR(__xludf.DUMMYFUNCTION("""COMPUTED_VALUE"""),16000)</f>
        <v>16000</v>
      </c>
      <c r="H1583" s="221" t="str">
        <f ca="1">IFERROR(__xludf.DUMMYFUNCTION("""COMPUTED_VALUE"""),"PE")</f>
        <v>PE</v>
      </c>
      <c r="I1583" s="221" t="s">
        <v>4</v>
      </c>
      <c r="J1583" s="223">
        <v>50</v>
      </c>
      <c r="K1583" s="224">
        <v>3</v>
      </c>
      <c r="L1583" s="224">
        <v>1</v>
      </c>
      <c r="M1583" s="225">
        <f t="shared" si="864"/>
        <v>150</v>
      </c>
      <c r="N1583" s="226">
        <v>0</v>
      </c>
      <c r="O1583" s="227">
        <v>85</v>
      </c>
      <c r="P1583" s="228">
        <f t="shared" si="865"/>
        <v>0</v>
      </c>
      <c r="Q1583" s="228">
        <f t="shared" si="866"/>
        <v>12750</v>
      </c>
      <c r="R1583" s="229">
        <f t="shared" si="867"/>
        <v>12750</v>
      </c>
      <c r="S1583" s="229">
        <f t="shared" si="868"/>
        <v>12750</v>
      </c>
      <c r="T1583" s="229">
        <f t="shared" si="880"/>
        <v>20</v>
      </c>
      <c r="U1583" s="229">
        <f t="shared" si="870"/>
        <v>4.82</v>
      </c>
      <c r="V1583" s="229">
        <f t="shared" si="871"/>
        <v>6.38</v>
      </c>
      <c r="W1583" s="229">
        <f t="shared" si="872"/>
        <v>0</v>
      </c>
      <c r="X1583" s="229">
        <f t="shared" si="873"/>
        <v>6.76</v>
      </c>
      <c r="Y1583" s="229">
        <f t="shared" si="874"/>
        <v>0.01</v>
      </c>
      <c r="Z1583" s="229">
        <f t="shared" si="875"/>
        <v>37.97</v>
      </c>
      <c r="AA1583" s="230">
        <f t="shared" si="876"/>
        <v>12712.03</v>
      </c>
      <c r="AB1583" s="231">
        <v>12712.5</v>
      </c>
      <c r="AC1583" s="232">
        <f t="shared" si="877"/>
        <v>0.46999999999934516</v>
      </c>
      <c r="AD1583" s="233">
        <f t="shared" si="878"/>
        <v>0</v>
      </c>
      <c r="AE1583" s="234">
        <f t="shared" si="879"/>
        <v>2.9780000000000002E-3</v>
      </c>
      <c r="AF1583" s="229"/>
      <c r="AG1583" s="235" t="s">
        <v>416</v>
      </c>
      <c r="AH1583" s="124"/>
    </row>
    <row r="1584" spans="1:34" ht="12" hidden="1" customHeight="1">
      <c r="A1584" s="220">
        <v>44755</v>
      </c>
      <c r="B1584" s="221" t="s">
        <v>814</v>
      </c>
      <c r="C1584" s="7" t="s">
        <v>485</v>
      </c>
      <c r="D1584" s="221" t="str">
        <f t="shared" ca="1" si="863"/>
        <v>Indices</v>
      </c>
      <c r="E1584" s="221" t="str">
        <f ca="1">IFERROR(__xludf.DUMMYFUNCTION("split(B1584,"" "")"),"NIFTY")</f>
        <v>NIFTY</v>
      </c>
      <c r="F1584" s="236" t="str">
        <f ca="1">IFERROR(__xludf.DUMMYFUNCTION("""COMPUTED_VALUE"""),"14!JUL")</f>
        <v>14!JUL</v>
      </c>
      <c r="G1584" s="221">
        <f ca="1">IFERROR(__xludf.DUMMYFUNCTION("""COMPUTED_VALUE"""),16100)</f>
        <v>16100</v>
      </c>
      <c r="H1584" s="221" t="str">
        <f ca="1">IFERROR(__xludf.DUMMYFUNCTION("""COMPUTED_VALUE"""),"CE")</f>
        <v>CE</v>
      </c>
      <c r="I1584" s="221" t="s">
        <v>4</v>
      </c>
      <c r="J1584" s="223">
        <v>50</v>
      </c>
      <c r="K1584" s="224">
        <v>1</v>
      </c>
      <c r="L1584" s="224">
        <v>1</v>
      </c>
      <c r="M1584" s="225">
        <f t="shared" si="864"/>
        <v>50</v>
      </c>
      <c r="N1584" s="226">
        <v>33</v>
      </c>
      <c r="O1584" s="227">
        <v>34</v>
      </c>
      <c r="P1584" s="228">
        <f t="shared" si="865"/>
        <v>1650</v>
      </c>
      <c r="Q1584" s="228">
        <f t="shared" si="866"/>
        <v>1700</v>
      </c>
      <c r="R1584" s="229">
        <f t="shared" si="867"/>
        <v>3350</v>
      </c>
      <c r="S1584" s="229">
        <f t="shared" si="868"/>
        <v>50</v>
      </c>
      <c r="T1584" s="229">
        <f t="shared" si="880"/>
        <v>40</v>
      </c>
      <c r="U1584" s="229">
        <f t="shared" si="870"/>
        <v>7.52</v>
      </c>
      <c r="V1584" s="229">
        <f t="shared" si="871"/>
        <v>0.85</v>
      </c>
      <c r="W1584" s="229">
        <f t="shared" si="872"/>
        <v>0.05</v>
      </c>
      <c r="X1584" s="229">
        <f t="shared" si="873"/>
        <v>1.78</v>
      </c>
      <c r="Y1584" s="229">
        <f t="shared" si="874"/>
        <v>0</v>
      </c>
      <c r="Z1584" s="229">
        <f t="shared" si="875"/>
        <v>50.199999999999996</v>
      </c>
      <c r="AA1584" s="230">
        <f t="shared" si="876"/>
        <v>-0.2</v>
      </c>
      <c r="AB1584" s="231">
        <v>0</v>
      </c>
      <c r="AC1584" s="232">
        <f t="shared" si="877"/>
        <v>0.2</v>
      </c>
      <c r="AD1584" s="233">
        <f t="shared" si="878"/>
        <v>3.0303030303030304E-2</v>
      </c>
      <c r="AE1584" s="234">
        <f t="shared" si="879"/>
        <v>1.4985E-2</v>
      </c>
      <c r="AF1584" s="229"/>
      <c r="AG1584" s="235" t="s">
        <v>416</v>
      </c>
      <c r="AH1584" s="124"/>
    </row>
    <row r="1585" spans="1:34" ht="12" hidden="1" customHeight="1">
      <c r="A1585" s="154">
        <v>44755</v>
      </c>
      <c r="B1585" s="221" t="s">
        <v>814</v>
      </c>
      <c r="C1585" s="7" t="s">
        <v>485</v>
      </c>
      <c r="D1585" s="221" t="str">
        <f t="shared" ca="1" si="863"/>
        <v>Indices</v>
      </c>
      <c r="E1585" s="221" t="str">
        <f ca="1">IFERROR(__xludf.DUMMYFUNCTION("split(B1585,"" "")"),"NIFTY")</f>
        <v>NIFTY</v>
      </c>
      <c r="F1585" s="236" t="str">
        <f ca="1">IFERROR(__xludf.DUMMYFUNCTION("""COMPUTED_VALUE"""),"14!JUL")</f>
        <v>14!JUL</v>
      </c>
      <c r="G1585" s="221">
        <f ca="1">IFERROR(__xludf.DUMMYFUNCTION("""COMPUTED_VALUE"""),16100)</f>
        <v>16100</v>
      </c>
      <c r="H1585" s="221" t="str">
        <f ca="1">IFERROR(__xludf.DUMMYFUNCTION("""COMPUTED_VALUE"""),"CE")</f>
        <v>CE</v>
      </c>
      <c r="I1585" s="221" t="s">
        <v>4</v>
      </c>
      <c r="J1585" s="223">
        <v>50</v>
      </c>
      <c r="K1585" s="224">
        <v>1</v>
      </c>
      <c r="L1585" s="224">
        <v>3</v>
      </c>
      <c r="M1585" s="225">
        <f t="shared" si="864"/>
        <v>150</v>
      </c>
      <c r="N1585" s="226">
        <v>51.333300000000001</v>
      </c>
      <c r="O1585" s="227">
        <v>0</v>
      </c>
      <c r="P1585" s="228">
        <f t="shared" si="865"/>
        <v>7700</v>
      </c>
      <c r="Q1585" s="228">
        <f t="shared" si="866"/>
        <v>0</v>
      </c>
      <c r="R1585" s="229">
        <f t="shared" si="867"/>
        <v>7700</v>
      </c>
      <c r="S1585" s="229">
        <f t="shared" si="868"/>
        <v>-7699.9949999999999</v>
      </c>
      <c r="T1585" s="229">
        <f t="shared" si="880"/>
        <v>60</v>
      </c>
      <c r="U1585" s="229">
        <f t="shared" si="870"/>
        <v>11.53</v>
      </c>
      <c r="V1585" s="229">
        <f t="shared" si="871"/>
        <v>0</v>
      </c>
      <c r="W1585" s="229">
        <f t="shared" si="872"/>
        <v>0.23</v>
      </c>
      <c r="X1585" s="229">
        <f t="shared" si="873"/>
        <v>4.08</v>
      </c>
      <c r="Y1585" s="229">
        <f t="shared" si="874"/>
        <v>0.01</v>
      </c>
      <c r="Z1585" s="229">
        <f t="shared" si="875"/>
        <v>75.850000000000009</v>
      </c>
      <c r="AA1585" s="230">
        <f t="shared" si="876"/>
        <v>-7775.85</v>
      </c>
      <c r="AB1585" s="231">
        <v>-7776</v>
      </c>
      <c r="AC1585" s="232">
        <f t="shared" si="877"/>
        <v>-0.1499999999996362</v>
      </c>
      <c r="AD1585" s="233">
        <f t="shared" si="878"/>
        <v>-1</v>
      </c>
      <c r="AE1585" s="234">
        <f t="shared" si="879"/>
        <v>9.8510000000000004E-3</v>
      </c>
      <c r="AF1585" s="229"/>
      <c r="AG1585" s="235" t="s">
        <v>416</v>
      </c>
      <c r="AH1585" s="124"/>
    </row>
    <row r="1586" spans="1:34" ht="12" hidden="1" customHeight="1">
      <c r="A1586" s="155">
        <v>44756</v>
      </c>
      <c r="B1586" s="221" t="s">
        <v>814</v>
      </c>
      <c r="C1586" s="7" t="s">
        <v>485</v>
      </c>
      <c r="D1586" s="221" t="str">
        <f t="shared" ca="1" si="863"/>
        <v>Indices</v>
      </c>
      <c r="E1586" s="221" t="str">
        <f ca="1">IFERROR(__xludf.DUMMYFUNCTION("split(B1586,"" "")"),"NIFTY")</f>
        <v>NIFTY</v>
      </c>
      <c r="F1586" s="236" t="str">
        <f ca="1">IFERROR(__xludf.DUMMYFUNCTION("""COMPUTED_VALUE"""),"14!JUL")</f>
        <v>14!JUL</v>
      </c>
      <c r="G1586" s="221">
        <f ca="1">IFERROR(__xludf.DUMMYFUNCTION("""COMPUTED_VALUE"""),16100)</f>
        <v>16100</v>
      </c>
      <c r="H1586" s="221" t="str">
        <f ca="1">IFERROR(__xludf.DUMMYFUNCTION("""COMPUTED_VALUE"""),"CE")</f>
        <v>CE</v>
      </c>
      <c r="I1586" s="221" t="s">
        <v>4</v>
      </c>
      <c r="J1586" s="223">
        <v>50</v>
      </c>
      <c r="K1586" s="224">
        <v>3</v>
      </c>
      <c r="L1586" s="224">
        <v>1</v>
      </c>
      <c r="M1586" s="225">
        <f t="shared" si="864"/>
        <v>150</v>
      </c>
      <c r="N1586" s="226">
        <v>0</v>
      </c>
      <c r="O1586" s="227">
        <v>29</v>
      </c>
      <c r="P1586" s="228">
        <f t="shared" si="865"/>
        <v>0</v>
      </c>
      <c r="Q1586" s="228">
        <f t="shared" si="866"/>
        <v>4350</v>
      </c>
      <c r="R1586" s="229">
        <f t="shared" si="867"/>
        <v>4350</v>
      </c>
      <c r="S1586" s="229">
        <f t="shared" si="868"/>
        <v>4350</v>
      </c>
      <c r="T1586" s="229">
        <f t="shared" si="880"/>
        <v>20</v>
      </c>
      <c r="U1586" s="229">
        <f t="shared" si="870"/>
        <v>4.0199999999999996</v>
      </c>
      <c r="V1586" s="229">
        <f t="shared" si="871"/>
        <v>2.1800000000000002</v>
      </c>
      <c r="W1586" s="229">
        <f t="shared" si="872"/>
        <v>0</v>
      </c>
      <c r="X1586" s="229">
        <f t="shared" si="873"/>
        <v>2.31</v>
      </c>
      <c r="Y1586" s="229">
        <f t="shared" si="874"/>
        <v>0</v>
      </c>
      <c r="Z1586" s="229">
        <f t="shared" si="875"/>
        <v>28.509999999999998</v>
      </c>
      <c r="AA1586" s="230">
        <f t="shared" si="876"/>
        <v>4321.49</v>
      </c>
      <c r="AB1586" s="231">
        <v>4321.8900000000003</v>
      </c>
      <c r="AC1586" s="232">
        <f t="shared" si="877"/>
        <v>0.4000000000005457</v>
      </c>
      <c r="AD1586" s="233">
        <f t="shared" si="878"/>
        <v>0</v>
      </c>
      <c r="AE1586" s="234">
        <f t="shared" si="879"/>
        <v>6.5539999999999999E-3</v>
      </c>
      <c r="AF1586" s="229"/>
      <c r="AG1586" s="235" t="s">
        <v>416</v>
      </c>
      <c r="AH1586" s="124"/>
    </row>
    <row r="1587" spans="1:34" ht="12" hidden="1" customHeight="1">
      <c r="A1587" s="220">
        <v>44756</v>
      </c>
      <c r="B1587" s="221" t="s">
        <v>814</v>
      </c>
      <c r="C1587" s="7" t="s">
        <v>485</v>
      </c>
      <c r="D1587" s="221" t="str">
        <f t="shared" ca="1" si="863"/>
        <v>Indices</v>
      </c>
      <c r="E1587" s="221" t="str">
        <f ca="1">IFERROR(__xludf.DUMMYFUNCTION("split(B1587,"" "")"),"NIFTY")</f>
        <v>NIFTY</v>
      </c>
      <c r="F1587" s="236" t="str">
        <f ca="1">IFERROR(__xludf.DUMMYFUNCTION("""COMPUTED_VALUE"""),"14!JUL")</f>
        <v>14!JUL</v>
      </c>
      <c r="G1587" s="221">
        <f ca="1">IFERROR(__xludf.DUMMYFUNCTION("""COMPUTED_VALUE"""),16100)</f>
        <v>16100</v>
      </c>
      <c r="H1587" s="221" t="str">
        <f ca="1">IFERROR(__xludf.DUMMYFUNCTION("""COMPUTED_VALUE"""),"CE")</f>
        <v>CE</v>
      </c>
      <c r="I1587" s="221" t="s">
        <v>4</v>
      </c>
      <c r="J1587" s="223">
        <v>50</v>
      </c>
      <c r="K1587" s="224">
        <v>2</v>
      </c>
      <c r="L1587" s="224">
        <v>1</v>
      </c>
      <c r="M1587" s="225">
        <f t="shared" si="864"/>
        <v>100</v>
      </c>
      <c r="N1587" s="226">
        <v>0.35</v>
      </c>
      <c r="O1587" s="227">
        <v>0</v>
      </c>
      <c r="P1587" s="228">
        <f t="shared" si="865"/>
        <v>35</v>
      </c>
      <c r="Q1587" s="228">
        <f t="shared" si="866"/>
        <v>0</v>
      </c>
      <c r="R1587" s="229">
        <f t="shared" si="867"/>
        <v>35</v>
      </c>
      <c r="S1587" s="229">
        <f t="shared" si="868"/>
        <v>-35</v>
      </c>
      <c r="T1587" s="229">
        <f t="shared" si="880"/>
        <v>20</v>
      </c>
      <c r="U1587" s="229">
        <f t="shared" si="870"/>
        <v>3.6</v>
      </c>
      <c r="V1587" s="229">
        <f t="shared" si="871"/>
        <v>0</v>
      </c>
      <c r="W1587" s="229">
        <f t="shared" si="872"/>
        <v>0</v>
      </c>
      <c r="X1587" s="229">
        <f t="shared" si="873"/>
        <v>0.02</v>
      </c>
      <c r="Y1587" s="229">
        <f t="shared" si="874"/>
        <v>0</v>
      </c>
      <c r="Z1587" s="229">
        <f t="shared" si="875"/>
        <v>23.62</v>
      </c>
      <c r="AA1587" s="230">
        <f t="shared" si="876"/>
        <v>-58.62</v>
      </c>
      <c r="AB1587" s="231">
        <v>-59</v>
      </c>
      <c r="AC1587" s="232">
        <f t="shared" si="877"/>
        <v>-0.38000000000000256</v>
      </c>
      <c r="AD1587" s="233">
        <f t="shared" si="878"/>
        <v>-1</v>
      </c>
      <c r="AE1587" s="234">
        <f t="shared" si="879"/>
        <v>0.67485700000000004</v>
      </c>
      <c r="AF1587" s="229"/>
      <c r="AG1587" s="235" t="s">
        <v>416</v>
      </c>
      <c r="AH1587" s="124"/>
    </row>
    <row r="1588" spans="1:34" ht="12" hidden="1" customHeight="1">
      <c r="A1588" s="220">
        <v>44756</v>
      </c>
      <c r="B1588" s="221" t="s">
        <v>814</v>
      </c>
      <c r="C1588" s="7" t="s">
        <v>485</v>
      </c>
      <c r="D1588" s="221" t="str">
        <f t="shared" ca="1" si="863"/>
        <v>Indices</v>
      </c>
      <c r="E1588" s="221" t="str">
        <f ca="1">IFERROR(__xludf.DUMMYFUNCTION("split(B1588,"" "")"),"NIFTY")</f>
        <v>NIFTY</v>
      </c>
      <c r="F1588" s="236" t="str">
        <f ca="1">IFERROR(__xludf.DUMMYFUNCTION("""COMPUTED_VALUE"""),"14!JUL")</f>
        <v>14!JUL</v>
      </c>
      <c r="G1588" s="221">
        <f ca="1">IFERROR(__xludf.DUMMYFUNCTION("""COMPUTED_VALUE"""),16100)</f>
        <v>16100</v>
      </c>
      <c r="H1588" s="221" t="str">
        <f ca="1">IFERROR(__xludf.DUMMYFUNCTION("""COMPUTED_VALUE"""),"CE")</f>
        <v>CE</v>
      </c>
      <c r="I1588" s="221" t="s">
        <v>4</v>
      </c>
      <c r="J1588" s="223">
        <v>50</v>
      </c>
      <c r="K1588" s="224">
        <v>2</v>
      </c>
      <c r="L1588" s="224">
        <v>1</v>
      </c>
      <c r="M1588" s="225">
        <f t="shared" si="864"/>
        <v>100</v>
      </c>
      <c r="N1588" s="226">
        <v>0</v>
      </c>
      <c r="O1588" s="227">
        <v>0.15</v>
      </c>
      <c r="P1588" s="228">
        <f t="shared" si="865"/>
        <v>0</v>
      </c>
      <c r="Q1588" s="228">
        <f t="shared" si="866"/>
        <v>15</v>
      </c>
      <c r="R1588" s="229">
        <f t="shared" si="867"/>
        <v>15</v>
      </c>
      <c r="S1588" s="229">
        <f t="shared" si="868"/>
        <v>15</v>
      </c>
      <c r="T1588" s="229">
        <f t="shared" si="880"/>
        <v>20</v>
      </c>
      <c r="U1588" s="229">
        <f t="shared" si="870"/>
        <v>3.6</v>
      </c>
      <c r="V1588" s="229">
        <f t="shared" si="871"/>
        <v>0.01</v>
      </c>
      <c r="W1588" s="229">
        <f t="shared" si="872"/>
        <v>0</v>
      </c>
      <c r="X1588" s="229">
        <f t="shared" si="873"/>
        <v>0.01</v>
      </c>
      <c r="Y1588" s="229">
        <f t="shared" si="874"/>
        <v>0</v>
      </c>
      <c r="Z1588" s="229">
        <f t="shared" si="875"/>
        <v>23.620000000000005</v>
      </c>
      <c r="AA1588" s="230">
        <f t="shared" si="876"/>
        <v>-8.6199999999999992</v>
      </c>
      <c r="AB1588" s="231">
        <v>-9</v>
      </c>
      <c r="AC1588" s="232">
        <f t="shared" si="877"/>
        <v>-0.38000000000000078</v>
      </c>
      <c r="AD1588" s="233">
        <f t="shared" si="878"/>
        <v>0</v>
      </c>
      <c r="AE1588" s="234">
        <f t="shared" si="879"/>
        <v>1.574667</v>
      </c>
      <c r="AF1588" s="229"/>
      <c r="AG1588" s="235" t="s">
        <v>416</v>
      </c>
      <c r="AH1588" s="124"/>
    </row>
    <row r="1589" spans="1:34" ht="12" hidden="1" customHeight="1">
      <c r="A1589" s="220">
        <v>44757</v>
      </c>
      <c r="B1589" s="221" t="s">
        <v>815</v>
      </c>
      <c r="C1589" s="7" t="s">
        <v>485</v>
      </c>
      <c r="D1589" s="221" t="str">
        <f t="shared" ca="1" si="863"/>
        <v>Indices</v>
      </c>
      <c r="E1589" s="221" t="str">
        <f ca="1">IFERROR(__xludf.DUMMYFUNCTION("split(B1589,"" "")"),"NIFTY")</f>
        <v>NIFTY</v>
      </c>
      <c r="F1589" s="236" t="str">
        <f ca="1">IFERROR(__xludf.DUMMYFUNCTION("""COMPUTED_VALUE"""),"21!JUL")</f>
        <v>21!JUL</v>
      </c>
      <c r="G1589" s="221">
        <f ca="1">IFERROR(__xludf.DUMMYFUNCTION("""COMPUTED_VALUE"""),15850)</f>
        <v>15850</v>
      </c>
      <c r="H1589" s="221" t="str">
        <f ca="1">IFERROR(__xludf.DUMMYFUNCTION("""COMPUTED_VALUE"""),"CE")</f>
        <v>CE</v>
      </c>
      <c r="I1589" s="221" t="s">
        <v>4</v>
      </c>
      <c r="J1589" s="223">
        <v>50</v>
      </c>
      <c r="K1589" s="224">
        <v>1</v>
      </c>
      <c r="L1589" s="224">
        <v>2</v>
      </c>
      <c r="M1589" s="225">
        <f t="shared" si="864"/>
        <v>100</v>
      </c>
      <c r="N1589" s="226">
        <v>183</v>
      </c>
      <c r="O1589" s="227">
        <v>200</v>
      </c>
      <c r="P1589" s="228">
        <f t="shared" si="865"/>
        <v>18300</v>
      </c>
      <c r="Q1589" s="228">
        <f t="shared" si="866"/>
        <v>20000</v>
      </c>
      <c r="R1589" s="229">
        <f t="shared" si="867"/>
        <v>38300</v>
      </c>
      <c r="S1589" s="229">
        <f t="shared" si="868"/>
        <v>1700</v>
      </c>
      <c r="T1589" s="229">
        <f t="shared" si="880"/>
        <v>80</v>
      </c>
      <c r="U1589" s="229">
        <f t="shared" si="870"/>
        <v>18.05</v>
      </c>
      <c r="V1589" s="229">
        <f t="shared" si="871"/>
        <v>10</v>
      </c>
      <c r="W1589" s="229">
        <f t="shared" si="872"/>
        <v>0.55000000000000004</v>
      </c>
      <c r="X1589" s="229">
        <f t="shared" si="873"/>
        <v>20.3</v>
      </c>
      <c r="Y1589" s="229">
        <f t="shared" si="874"/>
        <v>0.04</v>
      </c>
      <c r="Z1589" s="229">
        <f t="shared" si="875"/>
        <v>128.94</v>
      </c>
      <c r="AA1589" s="230">
        <f t="shared" si="876"/>
        <v>1571.06</v>
      </c>
      <c r="AB1589" s="231">
        <v>1571.35</v>
      </c>
      <c r="AC1589" s="232">
        <f t="shared" si="877"/>
        <v>0.28999999999996362</v>
      </c>
      <c r="AD1589" s="233">
        <f t="shared" si="878"/>
        <v>9.2896174863387984E-2</v>
      </c>
      <c r="AE1589" s="234">
        <f t="shared" si="879"/>
        <v>3.3670000000000002E-3</v>
      </c>
      <c r="AF1589" s="229"/>
      <c r="AG1589" s="235" t="s">
        <v>416</v>
      </c>
      <c r="AH1589" s="124"/>
    </row>
    <row r="1590" spans="1:34" ht="12" hidden="1" customHeight="1">
      <c r="A1590" s="220">
        <v>44760</v>
      </c>
      <c r="B1590" s="221" t="s">
        <v>816</v>
      </c>
      <c r="C1590" s="7" t="s">
        <v>485</v>
      </c>
      <c r="D1590" s="221" t="str">
        <f t="shared" ca="1" si="863"/>
        <v>Indices</v>
      </c>
      <c r="E1590" s="221" t="str">
        <f ca="1">IFERROR(__xludf.DUMMYFUNCTION("split(B1590,"" "")"),"NIFTY")</f>
        <v>NIFTY</v>
      </c>
      <c r="F1590" s="236" t="str">
        <f ca="1">IFERROR(__xludf.DUMMYFUNCTION("""COMPUTED_VALUE"""),"21!JUL")</f>
        <v>21!JUL</v>
      </c>
      <c r="G1590" s="221">
        <f ca="1">IFERROR(__xludf.DUMMYFUNCTION("""COMPUTED_VALUE"""),16100)</f>
        <v>16100</v>
      </c>
      <c r="H1590" s="221" t="str">
        <f ca="1">IFERROR(__xludf.DUMMYFUNCTION("""COMPUTED_VALUE"""),"PE")</f>
        <v>PE</v>
      </c>
      <c r="I1590" s="221" t="s">
        <v>4</v>
      </c>
      <c r="J1590" s="223">
        <v>50</v>
      </c>
      <c r="K1590" s="224">
        <v>1</v>
      </c>
      <c r="L1590" s="224">
        <v>1</v>
      </c>
      <c r="M1590" s="225">
        <f t="shared" si="864"/>
        <v>50</v>
      </c>
      <c r="N1590" s="226">
        <v>52</v>
      </c>
      <c r="O1590" s="227">
        <v>53.5</v>
      </c>
      <c r="P1590" s="228">
        <f t="shared" si="865"/>
        <v>2600</v>
      </c>
      <c r="Q1590" s="228">
        <f t="shared" si="866"/>
        <v>2675</v>
      </c>
      <c r="R1590" s="229">
        <f t="shared" si="867"/>
        <v>5275</v>
      </c>
      <c r="S1590" s="229">
        <f t="shared" si="868"/>
        <v>75</v>
      </c>
      <c r="T1590" s="229">
        <f t="shared" si="880"/>
        <v>40</v>
      </c>
      <c r="U1590" s="229">
        <f t="shared" si="870"/>
        <v>7.7</v>
      </c>
      <c r="V1590" s="229">
        <f t="shared" si="871"/>
        <v>1.34</v>
      </c>
      <c r="W1590" s="229">
        <f t="shared" si="872"/>
        <v>0.08</v>
      </c>
      <c r="X1590" s="229">
        <f t="shared" si="873"/>
        <v>2.8</v>
      </c>
      <c r="Y1590" s="229">
        <f t="shared" si="874"/>
        <v>0.01</v>
      </c>
      <c r="Z1590" s="229">
        <f t="shared" si="875"/>
        <v>51.93</v>
      </c>
      <c r="AA1590" s="230">
        <f t="shared" si="876"/>
        <v>23.07</v>
      </c>
      <c r="AB1590" s="231">
        <v>23</v>
      </c>
      <c r="AC1590" s="232">
        <f t="shared" si="877"/>
        <v>-7.0000000000000284E-2</v>
      </c>
      <c r="AD1590" s="233">
        <f t="shared" si="878"/>
        <v>2.8846153846153848E-2</v>
      </c>
      <c r="AE1590" s="234">
        <f t="shared" si="879"/>
        <v>9.8449999999999996E-3</v>
      </c>
      <c r="AF1590" s="229"/>
      <c r="AG1590" s="235" t="s">
        <v>416</v>
      </c>
      <c r="AH1590" s="124"/>
    </row>
    <row r="1591" spans="1:34" ht="12" hidden="1" customHeight="1">
      <c r="A1591" s="220">
        <v>44760</v>
      </c>
      <c r="B1591" s="221" t="s">
        <v>817</v>
      </c>
      <c r="C1591" s="7" t="s">
        <v>485</v>
      </c>
      <c r="D1591" s="221" t="str">
        <f t="shared" ca="1" si="863"/>
        <v>Indices</v>
      </c>
      <c r="E1591" s="221" t="str">
        <f ca="1">IFERROR(__xludf.DUMMYFUNCTION("split(B1591,"" "")"),"NIFTY")</f>
        <v>NIFTY</v>
      </c>
      <c r="F1591" s="236" t="str">
        <f ca="1">IFERROR(__xludf.DUMMYFUNCTION("""COMPUTED_VALUE"""),"21!JUL")</f>
        <v>21!JUL</v>
      </c>
      <c r="G1591" s="221">
        <f ca="1">IFERROR(__xludf.DUMMYFUNCTION("""COMPUTED_VALUE"""),16150)</f>
        <v>16150</v>
      </c>
      <c r="H1591" s="221" t="str">
        <f ca="1">IFERROR(__xludf.DUMMYFUNCTION("""COMPUTED_VALUE"""),"CE")</f>
        <v>CE</v>
      </c>
      <c r="I1591" s="221" t="s">
        <v>4</v>
      </c>
      <c r="J1591" s="223">
        <v>50</v>
      </c>
      <c r="K1591" s="224">
        <v>1</v>
      </c>
      <c r="L1591" s="224">
        <v>1</v>
      </c>
      <c r="M1591" s="225">
        <f t="shared" si="864"/>
        <v>50</v>
      </c>
      <c r="N1591" s="226">
        <v>125</v>
      </c>
      <c r="O1591" s="227">
        <v>148.1</v>
      </c>
      <c r="P1591" s="228">
        <f t="shared" si="865"/>
        <v>6250</v>
      </c>
      <c r="Q1591" s="228">
        <f t="shared" si="866"/>
        <v>7405</v>
      </c>
      <c r="R1591" s="229">
        <f t="shared" si="867"/>
        <v>13655</v>
      </c>
      <c r="S1591" s="229">
        <f t="shared" si="868"/>
        <v>1154.9999999999998</v>
      </c>
      <c r="T1591" s="229">
        <f t="shared" si="880"/>
        <v>40</v>
      </c>
      <c r="U1591" s="229">
        <f t="shared" si="870"/>
        <v>8.5</v>
      </c>
      <c r="V1591" s="229">
        <f t="shared" si="871"/>
        <v>3.7</v>
      </c>
      <c r="W1591" s="229">
        <f t="shared" si="872"/>
        <v>0.19</v>
      </c>
      <c r="X1591" s="229">
        <f t="shared" si="873"/>
        <v>7.24</v>
      </c>
      <c r="Y1591" s="229">
        <f t="shared" si="874"/>
        <v>0.01</v>
      </c>
      <c r="Z1591" s="229">
        <f t="shared" si="875"/>
        <v>59.64</v>
      </c>
      <c r="AA1591" s="230">
        <f t="shared" si="876"/>
        <v>1095.3599999999999</v>
      </c>
      <c r="AB1591" s="231">
        <v>1095.71</v>
      </c>
      <c r="AC1591" s="232">
        <f t="shared" si="877"/>
        <v>0.35000000000013642</v>
      </c>
      <c r="AD1591" s="233">
        <f t="shared" si="878"/>
        <v>0.18479999999999996</v>
      </c>
      <c r="AE1591" s="234">
        <f t="shared" si="879"/>
        <v>4.3680000000000004E-3</v>
      </c>
      <c r="AF1591" s="229"/>
      <c r="AG1591" s="235" t="s">
        <v>416</v>
      </c>
      <c r="AH1591" s="124"/>
    </row>
    <row r="1592" spans="1:34" ht="12" hidden="1" customHeight="1">
      <c r="A1592" s="154">
        <v>44760</v>
      </c>
      <c r="B1592" s="221" t="s">
        <v>816</v>
      </c>
      <c r="C1592" s="7" t="s">
        <v>485</v>
      </c>
      <c r="D1592" s="221" t="str">
        <f t="shared" ca="1" si="863"/>
        <v>Indices</v>
      </c>
      <c r="E1592" s="221" t="str">
        <f ca="1">IFERROR(__xludf.DUMMYFUNCTION("split(B1592,"" "")"),"NIFTY")</f>
        <v>NIFTY</v>
      </c>
      <c r="F1592" s="236" t="str">
        <f ca="1">IFERROR(__xludf.DUMMYFUNCTION("""COMPUTED_VALUE"""),"21!JUL")</f>
        <v>21!JUL</v>
      </c>
      <c r="G1592" s="221">
        <f ca="1">IFERROR(__xludf.DUMMYFUNCTION("""COMPUTED_VALUE"""),16100)</f>
        <v>16100</v>
      </c>
      <c r="H1592" s="221" t="str">
        <f ca="1">IFERROR(__xludf.DUMMYFUNCTION("""COMPUTED_VALUE"""),"PE")</f>
        <v>PE</v>
      </c>
      <c r="I1592" s="221" t="s">
        <v>4</v>
      </c>
      <c r="J1592" s="223">
        <v>50</v>
      </c>
      <c r="K1592" s="224">
        <v>1</v>
      </c>
      <c r="L1592" s="224">
        <v>3</v>
      </c>
      <c r="M1592" s="225">
        <f t="shared" si="864"/>
        <v>150</v>
      </c>
      <c r="N1592" s="226">
        <v>45</v>
      </c>
      <c r="O1592" s="227">
        <v>0</v>
      </c>
      <c r="P1592" s="228">
        <f t="shared" si="865"/>
        <v>6750</v>
      </c>
      <c r="Q1592" s="228">
        <f t="shared" si="866"/>
        <v>0</v>
      </c>
      <c r="R1592" s="229">
        <f t="shared" si="867"/>
        <v>6750</v>
      </c>
      <c r="S1592" s="229">
        <f t="shared" si="868"/>
        <v>-6750</v>
      </c>
      <c r="T1592" s="229">
        <f t="shared" si="880"/>
        <v>60</v>
      </c>
      <c r="U1592" s="229">
        <f t="shared" si="870"/>
        <v>11.44</v>
      </c>
      <c r="V1592" s="229">
        <f t="shared" si="871"/>
        <v>0</v>
      </c>
      <c r="W1592" s="229">
        <f t="shared" si="872"/>
        <v>0.2</v>
      </c>
      <c r="X1592" s="229">
        <f t="shared" si="873"/>
        <v>3.58</v>
      </c>
      <c r="Y1592" s="229">
        <f t="shared" si="874"/>
        <v>0.01</v>
      </c>
      <c r="Z1592" s="229">
        <f t="shared" si="875"/>
        <v>75.23</v>
      </c>
      <c r="AA1592" s="230">
        <f t="shared" si="876"/>
        <v>-6825.23</v>
      </c>
      <c r="AB1592" s="231">
        <v>-6825</v>
      </c>
      <c r="AC1592" s="232">
        <f t="shared" si="877"/>
        <v>0.22999999999956344</v>
      </c>
      <c r="AD1592" s="233">
        <f t="shared" si="878"/>
        <v>-1</v>
      </c>
      <c r="AE1592" s="234">
        <f t="shared" si="879"/>
        <v>1.1145E-2</v>
      </c>
      <c r="AF1592" s="229"/>
      <c r="AG1592" s="235" t="s">
        <v>416</v>
      </c>
      <c r="AH1592" s="124"/>
    </row>
    <row r="1593" spans="1:34" ht="12" hidden="1" customHeight="1">
      <c r="A1593" s="155">
        <v>44761</v>
      </c>
      <c r="B1593" s="221" t="s">
        <v>816</v>
      </c>
      <c r="C1593" s="7" t="s">
        <v>485</v>
      </c>
      <c r="D1593" s="221" t="str">
        <f t="shared" ca="1" si="863"/>
        <v>Indices</v>
      </c>
      <c r="E1593" s="221" t="str">
        <f ca="1">IFERROR(__xludf.DUMMYFUNCTION("split(B1593,"" "")"),"NIFTY")</f>
        <v>NIFTY</v>
      </c>
      <c r="F1593" s="236" t="str">
        <f ca="1">IFERROR(__xludf.DUMMYFUNCTION("""COMPUTED_VALUE"""),"21!JUL")</f>
        <v>21!JUL</v>
      </c>
      <c r="G1593" s="221">
        <f ca="1">IFERROR(__xludf.DUMMYFUNCTION("""COMPUTED_VALUE"""),16100)</f>
        <v>16100</v>
      </c>
      <c r="H1593" s="221" t="str">
        <f ca="1">IFERROR(__xludf.DUMMYFUNCTION("""COMPUTED_VALUE"""),"PE")</f>
        <v>PE</v>
      </c>
      <c r="I1593" s="221" t="s">
        <v>4</v>
      </c>
      <c r="J1593" s="223">
        <v>50</v>
      </c>
      <c r="K1593" s="224">
        <v>3</v>
      </c>
      <c r="L1593" s="224">
        <v>1</v>
      </c>
      <c r="M1593" s="225">
        <f t="shared" si="864"/>
        <v>150</v>
      </c>
      <c r="N1593" s="226">
        <v>0</v>
      </c>
      <c r="O1593" s="227">
        <v>46.83</v>
      </c>
      <c r="P1593" s="228">
        <f t="shared" si="865"/>
        <v>0</v>
      </c>
      <c r="Q1593" s="228">
        <f t="shared" si="866"/>
        <v>7024.5</v>
      </c>
      <c r="R1593" s="229">
        <f t="shared" si="867"/>
        <v>7024.5</v>
      </c>
      <c r="S1593" s="229">
        <f t="shared" si="868"/>
        <v>7024.5</v>
      </c>
      <c r="T1593" s="229">
        <f t="shared" si="880"/>
        <v>20</v>
      </c>
      <c r="U1593" s="229">
        <f t="shared" si="870"/>
        <v>4.2699999999999996</v>
      </c>
      <c r="V1593" s="229">
        <f t="shared" si="871"/>
        <v>3.51</v>
      </c>
      <c r="W1593" s="229">
        <f t="shared" si="872"/>
        <v>0</v>
      </c>
      <c r="X1593" s="229">
        <f t="shared" si="873"/>
        <v>3.72</v>
      </c>
      <c r="Y1593" s="229">
        <f t="shared" si="874"/>
        <v>0.01</v>
      </c>
      <c r="Z1593" s="229">
        <f t="shared" si="875"/>
        <v>31.51</v>
      </c>
      <c r="AA1593" s="230">
        <f t="shared" si="876"/>
        <v>6992.99</v>
      </c>
      <c r="AB1593" s="231">
        <v>6993</v>
      </c>
      <c r="AC1593" s="232">
        <f t="shared" si="877"/>
        <v>1.0000000000218279E-2</v>
      </c>
      <c r="AD1593" s="233">
        <f t="shared" si="878"/>
        <v>0</v>
      </c>
      <c r="AE1593" s="234">
        <f t="shared" si="879"/>
        <v>4.4860000000000004E-3</v>
      </c>
      <c r="AF1593" s="229"/>
      <c r="AG1593" s="235" t="s">
        <v>416</v>
      </c>
      <c r="AH1593" s="124"/>
    </row>
    <row r="1594" spans="1:34" ht="12" hidden="1" customHeight="1">
      <c r="A1594" s="220">
        <v>44761</v>
      </c>
      <c r="B1594" s="221" t="s">
        <v>818</v>
      </c>
      <c r="C1594" s="7" t="s">
        <v>485</v>
      </c>
      <c r="D1594" s="221" t="str">
        <f t="shared" ca="1" si="863"/>
        <v>Stocks</v>
      </c>
      <c r="E1594" s="221" t="str">
        <f ca="1">IFERROR(__xludf.DUMMYFUNCTION("split(B1594,"" "")"),"VEDL")</f>
        <v>VEDL</v>
      </c>
      <c r="F1594" s="236" t="str">
        <f ca="1">IFERROR(__xludf.DUMMYFUNCTION("""COMPUTED_VALUE"""),"28!JUL")</f>
        <v>28!JUL</v>
      </c>
      <c r="G1594" s="221">
        <f ca="1">IFERROR(__xludf.DUMMYFUNCTION("""COMPUTED_VALUE"""),240)</f>
        <v>240</v>
      </c>
      <c r="H1594" s="221" t="str">
        <f ca="1">IFERROR(__xludf.DUMMYFUNCTION("""COMPUTED_VALUE"""),"CE")</f>
        <v>CE</v>
      </c>
      <c r="I1594" s="221" t="s">
        <v>4</v>
      </c>
      <c r="J1594" s="223">
        <v>1550</v>
      </c>
      <c r="K1594" s="224">
        <v>1</v>
      </c>
      <c r="L1594" s="224">
        <v>1</v>
      </c>
      <c r="M1594" s="225">
        <f t="shared" si="864"/>
        <v>1550</v>
      </c>
      <c r="N1594" s="226">
        <v>7.5</v>
      </c>
      <c r="O1594" s="227">
        <v>8.15</v>
      </c>
      <c r="P1594" s="228">
        <f t="shared" si="865"/>
        <v>11625</v>
      </c>
      <c r="Q1594" s="228">
        <f t="shared" si="866"/>
        <v>12632.5</v>
      </c>
      <c r="R1594" s="229">
        <f t="shared" si="867"/>
        <v>24257.5</v>
      </c>
      <c r="S1594" s="229">
        <f t="shared" si="868"/>
        <v>1007.5000000000006</v>
      </c>
      <c r="T1594" s="229">
        <f t="shared" si="880"/>
        <v>40</v>
      </c>
      <c r="U1594" s="229">
        <f t="shared" si="870"/>
        <v>9.51</v>
      </c>
      <c r="V1594" s="229">
        <f t="shared" si="871"/>
        <v>6.32</v>
      </c>
      <c r="W1594" s="229">
        <f t="shared" si="872"/>
        <v>0.35</v>
      </c>
      <c r="X1594" s="229">
        <f t="shared" si="873"/>
        <v>12.86</v>
      </c>
      <c r="Y1594" s="229">
        <f t="shared" si="874"/>
        <v>0.02</v>
      </c>
      <c r="Z1594" s="229">
        <f t="shared" si="875"/>
        <v>69.059999999999988</v>
      </c>
      <c r="AA1594" s="230">
        <f t="shared" si="876"/>
        <v>938.44</v>
      </c>
      <c r="AB1594" s="231">
        <v>938.38</v>
      </c>
      <c r="AC1594" s="232">
        <f t="shared" si="877"/>
        <v>-6.0000000000059117E-2</v>
      </c>
      <c r="AD1594" s="233">
        <f t="shared" si="878"/>
        <v>8.6666666666666711E-2</v>
      </c>
      <c r="AE1594" s="234">
        <f t="shared" si="879"/>
        <v>2.8470000000000001E-3</v>
      </c>
      <c r="AF1594" s="229"/>
      <c r="AG1594" s="235" t="s">
        <v>416</v>
      </c>
      <c r="AH1594" s="124"/>
    </row>
    <row r="1595" spans="1:34" ht="12" hidden="1" customHeight="1">
      <c r="A1595" s="220">
        <v>44761</v>
      </c>
      <c r="B1595" s="221" t="s">
        <v>817</v>
      </c>
      <c r="C1595" s="7" t="s">
        <v>485</v>
      </c>
      <c r="D1595" s="221" t="str">
        <f t="shared" ca="1" si="863"/>
        <v>Indices</v>
      </c>
      <c r="E1595" s="221" t="str">
        <f ca="1">IFERROR(__xludf.DUMMYFUNCTION("split(B1595,"" "")"),"NIFTY")</f>
        <v>NIFTY</v>
      </c>
      <c r="F1595" s="236" t="str">
        <f ca="1">IFERROR(__xludf.DUMMYFUNCTION("""COMPUTED_VALUE"""),"21!JUL")</f>
        <v>21!JUL</v>
      </c>
      <c r="G1595" s="221">
        <f ca="1">IFERROR(__xludf.DUMMYFUNCTION("""COMPUTED_VALUE"""),16150)</f>
        <v>16150</v>
      </c>
      <c r="H1595" s="221" t="str">
        <f ca="1">IFERROR(__xludf.DUMMYFUNCTION("""COMPUTED_VALUE"""),"CE")</f>
        <v>CE</v>
      </c>
      <c r="I1595" s="221" t="s">
        <v>4</v>
      </c>
      <c r="J1595" s="223">
        <v>50</v>
      </c>
      <c r="K1595" s="224">
        <v>1</v>
      </c>
      <c r="L1595" s="224">
        <v>1</v>
      </c>
      <c r="M1595" s="225">
        <f t="shared" si="864"/>
        <v>50</v>
      </c>
      <c r="N1595" s="226">
        <v>145</v>
      </c>
      <c r="O1595" s="227">
        <v>160</v>
      </c>
      <c r="P1595" s="228">
        <f t="shared" si="865"/>
        <v>7250</v>
      </c>
      <c r="Q1595" s="228">
        <f t="shared" si="866"/>
        <v>8000</v>
      </c>
      <c r="R1595" s="229">
        <f t="shared" si="867"/>
        <v>15250</v>
      </c>
      <c r="S1595" s="229">
        <f t="shared" si="868"/>
        <v>750</v>
      </c>
      <c r="T1595" s="229">
        <f t="shared" si="880"/>
        <v>40</v>
      </c>
      <c r="U1595" s="229">
        <f t="shared" si="870"/>
        <v>8.65</v>
      </c>
      <c r="V1595" s="229">
        <f t="shared" si="871"/>
        <v>4</v>
      </c>
      <c r="W1595" s="229">
        <f t="shared" si="872"/>
        <v>0.22</v>
      </c>
      <c r="X1595" s="229">
        <f t="shared" si="873"/>
        <v>8.08</v>
      </c>
      <c r="Y1595" s="229">
        <f t="shared" si="874"/>
        <v>0.02</v>
      </c>
      <c r="Z1595" s="229">
        <f t="shared" si="875"/>
        <v>60.97</v>
      </c>
      <c r="AA1595" s="230">
        <f t="shared" si="876"/>
        <v>689.03</v>
      </c>
      <c r="AB1595" s="231">
        <v>689</v>
      </c>
      <c r="AC1595" s="232">
        <f t="shared" si="877"/>
        <v>-2.9999999999972715E-2</v>
      </c>
      <c r="AD1595" s="233">
        <f t="shared" si="878"/>
        <v>0.10344827586206896</v>
      </c>
      <c r="AE1595" s="234">
        <f t="shared" si="879"/>
        <v>3.9979999999999998E-3</v>
      </c>
      <c r="AF1595" s="229"/>
      <c r="AG1595" s="235" t="s">
        <v>416</v>
      </c>
      <c r="AH1595" s="124"/>
    </row>
    <row r="1596" spans="1:34" ht="12" hidden="1" customHeight="1">
      <c r="A1596" s="154">
        <v>44741</v>
      </c>
      <c r="B1596" s="221" t="s">
        <v>818</v>
      </c>
      <c r="C1596" s="7" t="s">
        <v>485</v>
      </c>
      <c r="D1596" s="221" t="str">
        <f t="shared" ca="1" si="863"/>
        <v>Stocks</v>
      </c>
      <c r="E1596" s="221" t="str">
        <f ca="1">IFERROR(__xludf.DUMMYFUNCTION("split(B1596,"" "")"),"VEDL")</f>
        <v>VEDL</v>
      </c>
      <c r="F1596" s="236" t="str">
        <f ca="1">IFERROR(__xludf.DUMMYFUNCTION("""COMPUTED_VALUE"""),"28!JUL")</f>
        <v>28!JUL</v>
      </c>
      <c r="G1596" s="221">
        <f ca="1">IFERROR(__xludf.DUMMYFUNCTION("""COMPUTED_VALUE"""),240)</f>
        <v>240</v>
      </c>
      <c r="H1596" s="221" t="str">
        <f ca="1">IFERROR(__xludf.DUMMYFUNCTION("""COMPUTED_VALUE"""),"CE")</f>
        <v>CE</v>
      </c>
      <c r="I1596" s="221" t="s">
        <v>4</v>
      </c>
      <c r="J1596" s="223">
        <v>1550</v>
      </c>
      <c r="K1596" s="224">
        <v>1</v>
      </c>
      <c r="L1596" s="224">
        <v>1</v>
      </c>
      <c r="M1596" s="225">
        <f t="shared" si="864"/>
        <v>1550</v>
      </c>
      <c r="N1596" s="226">
        <v>12</v>
      </c>
      <c r="O1596" s="227">
        <v>0</v>
      </c>
      <c r="P1596" s="228">
        <f t="shared" si="865"/>
        <v>18600</v>
      </c>
      <c r="Q1596" s="228">
        <f t="shared" si="866"/>
        <v>0</v>
      </c>
      <c r="R1596" s="229">
        <f t="shared" si="867"/>
        <v>18600</v>
      </c>
      <c r="S1596" s="229">
        <f t="shared" si="868"/>
        <v>-18600</v>
      </c>
      <c r="T1596" s="229">
        <f t="shared" si="880"/>
        <v>20</v>
      </c>
      <c r="U1596" s="229">
        <f t="shared" si="870"/>
        <v>5.37</v>
      </c>
      <c r="V1596" s="229">
        <f t="shared" si="871"/>
        <v>0</v>
      </c>
      <c r="W1596" s="229">
        <f t="shared" si="872"/>
        <v>0.56000000000000005</v>
      </c>
      <c r="X1596" s="229">
        <f t="shared" si="873"/>
        <v>9.86</v>
      </c>
      <c r="Y1596" s="229">
        <f t="shared" si="874"/>
        <v>0.02</v>
      </c>
      <c r="Z1596" s="229">
        <f t="shared" si="875"/>
        <v>35.81</v>
      </c>
      <c r="AA1596" s="230">
        <f t="shared" si="876"/>
        <v>-18635.810000000001</v>
      </c>
      <c r="AB1596" s="231">
        <v>-18636</v>
      </c>
      <c r="AC1596" s="232">
        <f t="shared" si="877"/>
        <v>-0.18999999999869033</v>
      </c>
      <c r="AD1596" s="233">
        <f t="shared" si="878"/>
        <v>-1</v>
      </c>
      <c r="AE1596" s="234">
        <f t="shared" si="879"/>
        <v>1.9250000000000001E-3</v>
      </c>
      <c r="AF1596" s="229"/>
      <c r="AG1596" s="235" t="s">
        <v>416</v>
      </c>
      <c r="AH1596" s="124"/>
    </row>
    <row r="1597" spans="1:34" ht="12" hidden="1" customHeight="1">
      <c r="A1597" s="155">
        <v>44762</v>
      </c>
      <c r="B1597" s="221" t="s">
        <v>818</v>
      </c>
      <c r="C1597" s="7" t="s">
        <v>485</v>
      </c>
      <c r="D1597" s="221" t="str">
        <f t="shared" ca="1" si="863"/>
        <v>Stocks</v>
      </c>
      <c r="E1597" s="221" t="str">
        <f ca="1">IFERROR(__xludf.DUMMYFUNCTION("split(B1597,"" "")"),"VEDL")</f>
        <v>VEDL</v>
      </c>
      <c r="F1597" s="221" t="str">
        <f ca="1">IFERROR(__xludf.DUMMYFUNCTION("""COMPUTED_VALUE"""),"28!JUL")</f>
        <v>28!JUL</v>
      </c>
      <c r="G1597" s="221">
        <f ca="1">IFERROR(__xludf.DUMMYFUNCTION("""COMPUTED_VALUE"""),240)</f>
        <v>240</v>
      </c>
      <c r="H1597" s="221" t="str">
        <f ca="1">IFERROR(__xludf.DUMMYFUNCTION("""COMPUTED_VALUE"""),"CE")</f>
        <v>CE</v>
      </c>
      <c r="I1597" s="221" t="s">
        <v>4</v>
      </c>
      <c r="J1597" s="223">
        <v>1550</v>
      </c>
      <c r="K1597" s="224">
        <v>1</v>
      </c>
      <c r="L1597" s="224">
        <v>1</v>
      </c>
      <c r="M1597" s="225">
        <f t="shared" si="864"/>
        <v>1550</v>
      </c>
      <c r="N1597" s="226">
        <v>0</v>
      </c>
      <c r="O1597" s="227">
        <v>12</v>
      </c>
      <c r="P1597" s="228">
        <f t="shared" si="865"/>
        <v>0</v>
      </c>
      <c r="Q1597" s="228">
        <f t="shared" si="866"/>
        <v>18600</v>
      </c>
      <c r="R1597" s="229">
        <f t="shared" si="867"/>
        <v>18600</v>
      </c>
      <c r="S1597" s="229">
        <f t="shared" si="868"/>
        <v>18600</v>
      </c>
      <c r="T1597" s="229">
        <f t="shared" si="880"/>
        <v>20</v>
      </c>
      <c r="U1597" s="229">
        <f t="shared" si="870"/>
        <v>5.37</v>
      </c>
      <c r="V1597" s="229">
        <f t="shared" si="871"/>
        <v>9.3000000000000007</v>
      </c>
      <c r="W1597" s="229">
        <f t="shared" si="872"/>
        <v>0</v>
      </c>
      <c r="X1597" s="229">
        <f t="shared" si="873"/>
        <v>9.86</v>
      </c>
      <c r="Y1597" s="229">
        <f t="shared" si="874"/>
        <v>0.02</v>
      </c>
      <c r="Z1597" s="229">
        <f t="shared" si="875"/>
        <v>44.550000000000004</v>
      </c>
      <c r="AA1597" s="230">
        <f t="shared" si="876"/>
        <v>18555.45</v>
      </c>
      <c r="AB1597" s="231">
        <v>18555.990000000002</v>
      </c>
      <c r="AC1597" s="232">
        <f t="shared" si="877"/>
        <v>0.54000000000087311</v>
      </c>
      <c r="AD1597" s="233">
        <f t="shared" si="878"/>
        <v>0</v>
      </c>
      <c r="AE1597" s="234">
        <f t="shared" si="879"/>
        <v>2.395E-3</v>
      </c>
      <c r="AF1597" s="229"/>
      <c r="AG1597" s="235" t="s">
        <v>416</v>
      </c>
      <c r="AH1597" s="124"/>
    </row>
    <row r="1598" spans="1:34" ht="12" hidden="1" customHeight="1">
      <c r="A1598" s="220">
        <v>44762</v>
      </c>
      <c r="B1598" s="221" t="s">
        <v>818</v>
      </c>
      <c r="C1598" s="7" t="s">
        <v>485</v>
      </c>
      <c r="D1598" s="221" t="str">
        <f t="shared" ca="1" si="863"/>
        <v>Stocks</v>
      </c>
      <c r="E1598" s="221" t="str">
        <f ca="1">IFERROR(__xludf.DUMMYFUNCTION("split(B1598,"" "")"),"VEDL")</f>
        <v>VEDL</v>
      </c>
      <c r="F1598" s="221" t="str">
        <f ca="1">IFERROR(__xludf.DUMMYFUNCTION("""COMPUTED_VALUE"""),"28!JUL")</f>
        <v>28!JUL</v>
      </c>
      <c r="G1598" s="221">
        <f ca="1">IFERROR(__xludf.DUMMYFUNCTION("""COMPUTED_VALUE"""),240)</f>
        <v>240</v>
      </c>
      <c r="H1598" s="221" t="str">
        <f ca="1">IFERROR(__xludf.DUMMYFUNCTION("""COMPUTED_VALUE"""),"CE")</f>
        <v>CE</v>
      </c>
      <c r="I1598" s="221" t="s">
        <v>4</v>
      </c>
      <c r="J1598" s="223">
        <v>1550</v>
      </c>
      <c r="K1598" s="224">
        <v>1</v>
      </c>
      <c r="L1598" s="224">
        <v>1</v>
      </c>
      <c r="M1598" s="225">
        <f t="shared" si="864"/>
        <v>1550</v>
      </c>
      <c r="N1598" s="226">
        <v>16</v>
      </c>
      <c r="O1598" s="227">
        <v>17.5</v>
      </c>
      <c r="P1598" s="228">
        <f t="shared" si="865"/>
        <v>24800</v>
      </c>
      <c r="Q1598" s="228">
        <f t="shared" si="866"/>
        <v>27125</v>
      </c>
      <c r="R1598" s="229">
        <f t="shared" si="867"/>
        <v>51925</v>
      </c>
      <c r="S1598" s="229">
        <f t="shared" si="868"/>
        <v>2325</v>
      </c>
      <c r="T1598" s="229">
        <f t="shared" si="880"/>
        <v>40</v>
      </c>
      <c r="U1598" s="229">
        <f t="shared" si="870"/>
        <v>12.15</v>
      </c>
      <c r="V1598" s="229">
        <f t="shared" si="871"/>
        <v>13.56</v>
      </c>
      <c r="W1598" s="229">
        <f t="shared" si="872"/>
        <v>0.74</v>
      </c>
      <c r="X1598" s="229">
        <f t="shared" si="873"/>
        <v>27.52</v>
      </c>
      <c r="Y1598" s="229">
        <f t="shared" si="874"/>
        <v>0.05</v>
      </c>
      <c r="Z1598" s="229">
        <f t="shared" si="875"/>
        <v>94.019999999999982</v>
      </c>
      <c r="AA1598" s="230">
        <f t="shared" si="876"/>
        <v>2230.98</v>
      </c>
      <c r="AB1598" s="231">
        <v>2231</v>
      </c>
      <c r="AC1598" s="232">
        <f t="shared" si="877"/>
        <v>1.999999999998181E-2</v>
      </c>
      <c r="AD1598" s="233">
        <f t="shared" si="878"/>
        <v>9.375E-2</v>
      </c>
      <c r="AE1598" s="234">
        <f t="shared" si="879"/>
        <v>1.8109999999999999E-3</v>
      </c>
      <c r="AF1598" s="229"/>
      <c r="AG1598" s="235" t="s">
        <v>416</v>
      </c>
      <c r="AH1598" s="124"/>
    </row>
    <row r="1599" spans="1:34" ht="12" hidden="1" customHeight="1">
      <c r="A1599" s="154">
        <v>44757</v>
      </c>
      <c r="B1599" s="221" t="s">
        <v>819</v>
      </c>
      <c r="C1599" s="7" t="s">
        <v>485</v>
      </c>
      <c r="D1599" s="221" t="str">
        <f t="shared" ca="1" si="863"/>
        <v>Stocks</v>
      </c>
      <c r="E1599" s="221" t="str">
        <f ca="1">IFERROR(__xludf.DUMMYFUNCTION("split(B1599,"" "")"),"ACC")</f>
        <v>ACC</v>
      </c>
      <c r="F1599" s="221" t="str">
        <f ca="1">IFERROR(__xludf.DUMMYFUNCTION("""COMPUTED_VALUE"""),"28!JUL")</f>
        <v>28!JUL</v>
      </c>
      <c r="G1599" s="221">
        <f ca="1">IFERROR(__xludf.DUMMYFUNCTION("""COMPUTED_VALUE"""),2160)</f>
        <v>2160</v>
      </c>
      <c r="H1599" s="221" t="str">
        <f ca="1">IFERROR(__xludf.DUMMYFUNCTION("""COMPUTED_VALUE"""),"PE")</f>
        <v>PE</v>
      </c>
      <c r="I1599" s="221" t="s">
        <v>4</v>
      </c>
      <c r="J1599" s="223">
        <v>250</v>
      </c>
      <c r="K1599" s="224">
        <v>1</v>
      </c>
      <c r="L1599" s="224">
        <v>2</v>
      </c>
      <c r="M1599" s="225">
        <f t="shared" si="864"/>
        <v>500</v>
      </c>
      <c r="N1599" s="226">
        <v>38.5</v>
      </c>
      <c r="O1599" s="227">
        <v>0</v>
      </c>
      <c r="P1599" s="228">
        <f t="shared" si="865"/>
        <v>19250</v>
      </c>
      <c r="Q1599" s="228">
        <f t="shared" si="866"/>
        <v>0</v>
      </c>
      <c r="R1599" s="229">
        <f t="shared" si="867"/>
        <v>19250</v>
      </c>
      <c r="S1599" s="229">
        <f t="shared" si="868"/>
        <v>-19250</v>
      </c>
      <c r="T1599" s="229">
        <f t="shared" si="880"/>
        <v>40</v>
      </c>
      <c r="U1599" s="229">
        <f t="shared" si="870"/>
        <v>9.0399999999999991</v>
      </c>
      <c r="V1599" s="229">
        <f t="shared" si="871"/>
        <v>0</v>
      </c>
      <c r="W1599" s="229">
        <f t="shared" si="872"/>
        <v>0.57999999999999996</v>
      </c>
      <c r="X1599" s="229">
        <f t="shared" si="873"/>
        <v>10.199999999999999</v>
      </c>
      <c r="Y1599" s="229">
        <f t="shared" si="874"/>
        <v>0.02</v>
      </c>
      <c r="Z1599" s="229">
        <f t="shared" si="875"/>
        <v>59.839999999999996</v>
      </c>
      <c r="AA1599" s="230">
        <f t="shared" si="876"/>
        <v>-19309.84</v>
      </c>
      <c r="AB1599" s="231">
        <v>-19310</v>
      </c>
      <c r="AC1599" s="232">
        <f t="shared" si="877"/>
        <v>-0.15999999999985448</v>
      </c>
      <c r="AD1599" s="233">
        <f t="shared" si="878"/>
        <v>-1</v>
      </c>
      <c r="AE1599" s="234">
        <f t="shared" si="879"/>
        <v>3.1089999999999998E-3</v>
      </c>
      <c r="AF1599" s="229"/>
      <c r="AG1599" s="235" t="s">
        <v>416</v>
      </c>
      <c r="AH1599" s="124"/>
    </row>
    <row r="1600" spans="1:34" ht="12" hidden="1" customHeight="1">
      <c r="A1600" s="155">
        <v>44762</v>
      </c>
      <c r="B1600" s="221" t="s">
        <v>819</v>
      </c>
      <c r="C1600" s="7" t="s">
        <v>485</v>
      </c>
      <c r="D1600" s="221" t="str">
        <f t="shared" ca="1" si="863"/>
        <v>Stocks</v>
      </c>
      <c r="E1600" s="221" t="str">
        <f ca="1">IFERROR(__xludf.DUMMYFUNCTION("split(B1600,"" "")"),"ACC")</f>
        <v>ACC</v>
      </c>
      <c r="F1600" s="221" t="str">
        <f ca="1">IFERROR(__xludf.DUMMYFUNCTION("""COMPUTED_VALUE"""),"28!JUL")</f>
        <v>28!JUL</v>
      </c>
      <c r="G1600" s="221">
        <f ca="1">IFERROR(__xludf.DUMMYFUNCTION("""COMPUTED_VALUE"""),2160)</f>
        <v>2160</v>
      </c>
      <c r="H1600" s="221" t="str">
        <f ca="1">IFERROR(__xludf.DUMMYFUNCTION("""COMPUTED_VALUE"""),"PE")</f>
        <v>PE</v>
      </c>
      <c r="I1600" s="221" t="s">
        <v>4</v>
      </c>
      <c r="J1600" s="223">
        <v>250</v>
      </c>
      <c r="K1600" s="224">
        <v>2</v>
      </c>
      <c r="L1600" s="224">
        <v>1</v>
      </c>
      <c r="M1600" s="225">
        <f t="shared" si="864"/>
        <v>500</v>
      </c>
      <c r="N1600" s="226">
        <v>0</v>
      </c>
      <c r="O1600" s="227">
        <v>19.25</v>
      </c>
      <c r="P1600" s="228">
        <f t="shared" si="865"/>
        <v>0</v>
      </c>
      <c r="Q1600" s="228">
        <f t="shared" si="866"/>
        <v>9625</v>
      </c>
      <c r="R1600" s="229">
        <f t="shared" si="867"/>
        <v>9625</v>
      </c>
      <c r="S1600" s="229">
        <f t="shared" si="868"/>
        <v>9625</v>
      </c>
      <c r="T1600" s="229">
        <f t="shared" si="880"/>
        <v>20</v>
      </c>
      <c r="U1600" s="229">
        <f t="shared" si="870"/>
        <v>4.5199999999999996</v>
      </c>
      <c r="V1600" s="229">
        <f t="shared" si="871"/>
        <v>4.8099999999999996</v>
      </c>
      <c r="W1600" s="229">
        <f t="shared" si="872"/>
        <v>0</v>
      </c>
      <c r="X1600" s="229">
        <f t="shared" si="873"/>
        <v>5.0999999999999996</v>
      </c>
      <c r="Y1600" s="229">
        <f t="shared" si="874"/>
        <v>0.01</v>
      </c>
      <c r="Z1600" s="229">
        <f t="shared" si="875"/>
        <v>34.44</v>
      </c>
      <c r="AA1600" s="230">
        <f t="shared" si="876"/>
        <v>9590.56</v>
      </c>
      <c r="AB1600" s="231">
        <v>9591</v>
      </c>
      <c r="AC1600" s="232">
        <f t="shared" si="877"/>
        <v>0.44000000000050932</v>
      </c>
      <c r="AD1600" s="233">
        <f t="shared" si="878"/>
        <v>0</v>
      </c>
      <c r="AE1600" s="234">
        <f t="shared" si="879"/>
        <v>3.578E-3</v>
      </c>
      <c r="AF1600" s="229"/>
      <c r="AG1600" s="235" t="s">
        <v>416</v>
      </c>
      <c r="AH1600" s="124"/>
    </row>
    <row r="1601" spans="1:34" ht="12" hidden="1" customHeight="1">
      <c r="A1601" s="220">
        <v>44762</v>
      </c>
      <c r="B1601" s="221" t="s">
        <v>819</v>
      </c>
      <c r="C1601" s="7" t="s">
        <v>485</v>
      </c>
      <c r="D1601" s="221" t="str">
        <f t="shared" ca="1" si="863"/>
        <v>Stocks</v>
      </c>
      <c r="E1601" s="221" t="str">
        <f ca="1">IFERROR(__xludf.DUMMYFUNCTION("split(B1601,"" "")"),"ACC")</f>
        <v>ACC</v>
      </c>
      <c r="F1601" s="221" t="str">
        <f ca="1">IFERROR(__xludf.DUMMYFUNCTION("""COMPUTED_VALUE"""),"28!JUL")</f>
        <v>28!JUL</v>
      </c>
      <c r="G1601" s="221">
        <f ca="1">IFERROR(__xludf.DUMMYFUNCTION("""COMPUTED_VALUE"""),2160)</f>
        <v>2160</v>
      </c>
      <c r="H1601" s="221" t="str">
        <f ca="1">IFERROR(__xludf.DUMMYFUNCTION("""COMPUTED_VALUE"""),"PE")</f>
        <v>PE</v>
      </c>
      <c r="I1601" s="221" t="s">
        <v>4</v>
      </c>
      <c r="J1601" s="223">
        <v>250</v>
      </c>
      <c r="K1601" s="224">
        <v>1</v>
      </c>
      <c r="L1601" s="224">
        <v>1</v>
      </c>
      <c r="M1601" s="225">
        <f t="shared" si="864"/>
        <v>250</v>
      </c>
      <c r="N1601" s="226">
        <v>17</v>
      </c>
      <c r="O1601" s="227">
        <v>20</v>
      </c>
      <c r="P1601" s="228">
        <f t="shared" si="865"/>
        <v>4250</v>
      </c>
      <c r="Q1601" s="228">
        <f t="shared" si="866"/>
        <v>5000</v>
      </c>
      <c r="R1601" s="229">
        <f t="shared" si="867"/>
        <v>9250</v>
      </c>
      <c r="S1601" s="229">
        <f t="shared" si="868"/>
        <v>750</v>
      </c>
      <c r="T1601" s="229">
        <f t="shared" si="880"/>
        <v>40</v>
      </c>
      <c r="U1601" s="229">
        <f t="shared" si="870"/>
        <v>8.08</v>
      </c>
      <c r="V1601" s="229">
        <f t="shared" si="871"/>
        <v>2.5</v>
      </c>
      <c r="W1601" s="229">
        <f t="shared" si="872"/>
        <v>0.13</v>
      </c>
      <c r="X1601" s="229">
        <f t="shared" si="873"/>
        <v>4.9000000000000004</v>
      </c>
      <c r="Y1601" s="229">
        <f t="shared" si="874"/>
        <v>0.01</v>
      </c>
      <c r="Z1601" s="229">
        <f t="shared" si="875"/>
        <v>55.62</v>
      </c>
      <c r="AA1601" s="230">
        <f t="shared" si="876"/>
        <v>694.38</v>
      </c>
      <c r="AB1601" s="231">
        <v>694</v>
      </c>
      <c r="AC1601" s="232">
        <f t="shared" si="877"/>
        <v>-0.37999999999999545</v>
      </c>
      <c r="AD1601" s="233">
        <f t="shared" si="878"/>
        <v>0.17647058823529413</v>
      </c>
      <c r="AE1601" s="234">
        <f t="shared" si="879"/>
        <v>6.0130000000000001E-3</v>
      </c>
      <c r="AF1601" s="229"/>
      <c r="AG1601" s="235" t="s">
        <v>416</v>
      </c>
      <c r="AH1601" s="124"/>
    </row>
    <row r="1602" spans="1:34" ht="12" hidden="1" customHeight="1">
      <c r="A1602" s="154">
        <v>44762</v>
      </c>
      <c r="B1602" s="221" t="s">
        <v>818</v>
      </c>
      <c r="C1602" s="7" t="s">
        <v>485</v>
      </c>
      <c r="D1602" s="221" t="str">
        <f t="shared" ca="1" si="863"/>
        <v>Stocks</v>
      </c>
      <c r="E1602" s="221" t="str">
        <f ca="1">IFERROR(__xludf.DUMMYFUNCTION("split(B1602,"" "")"),"VEDL")</f>
        <v>VEDL</v>
      </c>
      <c r="F1602" s="221" t="str">
        <f ca="1">IFERROR(__xludf.DUMMYFUNCTION("""COMPUTED_VALUE"""),"28!JUL")</f>
        <v>28!JUL</v>
      </c>
      <c r="G1602" s="221">
        <f ca="1">IFERROR(__xludf.DUMMYFUNCTION("""COMPUTED_VALUE"""),240)</f>
        <v>240</v>
      </c>
      <c r="H1602" s="221" t="str">
        <f ca="1">IFERROR(__xludf.DUMMYFUNCTION("""COMPUTED_VALUE"""),"CE")</f>
        <v>CE</v>
      </c>
      <c r="I1602" s="221" t="s">
        <v>4</v>
      </c>
      <c r="J1602" s="223">
        <v>1550</v>
      </c>
      <c r="K1602" s="224">
        <v>1</v>
      </c>
      <c r="L1602" s="224">
        <v>1</v>
      </c>
      <c r="M1602" s="225">
        <f t="shared" si="864"/>
        <v>1550</v>
      </c>
      <c r="N1602" s="226">
        <v>16</v>
      </c>
      <c r="O1602" s="227">
        <v>0</v>
      </c>
      <c r="P1602" s="228">
        <f t="shared" si="865"/>
        <v>24800</v>
      </c>
      <c r="Q1602" s="228">
        <f t="shared" si="866"/>
        <v>0</v>
      </c>
      <c r="R1602" s="229">
        <f t="shared" si="867"/>
        <v>24800</v>
      </c>
      <c r="S1602" s="229">
        <f t="shared" si="868"/>
        <v>-24800</v>
      </c>
      <c r="T1602" s="229">
        <f t="shared" si="880"/>
        <v>20</v>
      </c>
      <c r="U1602" s="229">
        <f t="shared" si="870"/>
        <v>5.97</v>
      </c>
      <c r="V1602" s="229">
        <f t="shared" si="871"/>
        <v>0</v>
      </c>
      <c r="W1602" s="229">
        <f t="shared" si="872"/>
        <v>0.74</v>
      </c>
      <c r="X1602" s="229">
        <f t="shared" si="873"/>
        <v>13.14</v>
      </c>
      <c r="Y1602" s="229">
        <f t="shared" si="874"/>
        <v>0.02</v>
      </c>
      <c r="Z1602" s="229">
        <f t="shared" si="875"/>
        <v>39.869999999999997</v>
      </c>
      <c r="AA1602" s="230">
        <f t="shared" si="876"/>
        <v>-24839.87</v>
      </c>
      <c r="AB1602" s="231">
        <v>-24840</v>
      </c>
      <c r="AC1602" s="232">
        <f t="shared" si="877"/>
        <v>-0.13000000000101863</v>
      </c>
      <c r="AD1602" s="233">
        <f t="shared" si="878"/>
        <v>-1</v>
      </c>
      <c r="AE1602" s="234">
        <f t="shared" si="879"/>
        <v>1.6080000000000001E-3</v>
      </c>
      <c r="AF1602" s="229"/>
      <c r="AG1602" s="235" t="s">
        <v>416</v>
      </c>
      <c r="AH1602" s="124"/>
    </row>
    <row r="1603" spans="1:34" ht="12" hidden="1" customHeight="1">
      <c r="A1603" s="155">
        <v>44763</v>
      </c>
      <c r="B1603" s="221" t="s">
        <v>818</v>
      </c>
      <c r="C1603" s="7" t="s">
        <v>485</v>
      </c>
      <c r="D1603" s="221" t="str">
        <f t="shared" ca="1" si="863"/>
        <v>Stocks</v>
      </c>
      <c r="E1603" s="221" t="str">
        <f ca="1">IFERROR(__xludf.DUMMYFUNCTION("split(B1603,"" "")"),"VEDL")</f>
        <v>VEDL</v>
      </c>
      <c r="F1603" s="221" t="str">
        <f ca="1">IFERROR(__xludf.DUMMYFUNCTION("""COMPUTED_VALUE"""),"28!JUL")</f>
        <v>28!JUL</v>
      </c>
      <c r="G1603" s="221">
        <f ca="1">IFERROR(__xludf.DUMMYFUNCTION("""COMPUTED_VALUE"""),240)</f>
        <v>240</v>
      </c>
      <c r="H1603" s="221" t="str">
        <f ca="1">IFERROR(__xludf.DUMMYFUNCTION("""COMPUTED_VALUE"""),"CE")</f>
        <v>CE</v>
      </c>
      <c r="I1603" s="221" t="s">
        <v>4</v>
      </c>
      <c r="J1603" s="223">
        <v>1550</v>
      </c>
      <c r="K1603" s="224">
        <v>1</v>
      </c>
      <c r="L1603" s="224">
        <v>1</v>
      </c>
      <c r="M1603" s="225">
        <f t="shared" si="864"/>
        <v>1550</v>
      </c>
      <c r="N1603" s="226">
        <v>0</v>
      </c>
      <c r="O1603" s="227">
        <v>16.3</v>
      </c>
      <c r="P1603" s="228">
        <f t="shared" si="865"/>
        <v>0</v>
      </c>
      <c r="Q1603" s="228">
        <f t="shared" si="866"/>
        <v>25265</v>
      </c>
      <c r="R1603" s="229">
        <f t="shared" si="867"/>
        <v>25265</v>
      </c>
      <c r="S1603" s="229">
        <f t="shared" si="868"/>
        <v>25265</v>
      </c>
      <c r="T1603" s="229">
        <f t="shared" si="880"/>
        <v>20</v>
      </c>
      <c r="U1603" s="229">
        <f t="shared" si="870"/>
        <v>6.01</v>
      </c>
      <c r="V1603" s="229">
        <f t="shared" si="871"/>
        <v>12.63</v>
      </c>
      <c r="W1603" s="229">
        <f t="shared" si="872"/>
        <v>0</v>
      </c>
      <c r="X1603" s="229">
        <f t="shared" si="873"/>
        <v>13.39</v>
      </c>
      <c r="Y1603" s="229">
        <f t="shared" si="874"/>
        <v>0.03</v>
      </c>
      <c r="Z1603" s="229">
        <f t="shared" si="875"/>
        <v>52.06</v>
      </c>
      <c r="AA1603" s="230">
        <f t="shared" si="876"/>
        <v>25212.94</v>
      </c>
      <c r="AB1603" s="231">
        <v>25212.57</v>
      </c>
      <c r="AC1603" s="232">
        <f t="shared" si="877"/>
        <v>-0.36999999999898137</v>
      </c>
      <c r="AD1603" s="233">
        <f t="shared" si="878"/>
        <v>0</v>
      </c>
      <c r="AE1603" s="234">
        <f t="shared" si="879"/>
        <v>2.0609999999999999E-3</v>
      </c>
      <c r="AF1603" s="229"/>
      <c r="AG1603" s="235" t="s">
        <v>416</v>
      </c>
      <c r="AH1603" s="124"/>
    </row>
    <row r="1604" spans="1:34" ht="12" hidden="1" customHeight="1">
      <c r="A1604" s="154">
        <v>44762</v>
      </c>
      <c r="B1604" s="221" t="s">
        <v>819</v>
      </c>
      <c r="C1604" s="7" t="s">
        <v>485</v>
      </c>
      <c r="D1604" s="221" t="str">
        <f t="shared" ca="1" si="863"/>
        <v>Stocks</v>
      </c>
      <c r="E1604" s="221" t="str">
        <f ca="1">IFERROR(__xludf.DUMMYFUNCTION("split(B1604,"" "")"),"ACC")</f>
        <v>ACC</v>
      </c>
      <c r="F1604" s="221" t="str">
        <f ca="1">IFERROR(__xludf.DUMMYFUNCTION("""COMPUTED_VALUE"""),"28!JUL")</f>
        <v>28!JUL</v>
      </c>
      <c r="G1604" s="221">
        <f ca="1">IFERROR(__xludf.DUMMYFUNCTION("""COMPUTED_VALUE"""),2160)</f>
        <v>2160</v>
      </c>
      <c r="H1604" s="221" t="str">
        <f ca="1">IFERROR(__xludf.DUMMYFUNCTION("""COMPUTED_VALUE"""),"PE")</f>
        <v>PE</v>
      </c>
      <c r="I1604" s="221" t="s">
        <v>4</v>
      </c>
      <c r="J1604" s="223">
        <v>250</v>
      </c>
      <c r="K1604" s="224">
        <v>1</v>
      </c>
      <c r="L1604" s="224">
        <v>1</v>
      </c>
      <c r="M1604" s="225">
        <f t="shared" si="864"/>
        <v>250</v>
      </c>
      <c r="N1604" s="226">
        <v>16</v>
      </c>
      <c r="O1604" s="227">
        <v>0</v>
      </c>
      <c r="P1604" s="228">
        <f t="shared" si="865"/>
        <v>4000</v>
      </c>
      <c r="Q1604" s="228">
        <f t="shared" si="866"/>
        <v>0</v>
      </c>
      <c r="R1604" s="229">
        <f t="shared" si="867"/>
        <v>4000</v>
      </c>
      <c r="S1604" s="229">
        <f t="shared" si="868"/>
        <v>-4000</v>
      </c>
      <c r="T1604" s="229">
        <f t="shared" si="880"/>
        <v>20</v>
      </c>
      <c r="U1604" s="229">
        <f t="shared" si="870"/>
        <v>3.98</v>
      </c>
      <c r="V1604" s="229">
        <f t="shared" si="871"/>
        <v>0</v>
      </c>
      <c r="W1604" s="229">
        <f t="shared" si="872"/>
        <v>0.12</v>
      </c>
      <c r="X1604" s="229">
        <f t="shared" si="873"/>
        <v>2.12</v>
      </c>
      <c r="Y1604" s="229">
        <f t="shared" si="874"/>
        <v>0</v>
      </c>
      <c r="Z1604" s="229">
        <f t="shared" si="875"/>
        <v>26.220000000000002</v>
      </c>
      <c r="AA1604" s="230">
        <f t="shared" si="876"/>
        <v>-4026.22</v>
      </c>
      <c r="AB1604" s="231">
        <v>-4026</v>
      </c>
      <c r="AC1604" s="232">
        <f t="shared" si="877"/>
        <v>0.21999999999979991</v>
      </c>
      <c r="AD1604" s="233">
        <f t="shared" si="878"/>
        <v>-1</v>
      </c>
      <c r="AE1604" s="234">
        <f t="shared" si="879"/>
        <v>6.5550000000000001E-3</v>
      </c>
      <c r="AF1604" s="229"/>
      <c r="AG1604" s="235" t="s">
        <v>416</v>
      </c>
      <c r="AH1604" s="124"/>
    </row>
    <row r="1605" spans="1:34" ht="12" hidden="1" customHeight="1">
      <c r="A1605" s="155">
        <v>44764</v>
      </c>
      <c r="B1605" s="221" t="s">
        <v>819</v>
      </c>
      <c r="C1605" s="7" t="s">
        <v>485</v>
      </c>
      <c r="D1605" s="221" t="str">
        <f t="shared" ca="1" si="863"/>
        <v>Stocks</v>
      </c>
      <c r="E1605" s="221" t="str">
        <f ca="1">IFERROR(__xludf.DUMMYFUNCTION("split(B1605,"" "")"),"ACC")</f>
        <v>ACC</v>
      </c>
      <c r="F1605" s="221" t="str">
        <f ca="1">IFERROR(__xludf.DUMMYFUNCTION("""COMPUTED_VALUE"""),"28!JUL")</f>
        <v>28!JUL</v>
      </c>
      <c r="G1605" s="221">
        <f ca="1">IFERROR(__xludf.DUMMYFUNCTION("""COMPUTED_VALUE"""),2160)</f>
        <v>2160</v>
      </c>
      <c r="H1605" s="221" t="str">
        <f ca="1">IFERROR(__xludf.DUMMYFUNCTION("""COMPUTED_VALUE"""),"PE")</f>
        <v>PE</v>
      </c>
      <c r="I1605" s="221" t="s">
        <v>4</v>
      </c>
      <c r="J1605" s="223">
        <v>250</v>
      </c>
      <c r="K1605" s="224">
        <v>1</v>
      </c>
      <c r="L1605" s="224">
        <v>1</v>
      </c>
      <c r="M1605" s="225">
        <f t="shared" si="864"/>
        <v>250</v>
      </c>
      <c r="N1605" s="226">
        <v>0</v>
      </c>
      <c r="O1605" s="227">
        <v>12</v>
      </c>
      <c r="P1605" s="228">
        <f t="shared" si="865"/>
        <v>0</v>
      </c>
      <c r="Q1605" s="228">
        <f t="shared" si="866"/>
        <v>3000</v>
      </c>
      <c r="R1605" s="229">
        <f t="shared" si="867"/>
        <v>3000</v>
      </c>
      <c r="S1605" s="229">
        <f t="shared" si="868"/>
        <v>3000</v>
      </c>
      <c r="T1605" s="229">
        <f t="shared" si="880"/>
        <v>20</v>
      </c>
      <c r="U1605" s="229">
        <f t="shared" si="870"/>
        <v>3.89</v>
      </c>
      <c r="V1605" s="229">
        <f t="shared" si="871"/>
        <v>1.5</v>
      </c>
      <c r="W1605" s="229">
        <f t="shared" si="872"/>
        <v>0</v>
      </c>
      <c r="X1605" s="229">
        <f t="shared" si="873"/>
        <v>1.59</v>
      </c>
      <c r="Y1605" s="229">
        <f t="shared" si="874"/>
        <v>0</v>
      </c>
      <c r="Z1605" s="229">
        <f t="shared" si="875"/>
        <v>26.98</v>
      </c>
      <c r="AA1605" s="230">
        <f t="shared" si="876"/>
        <v>2973.02</v>
      </c>
      <c r="AB1605" s="231">
        <v>2973</v>
      </c>
      <c r="AC1605" s="232">
        <f t="shared" si="877"/>
        <v>-1.999999999998181E-2</v>
      </c>
      <c r="AD1605" s="233">
        <f t="shared" si="878"/>
        <v>0</v>
      </c>
      <c r="AE1605" s="234">
        <f t="shared" si="879"/>
        <v>8.9929999999999993E-3</v>
      </c>
      <c r="AF1605" s="229"/>
      <c r="AG1605" s="235" t="s">
        <v>416</v>
      </c>
      <c r="AH1605" s="124"/>
    </row>
    <row r="1606" spans="1:34" ht="12" hidden="1" customHeight="1">
      <c r="A1606" s="220">
        <v>44764</v>
      </c>
      <c r="B1606" s="221" t="s">
        <v>820</v>
      </c>
      <c r="C1606" s="7" t="s">
        <v>485</v>
      </c>
      <c r="D1606" s="221" t="str">
        <f t="shared" ca="1" si="863"/>
        <v>Indices</v>
      </c>
      <c r="E1606" s="221" t="str">
        <f ca="1">IFERROR(__xludf.DUMMYFUNCTION("split(B1606,"" "")"),"NIFTY")</f>
        <v>NIFTY</v>
      </c>
      <c r="F1606" s="221" t="str">
        <f ca="1">IFERROR(__xludf.DUMMYFUNCTION("""COMPUTED_VALUE"""),"28!JUL")</f>
        <v>28!JUL</v>
      </c>
      <c r="G1606" s="221">
        <f ca="1">IFERROR(__xludf.DUMMYFUNCTION("""COMPUTED_VALUE"""),16700)</f>
        <v>16700</v>
      </c>
      <c r="H1606" s="221" t="str">
        <f ca="1">IFERROR(__xludf.DUMMYFUNCTION("""COMPUTED_VALUE"""),"PE")</f>
        <v>PE</v>
      </c>
      <c r="I1606" s="221" t="s">
        <v>4</v>
      </c>
      <c r="J1606" s="223">
        <v>50</v>
      </c>
      <c r="K1606" s="224">
        <v>1</v>
      </c>
      <c r="L1606" s="224">
        <v>3</v>
      </c>
      <c r="M1606" s="225">
        <f t="shared" si="864"/>
        <v>150</v>
      </c>
      <c r="N1606" s="226">
        <v>121.66670000000001</v>
      </c>
      <c r="O1606" s="227">
        <v>124.33329999999999</v>
      </c>
      <c r="P1606" s="228">
        <f t="shared" si="865"/>
        <v>18250.009999999998</v>
      </c>
      <c r="Q1606" s="228">
        <f t="shared" si="866"/>
        <v>18650</v>
      </c>
      <c r="R1606" s="229">
        <f t="shared" si="867"/>
        <v>36900.009999999995</v>
      </c>
      <c r="S1606" s="229">
        <f t="shared" si="868"/>
        <v>399.98999999999825</v>
      </c>
      <c r="T1606" s="229">
        <f t="shared" si="880"/>
        <v>120</v>
      </c>
      <c r="U1606" s="229">
        <f t="shared" si="870"/>
        <v>25.12</v>
      </c>
      <c r="V1606" s="229">
        <f t="shared" si="871"/>
        <v>9.33</v>
      </c>
      <c r="W1606" s="229">
        <f t="shared" si="872"/>
        <v>0.55000000000000004</v>
      </c>
      <c r="X1606" s="229">
        <f t="shared" si="873"/>
        <v>19.559999999999999</v>
      </c>
      <c r="Y1606" s="229">
        <f t="shared" si="874"/>
        <v>0.04</v>
      </c>
      <c r="Z1606" s="229">
        <f t="shared" si="875"/>
        <v>174.60000000000002</v>
      </c>
      <c r="AA1606" s="230">
        <f t="shared" si="876"/>
        <v>225.39</v>
      </c>
      <c r="AB1606" s="231">
        <v>224.8</v>
      </c>
      <c r="AC1606" s="232">
        <f t="shared" si="877"/>
        <v>-0.58999999999997499</v>
      </c>
      <c r="AD1606" s="233">
        <f t="shared" si="878"/>
        <v>2.1917254269245307E-2</v>
      </c>
      <c r="AE1606" s="234">
        <f t="shared" si="879"/>
        <v>4.7320000000000001E-3</v>
      </c>
      <c r="AF1606" s="229"/>
      <c r="AG1606" s="235" t="s">
        <v>416</v>
      </c>
      <c r="AH1606" s="124"/>
    </row>
    <row r="1607" spans="1:34" ht="12" hidden="1" customHeight="1">
      <c r="A1607" s="154">
        <v>44762</v>
      </c>
      <c r="B1607" s="221" t="s">
        <v>821</v>
      </c>
      <c r="C1607" s="7" t="s">
        <v>485</v>
      </c>
      <c r="D1607" s="221" t="str">
        <f t="shared" ca="1" si="863"/>
        <v>Stocks</v>
      </c>
      <c r="E1607" s="221" t="str">
        <f ca="1">IFERROR(__xludf.DUMMYFUNCTION("split(B1607,"" "")"),"COALINDIA")</f>
        <v>COALINDIA</v>
      </c>
      <c r="F1607" s="221" t="str">
        <f ca="1">IFERROR(__xludf.DUMMYFUNCTION("""COMPUTED_VALUE"""),"28!JUL")</f>
        <v>28!JUL</v>
      </c>
      <c r="G1607" s="221">
        <f ca="1">IFERROR(__xludf.DUMMYFUNCTION("""COMPUTED_VALUE"""),200)</f>
        <v>200</v>
      </c>
      <c r="H1607" s="221" t="str">
        <f ca="1">IFERROR(__xludf.DUMMYFUNCTION("""COMPUTED_VALUE"""),"CE")</f>
        <v>CE</v>
      </c>
      <c r="I1607" s="221" t="s">
        <v>4</v>
      </c>
      <c r="J1607" s="223">
        <v>4200</v>
      </c>
      <c r="K1607" s="224">
        <v>1</v>
      </c>
      <c r="L1607" s="224">
        <v>2</v>
      </c>
      <c r="M1607" s="225">
        <f t="shared" si="864"/>
        <v>8400</v>
      </c>
      <c r="N1607" s="226">
        <v>2.65</v>
      </c>
      <c r="O1607" s="227">
        <v>0</v>
      </c>
      <c r="P1607" s="228">
        <f t="shared" si="865"/>
        <v>22260</v>
      </c>
      <c r="Q1607" s="228">
        <f t="shared" si="866"/>
        <v>0</v>
      </c>
      <c r="R1607" s="229">
        <f t="shared" si="867"/>
        <v>22260</v>
      </c>
      <c r="S1607" s="229">
        <f t="shared" si="868"/>
        <v>-22260</v>
      </c>
      <c r="T1607" s="229">
        <f t="shared" si="880"/>
        <v>40</v>
      </c>
      <c r="U1607" s="229">
        <f t="shared" si="870"/>
        <v>9.32</v>
      </c>
      <c r="V1607" s="229">
        <f t="shared" si="871"/>
        <v>0</v>
      </c>
      <c r="W1607" s="229">
        <f t="shared" si="872"/>
        <v>0.67</v>
      </c>
      <c r="X1607" s="229">
        <f t="shared" si="873"/>
        <v>11.8</v>
      </c>
      <c r="Y1607" s="229">
        <f t="shared" si="874"/>
        <v>0.02</v>
      </c>
      <c r="Z1607" s="229">
        <f t="shared" si="875"/>
        <v>61.810000000000009</v>
      </c>
      <c r="AA1607" s="230">
        <f t="shared" si="876"/>
        <v>-22321.81</v>
      </c>
      <c r="AB1607" s="231">
        <v>-22322</v>
      </c>
      <c r="AC1607" s="232">
        <f t="shared" si="877"/>
        <v>-0.18999999999869033</v>
      </c>
      <c r="AD1607" s="233">
        <f t="shared" si="878"/>
        <v>-1</v>
      </c>
      <c r="AE1607" s="234">
        <f t="shared" si="879"/>
        <v>2.777E-3</v>
      </c>
      <c r="AF1607" s="229"/>
      <c r="AG1607" s="235" t="s">
        <v>416</v>
      </c>
      <c r="AH1607" s="124"/>
    </row>
    <row r="1608" spans="1:34" ht="12" hidden="1" customHeight="1">
      <c r="A1608" s="155">
        <v>44767</v>
      </c>
      <c r="B1608" s="221" t="s">
        <v>821</v>
      </c>
      <c r="C1608" s="7" t="s">
        <v>485</v>
      </c>
      <c r="D1608" s="221" t="str">
        <f t="shared" ca="1" si="863"/>
        <v>Stocks</v>
      </c>
      <c r="E1608" s="221" t="str">
        <f ca="1">IFERROR(__xludf.DUMMYFUNCTION("split(B1608,"" "")"),"COALINDIA")</f>
        <v>COALINDIA</v>
      </c>
      <c r="F1608" s="221" t="str">
        <f ca="1">IFERROR(__xludf.DUMMYFUNCTION("""COMPUTED_VALUE"""),"28!JUL")</f>
        <v>28!JUL</v>
      </c>
      <c r="G1608" s="221">
        <f ca="1">IFERROR(__xludf.DUMMYFUNCTION("""COMPUTED_VALUE"""),200)</f>
        <v>200</v>
      </c>
      <c r="H1608" s="221" t="str">
        <f ca="1">IFERROR(__xludf.DUMMYFUNCTION("""COMPUTED_VALUE"""),"CE")</f>
        <v>CE</v>
      </c>
      <c r="I1608" s="221" t="s">
        <v>4</v>
      </c>
      <c r="J1608" s="223">
        <v>4200</v>
      </c>
      <c r="K1608" s="224">
        <v>2</v>
      </c>
      <c r="L1608" s="224">
        <v>1</v>
      </c>
      <c r="M1608" s="225">
        <f t="shared" si="864"/>
        <v>8400</v>
      </c>
      <c r="N1608" s="226">
        <v>0</v>
      </c>
      <c r="O1608" s="227">
        <v>2.2000000000000002</v>
      </c>
      <c r="P1608" s="228">
        <f t="shared" si="865"/>
        <v>0</v>
      </c>
      <c r="Q1608" s="228">
        <f t="shared" si="866"/>
        <v>18480</v>
      </c>
      <c r="R1608" s="229">
        <f t="shared" si="867"/>
        <v>18480</v>
      </c>
      <c r="S1608" s="229">
        <f t="shared" si="868"/>
        <v>18480</v>
      </c>
      <c r="T1608" s="229">
        <f t="shared" si="880"/>
        <v>20</v>
      </c>
      <c r="U1608" s="229">
        <f t="shared" si="870"/>
        <v>5.36</v>
      </c>
      <c r="V1608" s="229">
        <f t="shared" si="871"/>
        <v>9.24</v>
      </c>
      <c r="W1608" s="229">
        <f t="shared" si="872"/>
        <v>0</v>
      </c>
      <c r="X1608" s="229">
        <f t="shared" si="873"/>
        <v>9.7899999999999991</v>
      </c>
      <c r="Y1608" s="229">
        <f t="shared" si="874"/>
        <v>0.02</v>
      </c>
      <c r="Z1608" s="229">
        <f t="shared" si="875"/>
        <v>44.410000000000004</v>
      </c>
      <c r="AA1608" s="230">
        <f t="shared" si="876"/>
        <v>18435.59</v>
      </c>
      <c r="AB1608" s="231">
        <v>18435.82</v>
      </c>
      <c r="AC1608" s="232">
        <f t="shared" si="877"/>
        <v>0.22999999999956344</v>
      </c>
      <c r="AD1608" s="233">
        <f t="shared" si="878"/>
        <v>0</v>
      </c>
      <c r="AE1608" s="234">
        <f t="shared" si="879"/>
        <v>2.4030000000000002E-3</v>
      </c>
      <c r="AF1608" s="229"/>
      <c r="AG1608" s="235" t="s">
        <v>416</v>
      </c>
      <c r="AH1608" s="124"/>
    </row>
    <row r="1609" spans="1:34" ht="12" hidden="1" customHeight="1">
      <c r="A1609" s="154">
        <v>44761</v>
      </c>
      <c r="B1609" s="221" t="s">
        <v>822</v>
      </c>
      <c r="C1609" s="7" t="s">
        <v>485</v>
      </c>
      <c r="D1609" s="221" t="str">
        <f t="shared" ca="1" si="863"/>
        <v>Stocks</v>
      </c>
      <c r="E1609" s="221" t="str">
        <f ca="1">IFERROR(__xludf.DUMMYFUNCTION("split(B1609,"" "")"),"SUNPHARMA")</f>
        <v>SUNPHARMA</v>
      </c>
      <c r="F1609" s="221" t="str">
        <f ca="1">IFERROR(__xludf.DUMMYFUNCTION("""COMPUTED_VALUE"""),"28!JUL")</f>
        <v>28!JUL</v>
      </c>
      <c r="G1609" s="221">
        <f ca="1">IFERROR(__xludf.DUMMYFUNCTION("""COMPUTED_VALUE"""),880)</f>
        <v>880</v>
      </c>
      <c r="H1609" s="221" t="str">
        <f ca="1">IFERROR(__xludf.DUMMYFUNCTION("""COMPUTED_VALUE"""),"CE")</f>
        <v>CE</v>
      </c>
      <c r="I1609" s="221" t="s">
        <v>4</v>
      </c>
      <c r="J1609" s="223">
        <v>700</v>
      </c>
      <c r="K1609" s="224">
        <v>1</v>
      </c>
      <c r="L1609" s="224">
        <v>1</v>
      </c>
      <c r="M1609" s="225">
        <f t="shared" si="864"/>
        <v>700</v>
      </c>
      <c r="N1609" s="226">
        <v>14.5</v>
      </c>
      <c r="O1609" s="227">
        <v>0</v>
      </c>
      <c r="P1609" s="228">
        <f t="shared" si="865"/>
        <v>10150</v>
      </c>
      <c r="Q1609" s="228">
        <f t="shared" si="866"/>
        <v>0</v>
      </c>
      <c r="R1609" s="229">
        <f t="shared" si="867"/>
        <v>10150</v>
      </c>
      <c r="S1609" s="229">
        <f t="shared" si="868"/>
        <v>-10150</v>
      </c>
      <c r="T1609" s="229">
        <f t="shared" si="880"/>
        <v>20</v>
      </c>
      <c r="U1609" s="229">
        <f t="shared" si="870"/>
        <v>4.57</v>
      </c>
      <c r="V1609" s="229">
        <f t="shared" si="871"/>
        <v>0</v>
      </c>
      <c r="W1609" s="229">
        <f t="shared" si="872"/>
        <v>0.3</v>
      </c>
      <c r="X1609" s="229">
        <f t="shared" si="873"/>
        <v>5.38</v>
      </c>
      <c r="Y1609" s="229">
        <f t="shared" si="874"/>
        <v>0.01</v>
      </c>
      <c r="Z1609" s="229">
        <f t="shared" si="875"/>
        <v>30.26</v>
      </c>
      <c r="AA1609" s="230">
        <f t="shared" si="876"/>
        <v>-10180.26</v>
      </c>
      <c r="AB1609" s="231">
        <v>-10180</v>
      </c>
      <c r="AC1609" s="232">
        <f t="shared" si="877"/>
        <v>0.26000000000021828</v>
      </c>
      <c r="AD1609" s="233">
        <f t="shared" si="878"/>
        <v>-1</v>
      </c>
      <c r="AE1609" s="234">
        <f t="shared" si="879"/>
        <v>2.9810000000000001E-3</v>
      </c>
      <c r="AF1609" s="229"/>
      <c r="AG1609" s="235" t="s">
        <v>416</v>
      </c>
      <c r="AH1609" s="124"/>
    </row>
    <row r="1610" spans="1:34" ht="12" hidden="1" customHeight="1">
      <c r="A1610" s="155">
        <v>44769</v>
      </c>
      <c r="B1610" s="221" t="s">
        <v>822</v>
      </c>
      <c r="C1610" s="7" t="s">
        <v>485</v>
      </c>
      <c r="D1610" s="221" t="str">
        <f t="shared" ca="1" si="863"/>
        <v>Stocks</v>
      </c>
      <c r="E1610" s="221" t="str">
        <f ca="1">IFERROR(__xludf.DUMMYFUNCTION("split(B1610,"" "")"),"SUNPHARMA")</f>
        <v>SUNPHARMA</v>
      </c>
      <c r="F1610" s="221" t="str">
        <f ca="1">IFERROR(__xludf.DUMMYFUNCTION("""COMPUTED_VALUE"""),"28!JUL")</f>
        <v>28!JUL</v>
      </c>
      <c r="G1610" s="221">
        <f ca="1">IFERROR(__xludf.DUMMYFUNCTION("""COMPUTED_VALUE"""),880)</f>
        <v>880</v>
      </c>
      <c r="H1610" s="221" t="str">
        <f ca="1">IFERROR(__xludf.DUMMYFUNCTION("""COMPUTED_VALUE"""),"CE")</f>
        <v>CE</v>
      </c>
      <c r="I1610" s="221" t="s">
        <v>4</v>
      </c>
      <c r="J1610" s="223">
        <v>700</v>
      </c>
      <c r="K1610" s="224">
        <v>1</v>
      </c>
      <c r="L1610" s="224">
        <v>1</v>
      </c>
      <c r="M1610" s="225">
        <f t="shared" si="864"/>
        <v>700</v>
      </c>
      <c r="N1610" s="226">
        <v>0</v>
      </c>
      <c r="O1610" s="227">
        <v>4.5</v>
      </c>
      <c r="P1610" s="228">
        <f t="shared" si="865"/>
        <v>0</v>
      </c>
      <c r="Q1610" s="228">
        <f t="shared" si="866"/>
        <v>3150</v>
      </c>
      <c r="R1610" s="229">
        <f t="shared" si="867"/>
        <v>3150</v>
      </c>
      <c r="S1610" s="229">
        <f t="shared" si="868"/>
        <v>3150</v>
      </c>
      <c r="T1610" s="229">
        <f t="shared" si="880"/>
        <v>20</v>
      </c>
      <c r="U1610" s="229">
        <f t="shared" si="870"/>
        <v>3.9</v>
      </c>
      <c r="V1610" s="229">
        <f t="shared" si="871"/>
        <v>1.58</v>
      </c>
      <c r="W1610" s="229">
        <f t="shared" si="872"/>
        <v>0</v>
      </c>
      <c r="X1610" s="229">
        <f t="shared" si="873"/>
        <v>1.67</v>
      </c>
      <c r="Y1610" s="229">
        <f t="shared" si="874"/>
        <v>0</v>
      </c>
      <c r="Z1610" s="229">
        <f t="shared" si="875"/>
        <v>27.15</v>
      </c>
      <c r="AA1610" s="230">
        <f t="shared" si="876"/>
        <v>3122.85</v>
      </c>
      <c r="AB1610" s="231">
        <v>3123</v>
      </c>
      <c r="AC1610" s="232">
        <f t="shared" si="877"/>
        <v>0.15000000000009095</v>
      </c>
      <c r="AD1610" s="233">
        <f t="shared" si="878"/>
        <v>0</v>
      </c>
      <c r="AE1610" s="234">
        <f t="shared" si="879"/>
        <v>8.6189999999999999E-3</v>
      </c>
      <c r="AF1610" s="229"/>
      <c r="AG1610" s="235" t="s">
        <v>416</v>
      </c>
      <c r="AH1610" s="124"/>
    </row>
    <row r="1611" spans="1:34" ht="12" hidden="1" customHeight="1">
      <c r="A1611" s="154">
        <v>44768</v>
      </c>
      <c r="B1611" s="221" t="s">
        <v>823</v>
      </c>
      <c r="C1611" s="7" t="s">
        <v>485</v>
      </c>
      <c r="D1611" s="221" t="str">
        <f t="shared" ca="1" si="863"/>
        <v>Indices</v>
      </c>
      <c r="E1611" s="221" t="str">
        <f ca="1">IFERROR(__xludf.DUMMYFUNCTION("split(B1611,"" "")"),"NIFTY")</f>
        <v>NIFTY</v>
      </c>
      <c r="F1611" s="221" t="str">
        <f ca="1">IFERROR(__xludf.DUMMYFUNCTION("""COMPUTED_VALUE"""),"28!JUL")</f>
        <v>28!JUL</v>
      </c>
      <c r="G1611" s="221">
        <f ca="1">IFERROR(__xludf.DUMMYFUNCTION("""COMPUTED_VALUE"""),16700)</f>
        <v>16700</v>
      </c>
      <c r="H1611" s="221" t="str">
        <f ca="1">IFERROR(__xludf.DUMMYFUNCTION("""COMPUTED_VALUE"""),"CE")</f>
        <v>CE</v>
      </c>
      <c r="I1611" s="221" t="s">
        <v>4</v>
      </c>
      <c r="J1611" s="223">
        <v>50</v>
      </c>
      <c r="K1611" s="224">
        <v>1</v>
      </c>
      <c r="L1611" s="224">
        <v>3</v>
      </c>
      <c r="M1611" s="225">
        <f t="shared" si="864"/>
        <v>150</v>
      </c>
      <c r="N1611" s="226">
        <v>25.666699999999999</v>
      </c>
      <c r="O1611" s="227">
        <v>0</v>
      </c>
      <c r="P1611" s="228">
        <f t="shared" si="865"/>
        <v>3850.01</v>
      </c>
      <c r="Q1611" s="228">
        <f t="shared" si="866"/>
        <v>0</v>
      </c>
      <c r="R1611" s="229">
        <f t="shared" si="867"/>
        <v>3850.01</v>
      </c>
      <c r="S1611" s="229">
        <f t="shared" si="868"/>
        <v>-3850.0049999999997</v>
      </c>
      <c r="T1611" s="229">
        <f t="shared" si="880"/>
        <v>60</v>
      </c>
      <c r="U1611" s="229">
        <f t="shared" si="870"/>
        <v>11.17</v>
      </c>
      <c r="V1611" s="229">
        <f t="shared" si="871"/>
        <v>0</v>
      </c>
      <c r="W1611" s="229">
        <f t="shared" si="872"/>
        <v>0.12</v>
      </c>
      <c r="X1611" s="229">
        <f t="shared" si="873"/>
        <v>2.04</v>
      </c>
      <c r="Y1611" s="229">
        <f t="shared" si="874"/>
        <v>0</v>
      </c>
      <c r="Z1611" s="229">
        <f t="shared" si="875"/>
        <v>73.330000000000013</v>
      </c>
      <c r="AA1611" s="230">
        <f t="shared" si="876"/>
        <v>-3923.34</v>
      </c>
      <c r="AB1611" s="231">
        <v>-3922.98</v>
      </c>
      <c r="AC1611" s="232">
        <f t="shared" si="877"/>
        <v>0.36000000000012733</v>
      </c>
      <c r="AD1611" s="233">
        <f t="shared" si="878"/>
        <v>-1</v>
      </c>
      <c r="AE1611" s="234">
        <f t="shared" si="879"/>
        <v>1.9047000000000001E-2</v>
      </c>
      <c r="AF1611" s="229"/>
      <c r="AG1611" s="235" t="s">
        <v>416</v>
      </c>
      <c r="AH1611" s="124"/>
    </row>
    <row r="1612" spans="1:34" ht="12" hidden="1" customHeight="1">
      <c r="A1612" s="155">
        <v>44769</v>
      </c>
      <c r="B1612" s="221" t="s">
        <v>823</v>
      </c>
      <c r="C1612" s="7" t="s">
        <v>485</v>
      </c>
      <c r="D1612" s="221" t="str">
        <f t="shared" ca="1" si="863"/>
        <v>Indices</v>
      </c>
      <c r="E1612" s="221" t="str">
        <f ca="1">IFERROR(__xludf.DUMMYFUNCTION("split(B1612,"" "")"),"NIFTY")</f>
        <v>NIFTY</v>
      </c>
      <c r="F1612" s="221" t="str">
        <f ca="1">IFERROR(__xludf.DUMMYFUNCTION("""COMPUTED_VALUE"""),"28!JUL")</f>
        <v>28!JUL</v>
      </c>
      <c r="G1612" s="221">
        <f ca="1">IFERROR(__xludf.DUMMYFUNCTION("""COMPUTED_VALUE"""),16700)</f>
        <v>16700</v>
      </c>
      <c r="H1612" s="221" t="str">
        <f ca="1">IFERROR(__xludf.DUMMYFUNCTION("""COMPUTED_VALUE"""),"CE")</f>
        <v>CE</v>
      </c>
      <c r="I1612" s="221" t="s">
        <v>4</v>
      </c>
      <c r="J1612" s="223">
        <v>50</v>
      </c>
      <c r="K1612" s="224">
        <v>3</v>
      </c>
      <c r="L1612" s="224">
        <v>1</v>
      </c>
      <c r="M1612" s="225">
        <f t="shared" si="864"/>
        <v>150</v>
      </c>
      <c r="N1612" s="226">
        <v>0</v>
      </c>
      <c r="O1612" s="227">
        <v>29</v>
      </c>
      <c r="P1612" s="228">
        <f t="shared" si="865"/>
        <v>0</v>
      </c>
      <c r="Q1612" s="228">
        <f t="shared" si="866"/>
        <v>4350</v>
      </c>
      <c r="R1612" s="229">
        <f t="shared" si="867"/>
        <v>4350</v>
      </c>
      <c r="S1612" s="229">
        <f t="shared" si="868"/>
        <v>4350</v>
      </c>
      <c r="T1612" s="229">
        <f t="shared" si="880"/>
        <v>20</v>
      </c>
      <c r="U1612" s="229">
        <f t="shared" si="870"/>
        <v>4.0199999999999996</v>
      </c>
      <c r="V1612" s="229">
        <f t="shared" si="871"/>
        <v>2.1800000000000002</v>
      </c>
      <c r="W1612" s="229">
        <f t="shared" si="872"/>
        <v>0</v>
      </c>
      <c r="X1612" s="229">
        <f t="shared" si="873"/>
        <v>2.31</v>
      </c>
      <c r="Y1612" s="229">
        <f t="shared" si="874"/>
        <v>0</v>
      </c>
      <c r="Z1612" s="229">
        <f t="shared" si="875"/>
        <v>28.509999999999998</v>
      </c>
      <c r="AA1612" s="230">
        <f t="shared" si="876"/>
        <v>4321.49</v>
      </c>
      <c r="AB1612" s="231">
        <v>4321.53</v>
      </c>
      <c r="AC1612" s="232">
        <f t="shared" si="877"/>
        <v>3.999999999996362E-2</v>
      </c>
      <c r="AD1612" s="233">
        <f t="shared" si="878"/>
        <v>0</v>
      </c>
      <c r="AE1612" s="234">
        <f t="shared" si="879"/>
        <v>6.5539999999999999E-3</v>
      </c>
      <c r="AF1612" s="229"/>
      <c r="AG1612" s="235" t="s">
        <v>416</v>
      </c>
      <c r="AH1612" s="124"/>
    </row>
    <row r="1613" spans="1:34" ht="12" hidden="1" customHeight="1">
      <c r="A1613" s="154">
        <v>44768</v>
      </c>
      <c r="B1613" s="221" t="s">
        <v>823</v>
      </c>
      <c r="C1613" s="7" t="s">
        <v>485</v>
      </c>
      <c r="D1613" s="221" t="str">
        <f t="shared" ca="1" si="863"/>
        <v>Indices</v>
      </c>
      <c r="E1613" s="221" t="str">
        <f ca="1">IFERROR(__xludf.DUMMYFUNCTION("split(B1613,"" "")"),"NIFTY")</f>
        <v>NIFTY</v>
      </c>
      <c r="F1613" s="221" t="str">
        <f ca="1">IFERROR(__xludf.DUMMYFUNCTION("""COMPUTED_VALUE"""),"28!JUL")</f>
        <v>28!JUL</v>
      </c>
      <c r="G1613" s="221">
        <f ca="1">IFERROR(__xludf.DUMMYFUNCTION("""COMPUTED_VALUE"""),16700)</f>
        <v>16700</v>
      </c>
      <c r="H1613" s="221" t="str">
        <f ca="1">IFERROR(__xludf.DUMMYFUNCTION("""COMPUTED_VALUE"""),"CE")</f>
        <v>CE</v>
      </c>
      <c r="I1613" s="221" t="s">
        <v>4</v>
      </c>
      <c r="J1613" s="223">
        <v>50</v>
      </c>
      <c r="K1613" s="224">
        <v>3</v>
      </c>
      <c r="L1613" s="224">
        <v>1</v>
      </c>
      <c r="M1613" s="225">
        <f t="shared" si="864"/>
        <v>150</v>
      </c>
      <c r="N1613" s="226">
        <v>17.75</v>
      </c>
      <c r="O1613" s="227">
        <v>0</v>
      </c>
      <c r="P1613" s="228">
        <f t="shared" si="865"/>
        <v>2662.5</v>
      </c>
      <c r="Q1613" s="228">
        <f t="shared" si="866"/>
        <v>0</v>
      </c>
      <c r="R1613" s="229">
        <f t="shared" si="867"/>
        <v>2662.5</v>
      </c>
      <c r="S1613" s="229">
        <f t="shared" si="868"/>
        <v>-2662.5</v>
      </c>
      <c r="T1613" s="229">
        <f t="shared" si="880"/>
        <v>20</v>
      </c>
      <c r="U1613" s="229">
        <f t="shared" si="870"/>
        <v>3.85</v>
      </c>
      <c r="V1613" s="229">
        <f t="shared" si="871"/>
        <v>0</v>
      </c>
      <c r="W1613" s="229">
        <f t="shared" si="872"/>
        <v>0.08</v>
      </c>
      <c r="X1613" s="229">
        <f t="shared" si="873"/>
        <v>1.41</v>
      </c>
      <c r="Y1613" s="229">
        <f t="shared" si="874"/>
        <v>0</v>
      </c>
      <c r="Z1613" s="229">
        <f t="shared" si="875"/>
        <v>25.34</v>
      </c>
      <c r="AA1613" s="230">
        <f t="shared" si="876"/>
        <v>-2687.84</v>
      </c>
      <c r="AB1613" s="231">
        <v>-2688</v>
      </c>
      <c r="AC1613" s="232">
        <f t="shared" si="877"/>
        <v>-0.15999999999985448</v>
      </c>
      <c r="AD1613" s="233">
        <f t="shared" si="878"/>
        <v>-1</v>
      </c>
      <c r="AE1613" s="234">
        <f t="shared" si="879"/>
        <v>9.5169999999999994E-3</v>
      </c>
      <c r="AF1613" s="229"/>
      <c r="AG1613" s="235" t="s">
        <v>416</v>
      </c>
      <c r="AH1613" s="124"/>
    </row>
    <row r="1614" spans="1:34" ht="12" hidden="1" customHeight="1">
      <c r="A1614" s="155">
        <v>44769</v>
      </c>
      <c r="B1614" s="221" t="s">
        <v>823</v>
      </c>
      <c r="C1614" s="7" t="s">
        <v>485</v>
      </c>
      <c r="D1614" s="221" t="str">
        <f t="shared" ca="1" si="863"/>
        <v>Indices</v>
      </c>
      <c r="E1614" s="221" t="str">
        <f ca="1">IFERROR(__xludf.DUMMYFUNCTION("split(B1614,"" "")"),"NIFTY")</f>
        <v>NIFTY</v>
      </c>
      <c r="F1614" s="221" t="str">
        <f ca="1">IFERROR(__xludf.DUMMYFUNCTION("""COMPUTED_VALUE"""),"28!JUL")</f>
        <v>28!JUL</v>
      </c>
      <c r="G1614" s="221">
        <f ca="1">IFERROR(__xludf.DUMMYFUNCTION("""COMPUTED_VALUE"""),16700)</f>
        <v>16700</v>
      </c>
      <c r="H1614" s="221" t="str">
        <f ca="1">IFERROR(__xludf.DUMMYFUNCTION("""COMPUTED_VALUE"""),"CE")</f>
        <v>CE</v>
      </c>
      <c r="I1614" s="221" t="s">
        <v>4</v>
      </c>
      <c r="J1614" s="223">
        <v>50</v>
      </c>
      <c r="K1614" s="224">
        <v>3</v>
      </c>
      <c r="L1614" s="224">
        <v>1</v>
      </c>
      <c r="M1614" s="225">
        <f t="shared" si="864"/>
        <v>150</v>
      </c>
      <c r="N1614" s="226">
        <v>0</v>
      </c>
      <c r="O1614" s="227">
        <v>21</v>
      </c>
      <c r="P1614" s="228">
        <f t="shared" si="865"/>
        <v>0</v>
      </c>
      <c r="Q1614" s="228">
        <f t="shared" si="866"/>
        <v>3150</v>
      </c>
      <c r="R1614" s="229">
        <f t="shared" si="867"/>
        <v>3150</v>
      </c>
      <c r="S1614" s="229">
        <f t="shared" si="868"/>
        <v>3150</v>
      </c>
      <c r="T1614" s="229">
        <f t="shared" si="880"/>
        <v>20</v>
      </c>
      <c r="U1614" s="229">
        <f t="shared" si="870"/>
        <v>3.9</v>
      </c>
      <c r="V1614" s="229">
        <f t="shared" si="871"/>
        <v>1.58</v>
      </c>
      <c r="W1614" s="229">
        <f t="shared" si="872"/>
        <v>0</v>
      </c>
      <c r="X1614" s="229">
        <f t="shared" si="873"/>
        <v>1.67</v>
      </c>
      <c r="Y1614" s="229">
        <f t="shared" si="874"/>
        <v>0</v>
      </c>
      <c r="Z1614" s="229">
        <f t="shared" si="875"/>
        <v>27.15</v>
      </c>
      <c r="AA1614" s="230">
        <f t="shared" si="876"/>
        <v>3122.85</v>
      </c>
      <c r="AB1614" s="231">
        <v>3123</v>
      </c>
      <c r="AC1614" s="232">
        <f t="shared" si="877"/>
        <v>0.15000000000009095</v>
      </c>
      <c r="AD1614" s="233">
        <f t="shared" si="878"/>
        <v>0</v>
      </c>
      <c r="AE1614" s="234">
        <f t="shared" si="879"/>
        <v>8.6189999999999999E-3</v>
      </c>
      <c r="AF1614" s="229"/>
      <c r="AG1614" s="235" t="s">
        <v>416</v>
      </c>
      <c r="AH1614" s="124"/>
    </row>
    <row r="1615" spans="1:34" ht="12" hidden="1" customHeight="1">
      <c r="A1615" s="154">
        <v>44770</v>
      </c>
      <c r="B1615" s="221" t="s">
        <v>820</v>
      </c>
      <c r="C1615" s="7" t="s">
        <v>485</v>
      </c>
      <c r="D1615" s="221" t="str">
        <f t="shared" ca="1" si="863"/>
        <v>Indices</v>
      </c>
      <c r="E1615" s="221" t="str">
        <f ca="1">IFERROR(__xludf.DUMMYFUNCTION("split(B1615,"" "")"),"NIFTY")</f>
        <v>NIFTY</v>
      </c>
      <c r="F1615" s="221" t="str">
        <f ca="1">IFERROR(__xludf.DUMMYFUNCTION("""COMPUTED_VALUE"""),"28!JUL")</f>
        <v>28!JUL</v>
      </c>
      <c r="G1615" s="221">
        <f ca="1">IFERROR(__xludf.DUMMYFUNCTION("""COMPUTED_VALUE"""),16700)</f>
        <v>16700</v>
      </c>
      <c r="H1615" s="221" t="str">
        <f ca="1">IFERROR(__xludf.DUMMYFUNCTION("""COMPUTED_VALUE"""),"PE")</f>
        <v>PE</v>
      </c>
      <c r="I1615" s="221" t="s">
        <v>4</v>
      </c>
      <c r="J1615" s="223">
        <v>50</v>
      </c>
      <c r="K1615" s="224">
        <v>1</v>
      </c>
      <c r="L1615" s="224">
        <v>3</v>
      </c>
      <c r="M1615" s="225">
        <f t="shared" si="864"/>
        <v>150</v>
      </c>
      <c r="N1615" s="226">
        <v>2.25</v>
      </c>
      <c r="O1615" s="227">
        <v>0</v>
      </c>
      <c r="P1615" s="228">
        <f t="shared" si="865"/>
        <v>337.5</v>
      </c>
      <c r="Q1615" s="228">
        <f t="shared" si="866"/>
        <v>0</v>
      </c>
      <c r="R1615" s="229">
        <f t="shared" si="867"/>
        <v>337.5</v>
      </c>
      <c r="S1615" s="229">
        <f t="shared" si="868"/>
        <v>-337.5</v>
      </c>
      <c r="T1615" s="229">
        <f t="shared" si="880"/>
        <v>60</v>
      </c>
      <c r="U1615" s="229">
        <f t="shared" si="870"/>
        <v>10.83</v>
      </c>
      <c r="V1615" s="229">
        <f t="shared" si="871"/>
        <v>0</v>
      </c>
      <c r="W1615" s="229">
        <f t="shared" si="872"/>
        <v>0.01</v>
      </c>
      <c r="X1615" s="229">
        <f t="shared" si="873"/>
        <v>0.18</v>
      </c>
      <c r="Y1615" s="229">
        <f t="shared" si="874"/>
        <v>0</v>
      </c>
      <c r="Z1615" s="229">
        <f t="shared" si="875"/>
        <v>71.02000000000001</v>
      </c>
      <c r="AA1615" s="230">
        <f t="shared" si="876"/>
        <v>-408.52</v>
      </c>
      <c r="AB1615" s="231">
        <v>-409</v>
      </c>
      <c r="AC1615" s="232">
        <f t="shared" si="877"/>
        <v>-0.48000000000001819</v>
      </c>
      <c r="AD1615" s="233">
        <f t="shared" si="878"/>
        <v>-1</v>
      </c>
      <c r="AE1615" s="234">
        <f t="shared" si="879"/>
        <v>0.21043000000000001</v>
      </c>
      <c r="AF1615" s="229"/>
      <c r="AG1615" s="235" t="s">
        <v>416</v>
      </c>
      <c r="AH1615" s="124"/>
    </row>
    <row r="1616" spans="1:34" ht="12" hidden="1" customHeight="1">
      <c r="A1616" s="154">
        <v>44770</v>
      </c>
      <c r="B1616" s="221" t="s">
        <v>820</v>
      </c>
      <c r="C1616" s="7" t="s">
        <v>485</v>
      </c>
      <c r="D1616" s="221" t="str">
        <f t="shared" ca="1" si="863"/>
        <v>Indices</v>
      </c>
      <c r="E1616" s="221" t="str">
        <f ca="1">IFERROR(__xludf.DUMMYFUNCTION("split(B1616,"" "")"),"NIFTY")</f>
        <v>NIFTY</v>
      </c>
      <c r="F1616" s="221" t="str">
        <f ca="1">IFERROR(__xludf.DUMMYFUNCTION("""COMPUTED_VALUE"""),"28!JUL")</f>
        <v>28!JUL</v>
      </c>
      <c r="G1616" s="221">
        <f ca="1">IFERROR(__xludf.DUMMYFUNCTION("""COMPUTED_VALUE"""),16700)</f>
        <v>16700</v>
      </c>
      <c r="H1616" s="221" t="str">
        <f ca="1">IFERROR(__xludf.DUMMYFUNCTION("""COMPUTED_VALUE"""),"PE")</f>
        <v>PE</v>
      </c>
      <c r="I1616" s="221" t="s">
        <v>4</v>
      </c>
      <c r="J1616" s="223">
        <v>50</v>
      </c>
      <c r="K1616" s="224">
        <v>2</v>
      </c>
      <c r="L1616" s="224">
        <v>2</v>
      </c>
      <c r="M1616" s="225">
        <f t="shared" si="864"/>
        <v>200</v>
      </c>
      <c r="N1616" s="226">
        <v>1.85</v>
      </c>
      <c r="O1616" s="227">
        <v>0</v>
      </c>
      <c r="P1616" s="228">
        <f t="shared" si="865"/>
        <v>370</v>
      </c>
      <c r="Q1616" s="228">
        <f t="shared" si="866"/>
        <v>0</v>
      </c>
      <c r="R1616" s="229">
        <f t="shared" si="867"/>
        <v>370</v>
      </c>
      <c r="S1616" s="229">
        <f t="shared" si="868"/>
        <v>-370</v>
      </c>
      <c r="T1616" s="229">
        <f t="shared" si="880"/>
        <v>40</v>
      </c>
      <c r="U1616" s="229">
        <f t="shared" si="870"/>
        <v>7.24</v>
      </c>
      <c r="V1616" s="229">
        <f t="shared" si="871"/>
        <v>0</v>
      </c>
      <c r="W1616" s="229">
        <f t="shared" si="872"/>
        <v>0.01</v>
      </c>
      <c r="X1616" s="229">
        <f t="shared" si="873"/>
        <v>0.2</v>
      </c>
      <c r="Y1616" s="229">
        <f t="shared" si="874"/>
        <v>0</v>
      </c>
      <c r="Z1616" s="229">
        <f t="shared" si="875"/>
        <v>47.45</v>
      </c>
      <c r="AA1616" s="230">
        <f t="shared" si="876"/>
        <v>-417.45</v>
      </c>
      <c r="AB1616" s="231">
        <v>-417.17</v>
      </c>
      <c r="AC1616" s="232">
        <f t="shared" si="877"/>
        <v>0.27999999999997272</v>
      </c>
      <c r="AD1616" s="233">
        <f t="shared" si="878"/>
        <v>-1</v>
      </c>
      <c r="AE1616" s="234">
        <f t="shared" si="879"/>
        <v>0.128243</v>
      </c>
      <c r="AF1616" s="229"/>
      <c r="AG1616" s="235" t="s">
        <v>416</v>
      </c>
      <c r="AH1616" s="124"/>
    </row>
    <row r="1617" spans="1:34" ht="12" hidden="1" customHeight="1">
      <c r="A1617" s="155">
        <v>44770</v>
      </c>
      <c r="B1617" s="221" t="s">
        <v>820</v>
      </c>
      <c r="C1617" s="7" t="s">
        <v>485</v>
      </c>
      <c r="D1617" s="221" t="str">
        <f t="shared" ca="1" si="863"/>
        <v>Indices</v>
      </c>
      <c r="E1617" s="221" t="str">
        <f ca="1">IFERROR(__xludf.DUMMYFUNCTION("split(B1617,"" "")"),"NIFTY")</f>
        <v>NIFTY</v>
      </c>
      <c r="F1617" s="221" t="str">
        <f ca="1">IFERROR(__xludf.DUMMYFUNCTION("""COMPUTED_VALUE"""),"28!JUL")</f>
        <v>28!JUL</v>
      </c>
      <c r="G1617" s="221">
        <f ca="1">IFERROR(__xludf.DUMMYFUNCTION("""COMPUTED_VALUE"""),16700)</f>
        <v>16700</v>
      </c>
      <c r="H1617" s="221" t="str">
        <f ca="1">IFERROR(__xludf.DUMMYFUNCTION("""COMPUTED_VALUE"""),"PE")</f>
        <v>PE</v>
      </c>
      <c r="I1617" s="221" t="s">
        <v>4</v>
      </c>
      <c r="J1617" s="223">
        <v>50</v>
      </c>
      <c r="K1617" s="224">
        <v>7</v>
      </c>
      <c r="L1617" s="224">
        <v>1</v>
      </c>
      <c r="M1617" s="225">
        <f t="shared" si="864"/>
        <v>350</v>
      </c>
      <c r="N1617" s="226">
        <v>0</v>
      </c>
      <c r="O1617" s="227">
        <v>0.15</v>
      </c>
      <c r="P1617" s="228">
        <f t="shared" si="865"/>
        <v>0</v>
      </c>
      <c r="Q1617" s="228">
        <f t="shared" si="866"/>
        <v>52.5</v>
      </c>
      <c r="R1617" s="229">
        <f t="shared" si="867"/>
        <v>52.5</v>
      </c>
      <c r="S1617" s="229">
        <f t="shared" si="868"/>
        <v>52.5</v>
      </c>
      <c r="T1617" s="229">
        <f t="shared" si="880"/>
        <v>20</v>
      </c>
      <c r="U1617" s="229">
        <f t="shared" si="870"/>
        <v>3.61</v>
      </c>
      <c r="V1617" s="229">
        <f t="shared" si="871"/>
        <v>0.03</v>
      </c>
      <c r="W1617" s="229">
        <f t="shared" si="872"/>
        <v>0</v>
      </c>
      <c r="X1617" s="229">
        <f t="shared" si="873"/>
        <v>0.03</v>
      </c>
      <c r="Y1617" s="229">
        <f t="shared" si="874"/>
        <v>0</v>
      </c>
      <c r="Z1617" s="229">
        <f t="shared" si="875"/>
        <v>23.67</v>
      </c>
      <c r="AA1617" s="230">
        <f t="shared" si="876"/>
        <v>28.83</v>
      </c>
      <c r="AB1617" s="231">
        <v>29</v>
      </c>
      <c r="AC1617" s="232">
        <f t="shared" si="877"/>
        <v>0.17000000000000171</v>
      </c>
      <c r="AD1617" s="233">
        <f t="shared" si="878"/>
        <v>0</v>
      </c>
      <c r="AE1617" s="234">
        <f t="shared" si="879"/>
        <v>0.45085700000000001</v>
      </c>
      <c r="AF1617" s="229"/>
      <c r="AG1617" s="235" t="s">
        <v>416</v>
      </c>
      <c r="AH1617" s="124"/>
    </row>
    <row r="1618" spans="1:34" ht="12" hidden="1" customHeight="1">
      <c r="A1618" s="220">
        <v>44770</v>
      </c>
      <c r="B1618" s="221" t="s">
        <v>823</v>
      </c>
      <c r="C1618" s="7" t="s">
        <v>485</v>
      </c>
      <c r="D1618" s="221" t="str">
        <f t="shared" ca="1" si="863"/>
        <v>Indices</v>
      </c>
      <c r="E1618" s="221" t="str">
        <f ca="1">IFERROR(__xludf.DUMMYFUNCTION("split(B1618,"" "")"),"NIFTY")</f>
        <v>NIFTY</v>
      </c>
      <c r="F1618" s="221" t="str">
        <f ca="1">IFERROR(__xludf.DUMMYFUNCTION("""COMPUTED_VALUE"""),"28!JUL")</f>
        <v>28!JUL</v>
      </c>
      <c r="G1618" s="221">
        <f ca="1">IFERROR(__xludf.DUMMYFUNCTION("""COMPUTED_VALUE"""),16700)</f>
        <v>16700</v>
      </c>
      <c r="H1618" s="221" t="str">
        <f ca="1">IFERROR(__xludf.DUMMYFUNCTION("""COMPUTED_VALUE"""),"CE")</f>
        <v>CE</v>
      </c>
      <c r="I1618" s="221" t="s">
        <v>4</v>
      </c>
      <c r="J1618" s="223">
        <v>50</v>
      </c>
      <c r="K1618" s="224">
        <v>1</v>
      </c>
      <c r="L1618" s="224">
        <v>1</v>
      </c>
      <c r="M1618" s="225">
        <f t="shared" si="864"/>
        <v>50</v>
      </c>
      <c r="N1618" s="226">
        <v>81</v>
      </c>
      <c r="O1618" s="227">
        <v>139</v>
      </c>
      <c r="P1618" s="228">
        <f t="shared" si="865"/>
        <v>4050</v>
      </c>
      <c r="Q1618" s="228">
        <f t="shared" si="866"/>
        <v>6950</v>
      </c>
      <c r="R1618" s="229">
        <f t="shared" si="867"/>
        <v>11000</v>
      </c>
      <c r="S1618" s="229">
        <f t="shared" si="868"/>
        <v>2900</v>
      </c>
      <c r="T1618" s="229">
        <f t="shared" si="880"/>
        <v>40</v>
      </c>
      <c r="U1618" s="229">
        <f t="shared" si="870"/>
        <v>8.25</v>
      </c>
      <c r="V1618" s="229">
        <f t="shared" si="871"/>
        <v>3.48</v>
      </c>
      <c r="W1618" s="229">
        <f t="shared" si="872"/>
        <v>0.12</v>
      </c>
      <c r="X1618" s="229">
        <f t="shared" si="873"/>
        <v>5.83</v>
      </c>
      <c r="Y1618" s="229">
        <f t="shared" si="874"/>
        <v>0.01</v>
      </c>
      <c r="Z1618" s="229">
        <f t="shared" si="875"/>
        <v>57.689999999999991</v>
      </c>
      <c r="AA1618" s="230">
        <f t="shared" si="876"/>
        <v>2842.31</v>
      </c>
      <c r="AB1618" s="231">
        <v>2842</v>
      </c>
      <c r="AC1618" s="232">
        <f t="shared" si="877"/>
        <v>-0.30999999999994543</v>
      </c>
      <c r="AD1618" s="233">
        <f t="shared" si="878"/>
        <v>0.71604938271604934</v>
      </c>
      <c r="AE1618" s="234">
        <f t="shared" si="879"/>
        <v>5.2449999999999997E-3</v>
      </c>
      <c r="AF1618" s="229"/>
      <c r="AG1618" s="235" t="s">
        <v>416</v>
      </c>
      <c r="AH1618" s="124"/>
    </row>
    <row r="1619" spans="1:34" ht="12" hidden="1" customHeight="1">
      <c r="A1619" s="154">
        <v>44771</v>
      </c>
      <c r="B1619" s="221" t="s">
        <v>824</v>
      </c>
      <c r="C1619" s="7" t="s">
        <v>485</v>
      </c>
      <c r="D1619" s="221" t="str">
        <f t="shared" ca="1" si="863"/>
        <v>Stocks</v>
      </c>
      <c r="E1619" s="221" t="str">
        <f ca="1">IFERROR(__xludf.DUMMYFUNCTION("split(B1619,"" "")"),"ICICI")</f>
        <v>ICICI</v>
      </c>
      <c r="F1619" s="221" t="str">
        <f ca="1">IFERROR(__xludf.DUMMYFUNCTION("""COMPUTED_VALUE"""),"25!AUG")</f>
        <v>25!AUG</v>
      </c>
      <c r="G1619" s="221">
        <f ca="1">IFERROR(__xludf.DUMMYFUNCTION("""COMPUTED_VALUE"""),820)</f>
        <v>820</v>
      </c>
      <c r="H1619" s="221" t="str">
        <f ca="1">IFERROR(__xludf.DUMMYFUNCTION("""COMPUTED_VALUE"""),"CE")</f>
        <v>CE</v>
      </c>
      <c r="I1619" s="221" t="s">
        <v>4</v>
      </c>
      <c r="J1619" s="223">
        <v>1375</v>
      </c>
      <c r="K1619" s="224">
        <v>1</v>
      </c>
      <c r="L1619" s="224">
        <v>1</v>
      </c>
      <c r="M1619" s="225">
        <f t="shared" si="864"/>
        <v>1375</v>
      </c>
      <c r="N1619" s="226">
        <v>20.3</v>
      </c>
      <c r="O1619" s="227">
        <v>0</v>
      </c>
      <c r="P1619" s="228">
        <f t="shared" si="865"/>
        <v>27912.5</v>
      </c>
      <c r="Q1619" s="228">
        <f t="shared" si="866"/>
        <v>0</v>
      </c>
      <c r="R1619" s="229">
        <f t="shared" si="867"/>
        <v>27912.5</v>
      </c>
      <c r="S1619" s="229">
        <f t="shared" si="868"/>
        <v>-27912.5</v>
      </c>
      <c r="T1619" s="229">
        <f t="shared" si="880"/>
        <v>20</v>
      </c>
      <c r="U1619" s="229">
        <f t="shared" si="870"/>
        <v>6.26</v>
      </c>
      <c r="V1619" s="229">
        <f t="shared" si="871"/>
        <v>0</v>
      </c>
      <c r="W1619" s="229">
        <f t="shared" si="872"/>
        <v>0.84</v>
      </c>
      <c r="X1619" s="229">
        <f t="shared" si="873"/>
        <v>14.79</v>
      </c>
      <c r="Y1619" s="229">
        <f t="shared" si="874"/>
        <v>0.03</v>
      </c>
      <c r="Z1619" s="229">
        <f t="shared" si="875"/>
        <v>41.92</v>
      </c>
      <c r="AA1619" s="230">
        <f t="shared" si="876"/>
        <v>-27954.42</v>
      </c>
      <c r="AB1619" s="231">
        <v>-27954.59</v>
      </c>
      <c r="AC1619" s="232">
        <f t="shared" si="877"/>
        <v>-0.17000000000189175</v>
      </c>
      <c r="AD1619" s="233">
        <f t="shared" si="878"/>
        <v>-1</v>
      </c>
      <c r="AE1619" s="234">
        <f t="shared" si="879"/>
        <v>1.5020000000000001E-3</v>
      </c>
      <c r="AF1619" s="229"/>
      <c r="AG1619" s="235" t="s">
        <v>416</v>
      </c>
      <c r="AH1619" s="124"/>
    </row>
    <row r="1620" spans="1:34" ht="12" hidden="1" customHeight="1">
      <c r="A1620" s="155">
        <v>44774</v>
      </c>
      <c r="B1620" s="221" t="s">
        <v>824</v>
      </c>
      <c r="C1620" s="7" t="s">
        <v>485</v>
      </c>
      <c r="D1620" s="221" t="str">
        <f t="shared" ca="1" si="863"/>
        <v>Stocks</v>
      </c>
      <c r="E1620" s="221" t="str">
        <f ca="1">IFERROR(__xludf.DUMMYFUNCTION("split(B1620,"" "")"),"ICICI")</f>
        <v>ICICI</v>
      </c>
      <c r="F1620" s="221" t="str">
        <f ca="1">IFERROR(__xludf.DUMMYFUNCTION("""COMPUTED_VALUE"""),"25!AUG")</f>
        <v>25!AUG</v>
      </c>
      <c r="G1620" s="221">
        <f ca="1">IFERROR(__xludf.DUMMYFUNCTION("""COMPUTED_VALUE"""),820)</f>
        <v>820</v>
      </c>
      <c r="H1620" s="221" t="str">
        <f ca="1">IFERROR(__xludf.DUMMYFUNCTION("""COMPUTED_VALUE"""),"CE")</f>
        <v>CE</v>
      </c>
      <c r="I1620" s="221" t="s">
        <v>4</v>
      </c>
      <c r="J1620" s="223">
        <v>1375</v>
      </c>
      <c r="K1620" s="224">
        <v>1</v>
      </c>
      <c r="L1620" s="224">
        <v>1</v>
      </c>
      <c r="M1620" s="225">
        <f t="shared" si="864"/>
        <v>1375</v>
      </c>
      <c r="N1620" s="226">
        <v>0</v>
      </c>
      <c r="O1620" s="227">
        <v>21.3</v>
      </c>
      <c r="P1620" s="228">
        <f t="shared" si="865"/>
        <v>0</v>
      </c>
      <c r="Q1620" s="228">
        <f t="shared" si="866"/>
        <v>29287.5</v>
      </c>
      <c r="R1620" s="229">
        <f t="shared" si="867"/>
        <v>29287.5</v>
      </c>
      <c r="S1620" s="229">
        <f t="shared" si="868"/>
        <v>29287.5</v>
      </c>
      <c r="T1620" s="229">
        <f t="shared" si="880"/>
        <v>20</v>
      </c>
      <c r="U1620" s="229">
        <f t="shared" si="870"/>
        <v>6.39</v>
      </c>
      <c r="V1620" s="229">
        <f t="shared" si="871"/>
        <v>14.64</v>
      </c>
      <c r="W1620" s="229">
        <f t="shared" si="872"/>
        <v>0</v>
      </c>
      <c r="X1620" s="229">
        <f t="shared" si="873"/>
        <v>15.52</v>
      </c>
      <c r="Y1620" s="229">
        <f t="shared" si="874"/>
        <v>0.03</v>
      </c>
      <c r="Z1620" s="229">
        <f t="shared" si="875"/>
        <v>56.58</v>
      </c>
      <c r="AA1620" s="230">
        <f t="shared" si="876"/>
        <v>29230.92</v>
      </c>
      <c r="AB1620" s="231">
        <v>29230.55</v>
      </c>
      <c r="AC1620" s="232">
        <f t="shared" si="877"/>
        <v>-0.36999999999898137</v>
      </c>
      <c r="AD1620" s="233">
        <f t="shared" si="878"/>
        <v>0</v>
      </c>
      <c r="AE1620" s="234">
        <f t="shared" si="879"/>
        <v>1.9319999999999999E-3</v>
      </c>
      <c r="AF1620" s="229"/>
      <c r="AG1620" s="235" t="s">
        <v>416</v>
      </c>
      <c r="AH1620" s="124"/>
    </row>
    <row r="1621" spans="1:34" ht="12" hidden="1" customHeight="1">
      <c r="A1621" s="154">
        <v>44776</v>
      </c>
      <c r="B1621" s="221" t="s">
        <v>825</v>
      </c>
      <c r="C1621" s="7" t="s">
        <v>485</v>
      </c>
      <c r="D1621" s="221" t="str">
        <f t="shared" ca="1" si="863"/>
        <v>Indices</v>
      </c>
      <c r="E1621" s="221" t="str">
        <f ca="1">IFERROR(__xludf.DUMMYFUNCTION("split(B1621,"" "")"),"NIFTY")</f>
        <v>NIFTY</v>
      </c>
      <c r="F1621" s="236" t="str">
        <f ca="1">IFERROR(__xludf.DUMMYFUNCTION("""COMPUTED_VALUE"""),"11!AUG")</f>
        <v>11!AUG</v>
      </c>
      <c r="G1621" s="221">
        <f ca="1">IFERROR(__xludf.DUMMYFUNCTION("""COMPUTED_VALUE"""),17350)</f>
        <v>17350</v>
      </c>
      <c r="H1621" s="221" t="str">
        <f ca="1">IFERROR(__xludf.DUMMYFUNCTION("""COMPUTED_VALUE"""),"CE")</f>
        <v>CE</v>
      </c>
      <c r="I1621" s="221" t="s">
        <v>4</v>
      </c>
      <c r="J1621" s="223">
        <v>50</v>
      </c>
      <c r="K1621" s="224">
        <v>1</v>
      </c>
      <c r="L1621" s="224">
        <v>4</v>
      </c>
      <c r="M1621" s="225">
        <f t="shared" si="864"/>
        <v>200</v>
      </c>
      <c r="N1621" s="226">
        <v>156</v>
      </c>
      <c r="O1621" s="227">
        <v>0</v>
      </c>
      <c r="P1621" s="228">
        <f t="shared" si="865"/>
        <v>31200</v>
      </c>
      <c r="Q1621" s="228">
        <f t="shared" si="866"/>
        <v>0</v>
      </c>
      <c r="R1621" s="229">
        <f t="shared" si="867"/>
        <v>31200</v>
      </c>
      <c r="S1621" s="229">
        <f t="shared" si="868"/>
        <v>-31200</v>
      </c>
      <c r="T1621" s="229">
        <f t="shared" si="880"/>
        <v>80</v>
      </c>
      <c r="U1621" s="229">
        <f t="shared" si="870"/>
        <v>17.38</v>
      </c>
      <c r="V1621" s="229">
        <f t="shared" si="871"/>
        <v>0</v>
      </c>
      <c r="W1621" s="229">
        <f t="shared" si="872"/>
        <v>0.94</v>
      </c>
      <c r="X1621" s="229">
        <f t="shared" si="873"/>
        <v>16.54</v>
      </c>
      <c r="Y1621" s="229">
        <f t="shared" si="874"/>
        <v>0.03</v>
      </c>
      <c r="Z1621" s="229">
        <f t="shared" si="875"/>
        <v>114.88999999999999</v>
      </c>
      <c r="AA1621" s="230">
        <f t="shared" si="876"/>
        <v>-31314.89</v>
      </c>
      <c r="AB1621" s="231">
        <v>-31315</v>
      </c>
      <c r="AC1621" s="232">
        <f t="shared" si="877"/>
        <v>-0.11000000000058208</v>
      </c>
      <c r="AD1621" s="233">
        <f t="shared" si="878"/>
        <v>-1</v>
      </c>
      <c r="AE1621" s="234">
        <f t="shared" si="879"/>
        <v>3.6819999999999999E-3</v>
      </c>
      <c r="AF1621" s="229"/>
      <c r="AG1621" s="235" t="s">
        <v>416</v>
      </c>
      <c r="AH1621" s="124"/>
    </row>
    <row r="1622" spans="1:34" ht="12" hidden="1" customHeight="1">
      <c r="A1622" s="155">
        <v>44776</v>
      </c>
      <c r="B1622" s="221" t="s">
        <v>825</v>
      </c>
      <c r="C1622" s="7" t="s">
        <v>485</v>
      </c>
      <c r="D1622" s="221" t="str">
        <f t="shared" ca="1" si="863"/>
        <v>Indices</v>
      </c>
      <c r="E1622" s="221" t="str">
        <f ca="1">IFERROR(__xludf.DUMMYFUNCTION("split(B1622,"" "")"),"NIFTY")</f>
        <v>NIFTY</v>
      </c>
      <c r="F1622" s="236" t="str">
        <f ca="1">IFERROR(__xludf.DUMMYFUNCTION("""COMPUTED_VALUE"""),"11!AUG")</f>
        <v>11!AUG</v>
      </c>
      <c r="G1622" s="221">
        <f ca="1">IFERROR(__xludf.DUMMYFUNCTION("""COMPUTED_VALUE"""),17350)</f>
        <v>17350</v>
      </c>
      <c r="H1622" s="221" t="str">
        <f ca="1">IFERROR(__xludf.DUMMYFUNCTION("""COMPUTED_VALUE"""),"CE")</f>
        <v>CE</v>
      </c>
      <c r="I1622" s="221" t="s">
        <v>4</v>
      </c>
      <c r="J1622" s="223">
        <v>50</v>
      </c>
      <c r="K1622" s="224">
        <v>4</v>
      </c>
      <c r="L1622" s="224">
        <v>1</v>
      </c>
      <c r="M1622" s="225">
        <f t="shared" si="864"/>
        <v>200</v>
      </c>
      <c r="N1622" s="226">
        <v>0</v>
      </c>
      <c r="O1622" s="227">
        <v>162</v>
      </c>
      <c r="P1622" s="228">
        <f t="shared" si="865"/>
        <v>0</v>
      </c>
      <c r="Q1622" s="228">
        <f t="shared" si="866"/>
        <v>32400</v>
      </c>
      <c r="R1622" s="229">
        <f t="shared" si="867"/>
        <v>32400</v>
      </c>
      <c r="S1622" s="229">
        <f t="shared" si="868"/>
        <v>32400</v>
      </c>
      <c r="T1622" s="229">
        <f t="shared" si="880"/>
        <v>20</v>
      </c>
      <c r="U1622" s="229">
        <f t="shared" si="870"/>
        <v>6.69</v>
      </c>
      <c r="V1622" s="229">
        <f t="shared" si="871"/>
        <v>16.2</v>
      </c>
      <c r="W1622" s="229">
        <f t="shared" si="872"/>
        <v>0</v>
      </c>
      <c r="X1622" s="229">
        <f t="shared" si="873"/>
        <v>17.170000000000002</v>
      </c>
      <c r="Y1622" s="229">
        <f t="shared" si="874"/>
        <v>0.03</v>
      </c>
      <c r="Z1622" s="229">
        <f t="shared" si="875"/>
        <v>60.09</v>
      </c>
      <c r="AA1622" s="230">
        <f t="shared" si="876"/>
        <v>32339.91</v>
      </c>
      <c r="AB1622" s="231">
        <v>32340</v>
      </c>
      <c r="AC1622" s="232">
        <f t="shared" si="877"/>
        <v>9.0000000000145519E-2</v>
      </c>
      <c r="AD1622" s="233">
        <f t="shared" si="878"/>
        <v>0</v>
      </c>
      <c r="AE1622" s="234">
        <f t="shared" si="879"/>
        <v>1.8550000000000001E-3</v>
      </c>
      <c r="AF1622" s="229"/>
      <c r="AG1622" s="235" t="s">
        <v>416</v>
      </c>
      <c r="AH1622" s="124"/>
    </row>
    <row r="1623" spans="1:34" ht="12" hidden="1" customHeight="1">
      <c r="A1623" s="220">
        <v>44776</v>
      </c>
      <c r="B1623" s="221" t="s">
        <v>825</v>
      </c>
      <c r="C1623" s="7" t="s">
        <v>485</v>
      </c>
      <c r="D1623" s="221" t="str">
        <f t="shared" ca="1" si="863"/>
        <v>Indices</v>
      </c>
      <c r="E1623" s="221" t="str">
        <f ca="1">IFERROR(__xludf.DUMMYFUNCTION("split(B1623,"" "")"),"NIFTY")</f>
        <v>NIFTY</v>
      </c>
      <c r="F1623" s="236" t="str">
        <f ca="1">IFERROR(__xludf.DUMMYFUNCTION("""COMPUTED_VALUE"""),"11!AUG")</f>
        <v>11!AUG</v>
      </c>
      <c r="G1623" s="221">
        <f ca="1">IFERROR(__xludf.DUMMYFUNCTION("""COMPUTED_VALUE"""),17350)</f>
        <v>17350</v>
      </c>
      <c r="H1623" s="221" t="str">
        <f ca="1">IFERROR(__xludf.DUMMYFUNCTION("""COMPUTED_VALUE"""),"CE")</f>
        <v>CE</v>
      </c>
      <c r="I1623" s="221" t="s">
        <v>4</v>
      </c>
      <c r="J1623" s="223">
        <v>50</v>
      </c>
      <c r="K1623" s="224">
        <v>1</v>
      </c>
      <c r="L1623" s="224">
        <v>1</v>
      </c>
      <c r="M1623" s="225">
        <f t="shared" si="864"/>
        <v>50</v>
      </c>
      <c r="N1623" s="226">
        <v>150</v>
      </c>
      <c r="O1623" s="227">
        <v>158.05000000000001</v>
      </c>
      <c r="P1623" s="228">
        <f t="shared" si="865"/>
        <v>7500</v>
      </c>
      <c r="Q1623" s="228">
        <f t="shared" si="866"/>
        <v>7902.5</v>
      </c>
      <c r="R1623" s="229">
        <f t="shared" si="867"/>
        <v>15402.5</v>
      </c>
      <c r="S1623" s="229">
        <f t="shared" si="868"/>
        <v>402.50000000000057</v>
      </c>
      <c r="T1623" s="229">
        <f t="shared" si="880"/>
        <v>40</v>
      </c>
      <c r="U1623" s="229">
        <f t="shared" si="870"/>
        <v>8.67</v>
      </c>
      <c r="V1623" s="229">
        <f t="shared" si="871"/>
        <v>3.95</v>
      </c>
      <c r="W1623" s="229">
        <f t="shared" si="872"/>
        <v>0.23</v>
      </c>
      <c r="X1623" s="229">
        <f t="shared" si="873"/>
        <v>8.16</v>
      </c>
      <c r="Y1623" s="229">
        <f t="shared" si="874"/>
        <v>0.02</v>
      </c>
      <c r="Z1623" s="229">
        <f t="shared" si="875"/>
        <v>61.030000000000008</v>
      </c>
      <c r="AA1623" s="230">
        <f t="shared" si="876"/>
        <v>341.47</v>
      </c>
      <c r="AB1623" s="231">
        <v>341.8</v>
      </c>
      <c r="AC1623" s="232">
        <f t="shared" si="877"/>
        <v>0.32999999999998408</v>
      </c>
      <c r="AD1623" s="233">
        <f t="shared" si="878"/>
        <v>5.3666666666666744E-2</v>
      </c>
      <c r="AE1623" s="234">
        <f t="shared" si="879"/>
        <v>3.9620000000000002E-3</v>
      </c>
      <c r="AF1623" s="229"/>
      <c r="AG1623" s="235" t="s">
        <v>416</v>
      </c>
      <c r="AH1623" s="124"/>
    </row>
    <row r="1624" spans="1:34" ht="12" hidden="1" customHeight="1">
      <c r="A1624" s="154">
        <v>44777</v>
      </c>
      <c r="B1624" s="221" t="s">
        <v>826</v>
      </c>
      <c r="C1624" s="7" t="s">
        <v>485</v>
      </c>
      <c r="D1624" s="221" t="str">
        <f t="shared" ca="1" si="863"/>
        <v>Stocks</v>
      </c>
      <c r="E1624" s="221" t="str">
        <f ca="1">IFERROR(__xludf.DUMMYFUNCTION("split(B1624,"" "")"),"TORNTPOWER")</f>
        <v>TORNTPOWER</v>
      </c>
      <c r="F1624" s="236" t="str">
        <f ca="1">IFERROR(__xludf.DUMMYFUNCTION("""COMPUTED_VALUE"""),"25!AUG")</f>
        <v>25!AUG</v>
      </c>
      <c r="G1624" s="221">
        <f ca="1">IFERROR(__xludf.DUMMYFUNCTION("""COMPUTED_VALUE"""),530)</f>
        <v>530</v>
      </c>
      <c r="H1624" s="221" t="str">
        <f ca="1">IFERROR(__xludf.DUMMYFUNCTION("""COMPUTED_VALUE"""),"CE")</f>
        <v>CE</v>
      </c>
      <c r="I1624" s="221" t="s">
        <v>4</v>
      </c>
      <c r="J1624" s="223">
        <v>1500</v>
      </c>
      <c r="K1624" s="224">
        <v>1</v>
      </c>
      <c r="L1624" s="224">
        <v>1</v>
      </c>
      <c r="M1624" s="225">
        <f t="shared" si="864"/>
        <v>1500</v>
      </c>
      <c r="N1624" s="226">
        <v>22</v>
      </c>
      <c r="O1624" s="227">
        <v>0</v>
      </c>
      <c r="P1624" s="228">
        <f t="shared" si="865"/>
        <v>33000</v>
      </c>
      <c r="Q1624" s="228">
        <f t="shared" si="866"/>
        <v>0</v>
      </c>
      <c r="R1624" s="229">
        <f t="shared" si="867"/>
        <v>33000</v>
      </c>
      <c r="S1624" s="229">
        <f t="shared" si="868"/>
        <v>-33000</v>
      </c>
      <c r="T1624" s="229">
        <f t="shared" si="880"/>
        <v>20</v>
      </c>
      <c r="U1624" s="229">
        <f t="shared" si="870"/>
        <v>6.75</v>
      </c>
      <c r="V1624" s="229">
        <f t="shared" si="871"/>
        <v>0</v>
      </c>
      <c r="W1624" s="229">
        <f t="shared" si="872"/>
        <v>0.99</v>
      </c>
      <c r="X1624" s="229">
        <f t="shared" si="873"/>
        <v>17.489999999999998</v>
      </c>
      <c r="Y1624" s="229">
        <f t="shared" si="874"/>
        <v>0.03</v>
      </c>
      <c r="Z1624" s="229">
        <f t="shared" si="875"/>
        <v>45.26</v>
      </c>
      <c r="AA1624" s="230">
        <f t="shared" si="876"/>
        <v>-33045.26</v>
      </c>
      <c r="AB1624" s="231">
        <v>-33045</v>
      </c>
      <c r="AC1624" s="232">
        <f t="shared" si="877"/>
        <v>0.26000000000203727</v>
      </c>
      <c r="AD1624" s="233">
        <f t="shared" si="878"/>
        <v>-1</v>
      </c>
      <c r="AE1624" s="234">
        <f t="shared" si="879"/>
        <v>1.372E-3</v>
      </c>
      <c r="AF1624" s="229"/>
      <c r="AG1624" s="235" t="s">
        <v>416</v>
      </c>
      <c r="AH1624" s="124"/>
    </row>
    <row r="1625" spans="1:34" ht="12" hidden="1" customHeight="1">
      <c r="A1625" s="155">
        <v>44778</v>
      </c>
      <c r="B1625" s="221" t="s">
        <v>826</v>
      </c>
      <c r="C1625" s="7" t="s">
        <v>485</v>
      </c>
      <c r="D1625" s="221" t="str">
        <f t="shared" ca="1" si="863"/>
        <v>Stocks</v>
      </c>
      <c r="E1625" s="221" t="str">
        <f ca="1">IFERROR(__xludf.DUMMYFUNCTION("split(B1625,"" "")"),"TORNTPOWER")</f>
        <v>TORNTPOWER</v>
      </c>
      <c r="F1625" s="221" t="str">
        <f ca="1">IFERROR(__xludf.DUMMYFUNCTION("""COMPUTED_VALUE"""),"25!AUG")</f>
        <v>25!AUG</v>
      </c>
      <c r="G1625" s="221">
        <f ca="1">IFERROR(__xludf.DUMMYFUNCTION("""COMPUTED_VALUE"""),530)</f>
        <v>530</v>
      </c>
      <c r="H1625" s="221" t="str">
        <f ca="1">IFERROR(__xludf.DUMMYFUNCTION("""COMPUTED_VALUE"""),"CE")</f>
        <v>CE</v>
      </c>
      <c r="I1625" s="221" t="s">
        <v>4</v>
      </c>
      <c r="J1625" s="223">
        <v>1500</v>
      </c>
      <c r="K1625" s="224">
        <v>1</v>
      </c>
      <c r="L1625" s="224">
        <v>1</v>
      </c>
      <c r="M1625" s="225">
        <f t="shared" si="864"/>
        <v>1500</v>
      </c>
      <c r="N1625" s="226">
        <v>0</v>
      </c>
      <c r="O1625" s="227">
        <v>23</v>
      </c>
      <c r="P1625" s="228">
        <f t="shared" si="865"/>
        <v>0</v>
      </c>
      <c r="Q1625" s="228">
        <f t="shared" si="866"/>
        <v>34500</v>
      </c>
      <c r="R1625" s="229">
        <f t="shared" si="867"/>
        <v>34500</v>
      </c>
      <c r="S1625" s="229">
        <f t="shared" si="868"/>
        <v>34500</v>
      </c>
      <c r="T1625" s="229">
        <f t="shared" si="880"/>
        <v>20</v>
      </c>
      <c r="U1625" s="229">
        <f t="shared" si="870"/>
        <v>6.89</v>
      </c>
      <c r="V1625" s="229">
        <f t="shared" si="871"/>
        <v>17.25</v>
      </c>
      <c r="W1625" s="229">
        <f t="shared" si="872"/>
        <v>0</v>
      </c>
      <c r="X1625" s="229">
        <f t="shared" si="873"/>
        <v>18.29</v>
      </c>
      <c r="Y1625" s="229">
        <f t="shared" si="874"/>
        <v>0.03</v>
      </c>
      <c r="Z1625" s="229">
        <f t="shared" si="875"/>
        <v>62.46</v>
      </c>
      <c r="AA1625" s="230">
        <f t="shared" si="876"/>
        <v>34437.54</v>
      </c>
      <c r="AB1625" s="231">
        <v>34437.360000000001</v>
      </c>
      <c r="AC1625" s="232">
        <f t="shared" si="877"/>
        <v>-0.18000000000029104</v>
      </c>
      <c r="AD1625" s="233">
        <f t="shared" si="878"/>
        <v>0</v>
      </c>
      <c r="AE1625" s="234">
        <f t="shared" si="879"/>
        <v>1.81E-3</v>
      </c>
      <c r="AF1625" s="229"/>
      <c r="AG1625" s="235" t="s">
        <v>416</v>
      </c>
      <c r="AH1625" s="124"/>
    </row>
    <row r="1626" spans="1:34" ht="12" hidden="1" customHeight="1">
      <c r="A1626" s="154">
        <v>44777</v>
      </c>
      <c r="B1626" s="221" t="s">
        <v>827</v>
      </c>
      <c r="C1626" s="7" t="s">
        <v>485</v>
      </c>
      <c r="D1626" s="221" t="str">
        <f t="shared" ca="1" si="863"/>
        <v>Stocks</v>
      </c>
      <c r="E1626" s="221" t="str">
        <f ca="1">IFERROR(__xludf.DUMMYFUNCTION("split(B1626,"" "")"),"LUPIN")</f>
        <v>LUPIN</v>
      </c>
      <c r="F1626" s="221" t="str">
        <f ca="1">IFERROR(__xludf.DUMMYFUNCTION("""COMPUTED_VALUE"""),"25!AUG")</f>
        <v>25!AUG</v>
      </c>
      <c r="G1626" s="221">
        <f ca="1">IFERROR(__xludf.DUMMYFUNCTION("""COMPUTED_VALUE"""),670)</f>
        <v>670</v>
      </c>
      <c r="H1626" s="221" t="str">
        <f ca="1">IFERROR(__xludf.DUMMYFUNCTION("""COMPUTED_VALUE"""),"CE")</f>
        <v>CE</v>
      </c>
      <c r="I1626" s="221" t="s">
        <v>4</v>
      </c>
      <c r="J1626" s="223">
        <v>850</v>
      </c>
      <c r="K1626" s="224">
        <v>1</v>
      </c>
      <c r="L1626" s="224">
        <v>1</v>
      </c>
      <c r="M1626" s="225">
        <f t="shared" si="864"/>
        <v>850</v>
      </c>
      <c r="N1626" s="226">
        <v>18.5</v>
      </c>
      <c r="O1626" s="227">
        <v>0</v>
      </c>
      <c r="P1626" s="228">
        <f t="shared" si="865"/>
        <v>15725</v>
      </c>
      <c r="Q1626" s="228">
        <f t="shared" si="866"/>
        <v>0</v>
      </c>
      <c r="R1626" s="229">
        <f t="shared" si="867"/>
        <v>15725</v>
      </c>
      <c r="S1626" s="229">
        <f t="shared" si="868"/>
        <v>-15725</v>
      </c>
      <c r="T1626" s="229">
        <f t="shared" si="880"/>
        <v>20</v>
      </c>
      <c r="U1626" s="229">
        <f t="shared" si="870"/>
        <v>5.0999999999999996</v>
      </c>
      <c r="V1626" s="229">
        <f t="shared" si="871"/>
        <v>0</v>
      </c>
      <c r="W1626" s="229">
        <f t="shared" si="872"/>
        <v>0.47</v>
      </c>
      <c r="X1626" s="229">
        <f t="shared" si="873"/>
        <v>8.33</v>
      </c>
      <c r="Y1626" s="229">
        <f t="shared" si="874"/>
        <v>0.02</v>
      </c>
      <c r="Z1626" s="229">
        <f t="shared" si="875"/>
        <v>33.92</v>
      </c>
      <c r="AA1626" s="230">
        <f t="shared" si="876"/>
        <v>-15758.92</v>
      </c>
      <c r="AB1626" s="231">
        <v>-15758.73</v>
      </c>
      <c r="AC1626" s="232">
        <f t="shared" si="877"/>
        <v>0.19000000000050932</v>
      </c>
      <c r="AD1626" s="233">
        <f t="shared" si="878"/>
        <v>-1</v>
      </c>
      <c r="AE1626" s="234">
        <f t="shared" si="879"/>
        <v>2.1570000000000001E-3</v>
      </c>
      <c r="AF1626" s="229"/>
      <c r="AG1626" s="235" t="s">
        <v>416</v>
      </c>
      <c r="AH1626" s="124"/>
    </row>
    <row r="1627" spans="1:34" ht="12" hidden="1" customHeight="1">
      <c r="A1627" s="155">
        <v>44778</v>
      </c>
      <c r="B1627" s="221" t="s">
        <v>827</v>
      </c>
      <c r="C1627" s="7" t="s">
        <v>485</v>
      </c>
      <c r="D1627" s="221" t="str">
        <f t="shared" ca="1" si="863"/>
        <v>Stocks</v>
      </c>
      <c r="E1627" s="221" t="str">
        <f ca="1">IFERROR(__xludf.DUMMYFUNCTION("split(B1627,"" "")"),"LUPIN")</f>
        <v>LUPIN</v>
      </c>
      <c r="F1627" s="221" t="str">
        <f ca="1">IFERROR(__xludf.DUMMYFUNCTION("""COMPUTED_VALUE"""),"25!AUG")</f>
        <v>25!AUG</v>
      </c>
      <c r="G1627" s="221">
        <f ca="1">IFERROR(__xludf.DUMMYFUNCTION("""COMPUTED_VALUE"""),670)</f>
        <v>670</v>
      </c>
      <c r="H1627" s="221" t="str">
        <f ca="1">IFERROR(__xludf.DUMMYFUNCTION("""COMPUTED_VALUE"""),"CE")</f>
        <v>CE</v>
      </c>
      <c r="I1627" s="221" t="s">
        <v>4</v>
      </c>
      <c r="J1627" s="223">
        <v>850</v>
      </c>
      <c r="K1627" s="224">
        <v>1</v>
      </c>
      <c r="L1627" s="224">
        <v>1</v>
      </c>
      <c r="M1627" s="225">
        <f t="shared" si="864"/>
        <v>850</v>
      </c>
      <c r="N1627" s="226">
        <v>0</v>
      </c>
      <c r="O1627" s="227">
        <v>21.5</v>
      </c>
      <c r="P1627" s="228">
        <f t="shared" si="865"/>
        <v>0</v>
      </c>
      <c r="Q1627" s="228">
        <f t="shared" si="866"/>
        <v>18275</v>
      </c>
      <c r="R1627" s="229">
        <f t="shared" si="867"/>
        <v>18275</v>
      </c>
      <c r="S1627" s="229">
        <f t="shared" si="868"/>
        <v>18275</v>
      </c>
      <c r="T1627" s="229">
        <f t="shared" si="880"/>
        <v>20</v>
      </c>
      <c r="U1627" s="229">
        <f t="shared" si="870"/>
        <v>5.34</v>
      </c>
      <c r="V1627" s="229">
        <f t="shared" si="871"/>
        <v>9.14</v>
      </c>
      <c r="W1627" s="229">
        <f t="shared" si="872"/>
        <v>0</v>
      </c>
      <c r="X1627" s="229">
        <f t="shared" si="873"/>
        <v>9.69</v>
      </c>
      <c r="Y1627" s="229">
        <f t="shared" si="874"/>
        <v>0.02</v>
      </c>
      <c r="Z1627" s="229">
        <f t="shared" si="875"/>
        <v>44.190000000000005</v>
      </c>
      <c r="AA1627" s="230">
        <f t="shared" si="876"/>
        <v>18230.810000000001</v>
      </c>
      <c r="AB1627" s="231">
        <v>18231</v>
      </c>
      <c r="AC1627" s="232">
        <f t="shared" si="877"/>
        <v>0.18999999999869033</v>
      </c>
      <c r="AD1627" s="233">
        <f t="shared" si="878"/>
        <v>0</v>
      </c>
      <c r="AE1627" s="234">
        <f t="shared" si="879"/>
        <v>2.418E-3</v>
      </c>
      <c r="AF1627" s="229"/>
      <c r="AG1627" s="235" t="s">
        <v>416</v>
      </c>
      <c r="AH1627" s="124"/>
    </row>
    <row r="1628" spans="1:34" ht="12" hidden="1" customHeight="1">
      <c r="A1628" s="220">
        <v>44778</v>
      </c>
      <c r="B1628" s="221" t="s">
        <v>828</v>
      </c>
      <c r="C1628" s="7" t="s">
        <v>485</v>
      </c>
      <c r="D1628" s="221" t="str">
        <f t="shared" ca="1" si="863"/>
        <v>Indices</v>
      </c>
      <c r="E1628" s="221" t="str">
        <f ca="1">IFERROR(__xludf.DUMMYFUNCTION("split(B1628,"" "")"),"NIFTY")</f>
        <v>NIFTY</v>
      </c>
      <c r="F1628" s="236" t="str">
        <f ca="1">IFERROR(__xludf.DUMMYFUNCTION("""COMPUTED_VALUE"""),"11!AUG")</f>
        <v>11!AUG</v>
      </c>
      <c r="G1628" s="221">
        <f ca="1">IFERROR(__xludf.DUMMYFUNCTION("""COMPUTED_VALUE"""),17400)</f>
        <v>17400</v>
      </c>
      <c r="H1628" s="221" t="str">
        <f ca="1">IFERROR(__xludf.DUMMYFUNCTION("""COMPUTED_VALUE"""),"CE")</f>
        <v>CE</v>
      </c>
      <c r="I1628" s="221" t="s">
        <v>4</v>
      </c>
      <c r="J1628" s="223">
        <v>50</v>
      </c>
      <c r="K1628" s="224">
        <v>1</v>
      </c>
      <c r="L1628" s="224">
        <v>2</v>
      </c>
      <c r="M1628" s="225">
        <f t="shared" si="864"/>
        <v>100</v>
      </c>
      <c r="N1628" s="226">
        <v>129</v>
      </c>
      <c r="O1628" s="227">
        <v>0</v>
      </c>
      <c r="P1628" s="228">
        <f t="shared" si="865"/>
        <v>12900</v>
      </c>
      <c r="Q1628" s="228">
        <f t="shared" si="866"/>
        <v>0</v>
      </c>
      <c r="R1628" s="229">
        <f t="shared" si="867"/>
        <v>12900</v>
      </c>
      <c r="S1628" s="229">
        <f t="shared" si="868"/>
        <v>-12900</v>
      </c>
      <c r="T1628" s="229">
        <f t="shared" si="880"/>
        <v>40</v>
      </c>
      <c r="U1628" s="229">
        <f t="shared" si="870"/>
        <v>8.43</v>
      </c>
      <c r="V1628" s="229">
        <f t="shared" si="871"/>
        <v>0</v>
      </c>
      <c r="W1628" s="229">
        <f t="shared" si="872"/>
        <v>0.39</v>
      </c>
      <c r="X1628" s="229">
        <f t="shared" si="873"/>
        <v>6.84</v>
      </c>
      <c r="Y1628" s="229">
        <f t="shared" si="874"/>
        <v>0.01</v>
      </c>
      <c r="Z1628" s="229">
        <f t="shared" si="875"/>
        <v>55.669999999999995</v>
      </c>
      <c r="AA1628" s="230">
        <f t="shared" si="876"/>
        <v>-12955.67</v>
      </c>
      <c r="AB1628" s="231">
        <v>-12956</v>
      </c>
      <c r="AC1628" s="232">
        <f t="shared" si="877"/>
        <v>-0.32999999999992724</v>
      </c>
      <c r="AD1628" s="233">
        <f t="shared" si="878"/>
        <v>-1</v>
      </c>
      <c r="AE1628" s="234">
        <f t="shared" si="879"/>
        <v>4.3160000000000004E-3</v>
      </c>
      <c r="AF1628" s="229"/>
      <c r="AG1628" s="235" t="s">
        <v>416</v>
      </c>
      <c r="AH1628" s="124"/>
    </row>
    <row r="1629" spans="1:34" ht="12" hidden="1" customHeight="1">
      <c r="A1629" s="220">
        <v>44778</v>
      </c>
      <c r="B1629" s="221" t="s">
        <v>828</v>
      </c>
      <c r="C1629" s="7" t="s">
        <v>485</v>
      </c>
      <c r="D1629" s="221" t="str">
        <f t="shared" ca="1" si="863"/>
        <v>Indices</v>
      </c>
      <c r="E1629" s="221" t="str">
        <f ca="1">IFERROR(__xludf.DUMMYFUNCTION("split(B1629,"" "")"),"NIFTY")</f>
        <v>NIFTY</v>
      </c>
      <c r="F1629" s="236" t="str">
        <f ca="1">IFERROR(__xludf.DUMMYFUNCTION("""COMPUTED_VALUE"""),"11!AUG")</f>
        <v>11!AUG</v>
      </c>
      <c r="G1629" s="221">
        <f ca="1">IFERROR(__xludf.DUMMYFUNCTION("""COMPUTED_VALUE"""),17400)</f>
        <v>17400</v>
      </c>
      <c r="H1629" s="221" t="str">
        <f ca="1">IFERROR(__xludf.DUMMYFUNCTION("""COMPUTED_VALUE"""),"CE")</f>
        <v>CE</v>
      </c>
      <c r="I1629" s="221" t="s">
        <v>4</v>
      </c>
      <c r="J1629" s="223">
        <v>50</v>
      </c>
      <c r="K1629" s="224">
        <v>2</v>
      </c>
      <c r="L1629" s="224">
        <v>1</v>
      </c>
      <c r="M1629" s="225">
        <f t="shared" si="864"/>
        <v>100</v>
      </c>
      <c r="N1629" s="226">
        <v>0</v>
      </c>
      <c r="O1629" s="227">
        <v>138</v>
      </c>
      <c r="P1629" s="228">
        <f t="shared" si="865"/>
        <v>0</v>
      </c>
      <c r="Q1629" s="228">
        <f t="shared" si="866"/>
        <v>13800</v>
      </c>
      <c r="R1629" s="229">
        <f t="shared" si="867"/>
        <v>13800</v>
      </c>
      <c r="S1629" s="229">
        <f t="shared" si="868"/>
        <v>13800</v>
      </c>
      <c r="T1629" s="229">
        <f t="shared" si="880"/>
        <v>20</v>
      </c>
      <c r="U1629" s="229">
        <f t="shared" si="870"/>
        <v>4.92</v>
      </c>
      <c r="V1629" s="229">
        <f t="shared" si="871"/>
        <v>6.9</v>
      </c>
      <c r="W1629" s="229">
        <f t="shared" si="872"/>
        <v>0</v>
      </c>
      <c r="X1629" s="229">
        <f t="shared" si="873"/>
        <v>7.31</v>
      </c>
      <c r="Y1629" s="229">
        <f t="shared" si="874"/>
        <v>0.01</v>
      </c>
      <c r="Z1629" s="229">
        <f t="shared" si="875"/>
        <v>39.14</v>
      </c>
      <c r="AA1629" s="230">
        <f t="shared" si="876"/>
        <v>13760.86</v>
      </c>
      <c r="AB1629" s="231">
        <v>13761</v>
      </c>
      <c r="AC1629" s="232">
        <f t="shared" si="877"/>
        <v>0.13999999999941792</v>
      </c>
      <c r="AD1629" s="233">
        <f t="shared" si="878"/>
        <v>0</v>
      </c>
      <c r="AE1629" s="234">
        <f t="shared" si="879"/>
        <v>2.836E-3</v>
      </c>
      <c r="AF1629" s="229"/>
      <c r="AG1629" s="235" t="s">
        <v>416</v>
      </c>
      <c r="AH1629" s="124"/>
    </row>
    <row r="1630" spans="1:34" ht="12" hidden="1" customHeight="1">
      <c r="A1630" s="220">
        <v>44778</v>
      </c>
      <c r="B1630" s="221" t="s">
        <v>829</v>
      </c>
      <c r="C1630" s="7" t="s">
        <v>485</v>
      </c>
      <c r="D1630" s="221" t="str">
        <f t="shared" ca="1" si="863"/>
        <v>Stocks</v>
      </c>
      <c r="E1630" s="221" t="str">
        <f ca="1">IFERROR(__xludf.DUMMYFUNCTION("split(B1630,"" "")"),"NAVINFLUOR")</f>
        <v>NAVINFLUOR</v>
      </c>
      <c r="F1630" s="236" t="str">
        <f ca="1">IFERROR(__xludf.DUMMYFUNCTION("""COMPUTED_VALUE"""),"25!AUG")</f>
        <v>25!AUG</v>
      </c>
      <c r="G1630" s="221">
        <f ca="1">IFERROR(__xludf.DUMMYFUNCTION("""COMPUTED_VALUE"""),4500)</f>
        <v>4500</v>
      </c>
      <c r="H1630" s="221" t="str">
        <f ca="1">IFERROR(__xludf.DUMMYFUNCTION("""COMPUTED_VALUE"""),"CE")</f>
        <v>CE</v>
      </c>
      <c r="I1630" s="221" t="s">
        <v>4</v>
      </c>
      <c r="J1630" s="223">
        <v>225</v>
      </c>
      <c r="K1630" s="224">
        <v>1</v>
      </c>
      <c r="L1630" s="224">
        <v>1</v>
      </c>
      <c r="M1630" s="225">
        <f t="shared" si="864"/>
        <v>225</v>
      </c>
      <c r="N1630" s="226">
        <v>170</v>
      </c>
      <c r="O1630" s="227">
        <v>175</v>
      </c>
      <c r="P1630" s="228">
        <f t="shared" si="865"/>
        <v>38250</v>
      </c>
      <c r="Q1630" s="228">
        <f t="shared" si="866"/>
        <v>39375</v>
      </c>
      <c r="R1630" s="229">
        <f t="shared" si="867"/>
        <v>77625</v>
      </c>
      <c r="S1630" s="229">
        <f t="shared" si="868"/>
        <v>1125</v>
      </c>
      <c r="T1630" s="229">
        <f t="shared" si="880"/>
        <v>40</v>
      </c>
      <c r="U1630" s="229">
        <f t="shared" si="870"/>
        <v>14.61</v>
      </c>
      <c r="V1630" s="229">
        <f t="shared" si="871"/>
        <v>19.690000000000001</v>
      </c>
      <c r="W1630" s="229">
        <f t="shared" si="872"/>
        <v>1.1499999999999999</v>
      </c>
      <c r="X1630" s="229">
        <f t="shared" si="873"/>
        <v>41.14</v>
      </c>
      <c r="Y1630" s="229">
        <f t="shared" si="874"/>
        <v>0.08</v>
      </c>
      <c r="Z1630" s="229">
        <f t="shared" si="875"/>
        <v>116.67</v>
      </c>
      <c r="AA1630" s="230">
        <f t="shared" si="876"/>
        <v>1008.33</v>
      </c>
      <c r="AB1630" s="231">
        <v>1008</v>
      </c>
      <c r="AC1630" s="232">
        <f t="shared" si="877"/>
        <v>-0.33000000000004093</v>
      </c>
      <c r="AD1630" s="233">
        <f t="shared" si="878"/>
        <v>2.9411764705882353E-2</v>
      </c>
      <c r="AE1630" s="234">
        <f t="shared" si="879"/>
        <v>1.503E-3</v>
      </c>
      <c r="AF1630" s="229"/>
      <c r="AG1630" s="235" t="s">
        <v>416</v>
      </c>
      <c r="AH1630" s="124"/>
    </row>
    <row r="1631" spans="1:34" ht="12" hidden="1" customHeight="1">
      <c r="A1631" s="154">
        <v>44778</v>
      </c>
      <c r="B1631" s="221" t="s">
        <v>829</v>
      </c>
      <c r="C1631" s="7" t="s">
        <v>485</v>
      </c>
      <c r="D1631" s="221" t="str">
        <f t="shared" ca="1" si="863"/>
        <v>Stocks</v>
      </c>
      <c r="E1631" s="221" t="str">
        <f ca="1">IFERROR(__xludf.DUMMYFUNCTION("split(B1631,"" "")"),"NAVINFLUOR")</f>
        <v>NAVINFLUOR</v>
      </c>
      <c r="F1631" s="221" t="str">
        <f ca="1">IFERROR(__xludf.DUMMYFUNCTION("""COMPUTED_VALUE"""),"25!AUG")</f>
        <v>25!AUG</v>
      </c>
      <c r="G1631" s="221">
        <f ca="1">IFERROR(__xludf.DUMMYFUNCTION("""COMPUTED_VALUE"""),4500)</f>
        <v>4500</v>
      </c>
      <c r="H1631" s="221" t="str">
        <f ca="1">IFERROR(__xludf.DUMMYFUNCTION("""COMPUTED_VALUE"""),"CE")</f>
        <v>CE</v>
      </c>
      <c r="I1631" s="221" t="s">
        <v>4</v>
      </c>
      <c r="J1631" s="223">
        <v>225</v>
      </c>
      <c r="K1631" s="224">
        <v>1</v>
      </c>
      <c r="L1631" s="224">
        <v>1</v>
      </c>
      <c r="M1631" s="225">
        <f t="shared" si="864"/>
        <v>225</v>
      </c>
      <c r="N1631" s="226">
        <v>166</v>
      </c>
      <c r="O1631" s="227">
        <v>0</v>
      </c>
      <c r="P1631" s="228">
        <f t="shared" si="865"/>
        <v>37350</v>
      </c>
      <c r="Q1631" s="228">
        <f t="shared" si="866"/>
        <v>0</v>
      </c>
      <c r="R1631" s="229">
        <f t="shared" si="867"/>
        <v>37350</v>
      </c>
      <c r="S1631" s="229">
        <f t="shared" si="868"/>
        <v>-37350</v>
      </c>
      <c r="T1631" s="229">
        <f t="shared" si="880"/>
        <v>20</v>
      </c>
      <c r="U1631" s="229">
        <f t="shared" si="870"/>
        <v>7.16</v>
      </c>
      <c r="V1631" s="229">
        <f t="shared" si="871"/>
        <v>0</v>
      </c>
      <c r="W1631" s="229">
        <f t="shared" si="872"/>
        <v>1.1200000000000001</v>
      </c>
      <c r="X1631" s="229">
        <f t="shared" si="873"/>
        <v>19.8</v>
      </c>
      <c r="Y1631" s="229">
        <f t="shared" si="874"/>
        <v>0.04</v>
      </c>
      <c r="Z1631" s="229">
        <f t="shared" si="875"/>
        <v>48.12</v>
      </c>
      <c r="AA1631" s="230">
        <f t="shared" si="876"/>
        <v>-37398.120000000003</v>
      </c>
      <c r="AB1631" s="231">
        <v>-37398</v>
      </c>
      <c r="AC1631" s="232">
        <f t="shared" si="877"/>
        <v>0.12000000000261934</v>
      </c>
      <c r="AD1631" s="233">
        <f t="shared" si="878"/>
        <v>-1</v>
      </c>
      <c r="AE1631" s="234">
        <f t="shared" si="879"/>
        <v>1.2880000000000001E-3</v>
      </c>
      <c r="AF1631" s="229"/>
      <c r="AG1631" s="235" t="s">
        <v>416</v>
      </c>
      <c r="AH1631" s="124"/>
    </row>
    <row r="1632" spans="1:34" ht="12" hidden="1" customHeight="1">
      <c r="A1632" s="155">
        <v>44783</v>
      </c>
      <c r="B1632" s="221" t="s">
        <v>829</v>
      </c>
      <c r="C1632" s="7" t="s">
        <v>485</v>
      </c>
      <c r="D1632" s="221" t="str">
        <f t="shared" ca="1" si="863"/>
        <v>Stocks</v>
      </c>
      <c r="E1632" s="221" t="str">
        <f ca="1">IFERROR(__xludf.DUMMYFUNCTION("split(B1632,"" "")"),"NAVINFLUOR")</f>
        <v>NAVINFLUOR</v>
      </c>
      <c r="F1632" s="221" t="str">
        <f ca="1">IFERROR(__xludf.DUMMYFUNCTION("""COMPUTED_VALUE"""),"25!AUG")</f>
        <v>25!AUG</v>
      </c>
      <c r="G1632" s="221">
        <f ca="1">IFERROR(__xludf.DUMMYFUNCTION("""COMPUTED_VALUE"""),4500)</f>
        <v>4500</v>
      </c>
      <c r="H1632" s="221" t="str">
        <f ca="1">IFERROR(__xludf.DUMMYFUNCTION("""COMPUTED_VALUE"""),"CE")</f>
        <v>CE</v>
      </c>
      <c r="I1632" s="221" t="s">
        <v>4</v>
      </c>
      <c r="J1632" s="223">
        <v>225</v>
      </c>
      <c r="K1632" s="224">
        <v>1</v>
      </c>
      <c r="L1632" s="224">
        <v>1</v>
      </c>
      <c r="M1632" s="225">
        <f t="shared" si="864"/>
        <v>225</v>
      </c>
      <c r="N1632" s="226">
        <v>0</v>
      </c>
      <c r="O1632" s="227">
        <v>166</v>
      </c>
      <c r="P1632" s="228">
        <f t="shared" si="865"/>
        <v>0</v>
      </c>
      <c r="Q1632" s="228">
        <f t="shared" si="866"/>
        <v>37350</v>
      </c>
      <c r="R1632" s="229">
        <f t="shared" si="867"/>
        <v>37350</v>
      </c>
      <c r="S1632" s="229">
        <f t="shared" si="868"/>
        <v>37350</v>
      </c>
      <c r="T1632" s="229">
        <f t="shared" si="880"/>
        <v>20</v>
      </c>
      <c r="U1632" s="229">
        <f t="shared" si="870"/>
        <v>7.16</v>
      </c>
      <c r="V1632" s="229">
        <f t="shared" si="871"/>
        <v>18.68</v>
      </c>
      <c r="W1632" s="229">
        <f t="shared" si="872"/>
        <v>0</v>
      </c>
      <c r="X1632" s="229">
        <f t="shared" si="873"/>
        <v>19.8</v>
      </c>
      <c r="Y1632" s="229">
        <f t="shared" si="874"/>
        <v>0.04</v>
      </c>
      <c r="Z1632" s="229">
        <f t="shared" si="875"/>
        <v>65.680000000000007</v>
      </c>
      <c r="AA1632" s="230">
        <f t="shared" si="876"/>
        <v>37284.32</v>
      </c>
      <c r="AB1632" s="231">
        <v>37284.07</v>
      </c>
      <c r="AC1632" s="232">
        <f t="shared" si="877"/>
        <v>-0.25</v>
      </c>
      <c r="AD1632" s="233">
        <f t="shared" si="878"/>
        <v>0</v>
      </c>
      <c r="AE1632" s="234">
        <f t="shared" si="879"/>
        <v>1.7589999999999999E-3</v>
      </c>
      <c r="AF1632" s="229"/>
      <c r="AG1632" s="235" t="s">
        <v>416</v>
      </c>
      <c r="AH1632" s="124"/>
    </row>
    <row r="1633" spans="1:34" ht="12" hidden="1" customHeight="1">
      <c r="A1633" s="220">
        <v>44781</v>
      </c>
      <c r="B1633" s="221" t="s">
        <v>830</v>
      </c>
      <c r="C1633" s="7" t="s">
        <v>485</v>
      </c>
      <c r="D1633" s="221" t="str">
        <f t="shared" ca="1" si="863"/>
        <v>Indices</v>
      </c>
      <c r="E1633" s="221" t="str">
        <f ca="1">IFERROR(__xludf.DUMMYFUNCTION("split(B1633,"" "")"),"NIFTY")</f>
        <v>NIFTY</v>
      </c>
      <c r="F1633" s="236" t="str">
        <f ca="1">IFERROR(__xludf.DUMMYFUNCTION("""COMPUTED_VALUE"""),"11!AUG")</f>
        <v>11!AUG</v>
      </c>
      <c r="G1633" s="221">
        <f ca="1">IFERROR(__xludf.DUMMYFUNCTION("""COMPUTED_VALUE"""),17450)</f>
        <v>17450</v>
      </c>
      <c r="H1633" s="221" t="str">
        <f ca="1">IFERROR(__xludf.DUMMYFUNCTION("""COMPUTED_VALUE"""),"PE")</f>
        <v>PE</v>
      </c>
      <c r="I1633" s="221" t="s">
        <v>4</v>
      </c>
      <c r="J1633" s="223">
        <v>50</v>
      </c>
      <c r="K1633" s="224">
        <v>1</v>
      </c>
      <c r="L1633" s="224">
        <v>2</v>
      </c>
      <c r="M1633" s="225">
        <f t="shared" si="864"/>
        <v>100</v>
      </c>
      <c r="N1633" s="226">
        <v>80</v>
      </c>
      <c r="O1633" s="227">
        <v>0</v>
      </c>
      <c r="P1633" s="228">
        <f t="shared" si="865"/>
        <v>8000</v>
      </c>
      <c r="Q1633" s="228">
        <f t="shared" si="866"/>
        <v>0</v>
      </c>
      <c r="R1633" s="229">
        <f t="shared" si="867"/>
        <v>8000</v>
      </c>
      <c r="S1633" s="229">
        <f t="shared" si="868"/>
        <v>-8000</v>
      </c>
      <c r="T1633" s="229">
        <f t="shared" si="880"/>
        <v>40</v>
      </c>
      <c r="U1633" s="229">
        <f t="shared" si="870"/>
        <v>7.96</v>
      </c>
      <c r="V1633" s="229">
        <f t="shared" si="871"/>
        <v>0</v>
      </c>
      <c r="W1633" s="229">
        <f t="shared" si="872"/>
        <v>0.24</v>
      </c>
      <c r="X1633" s="229">
        <f t="shared" si="873"/>
        <v>4.24</v>
      </c>
      <c r="Y1633" s="229">
        <f t="shared" si="874"/>
        <v>0.01</v>
      </c>
      <c r="Z1633" s="229">
        <f t="shared" si="875"/>
        <v>52.45</v>
      </c>
      <c r="AA1633" s="230">
        <f t="shared" si="876"/>
        <v>-8052.45</v>
      </c>
      <c r="AB1633" s="231">
        <v>-8052</v>
      </c>
      <c r="AC1633" s="232">
        <f t="shared" si="877"/>
        <v>0.4499999999998181</v>
      </c>
      <c r="AD1633" s="233">
        <f t="shared" si="878"/>
        <v>-1</v>
      </c>
      <c r="AE1633" s="234">
        <f t="shared" si="879"/>
        <v>6.5560000000000002E-3</v>
      </c>
      <c r="AF1633" s="229"/>
      <c r="AG1633" s="235" t="s">
        <v>416</v>
      </c>
      <c r="AH1633" s="124"/>
    </row>
    <row r="1634" spans="1:34" ht="12" hidden="1" customHeight="1">
      <c r="A1634" s="220">
        <v>44781</v>
      </c>
      <c r="B1634" s="221" t="s">
        <v>830</v>
      </c>
      <c r="C1634" s="7" t="s">
        <v>485</v>
      </c>
      <c r="D1634" s="221" t="str">
        <f t="shared" ca="1" si="863"/>
        <v>Indices</v>
      </c>
      <c r="E1634" s="221" t="str">
        <f ca="1">IFERROR(__xludf.DUMMYFUNCTION("split(B1634,"" "")"),"NIFTY")</f>
        <v>NIFTY</v>
      </c>
      <c r="F1634" s="236" t="str">
        <f ca="1">IFERROR(__xludf.DUMMYFUNCTION("""COMPUTED_VALUE"""),"11!AUG")</f>
        <v>11!AUG</v>
      </c>
      <c r="G1634" s="221">
        <f ca="1">IFERROR(__xludf.DUMMYFUNCTION("""COMPUTED_VALUE"""),17450)</f>
        <v>17450</v>
      </c>
      <c r="H1634" s="221" t="str">
        <f ca="1">IFERROR(__xludf.DUMMYFUNCTION("""COMPUTED_VALUE"""),"PE")</f>
        <v>PE</v>
      </c>
      <c r="I1634" s="221" t="s">
        <v>4</v>
      </c>
      <c r="J1634" s="223">
        <v>50</v>
      </c>
      <c r="K1634" s="224">
        <v>2</v>
      </c>
      <c r="L1634" s="224">
        <v>1</v>
      </c>
      <c r="M1634" s="225">
        <f t="shared" si="864"/>
        <v>100</v>
      </c>
      <c r="N1634" s="226">
        <v>0</v>
      </c>
      <c r="O1634" s="227">
        <v>80</v>
      </c>
      <c r="P1634" s="228">
        <f t="shared" si="865"/>
        <v>0</v>
      </c>
      <c r="Q1634" s="228">
        <f t="shared" si="866"/>
        <v>8000</v>
      </c>
      <c r="R1634" s="229">
        <f t="shared" si="867"/>
        <v>8000</v>
      </c>
      <c r="S1634" s="229">
        <f t="shared" si="868"/>
        <v>8000</v>
      </c>
      <c r="T1634" s="229">
        <f t="shared" si="880"/>
        <v>20</v>
      </c>
      <c r="U1634" s="229">
        <f t="shared" si="870"/>
        <v>4.3600000000000003</v>
      </c>
      <c r="V1634" s="229">
        <f t="shared" si="871"/>
        <v>4</v>
      </c>
      <c r="W1634" s="229">
        <f t="shared" si="872"/>
        <v>0</v>
      </c>
      <c r="X1634" s="229">
        <f t="shared" si="873"/>
        <v>4.24</v>
      </c>
      <c r="Y1634" s="229">
        <f t="shared" si="874"/>
        <v>0.01</v>
      </c>
      <c r="Z1634" s="229">
        <f t="shared" si="875"/>
        <v>32.61</v>
      </c>
      <c r="AA1634" s="230">
        <f t="shared" si="876"/>
        <v>7967.39</v>
      </c>
      <c r="AB1634" s="231">
        <v>7967.17</v>
      </c>
      <c r="AC1634" s="232">
        <f t="shared" si="877"/>
        <v>-0.22000000000025466</v>
      </c>
      <c r="AD1634" s="233">
        <f t="shared" si="878"/>
        <v>0</v>
      </c>
      <c r="AE1634" s="234">
        <f t="shared" si="879"/>
        <v>4.0759999999999998E-3</v>
      </c>
      <c r="AF1634" s="229"/>
      <c r="AG1634" s="235" t="s">
        <v>416</v>
      </c>
      <c r="AH1634" s="124"/>
    </row>
    <row r="1635" spans="1:34" ht="12" hidden="1" customHeight="1">
      <c r="A1635" s="154">
        <v>44783</v>
      </c>
      <c r="B1635" s="221" t="s">
        <v>829</v>
      </c>
      <c r="C1635" s="7" t="s">
        <v>485</v>
      </c>
      <c r="D1635" s="221" t="str">
        <f t="shared" ca="1" si="863"/>
        <v>Stocks</v>
      </c>
      <c r="E1635" s="221" t="str">
        <f ca="1">IFERROR(__xludf.DUMMYFUNCTION("split(B1635,"" "")"),"NAVINFLUOR")</f>
        <v>NAVINFLUOR</v>
      </c>
      <c r="F1635" s="236" t="str">
        <f ca="1">IFERROR(__xludf.DUMMYFUNCTION("""COMPUTED_VALUE"""),"25!AUG")</f>
        <v>25!AUG</v>
      </c>
      <c r="G1635" s="221">
        <f ca="1">IFERROR(__xludf.DUMMYFUNCTION("""COMPUTED_VALUE"""),4500)</f>
        <v>4500</v>
      </c>
      <c r="H1635" s="221" t="str">
        <f ca="1">IFERROR(__xludf.DUMMYFUNCTION("""COMPUTED_VALUE"""),"CE")</f>
        <v>CE</v>
      </c>
      <c r="I1635" s="221" t="s">
        <v>4</v>
      </c>
      <c r="J1635" s="223">
        <v>225</v>
      </c>
      <c r="K1635" s="224">
        <v>1</v>
      </c>
      <c r="L1635" s="224">
        <v>1</v>
      </c>
      <c r="M1635" s="225">
        <f t="shared" si="864"/>
        <v>225</v>
      </c>
      <c r="N1635" s="226">
        <v>130</v>
      </c>
      <c r="O1635" s="227">
        <v>0</v>
      </c>
      <c r="P1635" s="228">
        <f t="shared" si="865"/>
        <v>29250</v>
      </c>
      <c r="Q1635" s="228">
        <f t="shared" si="866"/>
        <v>0</v>
      </c>
      <c r="R1635" s="229">
        <f t="shared" si="867"/>
        <v>29250</v>
      </c>
      <c r="S1635" s="229">
        <f t="shared" si="868"/>
        <v>-29250</v>
      </c>
      <c r="T1635" s="229">
        <f t="shared" si="880"/>
        <v>20</v>
      </c>
      <c r="U1635" s="229">
        <f t="shared" si="870"/>
        <v>6.39</v>
      </c>
      <c r="V1635" s="229">
        <f t="shared" si="871"/>
        <v>0</v>
      </c>
      <c r="W1635" s="229">
        <f t="shared" si="872"/>
        <v>0.88</v>
      </c>
      <c r="X1635" s="229">
        <f t="shared" si="873"/>
        <v>15.5</v>
      </c>
      <c r="Y1635" s="229">
        <f t="shared" si="874"/>
        <v>0.03</v>
      </c>
      <c r="Z1635" s="229">
        <f t="shared" si="875"/>
        <v>42.8</v>
      </c>
      <c r="AA1635" s="230">
        <f t="shared" si="876"/>
        <v>-29292.799999999999</v>
      </c>
      <c r="AB1635" s="231">
        <v>-29293</v>
      </c>
      <c r="AC1635" s="232">
        <f t="shared" si="877"/>
        <v>-0.2000000000007276</v>
      </c>
      <c r="AD1635" s="233">
        <f t="shared" si="878"/>
        <v>-1</v>
      </c>
      <c r="AE1635" s="234">
        <f t="shared" si="879"/>
        <v>1.4630000000000001E-3</v>
      </c>
      <c r="AF1635" s="229"/>
      <c r="AG1635" s="235" t="s">
        <v>416</v>
      </c>
      <c r="AH1635" s="124"/>
    </row>
    <row r="1636" spans="1:34" ht="12" hidden="1" customHeight="1">
      <c r="A1636" s="155">
        <v>44790</v>
      </c>
      <c r="B1636" s="221" t="s">
        <v>829</v>
      </c>
      <c r="C1636" s="7" t="s">
        <v>485</v>
      </c>
      <c r="D1636" s="221" t="str">
        <f t="shared" ca="1" si="863"/>
        <v>Stocks</v>
      </c>
      <c r="E1636" s="221" t="str">
        <f ca="1">IFERROR(__xludf.DUMMYFUNCTION("split(B1636,"" "")"),"NAVINFLUOR")</f>
        <v>NAVINFLUOR</v>
      </c>
      <c r="F1636" s="221" t="str">
        <f ca="1">IFERROR(__xludf.DUMMYFUNCTION("""COMPUTED_VALUE"""),"25!AUG")</f>
        <v>25!AUG</v>
      </c>
      <c r="G1636" s="221">
        <f ca="1">IFERROR(__xludf.DUMMYFUNCTION("""COMPUTED_VALUE"""),4500)</f>
        <v>4500</v>
      </c>
      <c r="H1636" s="221" t="str">
        <f ca="1">IFERROR(__xludf.DUMMYFUNCTION("""COMPUTED_VALUE"""),"CE")</f>
        <v>CE</v>
      </c>
      <c r="I1636" s="221" t="s">
        <v>4</v>
      </c>
      <c r="J1636" s="223">
        <v>225</v>
      </c>
      <c r="K1636" s="224">
        <v>1</v>
      </c>
      <c r="L1636" s="224">
        <v>1</v>
      </c>
      <c r="M1636" s="225">
        <f t="shared" si="864"/>
        <v>225</v>
      </c>
      <c r="N1636" s="226">
        <v>0</v>
      </c>
      <c r="O1636" s="227">
        <v>65</v>
      </c>
      <c r="P1636" s="228">
        <f t="shared" si="865"/>
        <v>0</v>
      </c>
      <c r="Q1636" s="228">
        <f t="shared" si="866"/>
        <v>14625</v>
      </c>
      <c r="R1636" s="229">
        <f t="shared" si="867"/>
        <v>14625</v>
      </c>
      <c r="S1636" s="229">
        <f t="shared" si="868"/>
        <v>14625</v>
      </c>
      <c r="T1636" s="229">
        <f t="shared" si="880"/>
        <v>20</v>
      </c>
      <c r="U1636" s="229">
        <f t="shared" si="870"/>
        <v>5</v>
      </c>
      <c r="V1636" s="229">
        <f t="shared" si="871"/>
        <v>7.31</v>
      </c>
      <c r="W1636" s="229">
        <f t="shared" si="872"/>
        <v>0</v>
      </c>
      <c r="X1636" s="229">
        <f t="shared" si="873"/>
        <v>7.75</v>
      </c>
      <c r="Y1636" s="229">
        <f t="shared" si="874"/>
        <v>0.01</v>
      </c>
      <c r="Z1636" s="229">
        <f t="shared" si="875"/>
        <v>40.07</v>
      </c>
      <c r="AA1636" s="230">
        <f t="shared" si="876"/>
        <v>14584.93</v>
      </c>
      <c r="AB1636" s="231">
        <v>14585</v>
      </c>
      <c r="AC1636" s="232">
        <f t="shared" si="877"/>
        <v>6.9999999999708962E-2</v>
      </c>
      <c r="AD1636" s="233">
        <f t="shared" si="878"/>
        <v>0</v>
      </c>
      <c r="AE1636" s="234">
        <f t="shared" si="879"/>
        <v>2.7399999999999998E-3</v>
      </c>
      <c r="AF1636" s="229"/>
      <c r="AG1636" s="235" t="s">
        <v>416</v>
      </c>
      <c r="AH1636" s="124"/>
    </row>
    <row r="1637" spans="1:34" ht="12" hidden="1" customHeight="1">
      <c r="A1637" s="220">
        <v>44790</v>
      </c>
      <c r="B1637" s="221" t="s">
        <v>829</v>
      </c>
      <c r="C1637" s="7" t="s">
        <v>485</v>
      </c>
      <c r="D1637" s="221" t="str">
        <f t="shared" ca="1" si="863"/>
        <v>Stocks</v>
      </c>
      <c r="E1637" s="221" t="str">
        <f ca="1">IFERROR(__xludf.DUMMYFUNCTION("split(B1637,"" "")"),"NAVINFLUOR")</f>
        <v>NAVINFLUOR</v>
      </c>
      <c r="F1637" s="221" t="str">
        <f ca="1">IFERROR(__xludf.DUMMYFUNCTION("""COMPUTED_VALUE"""),"25!AUG")</f>
        <v>25!AUG</v>
      </c>
      <c r="G1637" s="221">
        <f ca="1">IFERROR(__xludf.DUMMYFUNCTION("""COMPUTED_VALUE"""),4500)</f>
        <v>4500</v>
      </c>
      <c r="H1637" s="221" t="str">
        <f ca="1">IFERROR(__xludf.DUMMYFUNCTION("""COMPUTED_VALUE"""),"CE")</f>
        <v>CE</v>
      </c>
      <c r="I1637" s="221" t="s">
        <v>4</v>
      </c>
      <c r="J1637" s="223">
        <v>225</v>
      </c>
      <c r="K1637" s="224">
        <v>1</v>
      </c>
      <c r="L1637" s="224">
        <v>1</v>
      </c>
      <c r="M1637" s="225">
        <f t="shared" si="864"/>
        <v>225</v>
      </c>
      <c r="N1637" s="226">
        <v>80</v>
      </c>
      <c r="O1637" s="227">
        <v>81</v>
      </c>
      <c r="P1637" s="228">
        <f t="shared" si="865"/>
        <v>18000</v>
      </c>
      <c r="Q1637" s="228">
        <f t="shared" si="866"/>
        <v>18225</v>
      </c>
      <c r="R1637" s="229">
        <f t="shared" si="867"/>
        <v>36225</v>
      </c>
      <c r="S1637" s="229">
        <f t="shared" si="868"/>
        <v>225</v>
      </c>
      <c r="T1637" s="229">
        <f t="shared" si="880"/>
        <v>40</v>
      </c>
      <c r="U1637" s="229">
        <f t="shared" si="870"/>
        <v>10.66</v>
      </c>
      <c r="V1637" s="229">
        <f t="shared" si="871"/>
        <v>9.11</v>
      </c>
      <c r="W1637" s="229">
        <f t="shared" si="872"/>
        <v>0.54</v>
      </c>
      <c r="X1637" s="229">
        <f t="shared" si="873"/>
        <v>19.2</v>
      </c>
      <c r="Y1637" s="229">
        <f t="shared" si="874"/>
        <v>0.04</v>
      </c>
      <c r="Z1637" s="229">
        <f t="shared" si="875"/>
        <v>79.55</v>
      </c>
      <c r="AA1637" s="230">
        <f t="shared" si="876"/>
        <v>145.44999999999999</v>
      </c>
      <c r="AB1637" s="231">
        <v>145</v>
      </c>
      <c r="AC1637" s="232">
        <f t="shared" si="877"/>
        <v>-0.44999999999998863</v>
      </c>
      <c r="AD1637" s="233">
        <f t="shared" si="878"/>
        <v>1.2500000000000001E-2</v>
      </c>
      <c r="AE1637" s="234">
        <f t="shared" si="879"/>
        <v>2.196E-3</v>
      </c>
      <c r="AF1637" s="229"/>
      <c r="AG1637" s="235" t="s">
        <v>416</v>
      </c>
      <c r="AH1637" s="124"/>
    </row>
    <row r="1638" spans="1:34" ht="12" hidden="1" customHeight="1">
      <c r="A1638" s="220">
        <v>44790</v>
      </c>
      <c r="B1638" s="221" t="s">
        <v>831</v>
      </c>
      <c r="C1638" s="7" t="s">
        <v>485</v>
      </c>
      <c r="D1638" s="221" t="str">
        <f t="shared" ca="1" si="863"/>
        <v>Stocks</v>
      </c>
      <c r="E1638" s="221" t="str">
        <f ca="1">IFERROR(__xludf.DUMMYFUNCTION("split(B1638,"" "")"),"HDFCBANK")</f>
        <v>HDFCBANK</v>
      </c>
      <c r="F1638" s="221" t="str">
        <f ca="1">IFERROR(__xludf.DUMMYFUNCTION("""COMPUTED_VALUE"""),"25!AUG")</f>
        <v>25!AUG</v>
      </c>
      <c r="G1638" s="221">
        <f ca="1">IFERROR(__xludf.DUMMYFUNCTION("""COMPUTED_VALUE"""),1500)</f>
        <v>1500</v>
      </c>
      <c r="H1638" s="221" t="str">
        <f ca="1">IFERROR(__xludf.DUMMYFUNCTION("""COMPUTED_VALUE"""),"PE")</f>
        <v>PE</v>
      </c>
      <c r="I1638" s="221" t="s">
        <v>4</v>
      </c>
      <c r="J1638" s="223">
        <v>550</v>
      </c>
      <c r="K1638" s="224">
        <v>1</v>
      </c>
      <c r="L1638" s="224">
        <v>1</v>
      </c>
      <c r="M1638" s="225">
        <f t="shared" si="864"/>
        <v>550</v>
      </c>
      <c r="N1638" s="226">
        <v>15.75</v>
      </c>
      <c r="O1638" s="227">
        <v>16</v>
      </c>
      <c r="P1638" s="228">
        <f t="shared" si="865"/>
        <v>8662.5</v>
      </c>
      <c r="Q1638" s="228">
        <f t="shared" si="866"/>
        <v>8800</v>
      </c>
      <c r="R1638" s="229">
        <f t="shared" si="867"/>
        <v>17462.5</v>
      </c>
      <c r="S1638" s="229">
        <f t="shared" si="868"/>
        <v>137.5</v>
      </c>
      <c r="T1638" s="229">
        <f t="shared" si="880"/>
        <v>40</v>
      </c>
      <c r="U1638" s="229">
        <f t="shared" si="870"/>
        <v>8.8699999999999992</v>
      </c>
      <c r="V1638" s="229">
        <f t="shared" si="871"/>
        <v>4.4000000000000004</v>
      </c>
      <c r="W1638" s="229">
        <f t="shared" si="872"/>
        <v>0.26</v>
      </c>
      <c r="X1638" s="229">
        <f t="shared" si="873"/>
        <v>9.26</v>
      </c>
      <c r="Y1638" s="229">
        <f t="shared" si="874"/>
        <v>0.02</v>
      </c>
      <c r="Z1638" s="229">
        <f t="shared" si="875"/>
        <v>62.809999999999995</v>
      </c>
      <c r="AA1638" s="230">
        <f t="shared" si="876"/>
        <v>74.69</v>
      </c>
      <c r="AB1638" s="231">
        <v>75.069999999999993</v>
      </c>
      <c r="AC1638" s="232">
        <f t="shared" si="877"/>
        <v>0.37999999999999545</v>
      </c>
      <c r="AD1638" s="233">
        <f t="shared" si="878"/>
        <v>1.5873015873015872E-2</v>
      </c>
      <c r="AE1638" s="234">
        <f t="shared" si="879"/>
        <v>3.5969999999999999E-3</v>
      </c>
      <c r="AF1638" s="229"/>
      <c r="AG1638" s="235" t="s">
        <v>416</v>
      </c>
      <c r="AH1638" s="124"/>
    </row>
    <row r="1639" spans="1:34" ht="12" hidden="1" customHeight="1">
      <c r="A1639" s="220">
        <v>44790</v>
      </c>
      <c r="B1639" s="221" t="s">
        <v>832</v>
      </c>
      <c r="C1639" s="7" t="s">
        <v>485</v>
      </c>
      <c r="D1639" s="221" t="str">
        <f t="shared" ca="1" si="863"/>
        <v>Indices</v>
      </c>
      <c r="E1639" s="221" t="str">
        <f ca="1">IFERROR(__xludf.DUMMYFUNCTION("split(B1639,"" "")"),"NIFTY")</f>
        <v>NIFTY</v>
      </c>
      <c r="F1639" s="221" t="str">
        <f ca="1">IFERROR(__xludf.DUMMYFUNCTION("""COMPUTED_VALUE"""),"25!AUG")</f>
        <v>25!AUG</v>
      </c>
      <c r="G1639" s="221">
        <f ca="1">IFERROR(__xludf.DUMMYFUNCTION("""COMPUTED_VALUE"""),17900)</f>
        <v>17900</v>
      </c>
      <c r="H1639" s="221" t="str">
        <f ca="1">IFERROR(__xludf.DUMMYFUNCTION("""COMPUTED_VALUE"""),"PE")</f>
        <v>PE</v>
      </c>
      <c r="I1639" s="221" t="s">
        <v>4</v>
      </c>
      <c r="J1639" s="223">
        <v>50</v>
      </c>
      <c r="K1639" s="224">
        <v>1</v>
      </c>
      <c r="L1639" s="224">
        <v>1</v>
      </c>
      <c r="M1639" s="225">
        <f t="shared" si="864"/>
        <v>50</v>
      </c>
      <c r="N1639" s="226">
        <v>118</v>
      </c>
      <c r="O1639" s="227">
        <v>119</v>
      </c>
      <c r="P1639" s="228">
        <f t="shared" si="865"/>
        <v>5900</v>
      </c>
      <c r="Q1639" s="228">
        <f t="shared" si="866"/>
        <v>5950</v>
      </c>
      <c r="R1639" s="229">
        <f t="shared" si="867"/>
        <v>11850</v>
      </c>
      <c r="S1639" s="229">
        <f t="shared" si="868"/>
        <v>50</v>
      </c>
      <c r="T1639" s="229">
        <f t="shared" si="880"/>
        <v>40</v>
      </c>
      <c r="U1639" s="229">
        <f t="shared" si="870"/>
        <v>8.33</v>
      </c>
      <c r="V1639" s="229">
        <f t="shared" si="871"/>
        <v>2.98</v>
      </c>
      <c r="W1639" s="229">
        <f t="shared" si="872"/>
        <v>0.18</v>
      </c>
      <c r="X1639" s="229">
        <f t="shared" si="873"/>
        <v>6.28</v>
      </c>
      <c r="Y1639" s="229">
        <f t="shared" si="874"/>
        <v>0.01</v>
      </c>
      <c r="Z1639" s="229">
        <f t="shared" si="875"/>
        <v>57.779999999999994</v>
      </c>
      <c r="AA1639" s="230">
        <f t="shared" si="876"/>
        <v>-7.78</v>
      </c>
      <c r="AB1639" s="231">
        <v>-8</v>
      </c>
      <c r="AC1639" s="232">
        <f t="shared" si="877"/>
        <v>-0.21999999999999975</v>
      </c>
      <c r="AD1639" s="233">
        <f t="shared" si="878"/>
        <v>8.4745762711864406E-3</v>
      </c>
      <c r="AE1639" s="234">
        <f t="shared" si="879"/>
        <v>4.8760000000000001E-3</v>
      </c>
      <c r="AF1639" s="229"/>
      <c r="AG1639" s="235" t="s">
        <v>416</v>
      </c>
      <c r="AH1639" s="124"/>
    </row>
    <row r="1640" spans="1:34" ht="12" hidden="1" customHeight="1">
      <c r="A1640" s="220">
        <v>44791</v>
      </c>
      <c r="B1640" s="221" t="s">
        <v>833</v>
      </c>
      <c r="C1640" s="7" t="s">
        <v>485</v>
      </c>
      <c r="D1640" s="221" t="str">
        <f t="shared" ca="1" si="863"/>
        <v>Stocks</v>
      </c>
      <c r="E1640" s="221" t="str">
        <f ca="1">IFERROR(__xludf.DUMMYFUNCTION("split(B1640,"" "")"),"TECHM")</f>
        <v>TECHM</v>
      </c>
      <c r="F1640" s="221" t="str">
        <f ca="1">IFERROR(__xludf.DUMMYFUNCTION("""COMPUTED_VALUE"""),"25!AUG")</f>
        <v>25!AUG</v>
      </c>
      <c r="G1640" s="221">
        <f ca="1">IFERROR(__xludf.DUMMYFUNCTION("""COMPUTED_VALUE"""),1100)</f>
        <v>1100</v>
      </c>
      <c r="H1640" s="221" t="str">
        <f ca="1">IFERROR(__xludf.DUMMYFUNCTION("""COMPUTED_VALUE"""),"PE")</f>
        <v>PE</v>
      </c>
      <c r="I1640" s="221" t="s">
        <v>4</v>
      </c>
      <c r="J1640" s="223">
        <v>600</v>
      </c>
      <c r="K1640" s="224">
        <v>1</v>
      </c>
      <c r="L1640" s="224">
        <v>1</v>
      </c>
      <c r="M1640" s="225">
        <f t="shared" si="864"/>
        <v>600</v>
      </c>
      <c r="N1640" s="226">
        <v>17.55</v>
      </c>
      <c r="O1640" s="227">
        <v>19.350000000000001</v>
      </c>
      <c r="P1640" s="228">
        <f t="shared" si="865"/>
        <v>10530</v>
      </c>
      <c r="Q1640" s="228">
        <f t="shared" si="866"/>
        <v>11610</v>
      </c>
      <c r="R1640" s="229">
        <f t="shared" si="867"/>
        <v>22140</v>
      </c>
      <c r="S1640" s="229">
        <f t="shared" si="868"/>
        <v>1080.0000000000005</v>
      </c>
      <c r="T1640" s="229">
        <f t="shared" si="880"/>
        <v>40</v>
      </c>
      <c r="U1640" s="229">
        <f t="shared" si="870"/>
        <v>9.31</v>
      </c>
      <c r="V1640" s="229">
        <f t="shared" si="871"/>
        <v>5.81</v>
      </c>
      <c r="W1640" s="229">
        <f t="shared" si="872"/>
        <v>0.32</v>
      </c>
      <c r="X1640" s="229">
        <f t="shared" si="873"/>
        <v>11.73</v>
      </c>
      <c r="Y1640" s="229">
        <f t="shared" si="874"/>
        <v>0.02</v>
      </c>
      <c r="Z1640" s="229">
        <f t="shared" si="875"/>
        <v>67.19</v>
      </c>
      <c r="AA1640" s="230">
        <f t="shared" si="876"/>
        <v>1012.81</v>
      </c>
      <c r="AB1640" s="231">
        <v>1012.93</v>
      </c>
      <c r="AC1640" s="232">
        <f t="shared" si="877"/>
        <v>0.12000000000000455</v>
      </c>
      <c r="AD1640" s="233">
        <f t="shared" si="878"/>
        <v>0.1025641025641026</v>
      </c>
      <c r="AE1640" s="234">
        <f t="shared" si="879"/>
        <v>3.0349999999999999E-3</v>
      </c>
      <c r="AF1640" s="229"/>
      <c r="AG1640" s="235" t="s">
        <v>416</v>
      </c>
      <c r="AH1640" s="124"/>
    </row>
    <row r="1641" spans="1:34" ht="12" hidden="1" customHeight="1">
      <c r="A1641" s="220">
        <v>44792</v>
      </c>
      <c r="B1641" s="221" t="s">
        <v>834</v>
      </c>
      <c r="C1641" s="7" t="s">
        <v>485</v>
      </c>
      <c r="D1641" s="221" t="str">
        <f t="shared" ca="1" si="863"/>
        <v>Indices</v>
      </c>
      <c r="E1641" s="221" t="str">
        <f ca="1">IFERROR(__xludf.DUMMYFUNCTION("split(B1641,"" "")"),"NIFTY")</f>
        <v>NIFTY</v>
      </c>
      <c r="F1641" s="236" t="str">
        <f ca="1">IFERROR(__xludf.DUMMYFUNCTION("""COMPUTED_VALUE"""),"25!AUG")</f>
        <v>25!AUG</v>
      </c>
      <c r="G1641" s="221">
        <f ca="1">IFERROR(__xludf.DUMMYFUNCTION("""COMPUTED_VALUE"""),17900)</f>
        <v>17900</v>
      </c>
      <c r="H1641" s="221" t="str">
        <f ca="1">IFERROR(__xludf.DUMMYFUNCTION("""COMPUTED_VALUE"""),"CE")</f>
        <v>CE</v>
      </c>
      <c r="I1641" s="221" t="s">
        <v>4</v>
      </c>
      <c r="J1641" s="223">
        <v>50</v>
      </c>
      <c r="K1641" s="224">
        <v>1</v>
      </c>
      <c r="L1641" s="224">
        <v>2</v>
      </c>
      <c r="M1641" s="225">
        <f t="shared" si="864"/>
        <v>100</v>
      </c>
      <c r="N1641" s="226">
        <v>70</v>
      </c>
      <c r="O1641" s="227">
        <v>79.5</v>
      </c>
      <c r="P1641" s="228">
        <f t="shared" si="865"/>
        <v>7000</v>
      </c>
      <c r="Q1641" s="228">
        <f t="shared" si="866"/>
        <v>7950</v>
      </c>
      <c r="R1641" s="229">
        <f t="shared" si="867"/>
        <v>14950</v>
      </c>
      <c r="S1641" s="229">
        <f t="shared" si="868"/>
        <v>950</v>
      </c>
      <c r="T1641" s="229">
        <f t="shared" si="880"/>
        <v>80</v>
      </c>
      <c r="U1641" s="229">
        <f t="shared" si="870"/>
        <v>15.83</v>
      </c>
      <c r="V1641" s="229">
        <f t="shared" si="871"/>
        <v>3.98</v>
      </c>
      <c r="W1641" s="229">
        <f t="shared" si="872"/>
        <v>0.21</v>
      </c>
      <c r="X1641" s="229">
        <f t="shared" si="873"/>
        <v>7.92</v>
      </c>
      <c r="Y1641" s="229">
        <f t="shared" si="874"/>
        <v>0.01</v>
      </c>
      <c r="Z1641" s="229">
        <f t="shared" si="875"/>
        <v>107.95</v>
      </c>
      <c r="AA1641" s="230">
        <f t="shared" si="876"/>
        <v>842.05</v>
      </c>
      <c r="AB1641" s="231">
        <v>841.93</v>
      </c>
      <c r="AC1641" s="232">
        <f t="shared" si="877"/>
        <v>-0.12000000000000455</v>
      </c>
      <c r="AD1641" s="233">
        <f t="shared" si="878"/>
        <v>0.1357142857142857</v>
      </c>
      <c r="AE1641" s="234">
        <f t="shared" si="879"/>
        <v>7.221E-3</v>
      </c>
      <c r="AF1641" s="229"/>
      <c r="AG1641" s="235" t="s">
        <v>417</v>
      </c>
      <c r="AH1641" s="124"/>
    </row>
    <row r="1642" spans="1:34" ht="12" hidden="1" customHeight="1">
      <c r="A1642" s="220">
        <v>44792</v>
      </c>
      <c r="B1642" s="221" t="s">
        <v>835</v>
      </c>
      <c r="C1642" s="7" t="s">
        <v>485</v>
      </c>
      <c r="D1642" s="221" t="str">
        <f t="shared" ca="1" si="863"/>
        <v>Stocks</v>
      </c>
      <c r="E1642" s="221" t="str">
        <f ca="1">IFERROR(__xludf.DUMMYFUNCTION("split(B1642,"" "")"),"VEDL")</f>
        <v>VEDL</v>
      </c>
      <c r="F1642" s="236" t="str">
        <f ca="1">IFERROR(__xludf.DUMMYFUNCTION("""COMPUTED_VALUE"""),"25!AUG")</f>
        <v>25!AUG</v>
      </c>
      <c r="G1642" s="221">
        <f ca="1">IFERROR(__xludf.DUMMYFUNCTION("""COMPUTED_VALUE"""),270)</f>
        <v>270</v>
      </c>
      <c r="H1642" s="221" t="str">
        <f ca="1">IFERROR(__xludf.DUMMYFUNCTION("""COMPUTED_VALUE"""),"CE")</f>
        <v>CE</v>
      </c>
      <c r="I1642" s="221" t="s">
        <v>4</v>
      </c>
      <c r="J1642" s="223">
        <v>1550</v>
      </c>
      <c r="K1642" s="224">
        <v>1</v>
      </c>
      <c r="L1642" s="224">
        <v>2</v>
      </c>
      <c r="M1642" s="225">
        <f t="shared" si="864"/>
        <v>3100</v>
      </c>
      <c r="N1642" s="226">
        <v>5.4749999999999996</v>
      </c>
      <c r="O1642" s="227">
        <v>4.75</v>
      </c>
      <c r="P1642" s="228">
        <f t="shared" si="865"/>
        <v>16972.5</v>
      </c>
      <c r="Q1642" s="228">
        <f t="shared" si="866"/>
        <v>14725</v>
      </c>
      <c r="R1642" s="229">
        <f t="shared" si="867"/>
        <v>31697.5</v>
      </c>
      <c r="S1642" s="229">
        <f t="shared" si="868"/>
        <v>-2247.4999999999991</v>
      </c>
      <c r="T1642" s="229">
        <f t="shared" si="880"/>
        <v>80</v>
      </c>
      <c r="U1642" s="229">
        <f t="shared" si="870"/>
        <v>17.420000000000002</v>
      </c>
      <c r="V1642" s="229">
        <f t="shared" si="871"/>
        <v>7.36</v>
      </c>
      <c r="W1642" s="229">
        <f t="shared" si="872"/>
        <v>0.51</v>
      </c>
      <c r="X1642" s="229">
        <f t="shared" si="873"/>
        <v>16.8</v>
      </c>
      <c r="Y1642" s="229">
        <f t="shared" si="874"/>
        <v>0.03</v>
      </c>
      <c r="Z1642" s="229">
        <f t="shared" si="875"/>
        <v>122.12</v>
      </c>
      <c r="AA1642" s="230">
        <f t="shared" si="876"/>
        <v>-2369.62</v>
      </c>
      <c r="AB1642" s="231">
        <v>-2369.7600000000002</v>
      </c>
      <c r="AC1642" s="232">
        <f t="shared" si="877"/>
        <v>-0.14000000000032742</v>
      </c>
      <c r="AD1642" s="233">
        <f t="shared" si="878"/>
        <v>-0.13242009132420085</v>
      </c>
      <c r="AE1642" s="234">
        <f t="shared" si="879"/>
        <v>3.8530000000000001E-3</v>
      </c>
      <c r="AF1642" s="229"/>
      <c r="AG1642" s="235" t="s">
        <v>416</v>
      </c>
      <c r="AH1642" s="124"/>
    </row>
    <row r="1643" spans="1:34" ht="12" hidden="1" customHeight="1">
      <c r="A1643" s="220">
        <v>44796</v>
      </c>
      <c r="B1643" s="221" t="s">
        <v>834</v>
      </c>
      <c r="C1643" s="7" t="s">
        <v>485</v>
      </c>
      <c r="D1643" s="221" t="str">
        <f t="shared" ca="1" si="863"/>
        <v>Indices</v>
      </c>
      <c r="E1643" s="221" t="str">
        <f ca="1">IFERROR(__xludf.DUMMYFUNCTION("split(B1643,"" "")"),"NIFTY")</f>
        <v>NIFTY</v>
      </c>
      <c r="F1643" s="236" t="str">
        <f ca="1">IFERROR(__xludf.DUMMYFUNCTION("""COMPUTED_VALUE"""),"25!AUG")</f>
        <v>25!AUG</v>
      </c>
      <c r="G1643" s="221">
        <f ca="1">IFERROR(__xludf.DUMMYFUNCTION("""COMPUTED_VALUE"""),17900)</f>
        <v>17900</v>
      </c>
      <c r="H1643" s="221" t="str">
        <f ca="1">IFERROR(__xludf.DUMMYFUNCTION("""COMPUTED_VALUE"""),"CE")</f>
        <v>CE</v>
      </c>
      <c r="I1643" s="221" t="s">
        <v>4</v>
      </c>
      <c r="J1643" s="223">
        <v>50</v>
      </c>
      <c r="K1643" s="224">
        <v>1</v>
      </c>
      <c r="L1643" s="224">
        <v>1</v>
      </c>
      <c r="M1643" s="225">
        <f t="shared" si="864"/>
        <v>50</v>
      </c>
      <c r="N1643" s="226">
        <v>8</v>
      </c>
      <c r="O1643" s="227">
        <v>14</v>
      </c>
      <c r="P1643" s="228">
        <f t="shared" si="865"/>
        <v>400</v>
      </c>
      <c r="Q1643" s="228">
        <f t="shared" si="866"/>
        <v>700</v>
      </c>
      <c r="R1643" s="229">
        <f t="shared" si="867"/>
        <v>1100</v>
      </c>
      <c r="S1643" s="229">
        <f t="shared" si="868"/>
        <v>300</v>
      </c>
      <c r="T1643" s="229">
        <f t="shared" si="880"/>
        <v>40</v>
      </c>
      <c r="U1643" s="229">
        <f t="shared" si="870"/>
        <v>7.3</v>
      </c>
      <c r="V1643" s="229">
        <f t="shared" si="871"/>
        <v>0.35</v>
      </c>
      <c r="W1643" s="229">
        <f t="shared" si="872"/>
        <v>0.01</v>
      </c>
      <c r="X1643" s="229">
        <f t="shared" si="873"/>
        <v>0.57999999999999996</v>
      </c>
      <c r="Y1643" s="229">
        <f t="shared" si="874"/>
        <v>0</v>
      </c>
      <c r="Z1643" s="229">
        <f t="shared" si="875"/>
        <v>48.239999999999995</v>
      </c>
      <c r="AA1643" s="230">
        <f t="shared" si="876"/>
        <v>251.76</v>
      </c>
      <c r="AB1643" s="231">
        <v>252.11</v>
      </c>
      <c r="AC1643" s="232">
        <f t="shared" si="877"/>
        <v>0.35000000000002274</v>
      </c>
      <c r="AD1643" s="233">
        <f t="shared" si="878"/>
        <v>0.75</v>
      </c>
      <c r="AE1643" s="234">
        <f t="shared" si="879"/>
        <v>4.3854999999999998E-2</v>
      </c>
      <c r="AF1643" s="229"/>
      <c r="AG1643" s="235" t="s">
        <v>417</v>
      </c>
      <c r="AH1643" s="124"/>
    </row>
    <row r="1644" spans="1:34" ht="12" hidden="1" customHeight="1">
      <c r="A1644" s="220">
        <v>44796</v>
      </c>
      <c r="B1644" s="221" t="s">
        <v>836</v>
      </c>
      <c r="C1644" s="7" t="s">
        <v>485</v>
      </c>
      <c r="D1644" s="221" t="str">
        <f t="shared" ca="1" si="863"/>
        <v>Stocks</v>
      </c>
      <c r="E1644" s="221" t="str">
        <f ca="1">IFERROR(__xludf.DUMMYFUNCTION("split(B1644,"" "")"),"DIXON")</f>
        <v>DIXON</v>
      </c>
      <c r="F1644" s="236" t="str">
        <f ca="1">IFERROR(__xludf.DUMMYFUNCTION("""COMPUTED_VALUE"""),"25!AUG")</f>
        <v>25!AUG</v>
      </c>
      <c r="G1644" s="221">
        <f ca="1">IFERROR(__xludf.DUMMYFUNCTION("""COMPUTED_VALUE"""),4000)</f>
        <v>4000</v>
      </c>
      <c r="H1644" s="221" t="str">
        <f ca="1">IFERROR(__xludf.DUMMYFUNCTION("""COMPUTED_VALUE"""),"PE")</f>
        <v>PE</v>
      </c>
      <c r="I1644" s="221" t="s">
        <v>4</v>
      </c>
      <c r="J1644" s="223">
        <v>125</v>
      </c>
      <c r="K1644" s="224">
        <v>1</v>
      </c>
      <c r="L1644" s="224">
        <v>1</v>
      </c>
      <c r="M1644" s="225">
        <f t="shared" si="864"/>
        <v>125</v>
      </c>
      <c r="N1644" s="226">
        <v>68</v>
      </c>
      <c r="O1644" s="227">
        <v>43</v>
      </c>
      <c r="P1644" s="228">
        <f t="shared" si="865"/>
        <v>8500</v>
      </c>
      <c r="Q1644" s="228">
        <f t="shared" si="866"/>
        <v>5375</v>
      </c>
      <c r="R1644" s="229">
        <f t="shared" si="867"/>
        <v>13875</v>
      </c>
      <c r="S1644" s="229">
        <f t="shared" si="868"/>
        <v>-3125</v>
      </c>
      <c r="T1644" s="229">
        <f t="shared" si="880"/>
        <v>40</v>
      </c>
      <c r="U1644" s="229">
        <f t="shared" si="870"/>
        <v>8.52</v>
      </c>
      <c r="V1644" s="229">
        <f t="shared" si="871"/>
        <v>2.69</v>
      </c>
      <c r="W1644" s="229">
        <f t="shared" si="872"/>
        <v>0.26</v>
      </c>
      <c r="X1644" s="229">
        <f t="shared" si="873"/>
        <v>7.35</v>
      </c>
      <c r="Y1644" s="229">
        <f t="shared" si="874"/>
        <v>0.01</v>
      </c>
      <c r="Z1644" s="229">
        <f t="shared" si="875"/>
        <v>58.829999999999991</v>
      </c>
      <c r="AA1644" s="230">
        <f t="shared" si="876"/>
        <v>-3183.83</v>
      </c>
      <c r="AB1644" s="231">
        <v>-3183.89</v>
      </c>
      <c r="AC1644" s="232">
        <f t="shared" si="877"/>
        <v>-5.999999999994543E-2</v>
      </c>
      <c r="AD1644" s="233">
        <f t="shared" si="878"/>
        <v>-0.36764705882352944</v>
      </c>
      <c r="AE1644" s="234">
        <f t="shared" si="879"/>
        <v>4.2399999999999998E-3</v>
      </c>
      <c r="AF1644" s="229"/>
      <c r="AG1644" s="235" t="s">
        <v>416</v>
      </c>
      <c r="AH1644" s="124"/>
    </row>
    <row r="1645" spans="1:34" ht="12" hidden="1" customHeight="1">
      <c r="A1645" s="154">
        <v>44792</v>
      </c>
      <c r="B1645" s="221" t="s">
        <v>834</v>
      </c>
      <c r="C1645" s="7" t="s">
        <v>485</v>
      </c>
      <c r="D1645" s="221" t="str">
        <f t="shared" ca="1" si="863"/>
        <v>Indices</v>
      </c>
      <c r="E1645" s="221" t="str">
        <f ca="1">IFERROR(__xludf.DUMMYFUNCTION("split(B1645,"" "")"),"NIFTY")</f>
        <v>NIFTY</v>
      </c>
      <c r="F1645" s="236" t="str">
        <f ca="1">IFERROR(__xludf.DUMMYFUNCTION("""COMPUTED_VALUE"""),"25!AUG")</f>
        <v>25!AUG</v>
      </c>
      <c r="G1645" s="221">
        <f ca="1">IFERROR(__xludf.DUMMYFUNCTION("""COMPUTED_VALUE"""),17900)</f>
        <v>17900</v>
      </c>
      <c r="H1645" s="221" t="str">
        <f ca="1">IFERROR(__xludf.DUMMYFUNCTION("""COMPUTED_VALUE"""),"CE")</f>
        <v>CE</v>
      </c>
      <c r="I1645" s="221" t="s">
        <v>4</v>
      </c>
      <c r="J1645" s="223">
        <v>50</v>
      </c>
      <c r="K1645" s="224">
        <v>1</v>
      </c>
      <c r="L1645" s="224">
        <v>4</v>
      </c>
      <c r="M1645" s="225">
        <f t="shared" si="864"/>
        <v>200</v>
      </c>
      <c r="N1645" s="226">
        <v>95</v>
      </c>
      <c r="O1645" s="227">
        <v>0</v>
      </c>
      <c r="P1645" s="228">
        <f t="shared" si="865"/>
        <v>19000</v>
      </c>
      <c r="Q1645" s="228">
        <f t="shared" si="866"/>
        <v>0</v>
      </c>
      <c r="R1645" s="229">
        <f t="shared" si="867"/>
        <v>19000</v>
      </c>
      <c r="S1645" s="229">
        <f t="shared" si="868"/>
        <v>-19000</v>
      </c>
      <c r="T1645" s="229">
        <f t="shared" si="880"/>
        <v>80</v>
      </c>
      <c r="U1645" s="229">
        <f t="shared" si="870"/>
        <v>16.21</v>
      </c>
      <c r="V1645" s="229">
        <f t="shared" si="871"/>
        <v>0</v>
      </c>
      <c r="W1645" s="229">
        <f t="shared" si="872"/>
        <v>0.56999999999999995</v>
      </c>
      <c r="X1645" s="229">
        <f t="shared" si="873"/>
        <v>10.07</v>
      </c>
      <c r="Y1645" s="229">
        <f t="shared" si="874"/>
        <v>0.02</v>
      </c>
      <c r="Z1645" s="229">
        <f t="shared" si="875"/>
        <v>106.86999999999999</v>
      </c>
      <c r="AA1645" s="230">
        <f t="shared" si="876"/>
        <v>-19106.87</v>
      </c>
      <c r="AB1645" s="231">
        <v>-19107</v>
      </c>
      <c r="AC1645" s="232">
        <f t="shared" si="877"/>
        <v>-0.13000000000101863</v>
      </c>
      <c r="AD1645" s="233">
        <f t="shared" si="878"/>
        <v>-1</v>
      </c>
      <c r="AE1645" s="234">
        <f t="shared" si="879"/>
        <v>5.6249999999999998E-3</v>
      </c>
      <c r="AF1645" s="229"/>
      <c r="AG1645" s="235" t="s">
        <v>417</v>
      </c>
      <c r="AH1645" s="124"/>
    </row>
    <row r="1646" spans="1:34" ht="12" hidden="1" customHeight="1">
      <c r="A1646" s="154">
        <v>44795</v>
      </c>
      <c r="B1646" s="221" t="s">
        <v>834</v>
      </c>
      <c r="C1646" s="7" t="s">
        <v>485</v>
      </c>
      <c r="D1646" s="221" t="str">
        <f t="shared" ca="1" si="863"/>
        <v>Indices</v>
      </c>
      <c r="E1646" s="221" t="str">
        <f ca="1">IFERROR(__xludf.DUMMYFUNCTION("split(B1646,"" "")"),"NIFTY")</f>
        <v>NIFTY</v>
      </c>
      <c r="F1646" s="236" t="str">
        <f ca="1">IFERROR(__xludf.DUMMYFUNCTION("""COMPUTED_VALUE"""),"25!AUG")</f>
        <v>25!AUG</v>
      </c>
      <c r="G1646" s="221">
        <f ca="1">IFERROR(__xludf.DUMMYFUNCTION("""COMPUTED_VALUE"""),17900)</f>
        <v>17900</v>
      </c>
      <c r="H1646" s="221" t="str">
        <f ca="1">IFERROR(__xludf.DUMMYFUNCTION("""COMPUTED_VALUE"""),"CE")</f>
        <v>CE</v>
      </c>
      <c r="I1646" s="221" t="s">
        <v>4</v>
      </c>
      <c r="J1646" s="223">
        <v>50</v>
      </c>
      <c r="K1646" s="224">
        <v>1</v>
      </c>
      <c r="L1646" s="224">
        <v>3</v>
      </c>
      <c r="M1646" s="225">
        <f t="shared" si="864"/>
        <v>150</v>
      </c>
      <c r="N1646" s="226">
        <v>22.333300000000001</v>
      </c>
      <c r="O1646" s="227">
        <v>0</v>
      </c>
      <c r="P1646" s="228">
        <f t="shared" si="865"/>
        <v>3350</v>
      </c>
      <c r="Q1646" s="228">
        <f t="shared" si="866"/>
        <v>0</v>
      </c>
      <c r="R1646" s="229">
        <f t="shared" si="867"/>
        <v>3350</v>
      </c>
      <c r="S1646" s="229">
        <f t="shared" si="868"/>
        <v>-3349.9950000000003</v>
      </c>
      <c r="T1646" s="229">
        <f t="shared" si="880"/>
        <v>60</v>
      </c>
      <c r="U1646" s="229">
        <f t="shared" si="870"/>
        <v>11.12</v>
      </c>
      <c r="V1646" s="229">
        <f t="shared" si="871"/>
        <v>0</v>
      </c>
      <c r="W1646" s="229">
        <f t="shared" si="872"/>
        <v>0.1</v>
      </c>
      <c r="X1646" s="229">
        <f t="shared" si="873"/>
        <v>1.78</v>
      </c>
      <c r="Y1646" s="229">
        <f t="shared" si="874"/>
        <v>0</v>
      </c>
      <c r="Z1646" s="229">
        <f t="shared" si="875"/>
        <v>73</v>
      </c>
      <c r="AA1646" s="230">
        <f t="shared" si="876"/>
        <v>-3423</v>
      </c>
      <c r="AB1646" s="231">
        <v>-3422.9</v>
      </c>
      <c r="AC1646" s="232">
        <f t="shared" si="877"/>
        <v>9.9999999999909051E-2</v>
      </c>
      <c r="AD1646" s="233">
        <f t="shared" si="878"/>
        <v>-1</v>
      </c>
      <c r="AE1646" s="234">
        <f t="shared" si="879"/>
        <v>2.1791000000000001E-2</v>
      </c>
      <c r="AF1646" s="229"/>
      <c r="AG1646" s="235" t="s">
        <v>417</v>
      </c>
      <c r="AH1646" s="124"/>
    </row>
    <row r="1647" spans="1:34" ht="12" hidden="1" customHeight="1">
      <c r="A1647" s="154">
        <v>44797</v>
      </c>
      <c r="B1647" s="221" t="s">
        <v>834</v>
      </c>
      <c r="C1647" s="7" t="s">
        <v>485</v>
      </c>
      <c r="D1647" s="221" t="str">
        <f t="shared" ca="1" si="863"/>
        <v>Indices</v>
      </c>
      <c r="E1647" s="221" t="str">
        <f ca="1">IFERROR(__xludf.DUMMYFUNCTION("split(B1647,"" "")"),"NIFTY")</f>
        <v>NIFTY</v>
      </c>
      <c r="F1647" s="236" t="str">
        <f ca="1">IFERROR(__xludf.DUMMYFUNCTION("""COMPUTED_VALUE"""),"25!AUG")</f>
        <v>25!AUG</v>
      </c>
      <c r="G1647" s="221">
        <f ca="1">IFERROR(__xludf.DUMMYFUNCTION("""COMPUTED_VALUE"""),17900)</f>
        <v>17900</v>
      </c>
      <c r="H1647" s="221" t="str">
        <f ca="1">IFERROR(__xludf.DUMMYFUNCTION("""COMPUTED_VALUE"""),"CE")</f>
        <v>CE</v>
      </c>
      <c r="I1647" s="221" t="s">
        <v>4</v>
      </c>
      <c r="J1647" s="223">
        <v>50</v>
      </c>
      <c r="K1647" s="224">
        <v>1</v>
      </c>
      <c r="L1647" s="224">
        <v>1</v>
      </c>
      <c r="M1647" s="225">
        <f t="shared" si="864"/>
        <v>50</v>
      </c>
      <c r="N1647" s="226">
        <v>5.5</v>
      </c>
      <c r="O1647" s="227">
        <v>0</v>
      </c>
      <c r="P1647" s="228">
        <f t="shared" si="865"/>
        <v>275</v>
      </c>
      <c r="Q1647" s="228">
        <f t="shared" si="866"/>
        <v>0</v>
      </c>
      <c r="R1647" s="229">
        <f t="shared" si="867"/>
        <v>275</v>
      </c>
      <c r="S1647" s="229">
        <f t="shared" si="868"/>
        <v>-275</v>
      </c>
      <c r="T1647" s="229">
        <f t="shared" si="880"/>
        <v>20</v>
      </c>
      <c r="U1647" s="229">
        <f t="shared" si="870"/>
        <v>3.63</v>
      </c>
      <c r="V1647" s="229">
        <f t="shared" si="871"/>
        <v>0</v>
      </c>
      <c r="W1647" s="229">
        <f t="shared" si="872"/>
        <v>0.01</v>
      </c>
      <c r="X1647" s="229">
        <f t="shared" si="873"/>
        <v>0.15</v>
      </c>
      <c r="Y1647" s="229">
        <f t="shared" si="874"/>
        <v>0</v>
      </c>
      <c r="Z1647" s="229">
        <f t="shared" si="875"/>
        <v>23.79</v>
      </c>
      <c r="AA1647" s="230">
        <f t="shared" si="876"/>
        <v>-298.79000000000002</v>
      </c>
      <c r="AB1647" s="231">
        <v>-299</v>
      </c>
      <c r="AC1647" s="232">
        <f t="shared" si="877"/>
        <v>-0.20999999999997954</v>
      </c>
      <c r="AD1647" s="233">
        <f t="shared" si="878"/>
        <v>-1</v>
      </c>
      <c r="AE1647" s="234">
        <f t="shared" si="879"/>
        <v>8.6509000000000003E-2</v>
      </c>
      <c r="AF1647" s="229"/>
      <c r="AG1647" s="235" t="s">
        <v>417</v>
      </c>
      <c r="AH1647" s="124"/>
    </row>
    <row r="1648" spans="1:34" ht="12" hidden="1" customHeight="1">
      <c r="A1648" s="155">
        <v>44797</v>
      </c>
      <c r="B1648" s="221" t="s">
        <v>834</v>
      </c>
      <c r="C1648" s="7" t="s">
        <v>485</v>
      </c>
      <c r="D1648" s="221" t="str">
        <f t="shared" ca="1" si="863"/>
        <v>Indices</v>
      </c>
      <c r="E1648" s="221" t="str">
        <f ca="1">IFERROR(__xludf.DUMMYFUNCTION("split(B1648,"" "")"),"NIFTY")</f>
        <v>NIFTY</v>
      </c>
      <c r="F1648" s="236" t="str">
        <f ca="1">IFERROR(__xludf.DUMMYFUNCTION("""COMPUTED_VALUE"""),"25!AUG")</f>
        <v>25!AUG</v>
      </c>
      <c r="G1648" s="221">
        <f ca="1">IFERROR(__xludf.DUMMYFUNCTION("""COMPUTED_VALUE"""),17900)</f>
        <v>17900</v>
      </c>
      <c r="H1648" s="221" t="str">
        <f ca="1">IFERROR(__xludf.DUMMYFUNCTION("""COMPUTED_VALUE"""),"CE")</f>
        <v>CE</v>
      </c>
      <c r="I1648" s="221" t="s">
        <v>4</v>
      </c>
      <c r="J1648" s="223">
        <v>50</v>
      </c>
      <c r="K1648" s="224">
        <v>8</v>
      </c>
      <c r="L1648" s="224">
        <v>1</v>
      </c>
      <c r="M1648" s="225">
        <f t="shared" si="864"/>
        <v>400</v>
      </c>
      <c r="N1648" s="226">
        <v>0</v>
      </c>
      <c r="O1648" s="227">
        <v>4.0999999999999996</v>
      </c>
      <c r="P1648" s="228">
        <f t="shared" si="865"/>
        <v>0</v>
      </c>
      <c r="Q1648" s="228">
        <f t="shared" si="866"/>
        <v>1640</v>
      </c>
      <c r="R1648" s="229">
        <f t="shared" si="867"/>
        <v>1640</v>
      </c>
      <c r="S1648" s="229">
        <f t="shared" si="868"/>
        <v>1639.9999999999998</v>
      </c>
      <c r="T1648" s="229">
        <f t="shared" si="880"/>
        <v>20</v>
      </c>
      <c r="U1648" s="229">
        <f t="shared" si="870"/>
        <v>3.76</v>
      </c>
      <c r="V1648" s="229">
        <f t="shared" si="871"/>
        <v>0.82</v>
      </c>
      <c r="W1648" s="229">
        <f t="shared" si="872"/>
        <v>0</v>
      </c>
      <c r="X1648" s="229">
        <f t="shared" si="873"/>
        <v>0.87</v>
      </c>
      <c r="Y1648" s="229">
        <f t="shared" si="874"/>
        <v>0</v>
      </c>
      <c r="Z1648" s="229">
        <f t="shared" si="875"/>
        <v>25.45</v>
      </c>
      <c r="AA1648" s="230">
        <f t="shared" si="876"/>
        <v>1614.55</v>
      </c>
      <c r="AB1648" s="231">
        <v>1614.6</v>
      </c>
      <c r="AC1648" s="232">
        <f t="shared" si="877"/>
        <v>4.9999999999954525E-2</v>
      </c>
      <c r="AD1648" s="233">
        <f t="shared" si="878"/>
        <v>0</v>
      </c>
      <c r="AE1648" s="234">
        <f t="shared" si="879"/>
        <v>1.5518000000000001E-2</v>
      </c>
      <c r="AF1648" s="229"/>
      <c r="AG1648" s="235" t="s">
        <v>417</v>
      </c>
      <c r="AH1648" s="124"/>
    </row>
    <row r="1649" spans="1:34" ht="12" hidden="1" customHeight="1">
      <c r="A1649" s="220">
        <v>44799</v>
      </c>
      <c r="B1649" s="221" t="s">
        <v>837</v>
      </c>
      <c r="C1649" s="7" t="s">
        <v>485</v>
      </c>
      <c r="D1649" s="221" t="str">
        <f t="shared" ca="1" si="863"/>
        <v>Stocks</v>
      </c>
      <c r="E1649" s="221" t="str">
        <f ca="1">IFERROR(__xludf.DUMMYFUNCTION("split(B1649,"" "")"),"TATASTEEL")</f>
        <v>TATASTEEL</v>
      </c>
      <c r="F1649" s="236" t="str">
        <f ca="1">IFERROR(__xludf.DUMMYFUNCTION("""COMPUTED_VALUE"""),"29!SEP")</f>
        <v>29!SEP</v>
      </c>
      <c r="G1649" s="221">
        <f ca="1">IFERROR(__xludf.DUMMYFUNCTION("""COMPUTED_VALUE"""),108)</f>
        <v>108</v>
      </c>
      <c r="H1649" s="221" t="str">
        <f ca="1">IFERROR(__xludf.DUMMYFUNCTION("""COMPUTED_VALUE"""),"CE")</f>
        <v>CE</v>
      </c>
      <c r="I1649" s="221" t="s">
        <v>4</v>
      </c>
      <c r="J1649" s="223">
        <v>4250</v>
      </c>
      <c r="K1649" s="224">
        <v>1</v>
      </c>
      <c r="L1649" s="224">
        <v>1</v>
      </c>
      <c r="M1649" s="225">
        <f t="shared" si="864"/>
        <v>4250</v>
      </c>
      <c r="N1649" s="226">
        <v>5.5</v>
      </c>
      <c r="O1649" s="227">
        <v>5.95</v>
      </c>
      <c r="P1649" s="228">
        <f t="shared" si="865"/>
        <v>23375</v>
      </c>
      <c r="Q1649" s="228">
        <f t="shared" si="866"/>
        <v>25287.5</v>
      </c>
      <c r="R1649" s="229">
        <f t="shared" si="867"/>
        <v>48662.5</v>
      </c>
      <c r="S1649" s="229">
        <f t="shared" si="868"/>
        <v>1912.5000000000007</v>
      </c>
      <c r="T1649" s="229">
        <f t="shared" si="880"/>
        <v>40</v>
      </c>
      <c r="U1649" s="229">
        <f t="shared" si="870"/>
        <v>11.84</v>
      </c>
      <c r="V1649" s="229">
        <f t="shared" si="871"/>
        <v>12.64</v>
      </c>
      <c r="W1649" s="229">
        <f t="shared" si="872"/>
        <v>0.7</v>
      </c>
      <c r="X1649" s="229">
        <f t="shared" si="873"/>
        <v>25.79</v>
      </c>
      <c r="Y1649" s="229">
        <f t="shared" si="874"/>
        <v>0.05</v>
      </c>
      <c r="Z1649" s="229">
        <f t="shared" si="875"/>
        <v>91.02</v>
      </c>
      <c r="AA1649" s="230">
        <f t="shared" si="876"/>
        <v>1821.48</v>
      </c>
      <c r="AB1649" s="231">
        <v>1820.81</v>
      </c>
      <c r="AC1649" s="232">
        <f t="shared" si="877"/>
        <v>-0.67000000000007276</v>
      </c>
      <c r="AD1649" s="233">
        <f t="shared" si="878"/>
        <v>8.1818181818181845E-2</v>
      </c>
      <c r="AE1649" s="234">
        <f t="shared" si="879"/>
        <v>1.8699999999999999E-3</v>
      </c>
      <c r="AF1649" s="229"/>
      <c r="AG1649" s="235" t="s">
        <v>416</v>
      </c>
      <c r="AH1649" s="124"/>
    </row>
    <row r="1650" spans="1:34" ht="12" hidden="1" customHeight="1">
      <c r="A1650" s="220">
        <v>44802</v>
      </c>
      <c r="B1650" s="221" t="s">
        <v>838</v>
      </c>
      <c r="C1650" s="7" t="s">
        <v>485</v>
      </c>
      <c r="D1650" s="221" t="str">
        <f t="shared" ca="1" si="863"/>
        <v>Stocks</v>
      </c>
      <c r="E1650" s="221" t="str">
        <f ca="1">IFERROR(__xludf.DUMMYFUNCTION("split(B1650,"" "")"),"BIOCON")</f>
        <v>BIOCON</v>
      </c>
      <c r="F1650" s="221" t="str">
        <f ca="1">IFERROR(__xludf.DUMMYFUNCTION("""COMPUTED_VALUE"""),"29!SEP")</f>
        <v>29!SEP</v>
      </c>
      <c r="G1650" s="221">
        <f ca="1">IFERROR(__xludf.DUMMYFUNCTION("""COMPUTED_VALUE"""),305)</f>
        <v>305</v>
      </c>
      <c r="H1650" s="221" t="str">
        <f ca="1">IFERROR(__xludf.DUMMYFUNCTION("""COMPUTED_VALUE"""),"PE")</f>
        <v>PE</v>
      </c>
      <c r="I1650" s="221" t="s">
        <v>4</v>
      </c>
      <c r="J1650" s="223">
        <v>2300</v>
      </c>
      <c r="K1650" s="224">
        <v>1</v>
      </c>
      <c r="L1650" s="224">
        <v>1</v>
      </c>
      <c r="M1650" s="225">
        <f t="shared" si="864"/>
        <v>2300</v>
      </c>
      <c r="N1650" s="226">
        <v>10.3</v>
      </c>
      <c r="O1650" s="227">
        <v>10.5</v>
      </c>
      <c r="P1650" s="228">
        <f t="shared" si="865"/>
        <v>23690</v>
      </c>
      <c r="Q1650" s="228">
        <f t="shared" si="866"/>
        <v>24150</v>
      </c>
      <c r="R1650" s="229">
        <f t="shared" si="867"/>
        <v>47840</v>
      </c>
      <c r="S1650" s="229">
        <f t="shared" si="868"/>
        <v>459.99999999999835</v>
      </c>
      <c r="T1650" s="229">
        <f t="shared" si="880"/>
        <v>40</v>
      </c>
      <c r="U1650" s="229">
        <f t="shared" si="870"/>
        <v>11.76</v>
      </c>
      <c r="V1650" s="229">
        <f t="shared" si="871"/>
        <v>12.08</v>
      </c>
      <c r="W1650" s="229">
        <f t="shared" si="872"/>
        <v>0.71</v>
      </c>
      <c r="X1650" s="229">
        <f t="shared" si="873"/>
        <v>25.36</v>
      </c>
      <c r="Y1650" s="229">
        <f t="shared" si="874"/>
        <v>0.05</v>
      </c>
      <c r="Z1650" s="229">
        <f t="shared" si="875"/>
        <v>89.96</v>
      </c>
      <c r="AA1650" s="230">
        <f t="shared" si="876"/>
        <v>370.04</v>
      </c>
      <c r="AB1650" s="231">
        <v>369.82</v>
      </c>
      <c r="AC1650" s="232">
        <f t="shared" si="877"/>
        <v>-0.22000000000002728</v>
      </c>
      <c r="AD1650" s="233">
        <f t="shared" si="878"/>
        <v>1.9417475728155269E-2</v>
      </c>
      <c r="AE1650" s="234">
        <f t="shared" si="879"/>
        <v>1.8799999999999999E-3</v>
      </c>
      <c r="AF1650" s="229"/>
      <c r="AG1650" s="235" t="s">
        <v>416</v>
      </c>
      <c r="AH1650" s="124"/>
    </row>
    <row r="1651" spans="1:34" ht="12" hidden="1" customHeight="1">
      <c r="A1651" s="220">
        <v>44813</v>
      </c>
      <c r="B1651" s="221" t="s">
        <v>839</v>
      </c>
      <c r="C1651" s="7" t="s">
        <v>485</v>
      </c>
      <c r="D1651" s="221" t="str">
        <f t="shared" ca="1" si="863"/>
        <v>Indices</v>
      </c>
      <c r="E1651" s="221" t="str">
        <f ca="1">IFERROR(__xludf.DUMMYFUNCTION("split(B1651,"" "")"),"NIFTY")</f>
        <v>NIFTY</v>
      </c>
      <c r="F1651" s="236" t="str">
        <f ca="1">IFERROR(__xludf.DUMMYFUNCTION("""COMPUTED_VALUE"""),"15!SEP")</f>
        <v>15!SEP</v>
      </c>
      <c r="G1651" s="221">
        <f ca="1">IFERROR(__xludf.DUMMYFUNCTION("""COMPUTED_VALUE"""),17850)</f>
        <v>17850</v>
      </c>
      <c r="H1651" s="221" t="str">
        <f ca="1">IFERROR(__xludf.DUMMYFUNCTION("""COMPUTED_VALUE"""),"CE")</f>
        <v>CE</v>
      </c>
      <c r="I1651" s="221" t="s">
        <v>4</v>
      </c>
      <c r="J1651" s="223">
        <v>50</v>
      </c>
      <c r="K1651" s="224">
        <v>1</v>
      </c>
      <c r="L1651" s="224">
        <v>3</v>
      </c>
      <c r="M1651" s="225">
        <f t="shared" si="864"/>
        <v>150</v>
      </c>
      <c r="N1651" s="226">
        <v>137.33330000000001</v>
      </c>
      <c r="O1651" s="227">
        <v>139</v>
      </c>
      <c r="P1651" s="228">
        <f t="shared" si="865"/>
        <v>20600</v>
      </c>
      <c r="Q1651" s="228">
        <f t="shared" si="866"/>
        <v>20850</v>
      </c>
      <c r="R1651" s="229">
        <f t="shared" si="867"/>
        <v>41450</v>
      </c>
      <c r="S1651" s="229">
        <f t="shared" si="868"/>
        <v>250.00499999999874</v>
      </c>
      <c r="T1651" s="229">
        <f t="shared" si="880"/>
        <v>120</v>
      </c>
      <c r="U1651" s="229">
        <f t="shared" si="870"/>
        <v>25.55</v>
      </c>
      <c r="V1651" s="229">
        <f t="shared" si="871"/>
        <v>10.43</v>
      </c>
      <c r="W1651" s="229">
        <f t="shared" si="872"/>
        <v>0.62</v>
      </c>
      <c r="X1651" s="229">
        <f t="shared" si="873"/>
        <v>21.97</v>
      </c>
      <c r="Y1651" s="229">
        <f t="shared" si="874"/>
        <v>0.04</v>
      </c>
      <c r="Z1651" s="229">
        <f t="shared" si="875"/>
        <v>178.61</v>
      </c>
      <c r="AA1651" s="230">
        <f t="shared" si="876"/>
        <v>71.39</v>
      </c>
      <c r="AB1651" s="231">
        <v>71.430000000000007</v>
      </c>
      <c r="AC1651" s="232">
        <f t="shared" si="877"/>
        <v>4.0000000000006253E-2</v>
      </c>
      <c r="AD1651" s="233">
        <f t="shared" si="878"/>
        <v>1.213616799421547E-2</v>
      </c>
      <c r="AE1651" s="234">
        <f t="shared" si="879"/>
        <v>4.3090000000000003E-3</v>
      </c>
      <c r="AF1651" s="229"/>
      <c r="AG1651" s="235" t="s">
        <v>416</v>
      </c>
      <c r="AH1651" s="124"/>
    </row>
    <row r="1652" spans="1:34" ht="12" hidden="1" customHeight="1">
      <c r="A1652" s="154">
        <v>44819</v>
      </c>
      <c r="B1652" s="221" t="s">
        <v>840</v>
      </c>
      <c r="C1652" s="7" t="s">
        <v>485</v>
      </c>
      <c r="D1652" s="221" t="str">
        <f t="shared" ca="1" si="863"/>
        <v>Stocks</v>
      </c>
      <c r="E1652" s="221" t="str">
        <f ca="1">IFERROR(__xludf.DUMMYFUNCTION("split(B1652,"" "")"),"BHARTIARTL")</f>
        <v>BHARTIARTL</v>
      </c>
      <c r="F1652" s="221" t="str">
        <f ca="1">IFERROR(__xludf.DUMMYFUNCTION("""COMPUTED_VALUE"""),"29!SEP")</f>
        <v>29!SEP</v>
      </c>
      <c r="G1652" s="221">
        <f ca="1">IFERROR(__xludf.DUMMYFUNCTION("""COMPUTED_VALUE"""),790)</f>
        <v>790</v>
      </c>
      <c r="H1652" s="221" t="str">
        <f ca="1">IFERROR(__xludf.DUMMYFUNCTION("""COMPUTED_VALUE"""),"CE")</f>
        <v>CE</v>
      </c>
      <c r="I1652" s="221" t="s">
        <v>4</v>
      </c>
      <c r="J1652" s="223">
        <v>950</v>
      </c>
      <c r="K1652" s="224">
        <v>1</v>
      </c>
      <c r="L1652" s="224">
        <v>1</v>
      </c>
      <c r="M1652" s="225">
        <f t="shared" si="864"/>
        <v>950</v>
      </c>
      <c r="N1652" s="226">
        <v>13.75</v>
      </c>
      <c r="O1652" s="227">
        <v>0</v>
      </c>
      <c r="P1652" s="228">
        <f t="shared" si="865"/>
        <v>13062.5</v>
      </c>
      <c r="Q1652" s="228">
        <f t="shared" si="866"/>
        <v>0</v>
      </c>
      <c r="R1652" s="229">
        <f t="shared" si="867"/>
        <v>13062.5</v>
      </c>
      <c r="S1652" s="229">
        <f t="shared" si="868"/>
        <v>-13062.5</v>
      </c>
      <c r="T1652" s="229">
        <f t="shared" si="880"/>
        <v>20</v>
      </c>
      <c r="U1652" s="229">
        <f t="shared" si="870"/>
        <v>4.8499999999999996</v>
      </c>
      <c r="V1652" s="229">
        <f t="shared" si="871"/>
        <v>0</v>
      </c>
      <c r="W1652" s="229">
        <f t="shared" si="872"/>
        <v>0.39</v>
      </c>
      <c r="X1652" s="229">
        <f t="shared" si="873"/>
        <v>6.92</v>
      </c>
      <c r="Y1652" s="229">
        <f t="shared" si="874"/>
        <v>0.01</v>
      </c>
      <c r="Z1652" s="229">
        <f t="shared" si="875"/>
        <v>32.17</v>
      </c>
      <c r="AA1652" s="230">
        <f t="shared" si="876"/>
        <v>-13094.67</v>
      </c>
      <c r="AB1652" s="231">
        <v>-13094.28</v>
      </c>
      <c r="AC1652" s="232">
        <f t="shared" si="877"/>
        <v>0.38999999999941792</v>
      </c>
      <c r="AD1652" s="233">
        <f t="shared" si="878"/>
        <v>-1</v>
      </c>
      <c r="AE1652" s="234">
        <f t="shared" si="879"/>
        <v>2.4629999999999999E-3</v>
      </c>
      <c r="AF1652" s="229"/>
      <c r="AG1652" s="235" t="s">
        <v>416</v>
      </c>
      <c r="AH1652" s="124"/>
    </row>
    <row r="1653" spans="1:34" ht="12" hidden="1" customHeight="1">
      <c r="A1653" s="155">
        <v>44823</v>
      </c>
      <c r="B1653" s="221" t="s">
        <v>840</v>
      </c>
      <c r="C1653" s="7" t="s">
        <v>485</v>
      </c>
      <c r="D1653" s="221" t="str">
        <f t="shared" ca="1" si="863"/>
        <v>Stocks</v>
      </c>
      <c r="E1653" s="221" t="str">
        <f ca="1">IFERROR(__xludf.DUMMYFUNCTION("split(B1653,"" "")"),"BHARTIARTL")</f>
        <v>BHARTIARTL</v>
      </c>
      <c r="F1653" s="221" t="str">
        <f ca="1">IFERROR(__xludf.DUMMYFUNCTION("""COMPUTED_VALUE"""),"29!SEP")</f>
        <v>29!SEP</v>
      </c>
      <c r="G1653" s="221">
        <f ca="1">IFERROR(__xludf.DUMMYFUNCTION("""COMPUTED_VALUE"""),790)</f>
        <v>790</v>
      </c>
      <c r="H1653" s="221" t="str">
        <f ca="1">IFERROR(__xludf.DUMMYFUNCTION("""COMPUTED_VALUE"""),"CE")</f>
        <v>CE</v>
      </c>
      <c r="I1653" s="221" t="s">
        <v>4</v>
      </c>
      <c r="J1653" s="223">
        <v>950</v>
      </c>
      <c r="K1653" s="224">
        <v>1</v>
      </c>
      <c r="L1653" s="224">
        <v>1</v>
      </c>
      <c r="M1653" s="225">
        <f t="shared" si="864"/>
        <v>950</v>
      </c>
      <c r="N1653" s="226">
        <v>0</v>
      </c>
      <c r="O1653" s="227">
        <v>8.25</v>
      </c>
      <c r="P1653" s="228">
        <f t="shared" si="865"/>
        <v>0</v>
      </c>
      <c r="Q1653" s="228">
        <f t="shared" si="866"/>
        <v>7837.5</v>
      </c>
      <c r="R1653" s="229">
        <f t="shared" si="867"/>
        <v>7837.5</v>
      </c>
      <c r="S1653" s="229">
        <f t="shared" si="868"/>
        <v>7837.5</v>
      </c>
      <c r="T1653" s="229">
        <f t="shared" si="880"/>
        <v>20</v>
      </c>
      <c r="U1653" s="229">
        <f t="shared" si="870"/>
        <v>4.3499999999999996</v>
      </c>
      <c r="V1653" s="229">
        <f t="shared" si="871"/>
        <v>3.92</v>
      </c>
      <c r="W1653" s="229">
        <f t="shared" si="872"/>
        <v>0</v>
      </c>
      <c r="X1653" s="229">
        <f t="shared" si="873"/>
        <v>4.1500000000000004</v>
      </c>
      <c r="Y1653" s="229">
        <f t="shared" si="874"/>
        <v>0.01</v>
      </c>
      <c r="Z1653" s="229">
        <f t="shared" si="875"/>
        <v>32.43</v>
      </c>
      <c r="AA1653" s="230">
        <f t="shared" si="876"/>
        <v>7805.07</v>
      </c>
      <c r="AB1653" s="231">
        <v>7804.99</v>
      </c>
      <c r="AC1653" s="232">
        <f t="shared" si="877"/>
        <v>-7.999999999992724E-2</v>
      </c>
      <c r="AD1653" s="233">
        <f t="shared" si="878"/>
        <v>0</v>
      </c>
      <c r="AE1653" s="234">
        <f t="shared" si="879"/>
        <v>4.1380000000000002E-3</v>
      </c>
      <c r="AF1653" s="229"/>
      <c r="AG1653" s="235" t="s">
        <v>416</v>
      </c>
      <c r="AH1653" s="124"/>
    </row>
    <row r="1654" spans="1:34" ht="12" hidden="1" customHeight="1">
      <c r="A1654" s="220">
        <v>44824</v>
      </c>
      <c r="B1654" s="221" t="s">
        <v>841</v>
      </c>
      <c r="C1654" s="7" t="s">
        <v>485</v>
      </c>
      <c r="D1654" s="221" t="str">
        <f t="shared" ca="1" si="863"/>
        <v>Stocks</v>
      </c>
      <c r="E1654" s="221" t="str">
        <f ca="1">IFERROR(__xludf.DUMMYFUNCTION("split(B1654,"" "")"),"SBIN")</f>
        <v>SBIN</v>
      </c>
      <c r="F1654" s="221" t="str">
        <f ca="1">IFERROR(__xludf.DUMMYFUNCTION("""COMPUTED_VALUE"""),"29!SEP")</f>
        <v>29!SEP</v>
      </c>
      <c r="G1654" s="221">
        <f ca="1">IFERROR(__xludf.DUMMYFUNCTION("""COMPUTED_VALUE"""),570)</f>
        <v>570</v>
      </c>
      <c r="H1654" s="221" t="str">
        <f ca="1">IFERROR(__xludf.DUMMYFUNCTION("""COMPUTED_VALUE"""),"CE")</f>
        <v>CE</v>
      </c>
      <c r="I1654" s="221" t="s">
        <v>4</v>
      </c>
      <c r="J1654" s="223">
        <v>1500</v>
      </c>
      <c r="K1654" s="224">
        <v>1</v>
      </c>
      <c r="L1654" s="224">
        <v>1</v>
      </c>
      <c r="M1654" s="225">
        <f t="shared" si="864"/>
        <v>1500</v>
      </c>
      <c r="N1654" s="226">
        <v>12.5</v>
      </c>
      <c r="O1654" s="227">
        <v>13.5</v>
      </c>
      <c r="P1654" s="228">
        <f t="shared" si="865"/>
        <v>18750</v>
      </c>
      <c r="Q1654" s="228">
        <f t="shared" si="866"/>
        <v>20250</v>
      </c>
      <c r="R1654" s="229">
        <f t="shared" si="867"/>
        <v>39000</v>
      </c>
      <c r="S1654" s="229">
        <f t="shared" si="868"/>
        <v>1500</v>
      </c>
      <c r="T1654" s="229">
        <f t="shared" si="880"/>
        <v>40</v>
      </c>
      <c r="U1654" s="229">
        <f t="shared" si="870"/>
        <v>10.92</v>
      </c>
      <c r="V1654" s="229">
        <f t="shared" si="871"/>
        <v>10.130000000000001</v>
      </c>
      <c r="W1654" s="229">
        <f t="shared" si="872"/>
        <v>0.56000000000000005</v>
      </c>
      <c r="X1654" s="229">
        <f t="shared" si="873"/>
        <v>20.67</v>
      </c>
      <c r="Y1654" s="229">
        <f t="shared" si="874"/>
        <v>0.04</v>
      </c>
      <c r="Z1654" s="229">
        <f t="shared" si="875"/>
        <v>82.320000000000007</v>
      </c>
      <c r="AA1654" s="230">
        <f t="shared" si="876"/>
        <v>1417.68</v>
      </c>
      <c r="AB1654" s="231">
        <v>1417.64</v>
      </c>
      <c r="AC1654" s="232">
        <f t="shared" si="877"/>
        <v>-3.999999999996362E-2</v>
      </c>
      <c r="AD1654" s="233">
        <f t="shared" si="878"/>
        <v>0.08</v>
      </c>
      <c r="AE1654" s="234">
        <f t="shared" si="879"/>
        <v>2.111E-3</v>
      </c>
      <c r="AF1654" s="229"/>
      <c r="AG1654" s="235" t="s">
        <v>416</v>
      </c>
      <c r="AH1654" s="124"/>
    </row>
    <row r="1655" spans="1:34" ht="12" hidden="1" customHeight="1">
      <c r="A1655" s="220">
        <v>44824</v>
      </c>
      <c r="B1655" s="221" t="s">
        <v>842</v>
      </c>
      <c r="C1655" s="7" t="s">
        <v>485</v>
      </c>
      <c r="D1655" s="221" t="str">
        <f t="shared" ca="1" si="863"/>
        <v>Indices</v>
      </c>
      <c r="E1655" s="221" t="str">
        <f ca="1">IFERROR(__xludf.DUMMYFUNCTION("split(B1655,"" "")"),"NIFTY")</f>
        <v>NIFTY</v>
      </c>
      <c r="F1655" s="236" t="str">
        <f ca="1">IFERROR(__xludf.DUMMYFUNCTION("""COMPUTED_VALUE"""),"22!SEP")</f>
        <v>22!SEP</v>
      </c>
      <c r="G1655" s="221">
        <f ca="1">IFERROR(__xludf.DUMMYFUNCTION("""COMPUTED_VALUE"""),17900)</f>
        <v>17900</v>
      </c>
      <c r="H1655" s="221" t="str">
        <f ca="1">IFERROR(__xludf.DUMMYFUNCTION("""COMPUTED_VALUE"""),"PE")</f>
        <v>PE</v>
      </c>
      <c r="I1655" s="221" t="s">
        <v>4</v>
      </c>
      <c r="J1655" s="223">
        <v>50</v>
      </c>
      <c r="K1655" s="224">
        <v>1</v>
      </c>
      <c r="L1655" s="224">
        <v>1</v>
      </c>
      <c r="M1655" s="225">
        <f t="shared" si="864"/>
        <v>50</v>
      </c>
      <c r="N1655" s="226">
        <v>115</v>
      </c>
      <c r="O1655" s="227">
        <v>125</v>
      </c>
      <c r="P1655" s="228">
        <f t="shared" si="865"/>
        <v>5750</v>
      </c>
      <c r="Q1655" s="228">
        <f t="shared" si="866"/>
        <v>6250</v>
      </c>
      <c r="R1655" s="229">
        <f t="shared" si="867"/>
        <v>12000</v>
      </c>
      <c r="S1655" s="229">
        <f t="shared" si="868"/>
        <v>500</v>
      </c>
      <c r="T1655" s="229">
        <f t="shared" si="880"/>
        <v>40</v>
      </c>
      <c r="U1655" s="229">
        <f t="shared" si="870"/>
        <v>8.34</v>
      </c>
      <c r="V1655" s="229">
        <f t="shared" si="871"/>
        <v>3.13</v>
      </c>
      <c r="W1655" s="229">
        <f t="shared" si="872"/>
        <v>0.17</v>
      </c>
      <c r="X1655" s="229">
        <f t="shared" si="873"/>
        <v>6.36</v>
      </c>
      <c r="Y1655" s="229">
        <f t="shared" si="874"/>
        <v>0.01</v>
      </c>
      <c r="Z1655" s="229">
        <f t="shared" si="875"/>
        <v>58.010000000000005</v>
      </c>
      <c r="AA1655" s="230">
        <f t="shared" si="876"/>
        <v>441.99</v>
      </c>
      <c r="AB1655" s="231">
        <v>442</v>
      </c>
      <c r="AC1655" s="232">
        <f t="shared" si="877"/>
        <v>9.9999999999909051E-3</v>
      </c>
      <c r="AD1655" s="233">
        <f t="shared" si="878"/>
        <v>8.6956521739130432E-2</v>
      </c>
      <c r="AE1655" s="234">
        <f t="shared" si="879"/>
        <v>4.8339999999999998E-3</v>
      </c>
      <c r="AF1655" s="229"/>
      <c r="AG1655" s="235" t="s">
        <v>416</v>
      </c>
      <c r="AH1655" s="124"/>
    </row>
    <row r="1656" spans="1:34" ht="12" hidden="1" customHeight="1">
      <c r="A1656" s="220">
        <v>44825</v>
      </c>
      <c r="B1656" s="221" t="s">
        <v>843</v>
      </c>
      <c r="C1656" s="7" t="s">
        <v>485</v>
      </c>
      <c r="D1656" s="221" t="str">
        <f t="shared" ca="1" si="863"/>
        <v>Indices</v>
      </c>
      <c r="E1656" s="221" t="str">
        <f ca="1">IFERROR(__xludf.DUMMYFUNCTION("split(B1656,"" "")"),"NIFTY")</f>
        <v>NIFTY</v>
      </c>
      <c r="F1656" s="236" t="str">
        <f ca="1">IFERROR(__xludf.DUMMYFUNCTION("""COMPUTED_VALUE"""),"22!SEP")</f>
        <v>22!SEP</v>
      </c>
      <c r="G1656" s="221">
        <f ca="1">IFERROR(__xludf.DUMMYFUNCTION("""COMPUTED_VALUE"""),17700)</f>
        <v>17700</v>
      </c>
      <c r="H1656" s="221" t="str">
        <f ca="1">IFERROR(__xludf.DUMMYFUNCTION("""COMPUTED_VALUE"""),"CE")</f>
        <v>CE</v>
      </c>
      <c r="I1656" s="221" t="s">
        <v>4</v>
      </c>
      <c r="J1656" s="223">
        <v>50</v>
      </c>
      <c r="K1656" s="224">
        <v>1</v>
      </c>
      <c r="L1656" s="224">
        <v>1</v>
      </c>
      <c r="M1656" s="225">
        <f t="shared" si="864"/>
        <v>50</v>
      </c>
      <c r="N1656" s="226">
        <v>120</v>
      </c>
      <c r="O1656" s="227">
        <v>155</v>
      </c>
      <c r="P1656" s="228">
        <f t="shared" si="865"/>
        <v>6000</v>
      </c>
      <c r="Q1656" s="228">
        <f t="shared" si="866"/>
        <v>7750</v>
      </c>
      <c r="R1656" s="229">
        <f t="shared" si="867"/>
        <v>13750</v>
      </c>
      <c r="S1656" s="229">
        <f t="shared" si="868"/>
        <v>1750</v>
      </c>
      <c r="T1656" s="229">
        <f t="shared" si="880"/>
        <v>40</v>
      </c>
      <c r="U1656" s="229">
        <f t="shared" si="870"/>
        <v>8.51</v>
      </c>
      <c r="V1656" s="229">
        <f t="shared" si="871"/>
        <v>3.88</v>
      </c>
      <c r="W1656" s="229">
        <f t="shared" si="872"/>
        <v>0.18</v>
      </c>
      <c r="X1656" s="229">
        <f t="shared" si="873"/>
        <v>7.29</v>
      </c>
      <c r="Y1656" s="229">
        <f t="shared" si="874"/>
        <v>0.01</v>
      </c>
      <c r="Z1656" s="229">
        <f t="shared" si="875"/>
        <v>59.87</v>
      </c>
      <c r="AA1656" s="230">
        <f t="shared" si="876"/>
        <v>1690.13</v>
      </c>
      <c r="AB1656" s="231">
        <v>1690</v>
      </c>
      <c r="AC1656" s="232">
        <f t="shared" si="877"/>
        <v>-0.13000000000010914</v>
      </c>
      <c r="AD1656" s="233">
        <f t="shared" si="878"/>
        <v>0.29166666666666669</v>
      </c>
      <c r="AE1656" s="234">
        <f t="shared" si="879"/>
        <v>4.3540000000000002E-3</v>
      </c>
      <c r="AF1656" s="229"/>
      <c r="AG1656" s="235" t="s">
        <v>416</v>
      </c>
      <c r="AH1656" s="124"/>
    </row>
    <row r="1657" spans="1:34" ht="12" hidden="1" customHeight="1">
      <c r="A1657" s="220">
        <v>44825</v>
      </c>
      <c r="B1657" s="221" t="s">
        <v>844</v>
      </c>
      <c r="C1657" s="7" t="s">
        <v>485</v>
      </c>
      <c r="D1657" s="221" t="str">
        <f t="shared" ca="1" si="863"/>
        <v>Stocks</v>
      </c>
      <c r="E1657" s="221" t="str">
        <f ca="1">IFERROR(__xludf.DUMMYFUNCTION("split(B1657,"" "")"),"INTELLECT")</f>
        <v>INTELLECT</v>
      </c>
      <c r="F1657" s="221" t="str">
        <f ca="1">IFERROR(__xludf.DUMMYFUNCTION("""COMPUTED_VALUE"""),"29!SEP")</f>
        <v>29!SEP</v>
      </c>
      <c r="G1657" s="221">
        <f ca="1">IFERROR(__xludf.DUMMYFUNCTION("""COMPUTED_VALUE"""),560)</f>
        <v>560</v>
      </c>
      <c r="H1657" s="221" t="str">
        <f ca="1">IFERROR(__xludf.DUMMYFUNCTION("""COMPUTED_VALUE"""),"PE")</f>
        <v>PE</v>
      </c>
      <c r="I1657" s="221" t="s">
        <v>4</v>
      </c>
      <c r="J1657" s="223">
        <v>750</v>
      </c>
      <c r="K1657" s="224">
        <v>1</v>
      </c>
      <c r="L1657" s="224">
        <v>1</v>
      </c>
      <c r="M1657" s="225">
        <f t="shared" si="864"/>
        <v>750</v>
      </c>
      <c r="N1657" s="226">
        <v>22.25</v>
      </c>
      <c r="O1657" s="227">
        <v>24</v>
      </c>
      <c r="P1657" s="228">
        <f t="shared" si="865"/>
        <v>16687.5</v>
      </c>
      <c r="Q1657" s="228">
        <f t="shared" si="866"/>
        <v>18000</v>
      </c>
      <c r="R1657" s="229">
        <f t="shared" si="867"/>
        <v>34687.5</v>
      </c>
      <c r="S1657" s="229">
        <f t="shared" si="868"/>
        <v>1312.5</v>
      </c>
      <c r="T1657" s="229">
        <f t="shared" si="880"/>
        <v>40</v>
      </c>
      <c r="U1657" s="229">
        <f t="shared" si="870"/>
        <v>10.51</v>
      </c>
      <c r="V1657" s="229">
        <f t="shared" si="871"/>
        <v>9</v>
      </c>
      <c r="W1657" s="229">
        <f t="shared" si="872"/>
        <v>0.5</v>
      </c>
      <c r="X1657" s="229">
        <f t="shared" si="873"/>
        <v>18.38</v>
      </c>
      <c r="Y1657" s="229">
        <f t="shared" si="874"/>
        <v>0.03</v>
      </c>
      <c r="Z1657" s="229">
        <f t="shared" si="875"/>
        <v>78.42</v>
      </c>
      <c r="AA1657" s="230">
        <f t="shared" si="876"/>
        <v>1234.08</v>
      </c>
      <c r="AB1657" s="231">
        <v>1234</v>
      </c>
      <c r="AC1657" s="232">
        <f t="shared" si="877"/>
        <v>-7.999999999992724E-2</v>
      </c>
      <c r="AD1657" s="233">
        <f t="shared" si="878"/>
        <v>7.8651685393258425E-2</v>
      </c>
      <c r="AE1657" s="234">
        <f t="shared" si="879"/>
        <v>2.261E-3</v>
      </c>
      <c r="AF1657" s="229"/>
      <c r="AG1657" s="235" t="s">
        <v>416</v>
      </c>
      <c r="AH1657" s="124"/>
    </row>
    <row r="1658" spans="1:34" ht="12" hidden="1" customHeight="1">
      <c r="A1658" s="220">
        <v>44825</v>
      </c>
      <c r="B1658" s="221" t="s">
        <v>845</v>
      </c>
      <c r="C1658" s="7" t="s">
        <v>485</v>
      </c>
      <c r="D1658" s="221" t="str">
        <f t="shared" ca="1" si="863"/>
        <v>Stocks</v>
      </c>
      <c r="E1658" s="221" t="str">
        <f ca="1">IFERROR(__xludf.DUMMYFUNCTION("split(B1658,"" "")"),"INFY")</f>
        <v>INFY</v>
      </c>
      <c r="F1658" s="221" t="str">
        <f ca="1">IFERROR(__xludf.DUMMYFUNCTION("""COMPUTED_VALUE"""),"29!SEP")</f>
        <v>29!SEP</v>
      </c>
      <c r="G1658" s="221">
        <f ca="1">IFERROR(__xludf.DUMMYFUNCTION("""COMPUTED_VALUE"""),1380)</f>
        <v>1380</v>
      </c>
      <c r="H1658" s="221" t="str">
        <f ca="1">IFERROR(__xludf.DUMMYFUNCTION("""COMPUTED_VALUE"""),"PE")</f>
        <v>PE</v>
      </c>
      <c r="I1658" s="221" t="s">
        <v>4</v>
      </c>
      <c r="J1658" s="223">
        <v>300</v>
      </c>
      <c r="K1658" s="224">
        <v>1</v>
      </c>
      <c r="L1658" s="224">
        <v>1</v>
      </c>
      <c r="M1658" s="225">
        <f t="shared" si="864"/>
        <v>300</v>
      </c>
      <c r="N1658" s="226">
        <v>29</v>
      </c>
      <c r="O1658" s="227">
        <v>28.5</v>
      </c>
      <c r="P1658" s="228">
        <f t="shared" si="865"/>
        <v>8700</v>
      </c>
      <c r="Q1658" s="228">
        <f t="shared" si="866"/>
        <v>8550</v>
      </c>
      <c r="R1658" s="229">
        <f t="shared" si="867"/>
        <v>17250</v>
      </c>
      <c r="S1658" s="229">
        <f t="shared" si="868"/>
        <v>-150</v>
      </c>
      <c r="T1658" s="229">
        <f t="shared" si="880"/>
        <v>40</v>
      </c>
      <c r="U1658" s="229">
        <f t="shared" si="870"/>
        <v>8.85</v>
      </c>
      <c r="V1658" s="229">
        <f t="shared" si="871"/>
        <v>4.28</v>
      </c>
      <c r="W1658" s="229">
        <f t="shared" si="872"/>
        <v>0.26</v>
      </c>
      <c r="X1658" s="229">
        <f t="shared" si="873"/>
        <v>9.14</v>
      </c>
      <c r="Y1658" s="229">
        <f t="shared" si="874"/>
        <v>0.02</v>
      </c>
      <c r="Z1658" s="229">
        <f t="shared" si="875"/>
        <v>62.550000000000004</v>
      </c>
      <c r="AA1658" s="230">
        <f t="shared" si="876"/>
        <v>-212.55</v>
      </c>
      <c r="AB1658" s="231">
        <v>-212.26</v>
      </c>
      <c r="AC1658" s="232">
        <f t="shared" si="877"/>
        <v>0.29000000000002046</v>
      </c>
      <c r="AD1658" s="233">
        <f t="shared" si="878"/>
        <v>-1.7241379310344827E-2</v>
      </c>
      <c r="AE1658" s="234">
        <f t="shared" si="879"/>
        <v>3.6259999999999999E-3</v>
      </c>
      <c r="AF1658" s="229"/>
      <c r="AG1658" s="235" t="s">
        <v>416</v>
      </c>
      <c r="AH1658" s="124"/>
    </row>
    <row r="1659" spans="1:34" ht="12" hidden="1" customHeight="1">
      <c r="A1659" s="220">
        <v>44826</v>
      </c>
      <c r="B1659" s="221" t="s">
        <v>846</v>
      </c>
      <c r="C1659" s="7" t="s">
        <v>485</v>
      </c>
      <c r="D1659" s="221" t="str">
        <f t="shared" ca="1" si="863"/>
        <v>Indices</v>
      </c>
      <c r="E1659" s="221" t="str">
        <f ca="1">IFERROR(__xludf.DUMMYFUNCTION("split(B1659,"" "")"),"BANKNIFTY")</f>
        <v>BANKNIFTY</v>
      </c>
      <c r="F1659" s="221" t="str">
        <f ca="1">IFERROR(__xludf.DUMMYFUNCTION("""COMPUTED_VALUE"""),"22!SEP")</f>
        <v>22!SEP</v>
      </c>
      <c r="G1659" s="221">
        <f ca="1">IFERROR(__xludf.DUMMYFUNCTION("""COMPUTED_VALUE"""),40700)</f>
        <v>40700</v>
      </c>
      <c r="H1659" s="221" t="str">
        <f ca="1">IFERROR(__xludf.DUMMYFUNCTION("""COMPUTED_VALUE"""),"CE")</f>
        <v>CE</v>
      </c>
      <c r="I1659" s="221" t="s">
        <v>4</v>
      </c>
      <c r="J1659" s="223">
        <v>25</v>
      </c>
      <c r="K1659" s="224">
        <v>1</v>
      </c>
      <c r="L1659" s="224">
        <v>6</v>
      </c>
      <c r="M1659" s="225">
        <f t="shared" si="864"/>
        <v>150</v>
      </c>
      <c r="N1659" s="226">
        <v>165.83330000000001</v>
      </c>
      <c r="O1659" s="227">
        <v>0</v>
      </c>
      <c r="P1659" s="228">
        <f t="shared" si="865"/>
        <v>24875</v>
      </c>
      <c r="Q1659" s="228">
        <f t="shared" si="866"/>
        <v>0</v>
      </c>
      <c r="R1659" s="229">
        <f t="shared" si="867"/>
        <v>24875</v>
      </c>
      <c r="S1659" s="229">
        <f t="shared" si="868"/>
        <v>-24874.995000000003</v>
      </c>
      <c r="T1659" s="229">
        <f t="shared" si="880"/>
        <v>120</v>
      </c>
      <c r="U1659" s="229">
        <f t="shared" si="870"/>
        <v>23.97</v>
      </c>
      <c r="V1659" s="229">
        <f t="shared" si="871"/>
        <v>0</v>
      </c>
      <c r="W1659" s="229">
        <f t="shared" si="872"/>
        <v>0.75</v>
      </c>
      <c r="X1659" s="229">
        <f t="shared" si="873"/>
        <v>13.18</v>
      </c>
      <c r="Y1659" s="229">
        <f t="shared" si="874"/>
        <v>0.02</v>
      </c>
      <c r="Z1659" s="229">
        <f t="shared" si="875"/>
        <v>157.92000000000002</v>
      </c>
      <c r="AA1659" s="230">
        <f t="shared" si="876"/>
        <v>-25032.92</v>
      </c>
      <c r="AB1659" s="231">
        <v>-25033</v>
      </c>
      <c r="AC1659" s="232">
        <f t="shared" si="877"/>
        <v>-8.000000000174623E-2</v>
      </c>
      <c r="AD1659" s="233">
        <f t="shared" si="878"/>
        <v>-1</v>
      </c>
      <c r="AE1659" s="234">
        <f t="shared" si="879"/>
        <v>6.3489999999999996E-3</v>
      </c>
      <c r="AF1659" s="229"/>
      <c r="AG1659" s="235" t="s">
        <v>416</v>
      </c>
      <c r="AH1659" s="124"/>
    </row>
    <row r="1660" spans="1:34" ht="12" hidden="1" customHeight="1">
      <c r="A1660" s="220">
        <v>44826</v>
      </c>
      <c r="B1660" s="221" t="s">
        <v>846</v>
      </c>
      <c r="C1660" s="7" t="s">
        <v>485</v>
      </c>
      <c r="D1660" s="221" t="str">
        <f t="shared" ca="1" si="863"/>
        <v>Indices</v>
      </c>
      <c r="E1660" s="221" t="str">
        <f ca="1">IFERROR(__xludf.DUMMYFUNCTION("split(B1660,"" "")"),"BANKNIFTY")</f>
        <v>BANKNIFTY</v>
      </c>
      <c r="F1660" s="221" t="str">
        <f ca="1">IFERROR(__xludf.DUMMYFUNCTION("""COMPUTED_VALUE"""),"22!SEP")</f>
        <v>22!SEP</v>
      </c>
      <c r="G1660" s="221">
        <f ca="1">IFERROR(__xludf.DUMMYFUNCTION("""COMPUTED_VALUE"""),40700)</f>
        <v>40700</v>
      </c>
      <c r="H1660" s="221" t="str">
        <f ca="1">IFERROR(__xludf.DUMMYFUNCTION("""COMPUTED_VALUE"""),"CE")</f>
        <v>CE</v>
      </c>
      <c r="I1660" s="221" t="s">
        <v>4</v>
      </c>
      <c r="J1660" s="223">
        <v>25</v>
      </c>
      <c r="K1660" s="224">
        <v>3</v>
      </c>
      <c r="L1660" s="224">
        <v>1</v>
      </c>
      <c r="M1660" s="225">
        <f t="shared" si="864"/>
        <v>75</v>
      </c>
      <c r="N1660" s="226">
        <v>0</v>
      </c>
      <c r="O1660" s="227">
        <v>250</v>
      </c>
      <c r="P1660" s="228">
        <f t="shared" si="865"/>
        <v>0</v>
      </c>
      <c r="Q1660" s="228">
        <f t="shared" si="866"/>
        <v>18750</v>
      </c>
      <c r="R1660" s="229">
        <f t="shared" si="867"/>
        <v>18750</v>
      </c>
      <c r="S1660" s="229">
        <f t="shared" si="868"/>
        <v>18750</v>
      </c>
      <c r="T1660" s="229">
        <f t="shared" si="880"/>
        <v>20</v>
      </c>
      <c r="U1660" s="229">
        <f t="shared" si="870"/>
        <v>5.39</v>
      </c>
      <c r="V1660" s="229">
        <f t="shared" si="871"/>
        <v>9.3800000000000008</v>
      </c>
      <c r="W1660" s="229">
        <f t="shared" si="872"/>
        <v>0</v>
      </c>
      <c r="X1660" s="229">
        <f t="shared" si="873"/>
        <v>9.94</v>
      </c>
      <c r="Y1660" s="229">
        <f t="shared" si="874"/>
        <v>0.02</v>
      </c>
      <c r="Z1660" s="229">
        <f t="shared" si="875"/>
        <v>44.730000000000004</v>
      </c>
      <c r="AA1660" s="230">
        <f t="shared" si="876"/>
        <v>18705.27</v>
      </c>
      <c r="AB1660" s="231">
        <v>18705.07</v>
      </c>
      <c r="AC1660" s="232">
        <f t="shared" si="877"/>
        <v>-0.2000000000007276</v>
      </c>
      <c r="AD1660" s="233">
        <f t="shared" si="878"/>
        <v>0</v>
      </c>
      <c r="AE1660" s="234">
        <f t="shared" si="879"/>
        <v>2.3860000000000001E-3</v>
      </c>
      <c r="AF1660" s="229"/>
      <c r="AG1660" s="235" t="s">
        <v>416</v>
      </c>
      <c r="AH1660" s="124"/>
    </row>
    <row r="1661" spans="1:34" ht="12" hidden="1" customHeight="1">
      <c r="A1661" s="220">
        <v>44826</v>
      </c>
      <c r="B1661" s="221" t="s">
        <v>846</v>
      </c>
      <c r="C1661" s="7" t="s">
        <v>485</v>
      </c>
      <c r="D1661" s="221" t="str">
        <f t="shared" ca="1" si="863"/>
        <v>Indices</v>
      </c>
      <c r="E1661" s="221" t="str">
        <f ca="1">IFERROR(__xludf.DUMMYFUNCTION("split(B1661,"" "")"),"BANKNIFTY")</f>
        <v>BANKNIFTY</v>
      </c>
      <c r="F1661" s="221" t="str">
        <f ca="1">IFERROR(__xludf.DUMMYFUNCTION("""COMPUTED_VALUE"""),"22!SEP")</f>
        <v>22!SEP</v>
      </c>
      <c r="G1661" s="221">
        <f ca="1">IFERROR(__xludf.DUMMYFUNCTION("""COMPUTED_VALUE"""),40700)</f>
        <v>40700</v>
      </c>
      <c r="H1661" s="221" t="str">
        <f ca="1">IFERROR(__xludf.DUMMYFUNCTION("""COMPUTED_VALUE"""),"CE")</f>
        <v>CE</v>
      </c>
      <c r="I1661" s="221" t="s">
        <v>4</v>
      </c>
      <c r="J1661" s="223">
        <v>25</v>
      </c>
      <c r="K1661" s="224">
        <v>3</v>
      </c>
      <c r="L1661" s="224">
        <v>1</v>
      </c>
      <c r="M1661" s="225">
        <f t="shared" si="864"/>
        <v>75</v>
      </c>
      <c r="N1661" s="226">
        <v>0</v>
      </c>
      <c r="O1661" s="227">
        <v>110</v>
      </c>
      <c r="P1661" s="228">
        <f t="shared" si="865"/>
        <v>0</v>
      </c>
      <c r="Q1661" s="228">
        <f t="shared" si="866"/>
        <v>8250</v>
      </c>
      <c r="R1661" s="229">
        <f t="shared" si="867"/>
        <v>8250</v>
      </c>
      <c r="S1661" s="229">
        <f t="shared" si="868"/>
        <v>8250</v>
      </c>
      <c r="T1661" s="229">
        <f t="shared" si="880"/>
        <v>20</v>
      </c>
      <c r="U1661" s="229">
        <f t="shared" si="870"/>
        <v>4.3899999999999997</v>
      </c>
      <c r="V1661" s="229">
        <f t="shared" si="871"/>
        <v>4.13</v>
      </c>
      <c r="W1661" s="229">
        <f t="shared" si="872"/>
        <v>0</v>
      </c>
      <c r="X1661" s="229">
        <f t="shared" si="873"/>
        <v>4.37</v>
      </c>
      <c r="Y1661" s="229">
        <f t="shared" si="874"/>
        <v>0.01</v>
      </c>
      <c r="Z1661" s="229">
        <f t="shared" si="875"/>
        <v>32.9</v>
      </c>
      <c r="AA1661" s="230">
        <f t="shared" si="876"/>
        <v>8217.1</v>
      </c>
      <c r="AB1661" s="231">
        <v>8217</v>
      </c>
      <c r="AC1661" s="232">
        <f t="shared" si="877"/>
        <v>-0.1000000000003638</v>
      </c>
      <c r="AD1661" s="233">
        <f t="shared" si="878"/>
        <v>0</v>
      </c>
      <c r="AE1661" s="234">
        <f t="shared" si="879"/>
        <v>3.9880000000000002E-3</v>
      </c>
      <c r="AF1661" s="229"/>
      <c r="AG1661" s="235" t="s">
        <v>416</v>
      </c>
      <c r="AH1661" s="124"/>
    </row>
    <row r="1662" spans="1:34" ht="12" hidden="1" customHeight="1">
      <c r="A1662" s="220">
        <v>44826</v>
      </c>
      <c r="B1662" s="221" t="s">
        <v>847</v>
      </c>
      <c r="C1662" s="7" t="s">
        <v>485</v>
      </c>
      <c r="D1662" s="221" t="str">
        <f t="shared" ca="1" si="863"/>
        <v>Indices</v>
      </c>
      <c r="E1662" s="221" t="str">
        <f ca="1">IFERROR(__xludf.DUMMYFUNCTION("split(B1662,"" "")"),"BANKNIFTY")</f>
        <v>BANKNIFTY</v>
      </c>
      <c r="F1662" s="221" t="str">
        <f ca="1">IFERROR(__xludf.DUMMYFUNCTION("""COMPUTED_VALUE"""),"22!SEP")</f>
        <v>22!SEP</v>
      </c>
      <c r="G1662" s="221">
        <f ca="1">IFERROR(__xludf.DUMMYFUNCTION("""COMPUTED_VALUE"""),40700)</f>
        <v>40700</v>
      </c>
      <c r="H1662" s="221" t="str">
        <f ca="1">IFERROR(__xludf.DUMMYFUNCTION("""COMPUTED_VALUE"""),"PE")</f>
        <v>PE</v>
      </c>
      <c r="I1662" s="221" t="s">
        <v>4</v>
      </c>
      <c r="J1662" s="223">
        <v>25</v>
      </c>
      <c r="K1662" s="224">
        <v>1</v>
      </c>
      <c r="L1662" s="224">
        <v>2</v>
      </c>
      <c r="M1662" s="225">
        <f t="shared" si="864"/>
        <v>50</v>
      </c>
      <c r="N1662" s="226">
        <v>40</v>
      </c>
      <c r="O1662" s="227">
        <v>0</v>
      </c>
      <c r="P1662" s="228">
        <f t="shared" si="865"/>
        <v>2000</v>
      </c>
      <c r="Q1662" s="228">
        <f t="shared" si="866"/>
        <v>0</v>
      </c>
      <c r="R1662" s="229">
        <f t="shared" si="867"/>
        <v>2000</v>
      </c>
      <c r="S1662" s="229">
        <f t="shared" si="868"/>
        <v>-2000</v>
      </c>
      <c r="T1662" s="229">
        <f t="shared" si="880"/>
        <v>40</v>
      </c>
      <c r="U1662" s="229">
        <f t="shared" si="870"/>
        <v>7.39</v>
      </c>
      <c r="V1662" s="229">
        <f t="shared" si="871"/>
        <v>0</v>
      </c>
      <c r="W1662" s="229">
        <f t="shared" si="872"/>
        <v>0.06</v>
      </c>
      <c r="X1662" s="229">
        <f t="shared" si="873"/>
        <v>1.06</v>
      </c>
      <c r="Y1662" s="229">
        <f t="shared" si="874"/>
        <v>0</v>
      </c>
      <c r="Z1662" s="229">
        <f t="shared" si="875"/>
        <v>48.510000000000005</v>
      </c>
      <c r="AA1662" s="230">
        <f t="shared" si="876"/>
        <v>-2048.5100000000002</v>
      </c>
      <c r="AB1662" s="231">
        <v>-2048</v>
      </c>
      <c r="AC1662" s="232">
        <f t="shared" si="877"/>
        <v>0.51000000000021828</v>
      </c>
      <c r="AD1662" s="233">
        <f t="shared" si="878"/>
        <v>-1</v>
      </c>
      <c r="AE1662" s="234">
        <f t="shared" si="879"/>
        <v>2.4254999999999999E-2</v>
      </c>
      <c r="AF1662" s="229"/>
      <c r="AG1662" s="235" t="s">
        <v>416</v>
      </c>
      <c r="AH1662" s="124"/>
    </row>
    <row r="1663" spans="1:34" ht="12" hidden="1" customHeight="1">
      <c r="A1663" s="220">
        <v>44826</v>
      </c>
      <c r="B1663" s="221" t="s">
        <v>847</v>
      </c>
      <c r="C1663" s="7" t="s">
        <v>485</v>
      </c>
      <c r="D1663" s="221" t="str">
        <f t="shared" ca="1" si="863"/>
        <v>Indices</v>
      </c>
      <c r="E1663" s="221" t="str">
        <f ca="1">IFERROR(__xludf.DUMMYFUNCTION("split(B1663,"" "")"),"BANKNIFTY")</f>
        <v>BANKNIFTY</v>
      </c>
      <c r="F1663" s="221" t="str">
        <f ca="1">IFERROR(__xludf.DUMMYFUNCTION("""COMPUTED_VALUE"""),"22!SEP")</f>
        <v>22!SEP</v>
      </c>
      <c r="G1663" s="221">
        <f ca="1">IFERROR(__xludf.DUMMYFUNCTION("""COMPUTED_VALUE"""),40700)</f>
        <v>40700</v>
      </c>
      <c r="H1663" s="221" t="str">
        <f ca="1">IFERROR(__xludf.DUMMYFUNCTION("""COMPUTED_VALUE"""),"PE")</f>
        <v>PE</v>
      </c>
      <c r="I1663" s="221" t="s">
        <v>4</v>
      </c>
      <c r="J1663" s="223">
        <v>25</v>
      </c>
      <c r="K1663" s="224">
        <v>2</v>
      </c>
      <c r="L1663" s="224">
        <v>1</v>
      </c>
      <c r="M1663" s="225">
        <f t="shared" si="864"/>
        <v>50</v>
      </c>
      <c r="N1663" s="226">
        <v>0</v>
      </c>
      <c r="O1663" s="227">
        <v>60</v>
      </c>
      <c r="P1663" s="228">
        <f t="shared" si="865"/>
        <v>0</v>
      </c>
      <c r="Q1663" s="228">
        <f t="shared" si="866"/>
        <v>3000</v>
      </c>
      <c r="R1663" s="229">
        <f t="shared" si="867"/>
        <v>3000</v>
      </c>
      <c r="S1663" s="229">
        <f t="shared" si="868"/>
        <v>3000</v>
      </c>
      <c r="T1663" s="229">
        <f t="shared" si="880"/>
        <v>20</v>
      </c>
      <c r="U1663" s="229">
        <f t="shared" si="870"/>
        <v>3.89</v>
      </c>
      <c r="V1663" s="229">
        <f t="shared" si="871"/>
        <v>1.5</v>
      </c>
      <c r="W1663" s="229">
        <f t="shared" si="872"/>
        <v>0</v>
      </c>
      <c r="X1663" s="229">
        <f t="shared" si="873"/>
        <v>1.59</v>
      </c>
      <c r="Y1663" s="229">
        <f t="shared" si="874"/>
        <v>0</v>
      </c>
      <c r="Z1663" s="229">
        <f t="shared" si="875"/>
        <v>26.98</v>
      </c>
      <c r="AA1663" s="230">
        <f t="shared" si="876"/>
        <v>2973.02</v>
      </c>
      <c r="AB1663" s="231">
        <v>2973</v>
      </c>
      <c r="AC1663" s="232">
        <f t="shared" si="877"/>
        <v>-1.999999999998181E-2</v>
      </c>
      <c r="AD1663" s="233">
        <f t="shared" si="878"/>
        <v>0</v>
      </c>
      <c r="AE1663" s="234">
        <f t="shared" si="879"/>
        <v>8.9929999999999993E-3</v>
      </c>
      <c r="AF1663" s="229"/>
      <c r="AG1663" s="235" t="s">
        <v>416</v>
      </c>
      <c r="AH1663" s="124"/>
    </row>
    <row r="1664" spans="1:34" ht="12" hidden="1" customHeight="1">
      <c r="A1664" s="220">
        <v>44826</v>
      </c>
      <c r="B1664" s="221" t="s">
        <v>848</v>
      </c>
      <c r="C1664" s="7" t="s">
        <v>485</v>
      </c>
      <c r="D1664" s="221" t="str">
        <f t="shared" ca="1" si="863"/>
        <v>Stocks</v>
      </c>
      <c r="E1664" s="221" t="str">
        <f ca="1">IFERROR(__xludf.DUMMYFUNCTION("split(B1664,"" "")"),"BSOFT")</f>
        <v>BSOFT</v>
      </c>
      <c r="F1664" s="221" t="str">
        <f ca="1">IFERROR(__xludf.DUMMYFUNCTION("""COMPUTED_VALUE"""),"29!SEP")</f>
        <v>29!SEP</v>
      </c>
      <c r="G1664" s="221">
        <f ca="1">IFERROR(__xludf.DUMMYFUNCTION("""COMPUTED_VALUE"""),300)</f>
        <v>300</v>
      </c>
      <c r="H1664" s="221" t="str">
        <f ca="1">IFERROR(__xludf.DUMMYFUNCTION("""COMPUTED_VALUE"""),"PE")</f>
        <v>PE</v>
      </c>
      <c r="I1664" s="221" t="s">
        <v>4</v>
      </c>
      <c r="J1664" s="223">
        <v>1300</v>
      </c>
      <c r="K1664" s="224">
        <v>1</v>
      </c>
      <c r="L1664" s="224">
        <v>1</v>
      </c>
      <c r="M1664" s="225">
        <f t="shared" si="864"/>
        <v>1300</v>
      </c>
      <c r="N1664" s="226">
        <v>9.25</v>
      </c>
      <c r="O1664" s="227">
        <v>8.1</v>
      </c>
      <c r="P1664" s="228">
        <f t="shared" si="865"/>
        <v>12025</v>
      </c>
      <c r="Q1664" s="228">
        <f t="shared" si="866"/>
        <v>10530</v>
      </c>
      <c r="R1664" s="229">
        <f t="shared" si="867"/>
        <v>22555</v>
      </c>
      <c r="S1664" s="229">
        <f t="shared" si="868"/>
        <v>-1495.0000000000005</v>
      </c>
      <c r="T1664" s="229">
        <f t="shared" si="880"/>
        <v>40</v>
      </c>
      <c r="U1664" s="229">
        <f t="shared" si="870"/>
        <v>9.35</v>
      </c>
      <c r="V1664" s="229">
        <f t="shared" si="871"/>
        <v>5.27</v>
      </c>
      <c r="W1664" s="229">
        <f t="shared" si="872"/>
        <v>0.36</v>
      </c>
      <c r="X1664" s="229">
        <f t="shared" si="873"/>
        <v>11.95</v>
      </c>
      <c r="Y1664" s="229">
        <f t="shared" si="874"/>
        <v>0.02</v>
      </c>
      <c r="Z1664" s="229">
        <f t="shared" si="875"/>
        <v>66.95</v>
      </c>
      <c r="AA1664" s="230">
        <f t="shared" si="876"/>
        <v>-1561.95</v>
      </c>
      <c r="AB1664" s="231">
        <v>-1562</v>
      </c>
      <c r="AC1664" s="232">
        <f t="shared" si="877"/>
        <v>-4.9999999999954525E-2</v>
      </c>
      <c r="AD1664" s="233">
        <f t="shared" si="878"/>
        <v>-0.12432432432432436</v>
      </c>
      <c r="AE1664" s="234">
        <f t="shared" si="879"/>
        <v>2.9680000000000002E-3</v>
      </c>
      <c r="AF1664" s="229"/>
      <c r="AG1664" s="235" t="s">
        <v>416</v>
      </c>
      <c r="AH1664" s="124"/>
    </row>
    <row r="1665" spans="1:34" ht="12" hidden="1" customHeight="1">
      <c r="A1665" s="220">
        <v>44826</v>
      </c>
      <c r="B1665" s="221" t="s">
        <v>849</v>
      </c>
      <c r="C1665" s="7" t="s">
        <v>485</v>
      </c>
      <c r="D1665" s="221" t="str">
        <f t="shared" ca="1" si="863"/>
        <v>Stocks</v>
      </c>
      <c r="E1665" s="221" t="str">
        <f ca="1">IFERROR(__xludf.DUMMYFUNCTION("split(B1665,"" "")"),"DLF")</f>
        <v>DLF</v>
      </c>
      <c r="F1665" s="221" t="str">
        <f ca="1">IFERROR(__xludf.DUMMYFUNCTION("""COMPUTED_VALUE"""),"29!SEP")</f>
        <v>29!SEP</v>
      </c>
      <c r="G1665" s="221">
        <f ca="1">IFERROR(__xludf.DUMMYFUNCTION("""COMPUTED_VALUE"""),380)</f>
        <v>380</v>
      </c>
      <c r="H1665" s="221" t="str">
        <f ca="1">IFERROR(__xludf.DUMMYFUNCTION("""COMPUTED_VALUE"""),"PE")</f>
        <v>PE</v>
      </c>
      <c r="I1665" s="221" t="s">
        <v>4</v>
      </c>
      <c r="J1665" s="223">
        <v>1650</v>
      </c>
      <c r="K1665" s="224">
        <v>1</v>
      </c>
      <c r="L1665" s="224">
        <v>1</v>
      </c>
      <c r="M1665" s="225">
        <f t="shared" si="864"/>
        <v>1650</v>
      </c>
      <c r="N1665" s="226">
        <v>11</v>
      </c>
      <c r="O1665" s="227">
        <v>8.5</v>
      </c>
      <c r="P1665" s="228">
        <f t="shared" si="865"/>
        <v>18150</v>
      </c>
      <c r="Q1665" s="228">
        <f t="shared" si="866"/>
        <v>14025</v>
      </c>
      <c r="R1665" s="229">
        <f t="shared" si="867"/>
        <v>32175</v>
      </c>
      <c r="S1665" s="229">
        <f t="shared" si="868"/>
        <v>-4125</v>
      </c>
      <c r="T1665" s="229">
        <f t="shared" si="880"/>
        <v>40</v>
      </c>
      <c r="U1665" s="229">
        <f t="shared" si="870"/>
        <v>10.27</v>
      </c>
      <c r="V1665" s="229">
        <f t="shared" si="871"/>
        <v>7.01</v>
      </c>
      <c r="W1665" s="229">
        <f t="shared" si="872"/>
        <v>0.54</v>
      </c>
      <c r="X1665" s="229">
        <f t="shared" si="873"/>
        <v>17.05</v>
      </c>
      <c r="Y1665" s="229">
        <f t="shared" si="874"/>
        <v>0.03</v>
      </c>
      <c r="Z1665" s="229">
        <f t="shared" si="875"/>
        <v>74.899999999999991</v>
      </c>
      <c r="AA1665" s="230">
        <f t="shared" si="876"/>
        <v>-4199.8999999999996</v>
      </c>
      <c r="AB1665" s="231">
        <v>-4200</v>
      </c>
      <c r="AC1665" s="232">
        <f t="shared" si="877"/>
        <v>-0.1000000000003638</v>
      </c>
      <c r="AD1665" s="233">
        <f t="shared" si="878"/>
        <v>-0.22727272727272727</v>
      </c>
      <c r="AE1665" s="234">
        <f t="shared" si="879"/>
        <v>2.3280000000000002E-3</v>
      </c>
      <c r="AF1665" s="229"/>
      <c r="AG1665" s="235" t="s">
        <v>416</v>
      </c>
      <c r="AH1665" s="124"/>
    </row>
    <row r="1666" spans="1:34" ht="12" hidden="1" customHeight="1">
      <c r="A1666" s="154">
        <v>44827</v>
      </c>
      <c r="B1666" s="221" t="s">
        <v>850</v>
      </c>
      <c r="C1666" s="7" t="s">
        <v>485</v>
      </c>
      <c r="D1666" s="221" t="str">
        <f t="shared" ca="1" si="863"/>
        <v>Indices</v>
      </c>
      <c r="E1666" s="221" t="str">
        <f ca="1">IFERROR(__xludf.DUMMYFUNCTION("split(B1666,"" "")"),"BANKNIFTY")</f>
        <v>BANKNIFTY</v>
      </c>
      <c r="F1666" s="221" t="str">
        <f ca="1">IFERROR(__xludf.DUMMYFUNCTION("""COMPUTED_VALUE"""),"29!SEP")</f>
        <v>29!SEP</v>
      </c>
      <c r="G1666" s="221">
        <f ca="1">IFERROR(__xludf.DUMMYFUNCTION("""COMPUTED_VALUE"""),39800)</f>
        <v>39800</v>
      </c>
      <c r="H1666" s="221" t="str">
        <f ca="1">IFERROR(__xludf.DUMMYFUNCTION("""COMPUTED_VALUE"""),"CE")</f>
        <v>CE</v>
      </c>
      <c r="I1666" s="221" t="s">
        <v>4</v>
      </c>
      <c r="J1666" s="223">
        <v>25</v>
      </c>
      <c r="K1666" s="224">
        <v>1</v>
      </c>
      <c r="L1666" s="224">
        <v>1</v>
      </c>
      <c r="M1666" s="225">
        <f t="shared" si="864"/>
        <v>25</v>
      </c>
      <c r="N1666" s="226">
        <v>545</v>
      </c>
      <c r="O1666" s="227">
        <v>0</v>
      </c>
      <c r="P1666" s="228">
        <f t="shared" si="865"/>
        <v>13625</v>
      </c>
      <c r="Q1666" s="228">
        <f t="shared" si="866"/>
        <v>0</v>
      </c>
      <c r="R1666" s="229">
        <f t="shared" si="867"/>
        <v>13625</v>
      </c>
      <c r="S1666" s="229">
        <f t="shared" si="868"/>
        <v>-13625</v>
      </c>
      <c r="T1666" s="229">
        <f t="shared" si="880"/>
        <v>20</v>
      </c>
      <c r="U1666" s="229">
        <f t="shared" si="870"/>
        <v>4.9000000000000004</v>
      </c>
      <c r="V1666" s="229">
        <f t="shared" si="871"/>
        <v>0</v>
      </c>
      <c r="W1666" s="229">
        <f t="shared" si="872"/>
        <v>0.41</v>
      </c>
      <c r="X1666" s="229">
        <f t="shared" si="873"/>
        <v>7.22</v>
      </c>
      <c r="Y1666" s="229">
        <f t="shared" si="874"/>
        <v>0.01</v>
      </c>
      <c r="Z1666" s="229">
        <f t="shared" si="875"/>
        <v>32.54</v>
      </c>
      <c r="AA1666" s="230">
        <f t="shared" si="876"/>
        <v>-13657.54</v>
      </c>
      <c r="AB1666" s="231">
        <v>-13656.42</v>
      </c>
      <c r="AC1666" s="232">
        <f t="shared" si="877"/>
        <v>1.1200000000008004</v>
      </c>
      <c r="AD1666" s="233">
        <f t="shared" si="878"/>
        <v>-1</v>
      </c>
      <c r="AE1666" s="234">
        <f t="shared" si="879"/>
        <v>2.3879999999999999E-3</v>
      </c>
      <c r="AF1666" s="229"/>
      <c r="AG1666" s="235" t="s">
        <v>416</v>
      </c>
      <c r="AH1666" s="124"/>
    </row>
    <row r="1667" spans="1:34" ht="12" hidden="1" customHeight="1">
      <c r="A1667" s="155">
        <v>44831</v>
      </c>
      <c r="B1667" s="221" t="s">
        <v>850</v>
      </c>
      <c r="C1667" s="7" t="s">
        <v>485</v>
      </c>
      <c r="D1667" s="221" t="str">
        <f t="shared" ca="1" si="863"/>
        <v>Indices</v>
      </c>
      <c r="E1667" s="221" t="str">
        <f ca="1">IFERROR(__xludf.DUMMYFUNCTION("split(B1667,"" "")"),"BANKNIFTY")</f>
        <v>BANKNIFTY</v>
      </c>
      <c r="F1667" s="221" t="str">
        <f ca="1">IFERROR(__xludf.DUMMYFUNCTION("""COMPUTED_VALUE"""),"29!SEP")</f>
        <v>29!SEP</v>
      </c>
      <c r="G1667" s="221">
        <f ca="1">IFERROR(__xludf.DUMMYFUNCTION("""COMPUTED_VALUE"""),39800)</f>
        <v>39800</v>
      </c>
      <c r="H1667" s="221" t="str">
        <f ca="1">IFERROR(__xludf.DUMMYFUNCTION("""COMPUTED_VALUE"""),"CE")</f>
        <v>CE</v>
      </c>
      <c r="I1667" s="221" t="s">
        <v>4</v>
      </c>
      <c r="J1667" s="223">
        <v>25</v>
      </c>
      <c r="K1667" s="224">
        <v>1</v>
      </c>
      <c r="L1667" s="224">
        <v>1</v>
      </c>
      <c r="M1667" s="225">
        <f t="shared" si="864"/>
        <v>25</v>
      </c>
      <c r="N1667" s="226">
        <v>0</v>
      </c>
      <c r="O1667" s="227">
        <v>44</v>
      </c>
      <c r="P1667" s="228">
        <f t="shared" si="865"/>
        <v>0</v>
      </c>
      <c r="Q1667" s="228">
        <f t="shared" si="866"/>
        <v>1100</v>
      </c>
      <c r="R1667" s="229">
        <f t="shared" si="867"/>
        <v>1100</v>
      </c>
      <c r="S1667" s="229">
        <f t="shared" si="868"/>
        <v>1100</v>
      </c>
      <c r="T1667" s="229">
        <f t="shared" si="880"/>
        <v>20</v>
      </c>
      <c r="U1667" s="229">
        <f t="shared" si="870"/>
        <v>3.7</v>
      </c>
      <c r="V1667" s="229">
        <f t="shared" si="871"/>
        <v>0.55000000000000004</v>
      </c>
      <c r="W1667" s="229">
        <f t="shared" si="872"/>
        <v>0</v>
      </c>
      <c r="X1667" s="229">
        <f t="shared" si="873"/>
        <v>0.57999999999999996</v>
      </c>
      <c r="Y1667" s="229">
        <f t="shared" si="874"/>
        <v>0</v>
      </c>
      <c r="Z1667" s="229">
        <f t="shared" si="875"/>
        <v>24.83</v>
      </c>
      <c r="AA1667" s="230">
        <f t="shared" si="876"/>
        <v>1075.17</v>
      </c>
      <c r="AB1667" s="231">
        <f>ROUND(AA1667,0)</f>
        <v>1075</v>
      </c>
      <c r="AC1667" s="232">
        <f t="shared" si="877"/>
        <v>-0.17000000000007276</v>
      </c>
      <c r="AD1667" s="233">
        <f t="shared" si="878"/>
        <v>0</v>
      </c>
      <c r="AE1667" s="234">
        <f t="shared" si="879"/>
        <v>2.2572999999999999E-2</v>
      </c>
      <c r="AF1667" s="229"/>
      <c r="AG1667" s="235" t="s">
        <v>416</v>
      </c>
      <c r="AH1667" s="124"/>
    </row>
    <row r="1668" spans="1:34" ht="12" hidden="1" customHeight="1">
      <c r="A1668" s="154">
        <v>44827</v>
      </c>
      <c r="B1668" s="221" t="s">
        <v>851</v>
      </c>
      <c r="C1668" s="7" t="s">
        <v>485</v>
      </c>
      <c r="D1668" s="221" t="str">
        <f t="shared" ca="1" si="863"/>
        <v>Indices</v>
      </c>
      <c r="E1668" s="221" t="str">
        <f ca="1">IFERROR(__xludf.DUMMYFUNCTION("split(B1668,"" "")"),"BANKNIFTY")</f>
        <v>BANKNIFTY</v>
      </c>
      <c r="F1668" s="221" t="str">
        <f ca="1">IFERROR(__xludf.DUMMYFUNCTION("""COMPUTED_VALUE"""),"29!SEP")</f>
        <v>29!SEP</v>
      </c>
      <c r="G1668" s="221">
        <f ca="1">IFERROR(__xludf.DUMMYFUNCTION("""COMPUTED_VALUE"""),40200)</f>
        <v>40200</v>
      </c>
      <c r="H1668" s="221" t="str">
        <f ca="1">IFERROR(__xludf.DUMMYFUNCTION("""COMPUTED_VALUE"""),"CE")</f>
        <v>CE</v>
      </c>
      <c r="I1668" s="221" t="s">
        <v>4</v>
      </c>
      <c r="J1668" s="223">
        <v>25</v>
      </c>
      <c r="K1668" s="224">
        <v>1</v>
      </c>
      <c r="L1668" s="224">
        <v>2</v>
      </c>
      <c r="M1668" s="225">
        <f t="shared" si="864"/>
        <v>50</v>
      </c>
      <c r="N1668" s="226">
        <v>532.5</v>
      </c>
      <c r="O1668" s="227">
        <v>0</v>
      </c>
      <c r="P1668" s="228">
        <f t="shared" si="865"/>
        <v>26625</v>
      </c>
      <c r="Q1668" s="228">
        <f t="shared" si="866"/>
        <v>0</v>
      </c>
      <c r="R1668" s="229">
        <f t="shared" si="867"/>
        <v>26625</v>
      </c>
      <c r="S1668" s="229">
        <f t="shared" si="868"/>
        <v>-26625</v>
      </c>
      <c r="T1668" s="229">
        <f t="shared" si="880"/>
        <v>40</v>
      </c>
      <c r="U1668" s="229">
        <f t="shared" si="870"/>
        <v>9.74</v>
      </c>
      <c r="V1668" s="229">
        <f t="shared" si="871"/>
        <v>0</v>
      </c>
      <c r="W1668" s="229">
        <f t="shared" si="872"/>
        <v>0.8</v>
      </c>
      <c r="X1668" s="229">
        <f t="shared" si="873"/>
        <v>14.11</v>
      </c>
      <c r="Y1668" s="229">
        <f t="shared" si="874"/>
        <v>0.03</v>
      </c>
      <c r="Z1668" s="229">
        <f t="shared" si="875"/>
        <v>64.680000000000007</v>
      </c>
      <c r="AA1668" s="230">
        <f t="shared" si="876"/>
        <v>-26689.68</v>
      </c>
      <c r="AB1668" s="231">
        <v>-26690</v>
      </c>
      <c r="AC1668" s="232">
        <f t="shared" si="877"/>
        <v>-0.31999999999970896</v>
      </c>
      <c r="AD1668" s="233">
        <f t="shared" si="878"/>
        <v>-1</v>
      </c>
      <c r="AE1668" s="234">
        <f t="shared" si="879"/>
        <v>2.4290000000000002E-3</v>
      </c>
      <c r="AF1668" s="229"/>
      <c r="AG1668" s="235" t="s">
        <v>416</v>
      </c>
      <c r="AH1668" s="124"/>
    </row>
    <row r="1669" spans="1:34" ht="12" hidden="1" customHeight="1">
      <c r="A1669" s="155">
        <v>44831</v>
      </c>
      <c r="B1669" s="221" t="s">
        <v>851</v>
      </c>
      <c r="C1669" s="7" t="s">
        <v>485</v>
      </c>
      <c r="D1669" s="221" t="str">
        <f t="shared" ca="1" si="863"/>
        <v>Indices</v>
      </c>
      <c r="E1669" s="221" t="str">
        <f ca="1">IFERROR(__xludf.DUMMYFUNCTION("split(B1669,"" "")"),"BANKNIFTY")</f>
        <v>BANKNIFTY</v>
      </c>
      <c r="F1669" s="221" t="str">
        <f ca="1">IFERROR(__xludf.DUMMYFUNCTION("""COMPUTED_VALUE"""),"29!SEP")</f>
        <v>29!SEP</v>
      </c>
      <c r="G1669" s="221">
        <f ca="1">IFERROR(__xludf.DUMMYFUNCTION("""COMPUTED_VALUE"""),40200)</f>
        <v>40200</v>
      </c>
      <c r="H1669" s="221" t="str">
        <f ca="1">IFERROR(__xludf.DUMMYFUNCTION("""COMPUTED_VALUE"""),"CE")</f>
        <v>CE</v>
      </c>
      <c r="I1669" s="221" t="s">
        <v>4</v>
      </c>
      <c r="J1669" s="223">
        <v>25</v>
      </c>
      <c r="K1669" s="224">
        <v>2</v>
      </c>
      <c r="L1669" s="224">
        <v>1</v>
      </c>
      <c r="M1669" s="225">
        <f t="shared" si="864"/>
        <v>50</v>
      </c>
      <c r="N1669" s="226">
        <v>0</v>
      </c>
      <c r="O1669" s="227">
        <v>24.5</v>
      </c>
      <c r="P1669" s="228">
        <f t="shared" si="865"/>
        <v>0</v>
      </c>
      <c r="Q1669" s="228">
        <f t="shared" si="866"/>
        <v>1225</v>
      </c>
      <c r="R1669" s="229">
        <f t="shared" si="867"/>
        <v>1225</v>
      </c>
      <c r="S1669" s="229">
        <f t="shared" si="868"/>
        <v>1225</v>
      </c>
      <c r="T1669" s="229">
        <f t="shared" si="880"/>
        <v>20</v>
      </c>
      <c r="U1669" s="229">
        <f t="shared" si="870"/>
        <v>3.72</v>
      </c>
      <c r="V1669" s="229">
        <f t="shared" si="871"/>
        <v>0.61</v>
      </c>
      <c r="W1669" s="229">
        <f t="shared" si="872"/>
        <v>0</v>
      </c>
      <c r="X1669" s="229">
        <f t="shared" si="873"/>
        <v>0.65</v>
      </c>
      <c r="Y1669" s="229">
        <f t="shared" si="874"/>
        <v>0</v>
      </c>
      <c r="Z1669" s="229">
        <f t="shared" si="875"/>
        <v>24.979999999999997</v>
      </c>
      <c r="AA1669" s="230">
        <f t="shared" si="876"/>
        <v>1200.02</v>
      </c>
      <c r="AB1669" s="231">
        <v>1200</v>
      </c>
      <c r="AC1669" s="232">
        <f t="shared" si="877"/>
        <v>-1.999999999998181E-2</v>
      </c>
      <c r="AD1669" s="233">
        <f t="shared" si="878"/>
        <v>0</v>
      </c>
      <c r="AE1669" s="234">
        <f t="shared" si="879"/>
        <v>2.0392E-2</v>
      </c>
      <c r="AF1669" s="229"/>
      <c r="AG1669" s="235" t="s">
        <v>416</v>
      </c>
      <c r="AH1669" s="124"/>
    </row>
    <row r="1670" spans="1:34" ht="12" hidden="1" customHeight="1">
      <c r="A1670" s="154">
        <v>44827</v>
      </c>
      <c r="B1670" s="221" t="s">
        <v>852</v>
      </c>
      <c r="C1670" s="7" t="s">
        <v>485</v>
      </c>
      <c r="D1670" s="221" t="str">
        <f t="shared" ca="1" si="863"/>
        <v>Indices</v>
      </c>
      <c r="E1670" s="221" t="str">
        <f ca="1">IFERROR(__xludf.DUMMYFUNCTION("split(B1670,"" "")"),"NIFTY")</f>
        <v>NIFTY</v>
      </c>
      <c r="F1670" s="221" t="str">
        <f ca="1">IFERROR(__xludf.DUMMYFUNCTION("""COMPUTED_VALUE"""),"29!SEP")</f>
        <v>29!SEP</v>
      </c>
      <c r="G1670" s="221">
        <f ca="1">IFERROR(__xludf.DUMMYFUNCTION("""COMPUTED_VALUE"""),17500)</f>
        <v>17500</v>
      </c>
      <c r="H1670" s="221" t="str">
        <f ca="1">IFERROR(__xludf.DUMMYFUNCTION("""COMPUTED_VALUE"""),"CE")</f>
        <v>CE</v>
      </c>
      <c r="I1670" s="221" t="s">
        <v>4</v>
      </c>
      <c r="J1670" s="223">
        <v>50</v>
      </c>
      <c r="K1670" s="224">
        <v>1</v>
      </c>
      <c r="L1670" s="224">
        <v>1</v>
      </c>
      <c r="M1670" s="225">
        <f t="shared" si="864"/>
        <v>50</v>
      </c>
      <c r="N1670" s="226">
        <v>185</v>
      </c>
      <c r="O1670" s="227">
        <v>0</v>
      </c>
      <c r="P1670" s="228">
        <f t="shared" si="865"/>
        <v>9250</v>
      </c>
      <c r="Q1670" s="228">
        <f t="shared" si="866"/>
        <v>0</v>
      </c>
      <c r="R1670" s="229">
        <f t="shared" si="867"/>
        <v>9250</v>
      </c>
      <c r="S1670" s="229">
        <f t="shared" si="868"/>
        <v>-9250</v>
      </c>
      <c r="T1670" s="229">
        <f t="shared" si="880"/>
        <v>20</v>
      </c>
      <c r="U1670" s="229">
        <f t="shared" si="870"/>
        <v>4.4800000000000004</v>
      </c>
      <c r="V1670" s="229">
        <f t="shared" si="871"/>
        <v>0</v>
      </c>
      <c r="W1670" s="229">
        <f t="shared" si="872"/>
        <v>0.28000000000000003</v>
      </c>
      <c r="X1670" s="229">
        <f t="shared" si="873"/>
        <v>4.9000000000000004</v>
      </c>
      <c r="Y1670" s="229">
        <f t="shared" si="874"/>
        <v>0.01</v>
      </c>
      <c r="Z1670" s="229">
        <f t="shared" si="875"/>
        <v>29.670000000000005</v>
      </c>
      <c r="AA1670" s="230">
        <f t="shared" si="876"/>
        <v>-9279.67</v>
      </c>
      <c r="AB1670" s="231">
        <v>-9280</v>
      </c>
      <c r="AC1670" s="232">
        <f t="shared" si="877"/>
        <v>-0.32999999999992724</v>
      </c>
      <c r="AD1670" s="233">
        <f t="shared" si="878"/>
        <v>-1</v>
      </c>
      <c r="AE1670" s="234">
        <f t="shared" si="879"/>
        <v>3.2079999999999999E-3</v>
      </c>
      <c r="AF1670" s="229"/>
      <c r="AG1670" s="235" t="s">
        <v>416</v>
      </c>
      <c r="AH1670" s="124"/>
    </row>
    <row r="1671" spans="1:34" ht="12" hidden="1" customHeight="1">
      <c r="A1671" s="155">
        <v>44832</v>
      </c>
      <c r="B1671" s="221" t="s">
        <v>852</v>
      </c>
      <c r="C1671" s="7" t="s">
        <v>485</v>
      </c>
      <c r="D1671" s="221" t="str">
        <f t="shared" ca="1" si="863"/>
        <v>Indices</v>
      </c>
      <c r="E1671" s="221" t="str">
        <f ca="1">IFERROR(__xludf.DUMMYFUNCTION("split(B1671,"" "")"),"NIFTY")</f>
        <v>NIFTY</v>
      </c>
      <c r="F1671" s="221" t="str">
        <f ca="1">IFERROR(__xludf.DUMMYFUNCTION("""COMPUTED_VALUE"""),"29!SEP")</f>
        <v>29!SEP</v>
      </c>
      <c r="G1671" s="221">
        <f ca="1">IFERROR(__xludf.DUMMYFUNCTION("""COMPUTED_VALUE"""),17500)</f>
        <v>17500</v>
      </c>
      <c r="H1671" s="221" t="str">
        <f ca="1">IFERROR(__xludf.DUMMYFUNCTION("""COMPUTED_VALUE"""),"CE")</f>
        <v>CE</v>
      </c>
      <c r="I1671" s="221" t="s">
        <v>4</v>
      </c>
      <c r="J1671" s="223">
        <v>50</v>
      </c>
      <c r="K1671" s="224">
        <v>1</v>
      </c>
      <c r="L1671" s="224">
        <v>1</v>
      </c>
      <c r="M1671" s="225">
        <f t="shared" si="864"/>
        <v>50</v>
      </c>
      <c r="N1671" s="226">
        <v>0</v>
      </c>
      <c r="O1671" s="227">
        <v>3.6</v>
      </c>
      <c r="P1671" s="228">
        <f t="shared" si="865"/>
        <v>0</v>
      </c>
      <c r="Q1671" s="228">
        <f t="shared" si="866"/>
        <v>180</v>
      </c>
      <c r="R1671" s="229">
        <f t="shared" si="867"/>
        <v>180</v>
      </c>
      <c r="S1671" s="229">
        <f t="shared" si="868"/>
        <v>180</v>
      </c>
      <c r="T1671" s="229">
        <f t="shared" si="880"/>
        <v>20</v>
      </c>
      <c r="U1671" s="229">
        <f t="shared" si="870"/>
        <v>3.62</v>
      </c>
      <c r="V1671" s="229">
        <f t="shared" si="871"/>
        <v>0.09</v>
      </c>
      <c r="W1671" s="229">
        <f t="shared" si="872"/>
        <v>0</v>
      </c>
      <c r="X1671" s="229">
        <f t="shared" si="873"/>
        <v>0.1</v>
      </c>
      <c r="Y1671" s="229">
        <f t="shared" si="874"/>
        <v>0</v>
      </c>
      <c r="Z1671" s="229">
        <f t="shared" si="875"/>
        <v>23.810000000000002</v>
      </c>
      <c r="AA1671" s="230">
        <f t="shared" si="876"/>
        <v>156.19</v>
      </c>
      <c r="AB1671" s="231">
        <v>156</v>
      </c>
      <c r="AC1671" s="232">
        <f t="shared" si="877"/>
        <v>-0.18999999999999773</v>
      </c>
      <c r="AD1671" s="233">
        <f t="shared" si="878"/>
        <v>0</v>
      </c>
      <c r="AE1671" s="234">
        <f t="shared" si="879"/>
        <v>0.13227800000000001</v>
      </c>
      <c r="AF1671" s="229"/>
      <c r="AG1671" s="235" t="s">
        <v>416</v>
      </c>
      <c r="AH1671" s="124"/>
    </row>
    <row r="1672" spans="1:34" ht="12" hidden="1" customHeight="1">
      <c r="A1672" s="220">
        <v>44830</v>
      </c>
      <c r="B1672" s="221" t="s">
        <v>853</v>
      </c>
      <c r="C1672" s="7" t="s">
        <v>485</v>
      </c>
      <c r="D1672" s="221" t="str">
        <f t="shared" ca="1" si="863"/>
        <v>Indices</v>
      </c>
      <c r="E1672" s="221" t="str">
        <f ca="1">IFERROR(__xludf.DUMMYFUNCTION("split(B1672,"" "")"),"NIFTY")</f>
        <v>NIFTY</v>
      </c>
      <c r="F1672" s="221" t="str">
        <f ca="1">IFERROR(__xludf.DUMMYFUNCTION("""COMPUTED_VALUE"""),"29!SEP")</f>
        <v>29!SEP</v>
      </c>
      <c r="G1672" s="221">
        <f ca="1">IFERROR(__xludf.DUMMYFUNCTION("""COMPUTED_VALUE"""),17200)</f>
        <v>17200</v>
      </c>
      <c r="H1672" s="221" t="str">
        <f ca="1">IFERROR(__xludf.DUMMYFUNCTION("""COMPUTED_VALUE"""),"CE")</f>
        <v>CE</v>
      </c>
      <c r="I1672" s="221" t="s">
        <v>4</v>
      </c>
      <c r="J1672" s="223">
        <v>50</v>
      </c>
      <c r="K1672" s="224">
        <v>1</v>
      </c>
      <c r="L1672" s="224">
        <v>4</v>
      </c>
      <c r="M1672" s="225">
        <f t="shared" si="864"/>
        <v>200</v>
      </c>
      <c r="N1672" s="226">
        <v>93.95</v>
      </c>
      <c r="O1672" s="227">
        <v>101</v>
      </c>
      <c r="P1672" s="228">
        <f t="shared" si="865"/>
        <v>18790</v>
      </c>
      <c r="Q1672" s="228">
        <f t="shared" si="866"/>
        <v>20200</v>
      </c>
      <c r="R1672" s="229">
        <f t="shared" si="867"/>
        <v>38990</v>
      </c>
      <c r="S1672" s="229">
        <f t="shared" si="868"/>
        <v>1409.9999999999995</v>
      </c>
      <c r="T1672" s="229">
        <f t="shared" si="880"/>
        <v>160</v>
      </c>
      <c r="U1672" s="229">
        <f t="shared" si="870"/>
        <v>32.520000000000003</v>
      </c>
      <c r="V1672" s="229">
        <f t="shared" si="871"/>
        <v>10.1</v>
      </c>
      <c r="W1672" s="229">
        <f t="shared" si="872"/>
        <v>0.56000000000000005</v>
      </c>
      <c r="X1672" s="229">
        <f t="shared" si="873"/>
        <v>20.66</v>
      </c>
      <c r="Y1672" s="229">
        <f t="shared" si="874"/>
        <v>0.04</v>
      </c>
      <c r="Z1672" s="229">
        <f t="shared" si="875"/>
        <v>223.88</v>
      </c>
      <c r="AA1672" s="230">
        <f t="shared" si="876"/>
        <v>1186.1199999999999</v>
      </c>
      <c r="AB1672" s="231">
        <v>1186.3499999999999</v>
      </c>
      <c r="AC1672" s="232">
        <f t="shared" si="877"/>
        <v>0.23000000000001819</v>
      </c>
      <c r="AD1672" s="233">
        <f t="shared" si="878"/>
        <v>7.503991484832355E-2</v>
      </c>
      <c r="AE1672" s="234">
        <f t="shared" si="879"/>
        <v>5.7419999999999997E-3</v>
      </c>
      <c r="AF1672" s="229"/>
      <c r="AG1672" s="235" t="s">
        <v>416</v>
      </c>
      <c r="AH1672" s="124"/>
    </row>
    <row r="1673" spans="1:34" ht="12" hidden="1" customHeight="1">
      <c r="A1673" s="154">
        <v>44830</v>
      </c>
      <c r="B1673" s="221" t="s">
        <v>853</v>
      </c>
      <c r="C1673" s="7" t="s">
        <v>485</v>
      </c>
      <c r="D1673" s="221" t="str">
        <f t="shared" ca="1" si="863"/>
        <v>Indices</v>
      </c>
      <c r="E1673" s="221" t="str">
        <f ca="1">IFERROR(__xludf.DUMMYFUNCTION("split(B1673,"" "")"),"NIFTY")</f>
        <v>NIFTY</v>
      </c>
      <c r="F1673" s="221" t="str">
        <f ca="1">IFERROR(__xludf.DUMMYFUNCTION("""COMPUTED_VALUE"""),"29!SEP")</f>
        <v>29!SEP</v>
      </c>
      <c r="G1673" s="221">
        <f ca="1">IFERROR(__xludf.DUMMYFUNCTION("""COMPUTED_VALUE"""),17200)</f>
        <v>17200</v>
      </c>
      <c r="H1673" s="221" t="str">
        <f ca="1">IFERROR(__xludf.DUMMYFUNCTION("""COMPUTED_VALUE"""),"CE")</f>
        <v>CE</v>
      </c>
      <c r="I1673" s="221" t="s">
        <v>4</v>
      </c>
      <c r="J1673" s="223">
        <v>50</v>
      </c>
      <c r="K1673" s="224">
        <v>1</v>
      </c>
      <c r="L1673" s="224">
        <v>1</v>
      </c>
      <c r="M1673" s="225">
        <f t="shared" si="864"/>
        <v>50</v>
      </c>
      <c r="N1673" s="226">
        <v>90</v>
      </c>
      <c r="O1673" s="227">
        <v>0</v>
      </c>
      <c r="P1673" s="228">
        <f t="shared" si="865"/>
        <v>4500</v>
      </c>
      <c r="Q1673" s="228">
        <f t="shared" si="866"/>
        <v>0</v>
      </c>
      <c r="R1673" s="229">
        <f t="shared" si="867"/>
        <v>4500</v>
      </c>
      <c r="S1673" s="229">
        <f t="shared" si="868"/>
        <v>-4500</v>
      </c>
      <c r="T1673" s="229">
        <f t="shared" si="880"/>
        <v>20</v>
      </c>
      <c r="U1673" s="229">
        <f t="shared" si="870"/>
        <v>4.03</v>
      </c>
      <c r="V1673" s="229">
        <f t="shared" si="871"/>
        <v>0</v>
      </c>
      <c r="W1673" s="229">
        <f t="shared" si="872"/>
        <v>0.14000000000000001</v>
      </c>
      <c r="X1673" s="229">
        <f t="shared" si="873"/>
        <v>2.39</v>
      </c>
      <c r="Y1673" s="229">
        <f t="shared" si="874"/>
        <v>0</v>
      </c>
      <c r="Z1673" s="229">
        <f t="shared" si="875"/>
        <v>26.560000000000002</v>
      </c>
      <c r="AA1673" s="230">
        <f t="shared" si="876"/>
        <v>-4526.5600000000004</v>
      </c>
      <c r="AB1673" s="231">
        <v>-4527</v>
      </c>
      <c r="AC1673" s="232">
        <f t="shared" si="877"/>
        <v>-0.43999999999959982</v>
      </c>
      <c r="AD1673" s="233">
        <f t="shared" si="878"/>
        <v>-1</v>
      </c>
      <c r="AE1673" s="234">
        <f t="shared" si="879"/>
        <v>5.9020000000000001E-3</v>
      </c>
      <c r="AF1673" s="229"/>
      <c r="AG1673" s="235" t="s">
        <v>416</v>
      </c>
      <c r="AH1673" s="124"/>
    </row>
    <row r="1674" spans="1:34" ht="12" hidden="1" customHeight="1">
      <c r="A1674" s="155">
        <v>44831</v>
      </c>
      <c r="B1674" s="221" t="s">
        <v>853</v>
      </c>
      <c r="C1674" s="7" t="s">
        <v>485</v>
      </c>
      <c r="D1674" s="221" t="str">
        <f t="shared" ca="1" si="863"/>
        <v>Indices</v>
      </c>
      <c r="E1674" s="221" t="str">
        <f ca="1">IFERROR(__xludf.DUMMYFUNCTION("split(B1674,"" "")"),"NIFTY")</f>
        <v>NIFTY</v>
      </c>
      <c r="F1674" s="221" t="str">
        <f ca="1">IFERROR(__xludf.DUMMYFUNCTION("""COMPUTED_VALUE"""),"29!SEP")</f>
        <v>29!SEP</v>
      </c>
      <c r="G1674" s="221">
        <f ca="1">IFERROR(__xludf.DUMMYFUNCTION("""COMPUTED_VALUE"""),17200)</f>
        <v>17200</v>
      </c>
      <c r="H1674" s="221" t="str">
        <f ca="1">IFERROR(__xludf.DUMMYFUNCTION("""COMPUTED_VALUE"""),"CE")</f>
        <v>CE</v>
      </c>
      <c r="I1674" s="221" t="s">
        <v>4</v>
      </c>
      <c r="J1674" s="223">
        <v>50</v>
      </c>
      <c r="K1674" s="224">
        <v>1</v>
      </c>
      <c r="L1674" s="224">
        <v>1</v>
      </c>
      <c r="M1674" s="225">
        <f t="shared" si="864"/>
        <v>50</v>
      </c>
      <c r="N1674" s="226">
        <v>0</v>
      </c>
      <c r="O1674" s="227">
        <v>104</v>
      </c>
      <c r="P1674" s="228">
        <f t="shared" si="865"/>
        <v>0</v>
      </c>
      <c r="Q1674" s="228">
        <f t="shared" si="866"/>
        <v>5200</v>
      </c>
      <c r="R1674" s="229">
        <f t="shared" si="867"/>
        <v>5200</v>
      </c>
      <c r="S1674" s="229">
        <f t="shared" si="868"/>
        <v>5200</v>
      </c>
      <c r="T1674" s="229">
        <f t="shared" si="880"/>
        <v>20</v>
      </c>
      <c r="U1674" s="229">
        <f t="shared" si="870"/>
        <v>4.0999999999999996</v>
      </c>
      <c r="V1674" s="229">
        <f t="shared" si="871"/>
        <v>2.6</v>
      </c>
      <c r="W1674" s="229">
        <f t="shared" si="872"/>
        <v>0</v>
      </c>
      <c r="X1674" s="229">
        <f t="shared" si="873"/>
        <v>2.76</v>
      </c>
      <c r="Y1674" s="229">
        <f t="shared" si="874"/>
        <v>0.01</v>
      </c>
      <c r="Z1674" s="229">
        <f t="shared" si="875"/>
        <v>29.470000000000002</v>
      </c>
      <c r="AA1674" s="230">
        <f t="shared" si="876"/>
        <v>5170.53</v>
      </c>
      <c r="AB1674" s="231">
        <v>5170.6000000000004</v>
      </c>
      <c r="AC1674" s="232">
        <f t="shared" si="877"/>
        <v>7.0000000000618456E-2</v>
      </c>
      <c r="AD1674" s="233">
        <f t="shared" si="878"/>
        <v>0</v>
      </c>
      <c r="AE1674" s="234">
        <f t="shared" si="879"/>
        <v>5.6670000000000002E-3</v>
      </c>
      <c r="AF1674" s="229"/>
      <c r="AG1674" s="235" t="s">
        <v>416</v>
      </c>
      <c r="AH1674" s="124"/>
    </row>
    <row r="1675" spans="1:34" ht="12" hidden="1" customHeight="1">
      <c r="A1675" s="154">
        <v>44831</v>
      </c>
      <c r="B1675" s="221" t="s">
        <v>853</v>
      </c>
      <c r="C1675" s="7" t="s">
        <v>485</v>
      </c>
      <c r="D1675" s="221" t="str">
        <f t="shared" ca="1" si="863"/>
        <v>Indices</v>
      </c>
      <c r="E1675" s="221" t="str">
        <f ca="1">IFERROR(__xludf.DUMMYFUNCTION("split(B1675,"" "")"),"NIFTY")</f>
        <v>NIFTY</v>
      </c>
      <c r="F1675" s="221" t="str">
        <f ca="1">IFERROR(__xludf.DUMMYFUNCTION("""COMPUTED_VALUE"""),"29!SEP")</f>
        <v>29!SEP</v>
      </c>
      <c r="G1675" s="221">
        <f ca="1">IFERROR(__xludf.DUMMYFUNCTION("""COMPUTED_VALUE"""),17200)</f>
        <v>17200</v>
      </c>
      <c r="H1675" s="221" t="str">
        <f ca="1">IFERROR(__xludf.DUMMYFUNCTION("""COMPUTED_VALUE"""),"CE")</f>
        <v>CE</v>
      </c>
      <c r="I1675" s="221" t="s">
        <v>4</v>
      </c>
      <c r="J1675" s="223">
        <v>50</v>
      </c>
      <c r="K1675" s="224">
        <v>1</v>
      </c>
      <c r="L1675" s="224">
        <v>3</v>
      </c>
      <c r="M1675" s="225">
        <f t="shared" si="864"/>
        <v>150</v>
      </c>
      <c r="N1675" s="226">
        <v>86</v>
      </c>
      <c r="O1675" s="227">
        <v>0</v>
      </c>
      <c r="P1675" s="228">
        <f t="shared" si="865"/>
        <v>12900</v>
      </c>
      <c r="Q1675" s="228">
        <f t="shared" si="866"/>
        <v>0</v>
      </c>
      <c r="R1675" s="229">
        <f t="shared" si="867"/>
        <v>12900</v>
      </c>
      <c r="S1675" s="229">
        <f t="shared" si="868"/>
        <v>-12900</v>
      </c>
      <c r="T1675" s="229">
        <f t="shared" si="880"/>
        <v>60</v>
      </c>
      <c r="U1675" s="229">
        <f t="shared" si="870"/>
        <v>12.03</v>
      </c>
      <c r="V1675" s="229">
        <f t="shared" si="871"/>
        <v>0</v>
      </c>
      <c r="W1675" s="229">
        <f t="shared" si="872"/>
        <v>0.39</v>
      </c>
      <c r="X1675" s="229">
        <f t="shared" si="873"/>
        <v>6.84</v>
      </c>
      <c r="Y1675" s="229">
        <f t="shared" si="874"/>
        <v>0.01</v>
      </c>
      <c r="Z1675" s="229">
        <f t="shared" si="875"/>
        <v>79.27000000000001</v>
      </c>
      <c r="AA1675" s="230">
        <f t="shared" si="876"/>
        <v>-12979.27</v>
      </c>
      <c r="AB1675" s="231">
        <v>-12979</v>
      </c>
      <c r="AC1675" s="232">
        <f t="shared" si="877"/>
        <v>0.27000000000043656</v>
      </c>
      <c r="AD1675" s="233">
        <f t="shared" si="878"/>
        <v>-1</v>
      </c>
      <c r="AE1675" s="234">
        <f t="shared" si="879"/>
        <v>6.1450000000000003E-3</v>
      </c>
      <c r="AF1675" s="229"/>
      <c r="AG1675" s="235" t="s">
        <v>416</v>
      </c>
      <c r="AH1675" s="124"/>
    </row>
    <row r="1676" spans="1:34" ht="12" hidden="1" customHeight="1">
      <c r="A1676" s="155">
        <v>44832</v>
      </c>
      <c r="B1676" s="221" t="s">
        <v>853</v>
      </c>
      <c r="C1676" s="7" t="s">
        <v>485</v>
      </c>
      <c r="D1676" s="221" t="str">
        <f t="shared" ca="1" si="863"/>
        <v>Indices</v>
      </c>
      <c r="E1676" s="221" t="str">
        <f ca="1">IFERROR(__xludf.DUMMYFUNCTION("split(B1676,"" "")"),"NIFTY")</f>
        <v>NIFTY</v>
      </c>
      <c r="F1676" s="221" t="str">
        <f ca="1">IFERROR(__xludf.DUMMYFUNCTION("""COMPUTED_VALUE"""),"29!SEP")</f>
        <v>29!SEP</v>
      </c>
      <c r="G1676" s="221">
        <f ca="1">IFERROR(__xludf.DUMMYFUNCTION("""COMPUTED_VALUE"""),17200)</f>
        <v>17200</v>
      </c>
      <c r="H1676" s="221" t="str">
        <f ca="1">IFERROR(__xludf.DUMMYFUNCTION("""COMPUTED_VALUE"""),"CE")</f>
        <v>CE</v>
      </c>
      <c r="I1676" s="221" t="s">
        <v>4</v>
      </c>
      <c r="J1676" s="223">
        <v>50</v>
      </c>
      <c r="K1676" s="224">
        <v>3</v>
      </c>
      <c r="L1676" s="224">
        <v>1</v>
      </c>
      <c r="M1676" s="225">
        <f t="shared" si="864"/>
        <v>150</v>
      </c>
      <c r="N1676" s="226">
        <v>0</v>
      </c>
      <c r="O1676" s="227">
        <v>15</v>
      </c>
      <c r="P1676" s="228">
        <f t="shared" si="865"/>
        <v>0</v>
      </c>
      <c r="Q1676" s="228">
        <f t="shared" si="866"/>
        <v>2250</v>
      </c>
      <c r="R1676" s="229">
        <f t="shared" si="867"/>
        <v>2250</v>
      </c>
      <c r="S1676" s="229">
        <f t="shared" si="868"/>
        <v>2250</v>
      </c>
      <c r="T1676" s="229">
        <f t="shared" si="880"/>
        <v>20</v>
      </c>
      <c r="U1676" s="229">
        <f t="shared" si="870"/>
        <v>3.81</v>
      </c>
      <c r="V1676" s="229">
        <f t="shared" si="871"/>
        <v>1.1299999999999999</v>
      </c>
      <c r="W1676" s="229">
        <f t="shared" si="872"/>
        <v>0</v>
      </c>
      <c r="X1676" s="229">
        <f t="shared" si="873"/>
        <v>1.19</v>
      </c>
      <c r="Y1676" s="229">
        <f t="shared" si="874"/>
        <v>0</v>
      </c>
      <c r="Z1676" s="229">
        <f t="shared" si="875"/>
        <v>26.13</v>
      </c>
      <c r="AA1676" s="230">
        <f t="shared" si="876"/>
        <v>2223.87</v>
      </c>
      <c r="AB1676" s="231">
        <v>2224.2800000000002</v>
      </c>
      <c r="AC1676" s="232">
        <f t="shared" si="877"/>
        <v>0.41000000000030923</v>
      </c>
      <c r="AD1676" s="233">
        <f t="shared" si="878"/>
        <v>0</v>
      </c>
      <c r="AE1676" s="234">
        <f t="shared" si="879"/>
        <v>1.1613E-2</v>
      </c>
      <c r="AF1676" s="229"/>
      <c r="AG1676" s="235" t="s">
        <v>416</v>
      </c>
      <c r="AH1676" s="124"/>
    </row>
    <row r="1677" spans="1:34" ht="12" hidden="1" customHeight="1">
      <c r="A1677" s="220">
        <v>44867</v>
      </c>
      <c r="B1677" s="221" t="s">
        <v>854</v>
      </c>
      <c r="C1677" s="7" t="s">
        <v>485</v>
      </c>
      <c r="D1677" s="221" t="str">
        <f t="shared" ca="1" si="863"/>
        <v>Stocks</v>
      </c>
      <c r="E1677" s="221" t="str">
        <f ca="1">IFERROR(__xludf.DUMMYFUNCTION("split(B1677,"" "")"),"SUNPHARMA")</f>
        <v>SUNPHARMA</v>
      </c>
      <c r="F1677" s="221" t="str">
        <f ca="1">IFERROR(__xludf.DUMMYFUNCTION("""COMPUTED_VALUE"""),"24!NOV")</f>
        <v>24!NOV</v>
      </c>
      <c r="G1677" s="221">
        <f ca="1">IFERROR(__xludf.DUMMYFUNCTION("""COMPUTED_VALUE"""),1030)</f>
        <v>1030</v>
      </c>
      <c r="H1677" s="221" t="str">
        <f ca="1">IFERROR(__xludf.DUMMYFUNCTION("""COMPUTED_VALUE"""),"CE")</f>
        <v>CE</v>
      </c>
      <c r="I1677" s="221" t="s">
        <v>4</v>
      </c>
      <c r="J1677" s="223">
        <v>700</v>
      </c>
      <c r="K1677" s="224">
        <v>1</v>
      </c>
      <c r="L1677" s="224">
        <v>1</v>
      </c>
      <c r="M1677" s="225">
        <f t="shared" si="864"/>
        <v>700</v>
      </c>
      <c r="N1677" s="226">
        <v>28</v>
      </c>
      <c r="O1677" s="227">
        <v>35</v>
      </c>
      <c r="P1677" s="228">
        <f t="shared" si="865"/>
        <v>19600</v>
      </c>
      <c r="Q1677" s="228">
        <f t="shared" si="866"/>
        <v>24500</v>
      </c>
      <c r="R1677" s="229">
        <f t="shared" si="867"/>
        <v>44100</v>
      </c>
      <c r="S1677" s="229">
        <f t="shared" si="868"/>
        <v>4900</v>
      </c>
      <c r="T1677" s="229">
        <f t="shared" si="880"/>
        <v>40</v>
      </c>
      <c r="U1677" s="229">
        <f t="shared" si="870"/>
        <v>11.41</v>
      </c>
      <c r="V1677" s="229">
        <f t="shared" si="871"/>
        <v>12.25</v>
      </c>
      <c r="W1677" s="229">
        <f t="shared" si="872"/>
        <v>0.59</v>
      </c>
      <c r="X1677" s="229">
        <f t="shared" si="873"/>
        <v>23.37</v>
      </c>
      <c r="Y1677" s="229">
        <f t="shared" si="874"/>
        <v>0.04</v>
      </c>
      <c r="Z1677" s="229">
        <f t="shared" si="875"/>
        <v>87.660000000000011</v>
      </c>
      <c r="AA1677" s="230">
        <f t="shared" si="876"/>
        <v>4812.34</v>
      </c>
      <c r="AB1677" s="231">
        <v>4812.17</v>
      </c>
      <c r="AC1677" s="232">
        <f t="shared" si="877"/>
        <v>-0.17000000000007276</v>
      </c>
      <c r="AD1677" s="233">
        <f t="shared" si="878"/>
        <v>0.25</v>
      </c>
      <c r="AE1677" s="234">
        <f t="shared" si="879"/>
        <v>1.9880000000000002E-3</v>
      </c>
      <c r="AF1677" s="229"/>
      <c r="AG1677" s="235" t="s">
        <v>416</v>
      </c>
      <c r="AH1677" s="124"/>
    </row>
    <row r="1678" spans="1:34" ht="12" hidden="1" customHeight="1">
      <c r="A1678" s="220">
        <v>44868</v>
      </c>
      <c r="B1678" s="221" t="s">
        <v>855</v>
      </c>
      <c r="C1678" s="7" t="s">
        <v>485</v>
      </c>
      <c r="D1678" s="221" t="str">
        <f t="shared" ca="1" si="863"/>
        <v>Stocks</v>
      </c>
      <c r="E1678" s="221" t="str">
        <f ca="1">IFERROR(__xludf.DUMMYFUNCTION("split(B1678,"" "")"),"BATAINDIA")</f>
        <v>BATAINDIA</v>
      </c>
      <c r="F1678" s="221" t="str">
        <f ca="1">IFERROR(__xludf.DUMMYFUNCTION("""COMPUTED_VALUE"""),"24!NOV")</f>
        <v>24!NOV</v>
      </c>
      <c r="G1678" s="221">
        <f ca="1">IFERROR(__xludf.DUMMYFUNCTION("""COMPUTED_VALUE"""),1860)</f>
        <v>1860</v>
      </c>
      <c r="H1678" s="221" t="str">
        <f ca="1">IFERROR(__xludf.DUMMYFUNCTION("""COMPUTED_VALUE"""),"PE")</f>
        <v>PE</v>
      </c>
      <c r="I1678" s="221" t="s">
        <v>4</v>
      </c>
      <c r="J1678" s="223">
        <v>275</v>
      </c>
      <c r="K1678" s="224">
        <v>1</v>
      </c>
      <c r="L1678" s="224">
        <v>1</v>
      </c>
      <c r="M1678" s="225">
        <f t="shared" si="864"/>
        <v>275</v>
      </c>
      <c r="N1678" s="226">
        <v>57.35</v>
      </c>
      <c r="O1678" s="227">
        <v>50.4</v>
      </c>
      <c r="P1678" s="228">
        <f t="shared" si="865"/>
        <v>15771.25</v>
      </c>
      <c r="Q1678" s="228">
        <f t="shared" si="866"/>
        <v>13860</v>
      </c>
      <c r="R1678" s="229">
        <f t="shared" si="867"/>
        <v>29631.25</v>
      </c>
      <c r="S1678" s="229">
        <f t="shared" si="868"/>
        <v>-1911.2500000000007</v>
      </c>
      <c r="T1678" s="229">
        <f t="shared" si="880"/>
        <v>40</v>
      </c>
      <c r="U1678" s="229">
        <f t="shared" si="870"/>
        <v>10.029999999999999</v>
      </c>
      <c r="V1678" s="229">
        <f t="shared" si="871"/>
        <v>6.93</v>
      </c>
      <c r="W1678" s="229">
        <f t="shared" si="872"/>
        <v>0.47</v>
      </c>
      <c r="X1678" s="229">
        <f t="shared" si="873"/>
        <v>15.7</v>
      </c>
      <c r="Y1678" s="229">
        <f t="shared" si="874"/>
        <v>0.03</v>
      </c>
      <c r="Z1678" s="229">
        <f t="shared" si="875"/>
        <v>73.16</v>
      </c>
      <c r="AA1678" s="230">
        <f t="shared" si="876"/>
        <v>-1984.41</v>
      </c>
      <c r="AB1678" s="231">
        <v>-1984</v>
      </c>
      <c r="AC1678" s="232">
        <f t="shared" si="877"/>
        <v>0.41000000000008185</v>
      </c>
      <c r="AD1678" s="233">
        <f t="shared" si="878"/>
        <v>-0.12118570183086316</v>
      </c>
      <c r="AE1678" s="234">
        <f t="shared" si="879"/>
        <v>2.4689999999999998E-3</v>
      </c>
      <c r="AF1678" s="229"/>
      <c r="AG1678" s="235" t="s">
        <v>416</v>
      </c>
      <c r="AH1678" s="124"/>
    </row>
    <row r="1679" spans="1:34" ht="12" hidden="1" customHeight="1">
      <c r="A1679" s="220">
        <v>44868</v>
      </c>
      <c r="B1679" s="221" t="s">
        <v>856</v>
      </c>
      <c r="C1679" s="7" t="s">
        <v>485</v>
      </c>
      <c r="D1679" s="221" t="str">
        <f t="shared" ca="1" si="863"/>
        <v>Stocks</v>
      </c>
      <c r="E1679" s="221" t="str">
        <f ca="1">IFERROR(__xludf.DUMMYFUNCTION("split(B1679,"" "")"),"VEDL")</f>
        <v>VEDL</v>
      </c>
      <c r="F1679" s="221" t="str">
        <f ca="1">IFERROR(__xludf.DUMMYFUNCTION("""COMPUTED_VALUE"""),"24!NOV")</f>
        <v>24!NOV</v>
      </c>
      <c r="G1679" s="221">
        <f ca="1">IFERROR(__xludf.DUMMYFUNCTION("""COMPUTED_VALUE"""),300)</f>
        <v>300</v>
      </c>
      <c r="H1679" s="221" t="str">
        <f ca="1">IFERROR(__xludf.DUMMYFUNCTION("""COMPUTED_VALUE"""),"PE")</f>
        <v>PE</v>
      </c>
      <c r="I1679" s="221" t="s">
        <v>4</v>
      </c>
      <c r="J1679" s="223">
        <v>1550</v>
      </c>
      <c r="K1679" s="224">
        <v>1</v>
      </c>
      <c r="L1679" s="224">
        <v>1</v>
      </c>
      <c r="M1679" s="225">
        <f t="shared" si="864"/>
        <v>1550</v>
      </c>
      <c r="N1679" s="226">
        <v>11.1</v>
      </c>
      <c r="O1679" s="227">
        <v>9.4499999999999993</v>
      </c>
      <c r="P1679" s="228">
        <f t="shared" si="865"/>
        <v>17205</v>
      </c>
      <c r="Q1679" s="228">
        <f t="shared" si="866"/>
        <v>14647.5</v>
      </c>
      <c r="R1679" s="229">
        <f t="shared" si="867"/>
        <v>31852.5</v>
      </c>
      <c r="S1679" s="229">
        <f t="shared" si="868"/>
        <v>-2557.5000000000005</v>
      </c>
      <c r="T1679" s="229">
        <f t="shared" si="880"/>
        <v>40</v>
      </c>
      <c r="U1679" s="229">
        <f t="shared" si="870"/>
        <v>10.24</v>
      </c>
      <c r="V1679" s="229">
        <f t="shared" si="871"/>
        <v>7.32</v>
      </c>
      <c r="W1679" s="229">
        <f t="shared" si="872"/>
        <v>0.52</v>
      </c>
      <c r="X1679" s="229">
        <f t="shared" si="873"/>
        <v>16.88</v>
      </c>
      <c r="Y1679" s="229">
        <f t="shared" si="874"/>
        <v>0.03</v>
      </c>
      <c r="Z1679" s="229">
        <f t="shared" si="875"/>
        <v>74.990000000000009</v>
      </c>
      <c r="AA1679" s="230">
        <f t="shared" si="876"/>
        <v>-2632.49</v>
      </c>
      <c r="AB1679" s="231">
        <v>-2632.67</v>
      </c>
      <c r="AC1679" s="232">
        <f t="shared" si="877"/>
        <v>-0.18000000000029104</v>
      </c>
      <c r="AD1679" s="233">
        <f t="shared" si="878"/>
        <v>-0.14864864864864868</v>
      </c>
      <c r="AE1679" s="234">
        <f t="shared" si="879"/>
        <v>2.3540000000000002E-3</v>
      </c>
      <c r="AF1679" s="229"/>
      <c r="AG1679" s="235" t="s">
        <v>416</v>
      </c>
      <c r="AH1679" s="124"/>
    </row>
    <row r="1680" spans="1:34" ht="12" hidden="1" customHeight="1">
      <c r="A1680" s="220">
        <v>44869</v>
      </c>
      <c r="B1680" s="221" t="s">
        <v>857</v>
      </c>
      <c r="C1680" s="7" t="s">
        <v>485</v>
      </c>
      <c r="D1680" s="221" t="str">
        <f t="shared" ca="1" si="863"/>
        <v>Stocks</v>
      </c>
      <c r="E1680" s="221" t="str">
        <f ca="1">IFERROR(__xludf.DUMMYFUNCTION("split(B1680,"" "")"),"FEDERALBNK")</f>
        <v>FEDERALBNK</v>
      </c>
      <c r="F1680" s="221" t="str">
        <f ca="1">IFERROR(__xludf.DUMMYFUNCTION("""COMPUTED_VALUE"""),"24!NOV")</f>
        <v>24!NOV</v>
      </c>
      <c r="G1680" s="221">
        <f ca="1">IFERROR(__xludf.DUMMYFUNCTION("""COMPUTED_VALUE"""),137)</f>
        <v>137</v>
      </c>
      <c r="H1680" s="221" t="str">
        <f ca="1">IFERROR(__xludf.DUMMYFUNCTION("""COMPUTED_VALUE"""),"CE")</f>
        <v>CE</v>
      </c>
      <c r="I1680" s="221" t="s">
        <v>4</v>
      </c>
      <c r="J1680" s="223">
        <v>5000</v>
      </c>
      <c r="K1680" s="224">
        <v>1</v>
      </c>
      <c r="L1680" s="224">
        <v>1</v>
      </c>
      <c r="M1680" s="225">
        <f t="shared" si="864"/>
        <v>5000</v>
      </c>
      <c r="N1680" s="226">
        <v>4.6500000000000004</v>
      </c>
      <c r="O1680" s="227">
        <v>3.75</v>
      </c>
      <c r="P1680" s="228">
        <f t="shared" si="865"/>
        <v>23250</v>
      </c>
      <c r="Q1680" s="228">
        <f t="shared" si="866"/>
        <v>18750</v>
      </c>
      <c r="R1680" s="229">
        <f t="shared" si="867"/>
        <v>42000</v>
      </c>
      <c r="S1680" s="229">
        <f t="shared" si="868"/>
        <v>-4500.0000000000018</v>
      </c>
      <c r="T1680" s="229">
        <f t="shared" si="880"/>
        <v>40</v>
      </c>
      <c r="U1680" s="229">
        <f t="shared" si="870"/>
        <v>11.21</v>
      </c>
      <c r="V1680" s="229">
        <f t="shared" si="871"/>
        <v>9.3800000000000008</v>
      </c>
      <c r="W1680" s="229">
        <f t="shared" si="872"/>
        <v>0.7</v>
      </c>
      <c r="X1680" s="229">
        <f t="shared" si="873"/>
        <v>22.26</v>
      </c>
      <c r="Y1680" s="229">
        <f t="shared" si="874"/>
        <v>0.04</v>
      </c>
      <c r="Z1680" s="229">
        <f t="shared" si="875"/>
        <v>83.590000000000018</v>
      </c>
      <c r="AA1680" s="230">
        <f t="shared" si="876"/>
        <v>-4583.59</v>
      </c>
      <c r="AB1680" s="231">
        <v>-4583.5200000000004</v>
      </c>
      <c r="AC1680" s="232">
        <f t="shared" si="877"/>
        <v>6.9999999999708962E-2</v>
      </c>
      <c r="AD1680" s="233">
        <f t="shared" si="878"/>
        <v>-0.19354838709677424</v>
      </c>
      <c r="AE1680" s="234">
        <f t="shared" si="879"/>
        <v>1.99E-3</v>
      </c>
      <c r="AF1680" s="229"/>
      <c r="AG1680" s="235" t="s">
        <v>416</v>
      </c>
      <c r="AH1680" s="124"/>
    </row>
    <row r="1681" spans="1:34" ht="12" hidden="1" customHeight="1">
      <c r="A1681" s="220">
        <v>44872</v>
      </c>
      <c r="B1681" s="221" t="s">
        <v>858</v>
      </c>
      <c r="C1681" s="7" t="s">
        <v>485</v>
      </c>
      <c r="D1681" s="221" t="str">
        <f t="shared" ca="1" si="863"/>
        <v>Stocks</v>
      </c>
      <c r="E1681" s="221" t="str">
        <f ca="1">IFERROR(__xludf.DUMMYFUNCTION("split(B1681,"" "")"),"MGL")</f>
        <v>MGL</v>
      </c>
      <c r="F1681" s="221" t="str">
        <f ca="1">IFERROR(__xludf.DUMMYFUNCTION("""COMPUTED_VALUE"""),"24!NOV")</f>
        <v>24!NOV</v>
      </c>
      <c r="G1681" s="221">
        <f ca="1">IFERROR(__xludf.DUMMYFUNCTION("""COMPUTED_VALUE"""),900)</f>
        <v>900</v>
      </c>
      <c r="H1681" s="221" t="str">
        <f ca="1">IFERROR(__xludf.DUMMYFUNCTION("""COMPUTED_VALUE"""),"CE")</f>
        <v>CE</v>
      </c>
      <c r="I1681" s="221" t="s">
        <v>4</v>
      </c>
      <c r="J1681" s="223">
        <v>800</v>
      </c>
      <c r="K1681" s="224">
        <v>1</v>
      </c>
      <c r="L1681" s="224">
        <v>1</v>
      </c>
      <c r="M1681" s="225">
        <f t="shared" si="864"/>
        <v>800</v>
      </c>
      <c r="N1681" s="226">
        <v>22.1</v>
      </c>
      <c r="O1681" s="227">
        <v>17.25</v>
      </c>
      <c r="P1681" s="228">
        <f t="shared" si="865"/>
        <v>17680</v>
      </c>
      <c r="Q1681" s="228">
        <f t="shared" si="866"/>
        <v>13800</v>
      </c>
      <c r="R1681" s="229">
        <f t="shared" si="867"/>
        <v>31480</v>
      </c>
      <c r="S1681" s="229">
        <f t="shared" si="868"/>
        <v>-3880.0000000000009</v>
      </c>
      <c r="T1681" s="229">
        <f t="shared" si="880"/>
        <v>40</v>
      </c>
      <c r="U1681" s="229">
        <f t="shared" si="870"/>
        <v>10.199999999999999</v>
      </c>
      <c r="V1681" s="229">
        <f t="shared" si="871"/>
        <v>6.9</v>
      </c>
      <c r="W1681" s="229">
        <f t="shared" si="872"/>
        <v>0.53</v>
      </c>
      <c r="X1681" s="229">
        <f t="shared" si="873"/>
        <v>16.68</v>
      </c>
      <c r="Y1681" s="229">
        <f t="shared" si="874"/>
        <v>0.03</v>
      </c>
      <c r="Z1681" s="229">
        <f t="shared" si="875"/>
        <v>74.34</v>
      </c>
      <c r="AA1681" s="230">
        <f t="shared" si="876"/>
        <v>-3954.34</v>
      </c>
      <c r="AB1681" s="231">
        <v>-3954.27</v>
      </c>
      <c r="AC1681" s="232">
        <f t="shared" si="877"/>
        <v>7.0000000000163709E-2</v>
      </c>
      <c r="AD1681" s="233">
        <f t="shared" si="878"/>
        <v>-0.21945701357466069</v>
      </c>
      <c r="AE1681" s="234">
        <f t="shared" si="879"/>
        <v>2.3609999999999998E-3</v>
      </c>
      <c r="AF1681" s="229"/>
      <c r="AG1681" s="235" t="s">
        <v>416</v>
      </c>
      <c r="AH1681" s="124"/>
    </row>
    <row r="1682" spans="1:34" ht="12" hidden="1" customHeight="1">
      <c r="A1682" s="220">
        <v>44872</v>
      </c>
      <c r="B1682" s="221" t="s">
        <v>859</v>
      </c>
      <c r="C1682" s="7" t="s">
        <v>485</v>
      </c>
      <c r="D1682" s="221" t="str">
        <f t="shared" ca="1" si="863"/>
        <v>Stocks</v>
      </c>
      <c r="E1682" s="221" t="str">
        <f ca="1">IFERROR(__xludf.DUMMYFUNCTION("split(B1682,"" "")"),"HINDALCO")</f>
        <v>HINDALCO</v>
      </c>
      <c r="F1682" s="221" t="str">
        <f ca="1">IFERROR(__xludf.DUMMYFUNCTION("""COMPUTED_VALUE"""),"24!NOV")</f>
        <v>24!NOV</v>
      </c>
      <c r="G1682" s="221">
        <f ca="1">IFERROR(__xludf.DUMMYFUNCTION("""COMPUTED_VALUE"""),430)</f>
        <v>430</v>
      </c>
      <c r="H1682" s="221" t="str">
        <f ca="1">IFERROR(__xludf.DUMMYFUNCTION("""COMPUTED_VALUE"""),"CE")</f>
        <v>CE</v>
      </c>
      <c r="I1682" s="221" t="s">
        <v>4</v>
      </c>
      <c r="J1682" s="223">
        <v>1075</v>
      </c>
      <c r="K1682" s="224">
        <v>1</v>
      </c>
      <c r="L1682" s="224">
        <v>1</v>
      </c>
      <c r="M1682" s="225">
        <f t="shared" si="864"/>
        <v>1075</v>
      </c>
      <c r="N1682" s="226">
        <v>14.75</v>
      </c>
      <c r="O1682" s="227">
        <v>18.5</v>
      </c>
      <c r="P1682" s="228">
        <f t="shared" si="865"/>
        <v>15856.25</v>
      </c>
      <c r="Q1682" s="228">
        <f t="shared" si="866"/>
        <v>19887.5</v>
      </c>
      <c r="R1682" s="229">
        <f t="shared" si="867"/>
        <v>35743.75</v>
      </c>
      <c r="S1682" s="229">
        <f t="shared" si="868"/>
        <v>4031.25</v>
      </c>
      <c r="T1682" s="229">
        <f t="shared" si="880"/>
        <v>40</v>
      </c>
      <c r="U1682" s="229">
        <f t="shared" si="870"/>
        <v>10.61</v>
      </c>
      <c r="V1682" s="229">
        <f t="shared" si="871"/>
        <v>9.94</v>
      </c>
      <c r="W1682" s="229">
        <f t="shared" si="872"/>
        <v>0.48</v>
      </c>
      <c r="X1682" s="229">
        <f t="shared" si="873"/>
        <v>18.940000000000001</v>
      </c>
      <c r="Y1682" s="229">
        <f t="shared" si="874"/>
        <v>0.04</v>
      </c>
      <c r="Z1682" s="229">
        <f t="shared" si="875"/>
        <v>80.010000000000005</v>
      </c>
      <c r="AA1682" s="230">
        <f t="shared" si="876"/>
        <v>3951.24</v>
      </c>
      <c r="AB1682" s="231">
        <v>3951</v>
      </c>
      <c r="AC1682" s="232">
        <f t="shared" si="877"/>
        <v>-0.23999999999978172</v>
      </c>
      <c r="AD1682" s="233">
        <f t="shared" si="878"/>
        <v>0.25423728813559321</v>
      </c>
      <c r="AE1682" s="234">
        <f t="shared" si="879"/>
        <v>2.238E-3</v>
      </c>
      <c r="AF1682" s="229"/>
      <c r="AG1682" s="235" t="s">
        <v>416</v>
      </c>
      <c r="AH1682" s="124"/>
    </row>
    <row r="1683" spans="1:34" ht="12" hidden="1" customHeight="1">
      <c r="A1683" s="220">
        <v>44874</v>
      </c>
      <c r="B1683" s="221" t="s">
        <v>860</v>
      </c>
      <c r="C1683" s="7" t="s">
        <v>485</v>
      </c>
      <c r="D1683" s="221" t="str">
        <f t="shared" ca="1" si="863"/>
        <v>Stocks</v>
      </c>
      <c r="E1683" s="221" t="str">
        <f ca="1">IFERROR(__xludf.DUMMYFUNCTION("split(B1683,"" "")"),"HEROMOTOCO")</f>
        <v>HEROMOTOCO</v>
      </c>
      <c r="F1683" s="221" t="str">
        <f ca="1">IFERROR(__xludf.DUMMYFUNCTION("""COMPUTED_VALUE"""),"24!NOV")</f>
        <v>24!NOV</v>
      </c>
      <c r="G1683" s="221">
        <f ca="1">IFERROR(__xludf.DUMMYFUNCTION("""COMPUTED_VALUE"""),2600)</f>
        <v>2600</v>
      </c>
      <c r="H1683" s="221" t="str">
        <f ca="1">IFERROR(__xludf.DUMMYFUNCTION("""COMPUTED_VALUE"""),"CE")</f>
        <v>CE</v>
      </c>
      <c r="I1683" s="221" t="s">
        <v>4</v>
      </c>
      <c r="J1683" s="223">
        <v>300</v>
      </c>
      <c r="K1683" s="224">
        <v>1</v>
      </c>
      <c r="L1683" s="224">
        <v>1</v>
      </c>
      <c r="M1683" s="225">
        <f t="shared" si="864"/>
        <v>300</v>
      </c>
      <c r="N1683" s="226">
        <v>62</v>
      </c>
      <c r="O1683" s="227">
        <v>67</v>
      </c>
      <c r="P1683" s="228">
        <f t="shared" si="865"/>
        <v>18600</v>
      </c>
      <c r="Q1683" s="228">
        <f t="shared" si="866"/>
        <v>20100</v>
      </c>
      <c r="R1683" s="229">
        <f t="shared" si="867"/>
        <v>38700</v>
      </c>
      <c r="S1683" s="229">
        <f t="shared" si="868"/>
        <v>1500</v>
      </c>
      <c r="T1683" s="229">
        <f t="shared" si="880"/>
        <v>40</v>
      </c>
      <c r="U1683" s="229">
        <f t="shared" si="870"/>
        <v>10.89</v>
      </c>
      <c r="V1683" s="229">
        <f t="shared" si="871"/>
        <v>10.050000000000001</v>
      </c>
      <c r="W1683" s="229">
        <f t="shared" si="872"/>
        <v>0.56000000000000005</v>
      </c>
      <c r="X1683" s="229">
        <f t="shared" si="873"/>
        <v>20.51</v>
      </c>
      <c r="Y1683" s="229">
        <f t="shared" si="874"/>
        <v>0.04</v>
      </c>
      <c r="Z1683" s="229">
        <f t="shared" si="875"/>
        <v>82.050000000000011</v>
      </c>
      <c r="AA1683" s="230">
        <f t="shared" si="876"/>
        <v>1417.95</v>
      </c>
      <c r="AB1683" s="231">
        <v>1417.55</v>
      </c>
      <c r="AC1683" s="232">
        <f t="shared" si="877"/>
        <v>-0.40000000000009095</v>
      </c>
      <c r="AD1683" s="233">
        <f t="shared" si="878"/>
        <v>8.0645161290322578E-2</v>
      </c>
      <c r="AE1683" s="234">
        <f t="shared" si="879"/>
        <v>2.1199999999999999E-3</v>
      </c>
      <c r="AF1683" s="229"/>
      <c r="AG1683" s="235" t="s">
        <v>416</v>
      </c>
      <c r="AH1683" s="124"/>
    </row>
    <row r="1684" spans="1:34" ht="12" hidden="1" customHeight="1">
      <c r="A1684" s="220">
        <v>44875</v>
      </c>
      <c r="B1684" s="221" t="s">
        <v>861</v>
      </c>
      <c r="C1684" s="7" t="s">
        <v>485</v>
      </c>
      <c r="D1684" s="221" t="str">
        <f t="shared" ca="1" si="863"/>
        <v>Stocks</v>
      </c>
      <c r="E1684" s="221" t="str">
        <f ca="1">IFERROR(__xludf.DUMMYFUNCTION("split(B1684,"" "")"),"PIDILITIND")</f>
        <v>PIDILITIND</v>
      </c>
      <c r="F1684" s="221" t="str">
        <f ca="1">IFERROR(__xludf.DUMMYFUNCTION("""COMPUTED_VALUE"""),"24!NOV")</f>
        <v>24!NOV</v>
      </c>
      <c r="G1684" s="221">
        <f ca="1">IFERROR(__xludf.DUMMYFUNCTION("""COMPUTED_VALUE"""),2650)</f>
        <v>2650</v>
      </c>
      <c r="H1684" s="221" t="str">
        <f ca="1">IFERROR(__xludf.DUMMYFUNCTION("""COMPUTED_VALUE"""),"PE")</f>
        <v>PE</v>
      </c>
      <c r="I1684" s="221" t="s">
        <v>4</v>
      </c>
      <c r="J1684" s="223">
        <v>250</v>
      </c>
      <c r="K1684" s="224">
        <v>1</v>
      </c>
      <c r="L1684" s="224">
        <v>1</v>
      </c>
      <c r="M1684" s="225">
        <f t="shared" si="864"/>
        <v>250</v>
      </c>
      <c r="N1684" s="226">
        <v>60</v>
      </c>
      <c r="O1684" s="227">
        <v>69</v>
      </c>
      <c r="P1684" s="228">
        <f t="shared" si="865"/>
        <v>15000</v>
      </c>
      <c r="Q1684" s="228">
        <f t="shared" si="866"/>
        <v>17250</v>
      </c>
      <c r="R1684" s="229">
        <f t="shared" si="867"/>
        <v>32250</v>
      </c>
      <c r="S1684" s="229">
        <f t="shared" si="868"/>
        <v>2250</v>
      </c>
      <c r="T1684" s="229">
        <f t="shared" si="880"/>
        <v>40</v>
      </c>
      <c r="U1684" s="229">
        <f t="shared" si="870"/>
        <v>10.28</v>
      </c>
      <c r="V1684" s="229">
        <f t="shared" si="871"/>
        <v>8.6300000000000008</v>
      </c>
      <c r="W1684" s="229">
        <f t="shared" si="872"/>
        <v>0.45</v>
      </c>
      <c r="X1684" s="229">
        <f t="shared" si="873"/>
        <v>17.09</v>
      </c>
      <c r="Y1684" s="229">
        <f t="shared" si="874"/>
        <v>0.03</v>
      </c>
      <c r="Z1684" s="229">
        <f t="shared" si="875"/>
        <v>76.48</v>
      </c>
      <c r="AA1684" s="230">
        <f t="shared" si="876"/>
        <v>2173.52</v>
      </c>
      <c r="AB1684" s="231">
        <v>2173.59</v>
      </c>
      <c r="AC1684" s="232">
        <f t="shared" si="877"/>
        <v>7.0000000000163709E-2</v>
      </c>
      <c r="AD1684" s="233">
        <f t="shared" si="878"/>
        <v>0.15</v>
      </c>
      <c r="AE1684" s="234">
        <f t="shared" si="879"/>
        <v>2.3709999999999998E-3</v>
      </c>
      <c r="AF1684" s="229"/>
      <c r="AG1684" s="235" t="s">
        <v>416</v>
      </c>
      <c r="AH1684" s="124"/>
    </row>
    <row r="1685" spans="1:34" ht="12" hidden="1" customHeight="1">
      <c r="A1685" s="154">
        <v>44880</v>
      </c>
      <c r="B1685" s="221" t="s">
        <v>862</v>
      </c>
      <c r="C1685" s="7" t="s">
        <v>485</v>
      </c>
      <c r="D1685" s="221" t="str">
        <f t="shared" ca="1" si="863"/>
        <v>Stocks</v>
      </c>
      <c r="E1685" s="221" t="str">
        <f ca="1">IFERROR(__xludf.DUMMYFUNCTION("split(B1685,"" "")"),"LUPIN")</f>
        <v>LUPIN</v>
      </c>
      <c r="F1685" s="221" t="str">
        <f ca="1">IFERROR(__xludf.DUMMYFUNCTION("""COMPUTED_VALUE"""),"24!NOV")</f>
        <v>24!NOV</v>
      </c>
      <c r="G1685" s="221">
        <f ca="1">IFERROR(__xludf.DUMMYFUNCTION("""COMPUTED_VALUE"""),760)</f>
        <v>760</v>
      </c>
      <c r="H1685" s="221" t="str">
        <f ca="1">IFERROR(__xludf.DUMMYFUNCTION("""COMPUTED_VALUE"""),"CE")</f>
        <v>CE</v>
      </c>
      <c r="I1685" s="221" t="s">
        <v>4</v>
      </c>
      <c r="J1685" s="223">
        <v>850</v>
      </c>
      <c r="K1685" s="224">
        <v>1</v>
      </c>
      <c r="L1685" s="224">
        <v>1</v>
      </c>
      <c r="M1685" s="225">
        <f t="shared" si="864"/>
        <v>850</v>
      </c>
      <c r="N1685" s="226">
        <v>16</v>
      </c>
      <c r="O1685" s="227">
        <v>0</v>
      </c>
      <c r="P1685" s="228">
        <f t="shared" si="865"/>
        <v>13600</v>
      </c>
      <c r="Q1685" s="228">
        <f t="shared" si="866"/>
        <v>0</v>
      </c>
      <c r="R1685" s="229">
        <f t="shared" si="867"/>
        <v>13600</v>
      </c>
      <c r="S1685" s="229">
        <f t="shared" si="868"/>
        <v>-13600</v>
      </c>
      <c r="T1685" s="229">
        <f t="shared" si="880"/>
        <v>20</v>
      </c>
      <c r="U1685" s="229">
        <f t="shared" si="870"/>
        <v>4.9000000000000004</v>
      </c>
      <c r="V1685" s="229">
        <f t="shared" si="871"/>
        <v>0</v>
      </c>
      <c r="W1685" s="229">
        <f t="shared" si="872"/>
        <v>0.41</v>
      </c>
      <c r="X1685" s="229">
        <f t="shared" si="873"/>
        <v>7.21</v>
      </c>
      <c r="Y1685" s="229">
        <f t="shared" si="874"/>
        <v>0.01</v>
      </c>
      <c r="Z1685" s="229">
        <f t="shared" si="875"/>
        <v>32.529999999999994</v>
      </c>
      <c r="AA1685" s="230">
        <f t="shared" si="876"/>
        <v>-13632.53</v>
      </c>
      <c r="AB1685" s="231">
        <v>-13633.22</v>
      </c>
      <c r="AC1685" s="232">
        <f t="shared" si="877"/>
        <v>-0.68999999999869033</v>
      </c>
      <c r="AD1685" s="233">
        <f t="shared" si="878"/>
        <v>-1</v>
      </c>
      <c r="AE1685" s="234">
        <f t="shared" si="879"/>
        <v>2.392E-3</v>
      </c>
      <c r="AF1685" s="229"/>
      <c r="AG1685" s="235" t="s">
        <v>416</v>
      </c>
      <c r="AH1685" s="124"/>
    </row>
    <row r="1686" spans="1:34" ht="12" hidden="1" customHeight="1">
      <c r="A1686" s="155">
        <v>44881</v>
      </c>
      <c r="B1686" s="221" t="s">
        <v>862</v>
      </c>
      <c r="C1686" s="7" t="s">
        <v>485</v>
      </c>
      <c r="D1686" s="221" t="str">
        <f t="shared" ca="1" si="863"/>
        <v>Stocks</v>
      </c>
      <c r="E1686" s="221" t="str">
        <f ca="1">IFERROR(__xludf.DUMMYFUNCTION("split(B1686,"" "")"),"LUPIN")</f>
        <v>LUPIN</v>
      </c>
      <c r="F1686" s="221" t="str">
        <f ca="1">IFERROR(__xludf.DUMMYFUNCTION("""COMPUTED_VALUE"""),"24!NOV")</f>
        <v>24!NOV</v>
      </c>
      <c r="G1686" s="221">
        <f ca="1">IFERROR(__xludf.DUMMYFUNCTION("""COMPUTED_VALUE"""),760)</f>
        <v>760</v>
      </c>
      <c r="H1686" s="221" t="str">
        <f ca="1">IFERROR(__xludf.DUMMYFUNCTION("""COMPUTED_VALUE"""),"CE")</f>
        <v>CE</v>
      </c>
      <c r="I1686" s="221" t="s">
        <v>4</v>
      </c>
      <c r="J1686" s="223">
        <v>850</v>
      </c>
      <c r="K1686" s="224">
        <v>1</v>
      </c>
      <c r="L1686" s="224">
        <v>1</v>
      </c>
      <c r="M1686" s="225">
        <f t="shared" si="864"/>
        <v>850</v>
      </c>
      <c r="N1686" s="226">
        <v>0</v>
      </c>
      <c r="O1686" s="227">
        <v>6.75</v>
      </c>
      <c r="P1686" s="228">
        <f t="shared" si="865"/>
        <v>0</v>
      </c>
      <c r="Q1686" s="228">
        <f t="shared" si="866"/>
        <v>5737.5</v>
      </c>
      <c r="R1686" s="229">
        <f t="shared" si="867"/>
        <v>5737.5</v>
      </c>
      <c r="S1686" s="229">
        <f t="shared" si="868"/>
        <v>5737.5</v>
      </c>
      <c r="T1686" s="229">
        <f t="shared" si="880"/>
        <v>20</v>
      </c>
      <c r="U1686" s="229">
        <f t="shared" si="870"/>
        <v>4.1500000000000004</v>
      </c>
      <c r="V1686" s="229">
        <f t="shared" si="871"/>
        <v>2.87</v>
      </c>
      <c r="W1686" s="229">
        <f t="shared" si="872"/>
        <v>0</v>
      </c>
      <c r="X1686" s="229">
        <f t="shared" si="873"/>
        <v>3.04</v>
      </c>
      <c r="Y1686" s="229">
        <f t="shared" si="874"/>
        <v>0.01</v>
      </c>
      <c r="Z1686" s="229">
        <f t="shared" si="875"/>
        <v>30.07</v>
      </c>
      <c r="AA1686" s="230">
        <f t="shared" si="876"/>
        <v>5707.43</v>
      </c>
      <c r="AB1686" s="231">
        <v>5707.83</v>
      </c>
      <c r="AC1686" s="232">
        <f t="shared" si="877"/>
        <v>0.3999999999996362</v>
      </c>
      <c r="AD1686" s="233">
        <f t="shared" si="878"/>
        <v>0</v>
      </c>
      <c r="AE1686" s="234">
        <f t="shared" si="879"/>
        <v>5.241E-3</v>
      </c>
      <c r="AF1686" s="229"/>
      <c r="AG1686" s="235" t="s">
        <v>416</v>
      </c>
      <c r="AH1686" s="124"/>
    </row>
    <row r="1687" spans="1:34" ht="12" hidden="1" customHeight="1">
      <c r="A1687" s="154">
        <v>44880</v>
      </c>
      <c r="B1687" s="221" t="s">
        <v>863</v>
      </c>
      <c r="C1687" s="7" t="s">
        <v>485</v>
      </c>
      <c r="D1687" s="221" t="str">
        <f t="shared" ca="1" si="863"/>
        <v>Stocks</v>
      </c>
      <c r="E1687" s="221" t="str">
        <f ca="1">IFERROR(__xludf.DUMMYFUNCTION("split(B1687,"" "")"),"TATAMOTORS")</f>
        <v>TATAMOTORS</v>
      </c>
      <c r="F1687" s="221" t="str">
        <f ca="1">IFERROR(__xludf.DUMMYFUNCTION("""COMPUTED_VALUE"""),"24!NOV")</f>
        <v>24!NOV</v>
      </c>
      <c r="G1687" s="221">
        <f ca="1">IFERROR(__xludf.DUMMYFUNCTION("""COMPUTED_VALUE"""),440)</f>
        <v>440</v>
      </c>
      <c r="H1687" s="221" t="str">
        <f ca="1">IFERROR(__xludf.DUMMYFUNCTION("""COMPUTED_VALUE"""),"CE")</f>
        <v>CE</v>
      </c>
      <c r="I1687" s="221" t="s">
        <v>4</v>
      </c>
      <c r="J1687" s="223">
        <v>1425</v>
      </c>
      <c r="K1687" s="224">
        <v>1</v>
      </c>
      <c r="L1687" s="224">
        <v>1</v>
      </c>
      <c r="M1687" s="225">
        <f t="shared" si="864"/>
        <v>1425</v>
      </c>
      <c r="N1687" s="226">
        <v>8.4</v>
      </c>
      <c r="O1687" s="227">
        <v>0</v>
      </c>
      <c r="P1687" s="228">
        <f t="shared" si="865"/>
        <v>11970</v>
      </c>
      <c r="Q1687" s="228">
        <f t="shared" si="866"/>
        <v>0</v>
      </c>
      <c r="R1687" s="229">
        <f t="shared" si="867"/>
        <v>11970</v>
      </c>
      <c r="S1687" s="229">
        <f t="shared" si="868"/>
        <v>-11970</v>
      </c>
      <c r="T1687" s="229">
        <f t="shared" si="880"/>
        <v>20</v>
      </c>
      <c r="U1687" s="229">
        <f t="shared" si="870"/>
        <v>4.74</v>
      </c>
      <c r="V1687" s="229">
        <f t="shared" si="871"/>
        <v>0</v>
      </c>
      <c r="W1687" s="229">
        <f t="shared" si="872"/>
        <v>0.36</v>
      </c>
      <c r="X1687" s="229">
        <f t="shared" si="873"/>
        <v>6.34</v>
      </c>
      <c r="Y1687" s="229">
        <f t="shared" si="874"/>
        <v>0.01</v>
      </c>
      <c r="Z1687" s="229">
        <f t="shared" si="875"/>
        <v>31.450000000000003</v>
      </c>
      <c r="AA1687" s="230">
        <f t="shared" si="876"/>
        <v>-12001.45</v>
      </c>
      <c r="AB1687" s="231">
        <v>-12001</v>
      </c>
      <c r="AC1687" s="232">
        <f t="shared" si="877"/>
        <v>0.4500000000007276</v>
      </c>
      <c r="AD1687" s="233">
        <f t="shared" si="878"/>
        <v>-1</v>
      </c>
      <c r="AE1687" s="234">
        <f t="shared" si="879"/>
        <v>2.627E-3</v>
      </c>
      <c r="AF1687" s="229"/>
      <c r="AG1687" s="235" t="s">
        <v>416</v>
      </c>
      <c r="AH1687" s="124"/>
    </row>
    <row r="1688" spans="1:34" ht="12" hidden="1" customHeight="1">
      <c r="A1688" s="155">
        <v>44881</v>
      </c>
      <c r="B1688" s="221" t="s">
        <v>863</v>
      </c>
      <c r="C1688" s="7" t="s">
        <v>485</v>
      </c>
      <c r="D1688" s="221" t="str">
        <f t="shared" ca="1" si="863"/>
        <v>Stocks</v>
      </c>
      <c r="E1688" s="221" t="str">
        <f ca="1">IFERROR(__xludf.DUMMYFUNCTION("split(B1688,"" "")"),"TATAMOTORS")</f>
        <v>TATAMOTORS</v>
      </c>
      <c r="F1688" s="221" t="str">
        <f ca="1">IFERROR(__xludf.DUMMYFUNCTION("""COMPUTED_VALUE"""),"24!NOV")</f>
        <v>24!NOV</v>
      </c>
      <c r="G1688" s="221">
        <f ca="1">IFERROR(__xludf.DUMMYFUNCTION("""COMPUTED_VALUE"""),440)</f>
        <v>440</v>
      </c>
      <c r="H1688" s="221" t="str">
        <f ca="1">IFERROR(__xludf.DUMMYFUNCTION("""COMPUTED_VALUE"""),"CE")</f>
        <v>CE</v>
      </c>
      <c r="I1688" s="221" t="s">
        <v>4</v>
      </c>
      <c r="J1688" s="223">
        <v>1425</v>
      </c>
      <c r="K1688" s="224">
        <v>1</v>
      </c>
      <c r="L1688" s="224">
        <v>1</v>
      </c>
      <c r="M1688" s="225">
        <f t="shared" si="864"/>
        <v>1425</v>
      </c>
      <c r="N1688" s="226">
        <v>0</v>
      </c>
      <c r="O1688" s="227">
        <v>4.9000000000000004</v>
      </c>
      <c r="P1688" s="228">
        <f t="shared" si="865"/>
        <v>0</v>
      </c>
      <c r="Q1688" s="228">
        <f t="shared" si="866"/>
        <v>6982.5</v>
      </c>
      <c r="R1688" s="229">
        <f t="shared" si="867"/>
        <v>6982.5</v>
      </c>
      <c r="S1688" s="229">
        <f t="shared" si="868"/>
        <v>6982.5000000000009</v>
      </c>
      <c r="T1688" s="229">
        <f t="shared" si="880"/>
        <v>20</v>
      </c>
      <c r="U1688" s="229">
        <f t="shared" si="870"/>
        <v>4.2699999999999996</v>
      </c>
      <c r="V1688" s="229">
        <f t="shared" si="871"/>
        <v>3.49</v>
      </c>
      <c r="W1688" s="229">
        <f t="shared" si="872"/>
        <v>0</v>
      </c>
      <c r="X1688" s="229">
        <f t="shared" si="873"/>
        <v>3.7</v>
      </c>
      <c r="Y1688" s="229">
        <f t="shared" si="874"/>
        <v>0.01</v>
      </c>
      <c r="Z1688" s="229">
        <f t="shared" si="875"/>
        <v>31.47</v>
      </c>
      <c r="AA1688" s="230">
        <f t="shared" si="876"/>
        <v>6951.03</v>
      </c>
      <c r="AB1688" s="231">
        <v>6951</v>
      </c>
      <c r="AC1688" s="232">
        <f t="shared" si="877"/>
        <v>-2.9999999999745341E-2</v>
      </c>
      <c r="AD1688" s="233">
        <f t="shared" si="878"/>
        <v>0</v>
      </c>
      <c r="AE1688" s="234">
        <f t="shared" si="879"/>
        <v>4.5069999999999997E-3</v>
      </c>
      <c r="AF1688" s="229"/>
      <c r="AG1688" s="235" t="s">
        <v>416</v>
      </c>
      <c r="AH1688" s="124"/>
    </row>
    <row r="1689" spans="1:34" ht="12" hidden="1" customHeight="1">
      <c r="A1689" s="220">
        <v>44882</v>
      </c>
      <c r="B1689" s="221" t="s">
        <v>864</v>
      </c>
      <c r="C1689" s="7" t="s">
        <v>485</v>
      </c>
      <c r="D1689" s="221" t="str">
        <f t="shared" ca="1" si="863"/>
        <v>Stocks</v>
      </c>
      <c r="E1689" s="221" t="str">
        <f ca="1">IFERROR(__xludf.DUMMYFUNCTION("split(B1689,"" "")"),"FEDERALBNK")</f>
        <v>FEDERALBNK</v>
      </c>
      <c r="F1689" s="221" t="str">
        <f ca="1">IFERROR(__xludf.DUMMYFUNCTION("""COMPUTED_VALUE"""),"24!NOV")</f>
        <v>24!NOV</v>
      </c>
      <c r="G1689" s="221">
        <f ca="1">IFERROR(__xludf.DUMMYFUNCTION("""COMPUTED_VALUE"""),133)</f>
        <v>133</v>
      </c>
      <c r="H1689" s="221" t="str">
        <f ca="1">IFERROR(__xludf.DUMMYFUNCTION("""COMPUTED_VALUE"""),"PE")</f>
        <v>PE</v>
      </c>
      <c r="I1689" s="221" t="s">
        <v>4</v>
      </c>
      <c r="J1689" s="223">
        <v>5000</v>
      </c>
      <c r="K1689" s="224">
        <v>1</v>
      </c>
      <c r="L1689" s="224">
        <v>1</v>
      </c>
      <c r="M1689" s="225">
        <f t="shared" si="864"/>
        <v>5000</v>
      </c>
      <c r="N1689" s="226">
        <v>2.2000000000000002</v>
      </c>
      <c r="O1689" s="227">
        <v>1.75</v>
      </c>
      <c r="P1689" s="228">
        <f t="shared" si="865"/>
        <v>11000</v>
      </c>
      <c r="Q1689" s="228">
        <f t="shared" si="866"/>
        <v>8750</v>
      </c>
      <c r="R1689" s="229">
        <f t="shared" si="867"/>
        <v>19750</v>
      </c>
      <c r="S1689" s="229">
        <f t="shared" si="868"/>
        <v>-2250.0000000000009</v>
      </c>
      <c r="T1689" s="229">
        <f t="shared" si="880"/>
        <v>40</v>
      </c>
      <c r="U1689" s="229">
        <f t="shared" si="870"/>
        <v>9.08</v>
      </c>
      <c r="V1689" s="229">
        <f t="shared" si="871"/>
        <v>4.38</v>
      </c>
      <c r="W1689" s="229">
        <f t="shared" si="872"/>
        <v>0.33</v>
      </c>
      <c r="X1689" s="229">
        <f t="shared" si="873"/>
        <v>10.47</v>
      </c>
      <c r="Y1689" s="229">
        <f t="shared" si="874"/>
        <v>0.02</v>
      </c>
      <c r="Z1689" s="229">
        <f t="shared" si="875"/>
        <v>64.28</v>
      </c>
      <c r="AA1689" s="230">
        <f t="shared" si="876"/>
        <v>-2314.2800000000002</v>
      </c>
      <c r="AB1689" s="231">
        <v>-2314.3200000000002</v>
      </c>
      <c r="AC1689" s="232">
        <f t="shared" si="877"/>
        <v>-3.999999999996362E-2</v>
      </c>
      <c r="AD1689" s="233">
        <f t="shared" si="878"/>
        <v>-0.20454545454545461</v>
      </c>
      <c r="AE1689" s="234">
        <f t="shared" si="879"/>
        <v>3.2550000000000001E-3</v>
      </c>
      <c r="AF1689" s="229"/>
      <c r="AG1689" s="235" t="s">
        <v>416</v>
      </c>
      <c r="AH1689" s="124"/>
    </row>
    <row r="1690" spans="1:34" ht="12" hidden="1" customHeight="1">
      <c r="A1690" s="220">
        <v>44882</v>
      </c>
      <c r="B1690" s="221" t="s">
        <v>865</v>
      </c>
      <c r="C1690" s="7" t="s">
        <v>485</v>
      </c>
      <c r="D1690" s="221" t="str">
        <f t="shared" ca="1" si="863"/>
        <v>Indices</v>
      </c>
      <c r="E1690" s="221" t="str">
        <f ca="1">IFERROR(__xludf.DUMMYFUNCTION("split(B1690,"" "")"),"BANKNIFTY")</f>
        <v>BANKNIFTY</v>
      </c>
      <c r="F1690" s="236" t="str">
        <f ca="1">IFERROR(__xludf.DUMMYFUNCTION("""COMPUTED_VALUE"""),"17!NOV")</f>
        <v>17!NOV</v>
      </c>
      <c r="G1690" s="221">
        <f ca="1">IFERROR(__xludf.DUMMYFUNCTION("""COMPUTED_VALUE"""),42600)</f>
        <v>42600</v>
      </c>
      <c r="H1690" s="221" t="str">
        <f ca="1">IFERROR(__xludf.DUMMYFUNCTION("""COMPUTED_VALUE"""),"CE")</f>
        <v>CE</v>
      </c>
      <c r="I1690" s="221" t="s">
        <v>4</v>
      </c>
      <c r="J1690" s="223">
        <v>25</v>
      </c>
      <c r="K1690" s="224">
        <v>1</v>
      </c>
      <c r="L1690" s="224">
        <v>1</v>
      </c>
      <c r="M1690" s="225">
        <f t="shared" si="864"/>
        <v>25</v>
      </c>
      <c r="N1690" s="226">
        <v>30</v>
      </c>
      <c r="O1690" s="227">
        <v>20.65</v>
      </c>
      <c r="P1690" s="228">
        <f t="shared" si="865"/>
        <v>750</v>
      </c>
      <c r="Q1690" s="228">
        <f t="shared" si="866"/>
        <v>516.25</v>
      </c>
      <c r="R1690" s="229">
        <f t="shared" si="867"/>
        <v>1266.25</v>
      </c>
      <c r="S1690" s="229">
        <f t="shared" si="868"/>
        <v>-233.75000000000003</v>
      </c>
      <c r="T1690" s="229">
        <f t="shared" si="880"/>
        <v>40</v>
      </c>
      <c r="U1690" s="229">
        <f t="shared" si="870"/>
        <v>7.32</v>
      </c>
      <c r="V1690" s="229">
        <f t="shared" si="871"/>
        <v>0.26</v>
      </c>
      <c r="W1690" s="229">
        <f t="shared" si="872"/>
        <v>0.02</v>
      </c>
      <c r="X1690" s="229">
        <f t="shared" si="873"/>
        <v>0.67</v>
      </c>
      <c r="Y1690" s="229">
        <f t="shared" si="874"/>
        <v>0</v>
      </c>
      <c r="Z1690" s="229">
        <f t="shared" si="875"/>
        <v>48.27</v>
      </c>
      <c r="AA1690" s="230">
        <f t="shared" si="876"/>
        <v>-282.02</v>
      </c>
      <c r="AB1690" s="231">
        <v>-282</v>
      </c>
      <c r="AC1690" s="232">
        <f t="shared" si="877"/>
        <v>1.999999999998181E-2</v>
      </c>
      <c r="AD1690" s="233">
        <f t="shared" si="878"/>
        <v>-0.3116666666666667</v>
      </c>
      <c r="AE1690" s="234">
        <f t="shared" si="879"/>
        <v>3.8120000000000001E-2</v>
      </c>
      <c r="AF1690" s="229"/>
      <c r="AG1690" s="235" t="s">
        <v>416</v>
      </c>
      <c r="AH1690" s="124"/>
    </row>
    <row r="1691" spans="1:34" ht="12" hidden="1" customHeight="1">
      <c r="A1691" s="220">
        <v>44883</v>
      </c>
      <c r="B1691" s="221" t="s">
        <v>866</v>
      </c>
      <c r="C1691" s="7" t="s">
        <v>485</v>
      </c>
      <c r="D1691" s="221" t="str">
        <f t="shared" ca="1" si="863"/>
        <v>Stocks</v>
      </c>
      <c r="E1691" s="221" t="str">
        <f ca="1">IFERROR(__xludf.DUMMYFUNCTION("split(B1691,"" "")"),"DLF")</f>
        <v>DLF</v>
      </c>
      <c r="F1691" s="221" t="str">
        <f ca="1">IFERROR(__xludf.DUMMYFUNCTION("""COMPUTED_VALUE"""),"24!NOV")</f>
        <v>24!NOV</v>
      </c>
      <c r="G1691" s="221">
        <f ca="1">IFERROR(__xludf.DUMMYFUNCTION("""COMPUTED_VALUE"""),400)</f>
        <v>400</v>
      </c>
      <c r="H1691" s="221" t="str">
        <f ca="1">IFERROR(__xludf.DUMMYFUNCTION("""COMPUTED_VALUE"""),"PE")</f>
        <v>PE</v>
      </c>
      <c r="I1691" s="221" t="s">
        <v>4</v>
      </c>
      <c r="J1691" s="223">
        <v>1650</v>
      </c>
      <c r="K1691" s="224">
        <v>1</v>
      </c>
      <c r="L1691" s="224">
        <v>1</v>
      </c>
      <c r="M1691" s="225">
        <f t="shared" si="864"/>
        <v>1650</v>
      </c>
      <c r="N1691" s="226">
        <v>6</v>
      </c>
      <c r="O1691" s="227">
        <v>6.1</v>
      </c>
      <c r="P1691" s="228">
        <f t="shared" si="865"/>
        <v>9900</v>
      </c>
      <c r="Q1691" s="228">
        <f t="shared" si="866"/>
        <v>10065</v>
      </c>
      <c r="R1691" s="229">
        <f t="shared" si="867"/>
        <v>19965</v>
      </c>
      <c r="S1691" s="229">
        <f t="shared" si="868"/>
        <v>164.9999999999994</v>
      </c>
      <c r="T1691" s="229">
        <f t="shared" si="880"/>
        <v>40</v>
      </c>
      <c r="U1691" s="229">
        <f t="shared" si="870"/>
        <v>9.1</v>
      </c>
      <c r="V1691" s="229">
        <f t="shared" si="871"/>
        <v>5.03</v>
      </c>
      <c r="W1691" s="229">
        <f t="shared" si="872"/>
        <v>0.3</v>
      </c>
      <c r="X1691" s="229">
        <f t="shared" si="873"/>
        <v>10.58</v>
      </c>
      <c r="Y1691" s="229">
        <f t="shared" si="874"/>
        <v>0.02</v>
      </c>
      <c r="Z1691" s="229">
        <f t="shared" si="875"/>
        <v>65.03</v>
      </c>
      <c r="AA1691" s="230">
        <f t="shared" si="876"/>
        <v>99.97</v>
      </c>
      <c r="AB1691" s="231">
        <v>100.29</v>
      </c>
      <c r="AC1691" s="232">
        <f t="shared" si="877"/>
        <v>0.32000000000000739</v>
      </c>
      <c r="AD1691" s="233">
        <f t="shared" si="878"/>
        <v>1.6666666666666607E-2</v>
      </c>
      <c r="AE1691" s="234">
        <f t="shared" si="879"/>
        <v>3.2569999999999999E-3</v>
      </c>
      <c r="AF1691" s="229"/>
      <c r="AG1691" s="235" t="s">
        <v>416</v>
      </c>
      <c r="AH1691" s="124"/>
    </row>
    <row r="1692" spans="1:34" ht="12" hidden="1" customHeight="1">
      <c r="A1692" s="220">
        <v>44888</v>
      </c>
      <c r="B1692" s="221" t="s">
        <v>867</v>
      </c>
      <c r="C1692" s="7" t="s">
        <v>485</v>
      </c>
      <c r="D1692" s="221" t="str">
        <f t="shared" ca="1" si="863"/>
        <v>Stocks</v>
      </c>
      <c r="E1692" s="221" t="str">
        <f ca="1">IFERROR(__xludf.DUMMYFUNCTION("split(B1692,"" "")"),"LTTS")</f>
        <v>LTTS</v>
      </c>
      <c r="F1692" s="221" t="str">
        <f ca="1">IFERROR(__xludf.DUMMYFUNCTION("""COMPUTED_VALUE"""),"29!DEC")</f>
        <v>29!DEC</v>
      </c>
      <c r="G1692" s="221">
        <f ca="1">IFERROR(__xludf.DUMMYFUNCTION("""COMPUTED_VALUE"""),3900)</f>
        <v>3900</v>
      </c>
      <c r="H1692" s="221" t="str">
        <f ca="1">IFERROR(__xludf.DUMMYFUNCTION("""COMPUTED_VALUE"""),"CE")</f>
        <v>CE</v>
      </c>
      <c r="I1692" s="221" t="s">
        <v>4</v>
      </c>
      <c r="J1692" s="223">
        <v>200</v>
      </c>
      <c r="K1692" s="224">
        <v>1</v>
      </c>
      <c r="L1692" s="224">
        <v>1</v>
      </c>
      <c r="M1692" s="225">
        <f t="shared" si="864"/>
        <v>200</v>
      </c>
      <c r="N1692" s="226">
        <v>93</v>
      </c>
      <c r="O1692" s="227">
        <v>95.25</v>
      </c>
      <c r="P1692" s="228">
        <f t="shared" si="865"/>
        <v>18600</v>
      </c>
      <c r="Q1692" s="228">
        <f t="shared" si="866"/>
        <v>19050</v>
      </c>
      <c r="R1692" s="229">
        <f t="shared" si="867"/>
        <v>37650</v>
      </c>
      <c r="S1692" s="229">
        <f t="shared" si="868"/>
        <v>450</v>
      </c>
      <c r="T1692" s="229">
        <f t="shared" si="880"/>
        <v>40</v>
      </c>
      <c r="U1692" s="229">
        <f t="shared" si="870"/>
        <v>10.79</v>
      </c>
      <c r="V1692" s="229">
        <f t="shared" si="871"/>
        <v>9.5299999999999994</v>
      </c>
      <c r="W1692" s="229">
        <f t="shared" si="872"/>
        <v>0.56000000000000005</v>
      </c>
      <c r="X1692" s="229">
        <f t="shared" si="873"/>
        <v>19.95</v>
      </c>
      <c r="Y1692" s="229">
        <f t="shared" si="874"/>
        <v>0.04</v>
      </c>
      <c r="Z1692" s="229">
        <f t="shared" si="875"/>
        <v>80.87</v>
      </c>
      <c r="AA1692" s="230">
        <f t="shared" si="876"/>
        <v>369.13</v>
      </c>
      <c r="AB1692" s="231">
        <v>368.21</v>
      </c>
      <c r="AC1692" s="232">
        <f t="shared" si="877"/>
        <v>-0.92000000000001592</v>
      </c>
      <c r="AD1692" s="233">
        <f t="shared" si="878"/>
        <v>2.4193548387096774E-2</v>
      </c>
      <c r="AE1692" s="234">
        <f t="shared" si="879"/>
        <v>2.1480000000000002E-3</v>
      </c>
      <c r="AF1692" s="229"/>
      <c r="AG1692" s="235" t="s">
        <v>416</v>
      </c>
      <c r="AH1692" s="124"/>
    </row>
    <row r="1693" spans="1:34" ht="12" hidden="1" customHeight="1">
      <c r="A1693" s="220">
        <v>44890</v>
      </c>
      <c r="B1693" s="221" t="s">
        <v>868</v>
      </c>
      <c r="C1693" s="7" t="s">
        <v>485</v>
      </c>
      <c r="D1693" s="221" t="str">
        <f t="shared" ca="1" si="863"/>
        <v>Stocks</v>
      </c>
      <c r="E1693" s="221" t="str">
        <f ca="1">IFERROR(__xludf.DUMMYFUNCTION("split(B1693,"" "")"),"INFY")</f>
        <v>INFY</v>
      </c>
      <c r="F1693" s="221" t="str">
        <f ca="1">IFERROR(__xludf.DUMMYFUNCTION("""COMPUTED_VALUE"""),"29!DEC")</f>
        <v>29!DEC</v>
      </c>
      <c r="G1693" s="221">
        <f ca="1">IFERROR(__xludf.DUMMYFUNCTION("""COMPUTED_VALUE"""),1640)</f>
        <v>1640</v>
      </c>
      <c r="H1693" s="221" t="str">
        <f ca="1">IFERROR(__xludf.DUMMYFUNCTION("""COMPUTED_VALUE"""),"CE")</f>
        <v>CE</v>
      </c>
      <c r="I1693" s="221" t="s">
        <v>4</v>
      </c>
      <c r="J1693" s="223">
        <v>300</v>
      </c>
      <c r="K1693" s="224">
        <v>1</v>
      </c>
      <c r="L1693" s="224">
        <v>2</v>
      </c>
      <c r="M1693" s="225">
        <f t="shared" si="864"/>
        <v>600</v>
      </c>
      <c r="N1693" s="226">
        <v>39.5</v>
      </c>
      <c r="O1693" s="227">
        <v>41</v>
      </c>
      <c r="P1693" s="228">
        <f t="shared" si="865"/>
        <v>23700</v>
      </c>
      <c r="Q1693" s="228">
        <f t="shared" si="866"/>
        <v>24600</v>
      </c>
      <c r="R1693" s="229">
        <f t="shared" si="867"/>
        <v>48300</v>
      </c>
      <c r="S1693" s="229">
        <f t="shared" si="868"/>
        <v>900</v>
      </c>
      <c r="T1693" s="229">
        <f t="shared" ref="T1693:T1694" si="881">IF(AND(N1693&lt;&gt;0,O1693&lt;&gt;0,AG1693="Kotak"),0,IF(AND(N1693="",O1693=""),0,IF(N1693=0,0,G$1815*L1693)+IF(O1693=0,0,G$1815*L1693)))</f>
        <v>80</v>
      </c>
      <c r="U1693" s="229">
        <f t="shared" si="870"/>
        <v>19.010000000000002</v>
      </c>
      <c r="V1693" s="229">
        <f t="shared" si="871"/>
        <v>12.3</v>
      </c>
      <c r="W1693" s="229">
        <f t="shared" si="872"/>
        <v>0.71</v>
      </c>
      <c r="X1693" s="229">
        <f t="shared" si="873"/>
        <v>25.6</v>
      </c>
      <c r="Y1693" s="229">
        <f t="shared" si="874"/>
        <v>0.05</v>
      </c>
      <c r="Z1693" s="229">
        <f t="shared" si="875"/>
        <v>137.67000000000002</v>
      </c>
      <c r="AA1693" s="230">
        <f t="shared" si="876"/>
        <v>762.33</v>
      </c>
      <c r="AB1693" s="231">
        <v>762.34</v>
      </c>
      <c r="AC1693" s="232">
        <f t="shared" si="877"/>
        <v>9.9999999999909051E-3</v>
      </c>
      <c r="AD1693" s="233">
        <f t="shared" si="878"/>
        <v>3.7974683544303799E-2</v>
      </c>
      <c r="AE1693" s="234">
        <f t="shared" si="879"/>
        <v>2.8500000000000001E-3</v>
      </c>
      <c r="AF1693" s="229"/>
      <c r="AG1693" s="235" t="s">
        <v>416</v>
      </c>
      <c r="AH1693" s="124"/>
    </row>
    <row r="1694" spans="1:34" ht="12" hidden="1" customHeight="1">
      <c r="A1694" s="220">
        <v>44893</v>
      </c>
      <c r="B1694" s="221" t="s">
        <v>869</v>
      </c>
      <c r="C1694" s="7" t="s">
        <v>485</v>
      </c>
      <c r="D1694" s="221" t="str">
        <f t="shared" ca="1" si="863"/>
        <v>Stocks</v>
      </c>
      <c r="E1694" s="221" t="str">
        <f ca="1">IFERROR(__xludf.DUMMYFUNCTION("split(B1694,"" "")"),"EXIDEIND")</f>
        <v>EXIDEIND</v>
      </c>
      <c r="F1694" s="221" t="str">
        <f ca="1">IFERROR(__xludf.DUMMYFUNCTION("""COMPUTED_VALUE"""),"29!DEC")</f>
        <v>29!DEC</v>
      </c>
      <c r="G1694" s="221">
        <f ca="1">IFERROR(__xludf.DUMMYFUNCTION("""COMPUTED_VALUE"""),185)</f>
        <v>185</v>
      </c>
      <c r="H1694" s="221" t="str">
        <f ca="1">IFERROR(__xludf.DUMMYFUNCTION("""COMPUTED_VALUE"""),"CE")</f>
        <v>CE</v>
      </c>
      <c r="I1694" s="221" t="s">
        <v>4</v>
      </c>
      <c r="J1694" s="223">
        <v>3600</v>
      </c>
      <c r="K1694" s="224">
        <v>1</v>
      </c>
      <c r="L1694" s="224">
        <v>2</v>
      </c>
      <c r="M1694" s="225">
        <f t="shared" si="864"/>
        <v>7200</v>
      </c>
      <c r="N1694" s="226">
        <v>7.625</v>
      </c>
      <c r="O1694" s="227">
        <v>7.6749999999999998</v>
      </c>
      <c r="P1694" s="228">
        <f t="shared" si="865"/>
        <v>54900</v>
      </c>
      <c r="Q1694" s="228">
        <f t="shared" si="866"/>
        <v>55260</v>
      </c>
      <c r="R1694" s="229">
        <f t="shared" si="867"/>
        <v>110160</v>
      </c>
      <c r="S1694" s="229">
        <f t="shared" si="868"/>
        <v>359.99999999999875</v>
      </c>
      <c r="T1694" s="229">
        <f t="shared" si="881"/>
        <v>80</v>
      </c>
      <c r="U1694" s="229">
        <f t="shared" si="870"/>
        <v>24.91</v>
      </c>
      <c r="V1694" s="229">
        <f t="shared" si="871"/>
        <v>27.63</v>
      </c>
      <c r="W1694" s="229">
        <f t="shared" si="872"/>
        <v>1.65</v>
      </c>
      <c r="X1694" s="229">
        <f t="shared" si="873"/>
        <v>58.38</v>
      </c>
      <c r="Y1694" s="229">
        <f t="shared" si="874"/>
        <v>0.11</v>
      </c>
      <c r="Z1694" s="229">
        <f t="shared" si="875"/>
        <v>192.68</v>
      </c>
      <c r="AA1694" s="230">
        <f t="shared" si="876"/>
        <v>167.32</v>
      </c>
      <c r="AB1694" s="231">
        <v>166.58</v>
      </c>
      <c r="AC1694" s="232">
        <f t="shared" si="877"/>
        <v>-0.73999999999998067</v>
      </c>
      <c r="AD1694" s="233">
        <f t="shared" si="878"/>
        <v>6.5573770491803044E-3</v>
      </c>
      <c r="AE1694" s="234">
        <f t="shared" si="879"/>
        <v>1.7489999999999999E-3</v>
      </c>
      <c r="AF1694" s="229"/>
      <c r="AG1694" s="235" t="s">
        <v>416</v>
      </c>
      <c r="AH1694" s="124"/>
    </row>
    <row r="1695" spans="1:34" ht="12" hidden="1" customHeight="1">
      <c r="A1695" s="220">
        <v>44894</v>
      </c>
      <c r="B1695" s="221" t="s">
        <v>870</v>
      </c>
      <c r="C1695" s="7" t="s">
        <v>485</v>
      </c>
      <c r="D1695" s="221" t="str">
        <f t="shared" ca="1" si="863"/>
        <v>Stocks</v>
      </c>
      <c r="E1695" s="221" t="str">
        <f ca="1">IFERROR(__xludf.DUMMYFUNCTION("split(B1695,"" "")"),"TATAMOTORS")</f>
        <v>TATAMOTORS</v>
      </c>
      <c r="F1695" s="221" t="str">
        <f ca="1">IFERROR(__xludf.DUMMYFUNCTION("""COMPUTED_VALUE"""),"29!DEC")</f>
        <v>29!DEC</v>
      </c>
      <c r="G1695" s="221">
        <f ca="1">IFERROR(__xludf.DUMMYFUNCTION("""COMPUTED_VALUE"""),435)</f>
        <v>435</v>
      </c>
      <c r="H1695" s="221" t="str">
        <f ca="1">IFERROR(__xludf.DUMMYFUNCTION("""COMPUTED_VALUE"""),"PE")</f>
        <v>PE</v>
      </c>
      <c r="I1695" s="221" t="s">
        <v>4</v>
      </c>
      <c r="J1695" s="223">
        <v>1425</v>
      </c>
      <c r="K1695" s="224">
        <v>1</v>
      </c>
      <c r="L1695" s="224">
        <v>3</v>
      </c>
      <c r="M1695" s="225">
        <f t="shared" si="864"/>
        <v>4275</v>
      </c>
      <c r="N1695" s="226">
        <v>12.716666999999999</v>
      </c>
      <c r="O1695" s="227">
        <v>13</v>
      </c>
      <c r="P1695" s="228">
        <f t="shared" si="865"/>
        <v>54363.75</v>
      </c>
      <c r="Q1695" s="228">
        <f t="shared" si="866"/>
        <v>55575</v>
      </c>
      <c r="R1695" s="229">
        <f t="shared" si="867"/>
        <v>109938.75</v>
      </c>
      <c r="S1695" s="229">
        <f t="shared" si="868"/>
        <v>1211.248575000003</v>
      </c>
      <c r="T1695" s="229">
        <f>IF(AND(N1695&lt;&gt;0,O1695&lt;&gt;0,AG1695="Kotak"),0,IF(AND(N1695="",O1695=""),0,IF(N1695=0,0,G$1815*L1695)+IF(O1695=0,0,G$1815*L1695)))-40</f>
        <v>80</v>
      </c>
      <c r="U1695" s="229">
        <f t="shared" si="870"/>
        <v>24.89</v>
      </c>
      <c r="V1695" s="229">
        <f t="shared" si="871"/>
        <v>27.79</v>
      </c>
      <c r="W1695" s="229">
        <f t="shared" si="872"/>
        <v>1.63</v>
      </c>
      <c r="X1695" s="229">
        <f t="shared" si="873"/>
        <v>58.27</v>
      </c>
      <c r="Y1695" s="229">
        <f t="shared" si="874"/>
        <v>0.11</v>
      </c>
      <c r="Z1695" s="229">
        <f t="shared" si="875"/>
        <v>192.69000000000003</v>
      </c>
      <c r="AA1695" s="230">
        <f t="shared" si="876"/>
        <v>1018.56</v>
      </c>
      <c r="AB1695" s="231">
        <v>1018.25</v>
      </c>
      <c r="AC1695" s="232">
        <f t="shared" si="877"/>
        <v>-0.30999999999994543</v>
      </c>
      <c r="AD1695" s="233">
        <f t="shared" si="878"/>
        <v>2.2280445025414344E-2</v>
      </c>
      <c r="AE1695" s="234">
        <f t="shared" si="879"/>
        <v>1.753E-3</v>
      </c>
      <c r="AF1695" s="229"/>
      <c r="AG1695" s="235" t="s">
        <v>416</v>
      </c>
      <c r="AH1695" s="124"/>
    </row>
    <row r="1696" spans="1:34" ht="12" hidden="1" customHeight="1">
      <c r="A1696" s="220">
        <v>44894</v>
      </c>
      <c r="B1696" s="221" t="s">
        <v>871</v>
      </c>
      <c r="C1696" s="7" t="s">
        <v>485</v>
      </c>
      <c r="D1696" s="221" t="str">
        <f t="shared" ca="1" si="863"/>
        <v>Stocks</v>
      </c>
      <c r="E1696" s="221" t="str">
        <f ca="1">IFERROR(__xludf.DUMMYFUNCTION("split(B1696,"" "")"),"BANDHANBNK")</f>
        <v>BANDHANBNK</v>
      </c>
      <c r="F1696" s="221" t="str">
        <f ca="1">IFERROR(__xludf.DUMMYFUNCTION("""COMPUTED_VALUE"""),"29!DEC")</f>
        <v>29!DEC</v>
      </c>
      <c r="G1696" s="221">
        <f ca="1">IFERROR(__xludf.DUMMYFUNCTION("""COMPUTED_VALUE"""),240)</f>
        <v>240</v>
      </c>
      <c r="H1696" s="221" t="str">
        <f ca="1">IFERROR(__xludf.DUMMYFUNCTION("""COMPUTED_VALUE"""),"CE")</f>
        <v>CE</v>
      </c>
      <c r="I1696" s="221" t="s">
        <v>4</v>
      </c>
      <c r="J1696" s="223">
        <v>1800</v>
      </c>
      <c r="K1696" s="224">
        <v>1</v>
      </c>
      <c r="L1696" s="224">
        <v>1</v>
      </c>
      <c r="M1696" s="225">
        <f t="shared" si="864"/>
        <v>1800</v>
      </c>
      <c r="N1696" s="226">
        <v>6.6</v>
      </c>
      <c r="O1696" s="227">
        <v>7.6</v>
      </c>
      <c r="P1696" s="228">
        <f t="shared" si="865"/>
        <v>11880</v>
      </c>
      <c r="Q1696" s="228">
        <f t="shared" si="866"/>
        <v>13680</v>
      </c>
      <c r="R1696" s="229">
        <f t="shared" si="867"/>
        <v>25560</v>
      </c>
      <c r="S1696" s="229">
        <f t="shared" si="868"/>
        <v>1800</v>
      </c>
      <c r="T1696" s="229">
        <f t="shared" ref="T1696:T1699" si="882">IF(AND(N1696&lt;&gt;0,O1696&lt;&gt;0,AG1696="Kotak"),0,IF(AND(N1696="",O1696=""),0,IF(N1696=0,0,G$1815*L1696)+IF(O1696=0,0,G$1815*L1696)))</f>
        <v>40</v>
      </c>
      <c r="U1696" s="229">
        <f t="shared" si="870"/>
        <v>9.64</v>
      </c>
      <c r="V1696" s="229">
        <f t="shared" si="871"/>
        <v>6.84</v>
      </c>
      <c r="W1696" s="229">
        <f t="shared" si="872"/>
        <v>0.36</v>
      </c>
      <c r="X1696" s="229">
        <f t="shared" si="873"/>
        <v>13.55</v>
      </c>
      <c r="Y1696" s="229">
        <f t="shared" si="874"/>
        <v>0.03</v>
      </c>
      <c r="Z1696" s="229">
        <f t="shared" si="875"/>
        <v>70.42</v>
      </c>
      <c r="AA1696" s="230">
        <f t="shared" si="876"/>
        <v>1729.58</v>
      </c>
      <c r="AB1696" s="231">
        <v>1729.5</v>
      </c>
      <c r="AC1696" s="232">
        <f t="shared" si="877"/>
        <v>-7.999999999992724E-2</v>
      </c>
      <c r="AD1696" s="233">
        <f t="shared" si="878"/>
        <v>0.15151515151515152</v>
      </c>
      <c r="AE1696" s="234">
        <f t="shared" si="879"/>
        <v>2.7550000000000001E-3</v>
      </c>
      <c r="AF1696" s="229"/>
      <c r="AG1696" s="235" t="s">
        <v>416</v>
      </c>
      <c r="AH1696" s="124"/>
    </row>
    <row r="1697" spans="1:34" ht="12" hidden="1" customHeight="1">
      <c r="A1697" s="220">
        <v>44895</v>
      </c>
      <c r="B1697" s="221" t="s">
        <v>872</v>
      </c>
      <c r="C1697" s="7" t="s">
        <v>485</v>
      </c>
      <c r="D1697" s="221" t="str">
        <f t="shared" ca="1" si="863"/>
        <v>Stocks</v>
      </c>
      <c r="E1697" s="221" t="str">
        <f ca="1">IFERROR(__xludf.DUMMYFUNCTION("split(B1697,"" "")"),"WIPRO")</f>
        <v>WIPRO</v>
      </c>
      <c r="F1697" s="221" t="str">
        <f ca="1">IFERROR(__xludf.DUMMYFUNCTION("""COMPUTED_VALUE"""),"29!DEC")</f>
        <v>29!DEC</v>
      </c>
      <c r="G1697" s="221">
        <f ca="1">IFERROR(__xludf.DUMMYFUNCTION("""COMPUTED_VALUE"""),405)</f>
        <v>405</v>
      </c>
      <c r="H1697" s="221" t="str">
        <f ca="1">IFERROR(__xludf.DUMMYFUNCTION("""COMPUTED_VALUE"""),"CE")</f>
        <v>CE</v>
      </c>
      <c r="I1697" s="221" t="s">
        <v>4</v>
      </c>
      <c r="J1697" s="223">
        <v>1000</v>
      </c>
      <c r="K1697" s="224">
        <v>1</v>
      </c>
      <c r="L1697" s="224">
        <v>1</v>
      </c>
      <c r="M1697" s="225">
        <f t="shared" si="864"/>
        <v>1000</v>
      </c>
      <c r="N1697" s="226">
        <v>11.2</v>
      </c>
      <c r="O1697" s="227">
        <v>11.75</v>
      </c>
      <c r="P1697" s="228">
        <f t="shared" si="865"/>
        <v>11200</v>
      </c>
      <c r="Q1697" s="228">
        <f t="shared" si="866"/>
        <v>11750</v>
      </c>
      <c r="R1697" s="229">
        <f t="shared" si="867"/>
        <v>22950</v>
      </c>
      <c r="S1697" s="229">
        <f t="shared" si="868"/>
        <v>550.00000000000068</v>
      </c>
      <c r="T1697" s="229">
        <f t="shared" si="882"/>
        <v>40</v>
      </c>
      <c r="U1697" s="229">
        <f t="shared" si="870"/>
        <v>9.39</v>
      </c>
      <c r="V1697" s="229">
        <f t="shared" si="871"/>
        <v>5.88</v>
      </c>
      <c r="W1697" s="229">
        <f t="shared" si="872"/>
        <v>0.34</v>
      </c>
      <c r="X1697" s="229">
        <f t="shared" si="873"/>
        <v>12.16</v>
      </c>
      <c r="Y1697" s="229">
        <f t="shared" si="874"/>
        <v>0.02</v>
      </c>
      <c r="Z1697" s="229">
        <f t="shared" si="875"/>
        <v>67.790000000000006</v>
      </c>
      <c r="AA1697" s="230">
        <f t="shared" si="876"/>
        <v>482.21</v>
      </c>
      <c r="AB1697" s="231">
        <v>482.42</v>
      </c>
      <c r="AC1697" s="232">
        <f t="shared" si="877"/>
        <v>0.21000000000003638</v>
      </c>
      <c r="AD1697" s="233">
        <f t="shared" si="878"/>
        <v>4.9107142857142926E-2</v>
      </c>
      <c r="AE1697" s="234">
        <f t="shared" si="879"/>
        <v>2.954E-3</v>
      </c>
      <c r="AF1697" s="229"/>
      <c r="AG1697" s="235" t="s">
        <v>416</v>
      </c>
      <c r="AH1697" s="124"/>
    </row>
    <row r="1698" spans="1:34" ht="12" hidden="1" customHeight="1">
      <c r="A1698" s="220">
        <v>44896</v>
      </c>
      <c r="B1698" s="221" t="s">
        <v>873</v>
      </c>
      <c r="C1698" s="7" t="s">
        <v>485</v>
      </c>
      <c r="D1698" s="221" t="str">
        <f t="shared" ca="1" si="863"/>
        <v>Stocks</v>
      </c>
      <c r="E1698" s="221" t="str">
        <f ca="1">IFERROR(__xludf.DUMMYFUNCTION("split(B1698,"" "")"),"NATIONALUM")</f>
        <v>NATIONALUM</v>
      </c>
      <c r="F1698" s="221" t="str">
        <f ca="1">IFERROR(__xludf.DUMMYFUNCTION("""COMPUTED_VALUE"""),"29!DEC")</f>
        <v>29!DEC</v>
      </c>
      <c r="G1698" s="221">
        <f ca="1">IFERROR(__xludf.DUMMYFUNCTION("""COMPUTED_VALUE"""),78)</f>
        <v>78</v>
      </c>
      <c r="H1698" s="221" t="str">
        <f ca="1">IFERROR(__xludf.DUMMYFUNCTION("""COMPUTED_VALUE"""),"CE")</f>
        <v>CE</v>
      </c>
      <c r="I1698" s="221" t="s">
        <v>4</v>
      </c>
      <c r="J1698" s="223">
        <v>4250</v>
      </c>
      <c r="K1698" s="224">
        <v>1</v>
      </c>
      <c r="L1698" s="224">
        <v>1</v>
      </c>
      <c r="M1698" s="225">
        <f t="shared" si="864"/>
        <v>4250</v>
      </c>
      <c r="N1698" s="226">
        <v>2.9</v>
      </c>
      <c r="O1698" s="227">
        <v>3.15</v>
      </c>
      <c r="P1698" s="228">
        <f t="shared" si="865"/>
        <v>12325</v>
      </c>
      <c r="Q1698" s="228">
        <f t="shared" si="866"/>
        <v>13387.5</v>
      </c>
      <c r="R1698" s="229">
        <f t="shared" si="867"/>
        <v>25712.5</v>
      </c>
      <c r="S1698" s="229">
        <f t="shared" si="868"/>
        <v>1062.5</v>
      </c>
      <c r="T1698" s="229">
        <f t="shared" si="882"/>
        <v>40</v>
      </c>
      <c r="U1698" s="229">
        <f t="shared" si="870"/>
        <v>9.65</v>
      </c>
      <c r="V1698" s="229">
        <f t="shared" si="871"/>
        <v>6.69</v>
      </c>
      <c r="W1698" s="229">
        <f t="shared" si="872"/>
        <v>0.37</v>
      </c>
      <c r="X1698" s="229">
        <f t="shared" si="873"/>
        <v>13.63</v>
      </c>
      <c r="Y1698" s="229">
        <f t="shared" si="874"/>
        <v>0.03</v>
      </c>
      <c r="Z1698" s="229">
        <f t="shared" si="875"/>
        <v>70.36999999999999</v>
      </c>
      <c r="AA1698" s="230">
        <f t="shared" si="876"/>
        <v>992.13</v>
      </c>
      <c r="AB1698" s="231">
        <v>992.19</v>
      </c>
      <c r="AC1698" s="232">
        <f t="shared" si="877"/>
        <v>6.0000000000059117E-2</v>
      </c>
      <c r="AD1698" s="233">
        <f t="shared" si="878"/>
        <v>8.6206896551724144E-2</v>
      </c>
      <c r="AE1698" s="234">
        <f t="shared" si="879"/>
        <v>2.7369999999999998E-3</v>
      </c>
      <c r="AF1698" s="229"/>
      <c r="AG1698" s="235" t="s">
        <v>416</v>
      </c>
      <c r="AH1698" s="124"/>
    </row>
    <row r="1699" spans="1:34" ht="12" hidden="1" customHeight="1">
      <c r="A1699" s="220">
        <v>44900</v>
      </c>
      <c r="B1699" s="221" t="s">
        <v>874</v>
      </c>
      <c r="C1699" s="7" t="s">
        <v>485</v>
      </c>
      <c r="D1699" s="221" t="str">
        <f t="shared" ca="1" si="863"/>
        <v>Stocks</v>
      </c>
      <c r="E1699" s="221" t="str">
        <f ca="1">IFERROR(__xludf.DUMMYFUNCTION("split(B1699,"" "")"),"VOLTAS")</f>
        <v>VOLTAS</v>
      </c>
      <c r="F1699" s="221" t="str">
        <f ca="1">IFERROR(__xludf.DUMMYFUNCTION("""COMPUTED_VALUE"""),"29!DEC")</f>
        <v>29!DEC</v>
      </c>
      <c r="G1699" s="221">
        <f ca="1">IFERROR(__xludf.DUMMYFUNCTION("""COMPUTED_VALUE"""),860)</f>
        <v>860</v>
      </c>
      <c r="H1699" s="221" t="str">
        <f ca="1">IFERROR(__xludf.DUMMYFUNCTION("""COMPUTED_VALUE"""),"CE")</f>
        <v>CE</v>
      </c>
      <c r="I1699" s="221" t="s">
        <v>4</v>
      </c>
      <c r="J1699" s="223">
        <v>500</v>
      </c>
      <c r="K1699" s="224">
        <v>1</v>
      </c>
      <c r="L1699" s="224">
        <v>1</v>
      </c>
      <c r="M1699" s="225">
        <f t="shared" si="864"/>
        <v>500</v>
      </c>
      <c r="N1699" s="226">
        <v>24.5</v>
      </c>
      <c r="O1699" s="227">
        <v>25</v>
      </c>
      <c r="P1699" s="228">
        <f t="shared" si="865"/>
        <v>12250</v>
      </c>
      <c r="Q1699" s="228">
        <f t="shared" si="866"/>
        <v>12500</v>
      </c>
      <c r="R1699" s="229">
        <f t="shared" si="867"/>
        <v>24750</v>
      </c>
      <c r="S1699" s="229">
        <f t="shared" si="868"/>
        <v>250</v>
      </c>
      <c r="T1699" s="229">
        <f t="shared" si="882"/>
        <v>40</v>
      </c>
      <c r="U1699" s="229">
        <f t="shared" si="870"/>
        <v>9.56</v>
      </c>
      <c r="V1699" s="229">
        <f t="shared" si="871"/>
        <v>6.25</v>
      </c>
      <c r="W1699" s="229">
        <f t="shared" si="872"/>
        <v>0.37</v>
      </c>
      <c r="X1699" s="229">
        <f t="shared" si="873"/>
        <v>13.12</v>
      </c>
      <c r="Y1699" s="229">
        <f t="shared" si="874"/>
        <v>0.02</v>
      </c>
      <c r="Z1699" s="229">
        <f t="shared" si="875"/>
        <v>69.319999999999993</v>
      </c>
      <c r="AA1699" s="230">
        <f t="shared" si="876"/>
        <v>180.68</v>
      </c>
      <c r="AB1699" s="231">
        <v>181.29</v>
      </c>
      <c r="AC1699" s="232">
        <f t="shared" si="877"/>
        <v>0.60999999999998522</v>
      </c>
      <c r="AD1699" s="233">
        <f t="shared" si="878"/>
        <v>2.0408163265306121E-2</v>
      </c>
      <c r="AE1699" s="234">
        <f t="shared" si="879"/>
        <v>2.8010000000000001E-3</v>
      </c>
      <c r="AF1699" s="229"/>
      <c r="AG1699" s="235" t="s">
        <v>416</v>
      </c>
      <c r="AH1699" s="124"/>
    </row>
    <row r="1700" spans="1:34" ht="12" hidden="1" customHeight="1">
      <c r="A1700" s="220">
        <v>44902</v>
      </c>
      <c r="B1700" s="221" t="s">
        <v>875</v>
      </c>
      <c r="C1700" s="7" t="s">
        <v>485</v>
      </c>
      <c r="D1700" s="221" t="str">
        <f t="shared" ca="1" si="863"/>
        <v>Stocks</v>
      </c>
      <c r="E1700" s="221" t="str">
        <f ca="1">IFERROR(__xludf.DUMMYFUNCTION("split(B1700,"" "")"),"ASIANPAINT")</f>
        <v>ASIANPAINT</v>
      </c>
      <c r="F1700" s="221" t="str">
        <f ca="1">IFERROR(__xludf.DUMMYFUNCTION("""COMPUTED_VALUE"""),"29!DEC")</f>
        <v>29!DEC</v>
      </c>
      <c r="G1700" s="221">
        <f ca="1">IFERROR(__xludf.DUMMYFUNCTION("""COMPUTED_VALUE"""),3200)</f>
        <v>3200</v>
      </c>
      <c r="H1700" s="221" t="str">
        <f ca="1">IFERROR(__xludf.DUMMYFUNCTION("""COMPUTED_VALUE"""),"CE")</f>
        <v>CE</v>
      </c>
      <c r="I1700" s="221" t="s">
        <v>4</v>
      </c>
      <c r="J1700" s="223">
        <v>200</v>
      </c>
      <c r="K1700" s="224">
        <v>1</v>
      </c>
      <c r="L1700" s="224">
        <v>1</v>
      </c>
      <c r="M1700" s="225">
        <f t="shared" si="864"/>
        <v>200</v>
      </c>
      <c r="N1700" s="226">
        <v>73</v>
      </c>
      <c r="O1700" s="227">
        <v>82</v>
      </c>
      <c r="P1700" s="228">
        <f t="shared" si="865"/>
        <v>14600</v>
      </c>
      <c r="Q1700" s="228">
        <f t="shared" si="866"/>
        <v>16400</v>
      </c>
      <c r="R1700" s="229">
        <f t="shared" si="867"/>
        <v>31000</v>
      </c>
      <c r="S1700" s="229">
        <f t="shared" si="868"/>
        <v>1800</v>
      </c>
      <c r="T1700" s="229">
        <f t="shared" ref="T1700:T1740" si="883">IF(AND(N1700&lt;&gt;0,O1700&lt;&gt;0,AG1700="Kotak"),0.01,IF(AND(N1700="",O1700=""),0,IF(N1700=0,0,G$1815*L1700)+IF(O1700=0,0,G$1815*L1700)))</f>
        <v>0.01</v>
      </c>
      <c r="U1700" s="229">
        <f t="shared" si="870"/>
        <v>2.96</v>
      </c>
      <c r="V1700" s="229">
        <f t="shared" si="871"/>
        <v>8.1999999999999993</v>
      </c>
      <c r="W1700" s="229">
        <f t="shared" si="872"/>
        <v>0.44</v>
      </c>
      <c r="X1700" s="229">
        <f t="shared" si="873"/>
        <v>16.43</v>
      </c>
      <c r="Y1700" s="229">
        <f t="shared" si="874"/>
        <v>0.03</v>
      </c>
      <c r="Z1700" s="229">
        <f t="shared" si="875"/>
        <v>28.07</v>
      </c>
      <c r="AA1700" s="230">
        <f t="shared" si="876"/>
        <v>1771.93</v>
      </c>
      <c r="AB1700" s="231">
        <v>1772.58</v>
      </c>
      <c r="AC1700" s="232">
        <f t="shared" si="877"/>
        <v>0.64999999999986358</v>
      </c>
      <c r="AD1700" s="233">
        <f t="shared" si="878"/>
        <v>0.12328767123287671</v>
      </c>
      <c r="AE1700" s="234">
        <f t="shared" si="879"/>
        <v>9.0499999999999999E-4</v>
      </c>
      <c r="AF1700" s="229"/>
      <c r="AG1700" s="235" t="s">
        <v>418</v>
      </c>
      <c r="AH1700" s="124"/>
    </row>
    <row r="1701" spans="1:34" ht="12" hidden="1" customHeight="1">
      <c r="A1701" s="220">
        <v>44903</v>
      </c>
      <c r="B1701" s="221" t="s">
        <v>876</v>
      </c>
      <c r="C1701" s="7" t="s">
        <v>485</v>
      </c>
      <c r="D1701" s="221" t="str">
        <f t="shared" ca="1" si="863"/>
        <v>Stocks</v>
      </c>
      <c r="E1701" s="221" t="str">
        <f ca="1">IFERROR(__xludf.DUMMYFUNCTION("split(B1701,"" "")"),"ICICIBANK")</f>
        <v>ICICIBANK</v>
      </c>
      <c r="F1701" s="221" t="str">
        <f ca="1">IFERROR(__xludf.DUMMYFUNCTION("""COMPUTED_VALUE"""),"29!DEC")</f>
        <v>29!DEC</v>
      </c>
      <c r="G1701" s="221">
        <f ca="1">IFERROR(__xludf.DUMMYFUNCTION("""COMPUTED_VALUE"""),930)</f>
        <v>930</v>
      </c>
      <c r="H1701" s="221" t="str">
        <f ca="1">IFERROR(__xludf.DUMMYFUNCTION("""COMPUTED_VALUE"""),"CE")</f>
        <v>CE</v>
      </c>
      <c r="I1701" s="221" t="s">
        <v>4</v>
      </c>
      <c r="J1701" s="223">
        <v>1375</v>
      </c>
      <c r="K1701" s="224">
        <v>1</v>
      </c>
      <c r="L1701" s="224">
        <v>1</v>
      </c>
      <c r="M1701" s="225">
        <f t="shared" si="864"/>
        <v>1375</v>
      </c>
      <c r="N1701" s="226">
        <v>19</v>
      </c>
      <c r="O1701" s="227">
        <v>20.75</v>
      </c>
      <c r="P1701" s="228">
        <f t="shared" si="865"/>
        <v>26125</v>
      </c>
      <c r="Q1701" s="228">
        <f t="shared" si="866"/>
        <v>28531.25</v>
      </c>
      <c r="R1701" s="229">
        <f t="shared" si="867"/>
        <v>54656.25</v>
      </c>
      <c r="S1701" s="229">
        <f t="shared" si="868"/>
        <v>2406.25</v>
      </c>
      <c r="T1701" s="229">
        <f t="shared" si="883"/>
        <v>0.01</v>
      </c>
      <c r="U1701" s="229">
        <f t="shared" si="870"/>
        <v>5.22</v>
      </c>
      <c r="V1701" s="229">
        <f t="shared" si="871"/>
        <v>14.27</v>
      </c>
      <c r="W1701" s="229">
        <f t="shared" si="872"/>
        <v>0.78</v>
      </c>
      <c r="X1701" s="229">
        <f t="shared" si="873"/>
        <v>28.97</v>
      </c>
      <c r="Y1701" s="229">
        <f t="shared" si="874"/>
        <v>0.05</v>
      </c>
      <c r="Z1701" s="229">
        <f t="shared" si="875"/>
        <v>49.3</v>
      </c>
      <c r="AA1701" s="230">
        <f t="shared" si="876"/>
        <v>2356.9499999999998</v>
      </c>
      <c r="AB1701" s="231">
        <v>2357.0100000000002</v>
      </c>
      <c r="AC1701" s="232">
        <f t="shared" si="877"/>
        <v>6.0000000000400178E-2</v>
      </c>
      <c r="AD1701" s="233">
        <f t="shared" si="878"/>
        <v>9.2105263157894732E-2</v>
      </c>
      <c r="AE1701" s="234">
        <f t="shared" si="879"/>
        <v>9.0200000000000002E-4</v>
      </c>
      <c r="AF1701" s="229"/>
      <c r="AG1701" s="235" t="s">
        <v>418</v>
      </c>
      <c r="AH1701" s="124"/>
    </row>
    <row r="1702" spans="1:34" ht="12" hidden="1" customHeight="1">
      <c r="A1702" s="154">
        <v>44904</v>
      </c>
      <c r="B1702" s="221" t="s">
        <v>877</v>
      </c>
      <c r="C1702" s="7" t="s">
        <v>485</v>
      </c>
      <c r="D1702" s="221" t="str">
        <f t="shared" ca="1" si="863"/>
        <v>Stocks</v>
      </c>
      <c r="E1702" s="221" t="str">
        <f ca="1">IFERROR(__xludf.DUMMYFUNCTION("split(B1702,"" "")"),"INFY")</f>
        <v>INFY</v>
      </c>
      <c r="F1702" s="221" t="str">
        <f ca="1">IFERROR(__xludf.DUMMYFUNCTION("""COMPUTED_VALUE"""),"29!DEC")</f>
        <v>29!DEC</v>
      </c>
      <c r="G1702" s="221">
        <f ca="1">IFERROR(__xludf.DUMMYFUNCTION("""COMPUTED_VALUE"""),1620)</f>
        <v>1620</v>
      </c>
      <c r="H1702" s="221" t="str">
        <f ca="1">IFERROR(__xludf.DUMMYFUNCTION("""COMPUTED_VALUE"""),"CE")</f>
        <v>CE</v>
      </c>
      <c r="I1702" s="221" t="s">
        <v>4</v>
      </c>
      <c r="J1702" s="223">
        <v>300</v>
      </c>
      <c r="K1702" s="224">
        <v>1</v>
      </c>
      <c r="L1702" s="224">
        <v>1</v>
      </c>
      <c r="M1702" s="225">
        <f t="shared" si="864"/>
        <v>300</v>
      </c>
      <c r="N1702" s="226">
        <v>34</v>
      </c>
      <c r="O1702" s="227">
        <v>0</v>
      </c>
      <c r="P1702" s="228">
        <f t="shared" si="865"/>
        <v>10200</v>
      </c>
      <c r="Q1702" s="228">
        <f t="shared" si="866"/>
        <v>0</v>
      </c>
      <c r="R1702" s="229">
        <f t="shared" si="867"/>
        <v>10200</v>
      </c>
      <c r="S1702" s="229">
        <f t="shared" si="868"/>
        <v>-10200</v>
      </c>
      <c r="T1702" s="229">
        <f t="shared" si="883"/>
        <v>20</v>
      </c>
      <c r="U1702" s="229">
        <f t="shared" si="870"/>
        <v>4.57</v>
      </c>
      <c r="V1702" s="229">
        <f t="shared" si="871"/>
        <v>0</v>
      </c>
      <c r="W1702" s="229">
        <f t="shared" si="872"/>
        <v>0.31</v>
      </c>
      <c r="X1702" s="229">
        <f t="shared" si="873"/>
        <v>5.41</v>
      </c>
      <c r="Y1702" s="229">
        <f t="shared" si="874"/>
        <v>0.01</v>
      </c>
      <c r="Z1702" s="229">
        <f t="shared" si="875"/>
        <v>30.3</v>
      </c>
      <c r="AA1702" s="230">
        <f t="shared" si="876"/>
        <v>-10230.299999999999</v>
      </c>
      <c r="AB1702" s="231">
        <v>-10230.6</v>
      </c>
      <c r="AC1702" s="232">
        <f t="shared" si="877"/>
        <v>-0.30000000000109139</v>
      </c>
      <c r="AD1702" s="233">
        <f t="shared" si="878"/>
        <v>-1</v>
      </c>
      <c r="AE1702" s="234">
        <f t="shared" si="879"/>
        <v>2.9710000000000001E-3</v>
      </c>
      <c r="AF1702" s="229"/>
      <c r="AG1702" s="235" t="s">
        <v>418</v>
      </c>
      <c r="AH1702" s="124"/>
    </row>
    <row r="1703" spans="1:34" ht="12" hidden="1" customHeight="1">
      <c r="A1703" s="155">
        <v>44908</v>
      </c>
      <c r="B1703" s="221" t="s">
        <v>877</v>
      </c>
      <c r="C1703" s="7" t="s">
        <v>485</v>
      </c>
      <c r="D1703" s="221" t="str">
        <f t="shared" ca="1" si="863"/>
        <v>Stocks</v>
      </c>
      <c r="E1703" s="221" t="str">
        <f ca="1">IFERROR(__xludf.DUMMYFUNCTION("split(B1703,"" "")"),"INFY")</f>
        <v>INFY</v>
      </c>
      <c r="F1703" s="221" t="str">
        <f ca="1">IFERROR(__xludf.DUMMYFUNCTION("""COMPUTED_VALUE"""),"29!DEC")</f>
        <v>29!DEC</v>
      </c>
      <c r="G1703" s="221">
        <f ca="1">IFERROR(__xludf.DUMMYFUNCTION("""COMPUTED_VALUE"""),1620)</f>
        <v>1620</v>
      </c>
      <c r="H1703" s="221" t="str">
        <f ca="1">IFERROR(__xludf.DUMMYFUNCTION("""COMPUTED_VALUE"""),"CE")</f>
        <v>CE</v>
      </c>
      <c r="I1703" s="221" t="s">
        <v>4</v>
      </c>
      <c r="J1703" s="223">
        <v>300</v>
      </c>
      <c r="K1703" s="224">
        <v>1</v>
      </c>
      <c r="L1703" s="224">
        <v>1</v>
      </c>
      <c r="M1703" s="225">
        <f t="shared" si="864"/>
        <v>300</v>
      </c>
      <c r="N1703" s="226">
        <v>0</v>
      </c>
      <c r="O1703" s="227">
        <v>9.3000000000000007</v>
      </c>
      <c r="P1703" s="228">
        <f t="shared" si="865"/>
        <v>0</v>
      </c>
      <c r="Q1703" s="228">
        <f t="shared" si="866"/>
        <v>2790</v>
      </c>
      <c r="R1703" s="229">
        <f t="shared" si="867"/>
        <v>2790</v>
      </c>
      <c r="S1703" s="229">
        <f t="shared" si="868"/>
        <v>2790</v>
      </c>
      <c r="T1703" s="229">
        <f t="shared" si="883"/>
        <v>20</v>
      </c>
      <c r="U1703" s="229">
        <f t="shared" si="870"/>
        <v>3.87</v>
      </c>
      <c r="V1703" s="229">
        <f t="shared" si="871"/>
        <v>1.4</v>
      </c>
      <c r="W1703" s="229">
        <f t="shared" si="872"/>
        <v>0</v>
      </c>
      <c r="X1703" s="229">
        <f t="shared" si="873"/>
        <v>1.48</v>
      </c>
      <c r="Y1703" s="229">
        <f t="shared" si="874"/>
        <v>0</v>
      </c>
      <c r="Z1703" s="229">
        <f t="shared" si="875"/>
        <v>26.75</v>
      </c>
      <c r="AA1703" s="230">
        <f t="shared" si="876"/>
        <v>2763.25</v>
      </c>
      <c r="AB1703" s="231">
        <v>2763</v>
      </c>
      <c r="AC1703" s="232">
        <f t="shared" si="877"/>
        <v>-0.25</v>
      </c>
      <c r="AD1703" s="233">
        <f t="shared" si="878"/>
        <v>0</v>
      </c>
      <c r="AE1703" s="234">
        <f t="shared" si="879"/>
        <v>9.5879999999999993E-3</v>
      </c>
      <c r="AF1703" s="229"/>
      <c r="AG1703" s="235" t="s">
        <v>418</v>
      </c>
      <c r="AH1703" s="124"/>
    </row>
    <row r="1704" spans="1:34" ht="12" hidden="1" customHeight="1">
      <c r="A1704" s="154">
        <v>44904</v>
      </c>
      <c r="B1704" s="221" t="s">
        <v>878</v>
      </c>
      <c r="C1704" s="7" t="s">
        <v>485</v>
      </c>
      <c r="D1704" s="221" t="str">
        <f t="shared" ca="1" si="863"/>
        <v>Stocks</v>
      </c>
      <c r="E1704" s="221" t="str">
        <f ca="1">IFERROR(__xludf.DUMMYFUNCTION("split(B1704,"" "")"),"WIPRO")</f>
        <v>WIPRO</v>
      </c>
      <c r="F1704" s="221" t="str">
        <f ca="1">IFERROR(__xludf.DUMMYFUNCTION("""COMPUTED_VALUE"""),"29!DEC")</f>
        <v>29!DEC</v>
      </c>
      <c r="G1704" s="221">
        <f ca="1">IFERROR(__xludf.DUMMYFUNCTION("""COMPUTED_VALUE"""),410)</f>
        <v>410</v>
      </c>
      <c r="H1704" s="221" t="str">
        <f ca="1">IFERROR(__xludf.DUMMYFUNCTION("""COMPUTED_VALUE"""),"CE")</f>
        <v>CE</v>
      </c>
      <c r="I1704" s="221" t="s">
        <v>4</v>
      </c>
      <c r="J1704" s="223">
        <v>1000</v>
      </c>
      <c r="K1704" s="224">
        <v>1</v>
      </c>
      <c r="L1704" s="224">
        <v>1</v>
      </c>
      <c r="M1704" s="225">
        <f t="shared" si="864"/>
        <v>1000</v>
      </c>
      <c r="N1704" s="226">
        <v>8</v>
      </c>
      <c r="O1704" s="227">
        <v>0</v>
      </c>
      <c r="P1704" s="228">
        <f t="shared" si="865"/>
        <v>8000</v>
      </c>
      <c r="Q1704" s="228">
        <f t="shared" si="866"/>
        <v>0</v>
      </c>
      <c r="R1704" s="229">
        <f t="shared" si="867"/>
        <v>8000</v>
      </c>
      <c r="S1704" s="229">
        <f t="shared" si="868"/>
        <v>-8000</v>
      </c>
      <c r="T1704" s="229">
        <f t="shared" si="883"/>
        <v>20</v>
      </c>
      <c r="U1704" s="229">
        <f t="shared" si="870"/>
        <v>4.3600000000000003</v>
      </c>
      <c r="V1704" s="229">
        <f t="shared" si="871"/>
        <v>0</v>
      </c>
      <c r="W1704" s="229">
        <f t="shared" si="872"/>
        <v>0.24</v>
      </c>
      <c r="X1704" s="229">
        <f t="shared" si="873"/>
        <v>4.24</v>
      </c>
      <c r="Y1704" s="229">
        <f t="shared" si="874"/>
        <v>0.01</v>
      </c>
      <c r="Z1704" s="229">
        <f t="shared" si="875"/>
        <v>28.849999999999998</v>
      </c>
      <c r="AA1704" s="230">
        <f t="shared" si="876"/>
        <v>-8028.85</v>
      </c>
      <c r="AB1704" s="231">
        <v>-8029</v>
      </c>
      <c r="AC1704" s="232">
        <f t="shared" si="877"/>
        <v>-0.1499999999996362</v>
      </c>
      <c r="AD1704" s="233">
        <f t="shared" si="878"/>
        <v>-1</v>
      </c>
      <c r="AE1704" s="234">
        <f t="shared" si="879"/>
        <v>3.6059999999999998E-3</v>
      </c>
      <c r="AF1704" s="229"/>
      <c r="AG1704" s="235" t="s">
        <v>418</v>
      </c>
      <c r="AH1704" s="124"/>
    </row>
    <row r="1705" spans="1:34" ht="12" hidden="1" customHeight="1">
      <c r="A1705" s="155">
        <v>44908</v>
      </c>
      <c r="B1705" s="221" t="s">
        <v>878</v>
      </c>
      <c r="C1705" s="7" t="s">
        <v>485</v>
      </c>
      <c r="D1705" s="221" t="str">
        <f t="shared" ca="1" si="863"/>
        <v>Stocks</v>
      </c>
      <c r="E1705" s="221" t="str">
        <f ca="1">IFERROR(__xludf.DUMMYFUNCTION("split(B1705,"" "")"),"WIPRO")</f>
        <v>WIPRO</v>
      </c>
      <c r="F1705" s="221" t="str">
        <f ca="1">IFERROR(__xludf.DUMMYFUNCTION("""COMPUTED_VALUE"""),"29!DEC")</f>
        <v>29!DEC</v>
      </c>
      <c r="G1705" s="221">
        <f ca="1">IFERROR(__xludf.DUMMYFUNCTION("""COMPUTED_VALUE"""),410)</f>
        <v>410</v>
      </c>
      <c r="H1705" s="221" t="str">
        <f ca="1">IFERROR(__xludf.DUMMYFUNCTION("""COMPUTED_VALUE"""),"CE")</f>
        <v>CE</v>
      </c>
      <c r="I1705" s="221" t="s">
        <v>4</v>
      </c>
      <c r="J1705" s="223">
        <v>1000</v>
      </c>
      <c r="K1705" s="224">
        <v>1</v>
      </c>
      <c r="L1705" s="224">
        <v>1</v>
      </c>
      <c r="M1705" s="225">
        <f t="shared" si="864"/>
        <v>1000</v>
      </c>
      <c r="N1705" s="226">
        <v>0</v>
      </c>
      <c r="O1705" s="227">
        <v>4</v>
      </c>
      <c r="P1705" s="228">
        <f t="shared" si="865"/>
        <v>0</v>
      </c>
      <c r="Q1705" s="228">
        <f t="shared" si="866"/>
        <v>4000</v>
      </c>
      <c r="R1705" s="229">
        <f t="shared" si="867"/>
        <v>4000</v>
      </c>
      <c r="S1705" s="229">
        <f t="shared" si="868"/>
        <v>4000</v>
      </c>
      <c r="T1705" s="229">
        <f t="shared" si="883"/>
        <v>20</v>
      </c>
      <c r="U1705" s="229">
        <f t="shared" si="870"/>
        <v>3.98</v>
      </c>
      <c r="V1705" s="229">
        <f t="shared" si="871"/>
        <v>2</v>
      </c>
      <c r="W1705" s="229">
        <f t="shared" si="872"/>
        <v>0</v>
      </c>
      <c r="X1705" s="229">
        <f t="shared" si="873"/>
        <v>2.12</v>
      </c>
      <c r="Y1705" s="229">
        <f t="shared" si="874"/>
        <v>0</v>
      </c>
      <c r="Z1705" s="229">
        <f t="shared" si="875"/>
        <v>28.1</v>
      </c>
      <c r="AA1705" s="230">
        <f t="shared" si="876"/>
        <v>3971.9</v>
      </c>
      <c r="AB1705" s="231">
        <v>3972.54</v>
      </c>
      <c r="AC1705" s="232">
        <f t="shared" si="877"/>
        <v>0.63999999999987267</v>
      </c>
      <c r="AD1705" s="233">
        <f t="shared" si="878"/>
        <v>0</v>
      </c>
      <c r="AE1705" s="234">
        <f t="shared" si="879"/>
        <v>7.025E-3</v>
      </c>
      <c r="AF1705" s="229"/>
      <c r="AG1705" s="235" t="s">
        <v>418</v>
      </c>
      <c r="AH1705" s="124"/>
    </row>
    <row r="1706" spans="1:34" ht="12" hidden="1" customHeight="1">
      <c r="A1706" s="220">
        <v>44910</v>
      </c>
      <c r="B1706" s="221" t="s">
        <v>879</v>
      </c>
      <c r="C1706" s="7" t="s">
        <v>485</v>
      </c>
      <c r="D1706" s="221" t="str">
        <f t="shared" ca="1" si="863"/>
        <v>Stocks</v>
      </c>
      <c r="E1706" s="221" t="str">
        <f ca="1">IFERROR(__xludf.DUMMYFUNCTION("split(B1706,"" "")"),"ICICIBANK")</f>
        <v>ICICIBANK</v>
      </c>
      <c r="F1706" s="221" t="str">
        <f ca="1">IFERROR(__xludf.DUMMYFUNCTION("""COMPUTED_VALUE"""),"29!DEC")</f>
        <v>29!DEC</v>
      </c>
      <c r="G1706" s="221">
        <f ca="1">IFERROR(__xludf.DUMMYFUNCTION("""COMPUTED_VALUE"""),920)</f>
        <v>920</v>
      </c>
      <c r="H1706" s="221" t="str">
        <f ca="1">IFERROR(__xludf.DUMMYFUNCTION("""COMPUTED_VALUE"""),"PE")</f>
        <v>PE</v>
      </c>
      <c r="I1706" s="221" t="s">
        <v>4</v>
      </c>
      <c r="J1706" s="223">
        <v>1375</v>
      </c>
      <c r="K1706" s="224">
        <v>1</v>
      </c>
      <c r="L1706" s="224">
        <v>3</v>
      </c>
      <c r="M1706" s="225">
        <f t="shared" si="864"/>
        <v>4125</v>
      </c>
      <c r="N1706" s="226">
        <v>13.25</v>
      </c>
      <c r="O1706" s="227">
        <v>13.783334</v>
      </c>
      <c r="P1706" s="228">
        <f t="shared" si="865"/>
        <v>54656.25</v>
      </c>
      <c r="Q1706" s="228">
        <f t="shared" si="866"/>
        <v>56856.25</v>
      </c>
      <c r="R1706" s="229">
        <f t="shared" si="867"/>
        <v>111512.5</v>
      </c>
      <c r="S1706" s="229">
        <f t="shared" si="868"/>
        <v>2200.0027500000001</v>
      </c>
      <c r="T1706" s="229">
        <f t="shared" si="883"/>
        <v>0.01</v>
      </c>
      <c r="U1706" s="229">
        <f t="shared" si="870"/>
        <v>10.64</v>
      </c>
      <c r="V1706" s="229">
        <f t="shared" si="871"/>
        <v>28.43</v>
      </c>
      <c r="W1706" s="229">
        <f t="shared" si="872"/>
        <v>1.64</v>
      </c>
      <c r="X1706" s="229">
        <f t="shared" si="873"/>
        <v>59.1</v>
      </c>
      <c r="Y1706" s="229">
        <f t="shared" si="874"/>
        <v>0.11</v>
      </c>
      <c r="Z1706" s="229">
        <f t="shared" si="875"/>
        <v>99.929999999999993</v>
      </c>
      <c r="AA1706" s="230">
        <f t="shared" si="876"/>
        <v>2100.0700000000002</v>
      </c>
      <c r="AB1706" s="231">
        <v>2100.13</v>
      </c>
      <c r="AC1706" s="232">
        <f t="shared" si="877"/>
        <v>5.999999999994543E-2</v>
      </c>
      <c r="AD1706" s="233">
        <f t="shared" si="878"/>
        <v>4.025162264150943E-2</v>
      </c>
      <c r="AE1706" s="234">
        <f t="shared" si="879"/>
        <v>8.9599999999999999E-4</v>
      </c>
      <c r="AF1706" s="229"/>
      <c r="AG1706" s="235" t="s">
        <v>418</v>
      </c>
      <c r="AH1706" s="124"/>
    </row>
    <row r="1707" spans="1:34" ht="12" hidden="1" customHeight="1">
      <c r="A1707" s="220">
        <v>44911</v>
      </c>
      <c r="B1707" s="221" t="s">
        <v>880</v>
      </c>
      <c r="C1707" s="7" t="s">
        <v>485</v>
      </c>
      <c r="D1707" s="221" t="str">
        <f t="shared" ca="1" si="863"/>
        <v>Stocks</v>
      </c>
      <c r="E1707" s="221" t="str">
        <f ca="1">IFERROR(__xludf.DUMMYFUNCTION("split(B1707,"" "")"),"JINDALSTEL")</f>
        <v>JINDALSTEL</v>
      </c>
      <c r="F1707" s="221" t="str">
        <f ca="1">IFERROR(__xludf.DUMMYFUNCTION("""COMPUTED_VALUE"""),"29!DEC")</f>
        <v>29!DEC</v>
      </c>
      <c r="G1707" s="221">
        <f ca="1">IFERROR(__xludf.DUMMYFUNCTION("""COMPUTED_VALUE"""),540)</f>
        <v>540</v>
      </c>
      <c r="H1707" s="221" t="str">
        <f ca="1">IFERROR(__xludf.DUMMYFUNCTION("""COMPUTED_VALUE"""),"PE")</f>
        <v>PE</v>
      </c>
      <c r="I1707" s="221" t="s">
        <v>4</v>
      </c>
      <c r="J1707" s="223">
        <v>1250</v>
      </c>
      <c r="K1707" s="224">
        <v>1</v>
      </c>
      <c r="L1707" s="224">
        <v>2</v>
      </c>
      <c r="M1707" s="225">
        <f t="shared" si="864"/>
        <v>2500</v>
      </c>
      <c r="N1707" s="226">
        <v>10.75</v>
      </c>
      <c r="O1707" s="227">
        <v>12.35</v>
      </c>
      <c r="P1707" s="228">
        <f t="shared" si="865"/>
        <v>26875</v>
      </c>
      <c r="Q1707" s="228">
        <f t="shared" si="866"/>
        <v>30875</v>
      </c>
      <c r="R1707" s="229">
        <f t="shared" si="867"/>
        <v>57750</v>
      </c>
      <c r="S1707" s="229">
        <f t="shared" si="868"/>
        <v>3999.9999999999991</v>
      </c>
      <c r="T1707" s="229">
        <f t="shared" si="883"/>
        <v>0.01</v>
      </c>
      <c r="U1707" s="229">
        <f t="shared" si="870"/>
        <v>5.51</v>
      </c>
      <c r="V1707" s="229">
        <f t="shared" si="871"/>
        <v>15.44</v>
      </c>
      <c r="W1707" s="229">
        <f t="shared" si="872"/>
        <v>0.81</v>
      </c>
      <c r="X1707" s="229">
        <f t="shared" si="873"/>
        <v>30.61</v>
      </c>
      <c r="Y1707" s="229">
        <f t="shared" si="874"/>
        <v>0.06</v>
      </c>
      <c r="Z1707" s="229">
        <f t="shared" si="875"/>
        <v>52.44</v>
      </c>
      <c r="AA1707" s="230">
        <f t="shared" si="876"/>
        <v>3947.56</v>
      </c>
      <c r="AB1707" s="231">
        <v>3947.81</v>
      </c>
      <c r="AC1707" s="232">
        <f t="shared" si="877"/>
        <v>0.25</v>
      </c>
      <c r="AD1707" s="233">
        <f t="shared" si="878"/>
        <v>0.14883720930232555</v>
      </c>
      <c r="AE1707" s="234">
        <f t="shared" si="879"/>
        <v>9.0799999999999995E-4</v>
      </c>
      <c r="AF1707" s="229"/>
      <c r="AG1707" s="235" t="s">
        <v>418</v>
      </c>
      <c r="AH1707" s="124"/>
    </row>
    <row r="1708" spans="1:34" ht="12" hidden="1" customHeight="1">
      <c r="A1708" s="220">
        <v>44914</v>
      </c>
      <c r="B1708" s="221" t="s">
        <v>881</v>
      </c>
      <c r="C1708" s="7" t="s">
        <v>485</v>
      </c>
      <c r="D1708" s="221" t="str">
        <f t="shared" ca="1" si="863"/>
        <v>Stocks</v>
      </c>
      <c r="E1708" s="221" t="str">
        <f ca="1">IFERROR(__xludf.DUMMYFUNCTION("split(B1708,"" "")"),"INDIACEM")</f>
        <v>INDIACEM</v>
      </c>
      <c r="F1708" s="221" t="str">
        <f ca="1">IFERROR(__xludf.DUMMYFUNCTION("""COMPUTED_VALUE"""),"29!DEC")</f>
        <v>29!DEC</v>
      </c>
      <c r="G1708" s="221">
        <f ca="1">IFERROR(__xludf.DUMMYFUNCTION("""COMPUTED_VALUE"""),230)</f>
        <v>230</v>
      </c>
      <c r="H1708" s="221" t="str">
        <f ca="1">IFERROR(__xludf.DUMMYFUNCTION("""COMPUTED_VALUE"""),"PE")</f>
        <v>PE</v>
      </c>
      <c r="I1708" s="221" t="s">
        <v>4</v>
      </c>
      <c r="J1708" s="223">
        <v>2900</v>
      </c>
      <c r="K1708" s="224">
        <v>1</v>
      </c>
      <c r="L1708" s="224">
        <v>1</v>
      </c>
      <c r="M1708" s="225">
        <f t="shared" si="864"/>
        <v>2900</v>
      </c>
      <c r="N1708" s="226">
        <v>6.5</v>
      </c>
      <c r="O1708" s="227">
        <v>5</v>
      </c>
      <c r="P1708" s="228">
        <f t="shared" si="865"/>
        <v>18850</v>
      </c>
      <c r="Q1708" s="228">
        <f t="shared" si="866"/>
        <v>14500</v>
      </c>
      <c r="R1708" s="229">
        <f t="shared" si="867"/>
        <v>33350</v>
      </c>
      <c r="S1708" s="229">
        <f t="shared" si="868"/>
        <v>-4350</v>
      </c>
      <c r="T1708" s="229">
        <f t="shared" si="883"/>
        <v>0.01</v>
      </c>
      <c r="U1708" s="229">
        <f t="shared" si="870"/>
        <v>3.18</v>
      </c>
      <c r="V1708" s="229">
        <f t="shared" si="871"/>
        <v>7.25</v>
      </c>
      <c r="W1708" s="229">
        <f t="shared" si="872"/>
        <v>0.56999999999999995</v>
      </c>
      <c r="X1708" s="229">
        <f t="shared" si="873"/>
        <v>17.68</v>
      </c>
      <c r="Y1708" s="229">
        <f t="shared" si="874"/>
        <v>0.03</v>
      </c>
      <c r="Z1708" s="229">
        <f t="shared" si="875"/>
        <v>28.72</v>
      </c>
      <c r="AA1708" s="230">
        <f t="shared" si="876"/>
        <v>-4378.72</v>
      </c>
      <c r="AB1708" s="231">
        <v>-4378.8999999999996</v>
      </c>
      <c r="AC1708" s="232">
        <f t="shared" si="877"/>
        <v>-0.17999999999938154</v>
      </c>
      <c r="AD1708" s="233">
        <f t="shared" si="878"/>
        <v>-0.23076923076923078</v>
      </c>
      <c r="AE1708" s="234">
        <f t="shared" si="879"/>
        <v>8.61E-4</v>
      </c>
      <c r="AF1708" s="229"/>
      <c r="AG1708" s="235" t="s">
        <v>418</v>
      </c>
      <c r="AH1708" s="124"/>
    </row>
    <row r="1709" spans="1:34" ht="12" hidden="1" customHeight="1">
      <c r="A1709" s="220">
        <v>44915</v>
      </c>
      <c r="B1709" s="221" t="s">
        <v>882</v>
      </c>
      <c r="C1709" s="7" t="s">
        <v>485</v>
      </c>
      <c r="D1709" s="221" t="str">
        <f t="shared" ca="1" si="863"/>
        <v>Indices</v>
      </c>
      <c r="E1709" s="221" t="str">
        <f ca="1">IFERROR(__xludf.DUMMYFUNCTION("split(B1709,"" "")"),"NIFTY")</f>
        <v>NIFTY</v>
      </c>
      <c r="F1709" s="236" t="str">
        <f ca="1">IFERROR(__xludf.DUMMYFUNCTION("""COMPUTED_VALUE"""),"29!DEC")</f>
        <v>29!DEC</v>
      </c>
      <c r="G1709" s="221">
        <f ca="1">IFERROR(__xludf.DUMMYFUNCTION("""COMPUTED_VALUE"""),18200)</f>
        <v>18200</v>
      </c>
      <c r="H1709" s="221" t="str">
        <f ca="1">IFERROR(__xludf.DUMMYFUNCTION("""COMPUTED_VALUE"""),"CE")</f>
        <v>CE</v>
      </c>
      <c r="I1709" s="221" t="s">
        <v>4</v>
      </c>
      <c r="J1709" s="223">
        <v>50</v>
      </c>
      <c r="K1709" s="224">
        <v>1</v>
      </c>
      <c r="L1709" s="224">
        <v>1</v>
      </c>
      <c r="M1709" s="225">
        <f t="shared" si="864"/>
        <v>50</v>
      </c>
      <c r="N1709" s="226">
        <v>188</v>
      </c>
      <c r="O1709" s="227">
        <v>200</v>
      </c>
      <c r="P1709" s="228">
        <f t="shared" si="865"/>
        <v>9400</v>
      </c>
      <c r="Q1709" s="228">
        <f t="shared" si="866"/>
        <v>10000</v>
      </c>
      <c r="R1709" s="229">
        <f t="shared" si="867"/>
        <v>19400</v>
      </c>
      <c r="S1709" s="229">
        <f t="shared" si="868"/>
        <v>600</v>
      </c>
      <c r="T1709" s="229">
        <f t="shared" si="883"/>
        <v>0.01</v>
      </c>
      <c r="U1709" s="229">
        <f t="shared" si="870"/>
        <v>1.85</v>
      </c>
      <c r="V1709" s="229">
        <f t="shared" si="871"/>
        <v>5</v>
      </c>
      <c r="W1709" s="229">
        <f t="shared" si="872"/>
        <v>0.28000000000000003</v>
      </c>
      <c r="X1709" s="229">
        <f t="shared" si="873"/>
        <v>10.28</v>
      </c>
      <c r="Y1709" s="229">
        <f t="shared" si="874"/>
        <v>0.02</v>
      </c>
      <c r="Z1709" s="229">
        <f t="shared" si="875"/>
        <v>17.440000000000001</v>
      </c>
      <c r="AA1709" s="230">
        <f t="shared" si="876"/>
        <v>582.55999999999995</v>
      </c>
      <c r="AB1709" s="231">
        <v>582.85</v>
      </c>
      <c r="AC1709" s="232">
        <f t="shared" si="877"/>
        <v>0.29000000000007731</v>
      </c>
      <c r="AD1709" s="233">
        <f t="shared" si="878"/>
        <v>6.3829787234042548E-2</v>
      </c>
      <c r="AE1709" s="234">
        <f t="shared" si="879"/>
        <v>8.9899999999999995E-4</v>
      </c>
      <c r="AF1709" s="229"/>
      <c r="AG1709" s="235" t="s">
        <v>418</v>
      </c>
      <c r="AH1709" s="124"/>
    </row>
    <row r="1710" spans="1:34" ht="12" hidden="1" customHeight="1">
      <c r="A1710" s="154">
        <v>44916</v>
      </c>
      <c r="B1710" s="221" t="s">
        <v>883</v>
      </c>
      <c r="C1710" s="7" t="s">
        <v>485</v>
      </c>
      <c r="D1710" s="221" t="str">
        <f t="shared" ca="1" si="863"/>
        <v>Stocks</v>
      </c>
      <c r="E1710" s="221" t="str">
        <f ca="1">IFERROR(__xludf.DUMMYFUNCTION("split(B1710,"" "")"),"HDFCBANK")</f>
        <v>HDFCBANK</v>
      </c>
      <c r="F1710" s="221" t="str">
        <f ca="1">IFERROR(__xludf.DUMMYFUNCTION("""COMPUTED_VALUE"""),"29!DEC")</f>
        <v>29!DEC</v>
      </c>
      <c r="G1710" s="221">
        <f ca="1">IFERROR(__xludf.DUMMYFUNCTION("""COMPUTED_VALUE"""),1640)</f>
        <v>1640</v>
      </c>
      <c r="H1710" s="221" t="str">
        <f ca="1">IFERROR(__xludf.DUMMYFUNCTION("""COMPUTED_VALUE"""),"CE")</f>
        <v>CE</v>
      </c>
      <c r="I1710" s="221" t="s">
        <v>4</v>
      </c>
      <c r="J1710" s="223">
        <v>550</v>
      </c>
      <c r="K1710" s="224">
        <v>1</v>
      </c>
      <c r="L1710" s="224">
        <v>2</v>
      </c>
      <c r="M1710" s="225">
        <f t="shared" si="864"/>
        <v>1100</v>
      </c>
      <c r="N1710" s="226">
        <v>16.625</v>
      </c>
      <c r="O1710" s="227">
        <v>0</v>
      </c>
      <c r="P1710" s="228">
        <f t="shared" si="865"/>
        <v>18287.5</v>
      </c>
      <c r="Q1710" s="228">
        <f t="shared" si="866"/>
        <v>0</v>
      </c>
      <c r="R1710" s="229">
        <f t="shared" si="867"/>
        <v>18287.5</v>
      </c>
      <c r="S1710" s="229">
        <f t="shared" si="868"/>
        <v>-18287.5</v>
      </c>
      <c r="T1710" s="229">
        <f t="shared" si="883"/>
        <v>40</v>
      </c>
      <c r="U1710" s="229">
        <f t="shared" si="870"/>
        <v>8.94</v>
      </c>
      <c r="V1710" s="229">
        <f t="shared" si="871"/>
        <v>0</v>
      </c>
      <c r="W1710" s="229">
        <f t="shared" si="872"/>
        <v>0.55000000000000004</v>
      </c>
      <c r="X1710" s="229">
        <f t="shared" si="873"/>
        <v>9.69</v>
      </c>
      <c r="Y1710" s="229">
        <f t="shared" si="874"/>
        <v>0.02</v>
      </c>
      <c r="Z1710" s="229">
        <f t="shared" si="875"/>
        <v>59.199999999999996</v>
      </c>
      <c r="AA1710" s="230">
        <f t="shared" si="876"/>
        <v>-18346.7</v>
      </c>
      <c r="AB1710" s="231">
        <v>-18347.16</v>
      </c>
      <c r="AC1710" s="232">
        <f t="shared" si="877"/>
        <v>-0.45999999999912689</v>
      </c>
      <c r="AD1710" s="233">
        <f t="shared" si="878"/>
        <v>-1</v>
      </c>
      <c r="AE1710" s="234">
        <f t="shared" si="879"/>
        <v>3.2369999999999999E-3</v>
      </c>
      <c r="AF1710" s="229"/>
      <c r="AG1710" s="235" t="s">
        <v>418</v>
      </c>
      <c r="AH1710" s="124"/>
    </row>
    <row r="1711" spans="1:34" ht="12" hidden="1" customHeight="1">
      <c r="A1711" s="155">
        <v>44917</v>
      </c>
      <c r="B1711" s="221" t="s">
        <v>883</v>
      </c>
      <c r="C1711" s="7" t="s">
        <v>485</v>
      </c>
      <c r="D1711" s="221" t="str">
        <f t="shared" ca="1" si="863"/>
        <v>Stocks</v>
      </c>
      <c r="E1711" s="221" t="str">
        <f ca="1">IFERROR(__xludf.DUMMYFUNCTION("split(B1711,"" "")"),"HDFCBANK")</f>
        <v>HDFCBANK</v>
      </c>
      <c r="F1711" s="221" t="str">
        <f ca="1">IFERROR(__xludf.DUMMYFUNCTION("""COMPUTED_VALUE"""),"29!DEC")</f>
        <v>29!DEC</v>
      </c>
      <c r="G1711" s="221">
        <f ca="1">IFERROR(__xludf.DUMMYFUNCTION("""COMPUTED_VALUE"""),1640)</f>
        <v>1640</v>
      </c>
      <c r="H1711" s="221" t="str">
        <f ca="1">IFERROR(__xludf.DUMMYFUNCTION("""COMPUTED_VALUE"""),"CE")</f>
        <v>CE</v>
      </c>
      <c r="I1711" s="221" t="s">
        <v>4</v>
      </c>
      <c r="J1711" s="223">
        <v>550</v>
      </c>
      <c r="K1711" s="224">
        <v>2</v>
      </c>
      <c r="L1711" s="224">
        <v>1</v>
      </c>
      <c r="M1711" s="225">
        <f t="shared" si="864"/>
        <v>1100</v>
      </c>
      <c r="N1711" s="226">
        <v>0</v>
      </c>
      <c r="O1711" s="227">
        <v>8</v>
      </c>
      <c r="P1711" s="228">
        <f t="shared" si="865"/>
        <v>0</v>
      </c>
      <c r="Q1711" s="228">
        <f t="shared" si="866"/>
        <v>8800</v>
      </c>
      <c r="R1711" s="229">
        <f t="shared" si="867"/>
        <v>8800</v>
      </c>
      <c r="S1711" s="229">
        <f t="shared" si="868"/>
        <v>8800</v>
      </c>
      <c r="T1711" s="229">
        <f t="shared" si="883"/>
        <v>20</v>
      </c>
      <c r="U1711" s="229">
        <f t="shared" si="870"/>
        <v>4.4400000000000004</v>
      </c>
      <c r="V1711" s="229">
        <f t="shared" si="871"/>
        <v>4.4000000000000004</v>
      </c>
      <c r="W1711" s="229">
        <f t="shared" si="872"/>
        <v>0</v>
      </c>
      <c r="X1711" s="229">
        <f t="shared" si="873"/>
        <v>4.66</v>
      </c>
      <c r="Y1711" s="229">
        <f t="shared" si="874"/>
        <v>0.01</v>
      </c>
      <c r="Z1711" s="229">
        <f t="shared" si="875"/>
        <v>33.51</v>
      </c>
      <c r="AA1711" s="230">
        <f t="shared" si="876"/>
        <v>8766.49</v>
      </c>
      <c r="AB1711" s="231">
        <v>8766.89</v>
      </c>
      <c r="AC1711" s="232">
        <f t="shared" si="877"/>
        <v>0.3999999999996362</v>
      </c>
      <c r="AD1711" s="233">
        <f t="shared" si="878"/>
        <v>0</v>
      </c>
      <c r="AE1711" s="234">
        <f t="shared" si="879"/>
        <v>3.8080000000000002E-3</v>
      </c>
      <c r="AF1711" s="229"/>
      <c r="AG1711" s="235" t="s">
        <v>418</v>
      </c>
      <c r="AH1711" s="124"/>
    </row>
    <row r="1712" spans="1:34" ht="12" hidden="1" customHeight="1">
      <c r="A1712" s="220">
        <v>44918</v>
      </c>
      <c r="B1712" s="221" t="s">
        <v>884</v>
      </c>
      <c r="C1712" s="7" t="s">
        <v>485</v>
      </c>
      <c r="D1712" s="221" t="str">
        <f t="shared" ca="1" si="863"/>
        <v>Stocks</v>
      </c>
      <c r="E1712" s="221" t="str">
        <f ca="1">IFERROR(__xludf.DUMMYFUNCTION("split(B1712,"" "")"),"WIPRO")</f>
        <v>WIPRO</v>
      </c>
      <c r="F1712" s="221" t="str">
        <f ca="1">IFERROR(__xludf.DUMMYFUNCTION("""COMPUTED_VALUE"""),"29!DEC")</f>
        <v>29!DEC</v>
      </c>
      <c r="G1712" s="221">
        <f ca="1">IFERROR(__xludf.DUMMYFUNCTION("""COMPUTED_VALUE"""),390)</f>
        <v>390</v>
      </c>
      <c r="H1712" s="221" t="str">
        <f ca="1">IFERROR(__xludf.DUMMYFUNCTION("""COMPUTED_VALUE"""),"PE")</f>
        <v>PE</v>
      </c>
      <c r="I1712" s="221" t="s">
        <v>4</v>
      </c>
      <c r="J1712" s="223">
        <v>1000</v>
      </c>
      <c r="K1712" s="224">
        <v>1</v>
      </c>
      <c r="L1712" s="224">
        <v>1</v>
      </c>
      <c r="M1712" s="225">
        <f t="shared" si="864"/>
        <v>1000</v>
      </c>
      <c r="N1712" s="226">
        <v>6</v>
      </c>
      <c r="O1712" s="227">
        <v>9.5</v>
      </c>
      <c r="P1712" s="228">
        <f t="shared" si="865"/>
        <v>6000</v>
      </c>
      <c r="Q1712" s="228">
        <f t="shared" si="866"/>
        <v>9500</v>
      </c>
      <c r="R1712" s="229">
        <f t="shared" si="867"/>
        <v>15500</v>
      </c>
      <c r="S1712" s="229">
        <f t="shared" si="868"/>
        <v>3500</v>
      </c>
      <c r="T1712" s="229">
        <f t="shared" si="883"/>
        <v>0.01</v>
      </c>
      <c r="U1712" s="229">
        <f t="shared" si="870"/>
        <v>1.48</v>
      </c>
      <c r="V1712" s="229">
        <f t="shared" si="871"/>
        <v>4.75</v>
      </c>
      <c r="W1712" s="229">
        <f t="shared" si="872"/>
        <v>0.18</v>
      </c>
      <c r="X1712" s="229">
        <f t="shared" si="873"/>
        <v>8.2200000000000006</v>
      </c>
      <c r="Y1712" s="229">
        <f t="shared" si="874"/>
        <v>0.02</v>
      </c>
      <c r="Z1712" s="229">
        <f t="shared" si="875"/>
        <v>14.66</v>
      </c>
      <c r="AA1712" s="230">
        <f t="shared" si="876"/>
        <v>3485.34</v>
      </c>
      <c r="AB1712" s="231">
        <v>3485.24</v>
      </c>
      <c r="AC1712" s="232">
        <f t="shared" si="877"/>
        <v>-0.1000000000003638</v>
      </c>
      <c r="AD1712" s="233">
        <f t="shared" si="878"/>
        <v>0.58333333333333337</v>
      </c>
      <c r="AE1712" s="234">
        <f t="shared" si="879"/>
        <v>9.4600000000000001E-4</v>
      </c>
      <c r="AF1712" s="229"/>
      <c r="AG1712" s="235" t="s">
        <v>418</v>
      </c>
      <c r="AH1712" s="124"/>
    </row>
    <row r="1713" spans="1:34" ht="12" hidden="1" customHeight="1">
      <c r="A1713" s="220">
        <v>44918</v>
      </c>
      <c r="B1713" s="221" t="s">
        <v>885</v>
      </c>
      <c r="C1713" s="7" t="s">
        <v>485</v>
      </c>
      <c r="D1713" s="221" t="str">
        <f t="shared" ca="1" si="863"/>
        <v>Stocks</v>
      </c>
      <c r="E1713" s="221" t="str">
        <f ca="1">IFERROR(__xludf.DUMMYFUNCTION("split(B1713,"" "")"),"HAVELLS")</f>
        <v>HAVELLS</v>
      </c>
      <c r="F1713" s="221" t="str">
        <f ca="1">IFERROR(__xludf.DUMMYFUNCTION("""COMPUTED_VALUE"""),"29!DEC")</f>
        <v>29!DEC</v>
      </c>
      <c r="G1713" s="221">
        <f ca="1">IFERROR(__xludf.DUMMYFUNCTION("""COMPUTED_VALUE"""),1180)</f>
        <v>1180</v>
      </c>
      <c r="H1713" s="221" t="str">
        <f ca="1">IFERROR(__xludf.DUMMYFUNCTION("""COMPUTED_VALUE"""),"CE")</f>
        <v>CE</v>
      </c>
      <c r="I1713" s="221" t="s">
        <v>4</v>
      </c>
      <c r="J1713" s="223">
        <v>500</v>
      </c>
      <c r="K1713" s="224">
        <v>1</v>
      </c>
      <c r="L1713" s="224">
        <v>1</v>
      </c>
      <c r="M1713" s="225">
        <f t="shared" si="864"/>
        <v>500</v>
      </c>
      <c r="N1713" s="226">
        <v>1.65</v>
      </c>
      <c r="O1713" s="227">
        <v>1.7</v>
      </c>
      <c r="P1713" s="228">
        <f t="shared" si="865"/>
        <v>825</v>
      </c>
      <c r="Q1713" s="228">
        <f t="shared" si="866"/>
        <v>850</v>
      </c>
      <c r="R1713" s="229">
        <f t="shared" si="867"/>
        <v>1675</v>
      </c>
      <c r="S1713" s="229">
        <f t="shared" si="868"/>
        <v>25.000000000000021</v>
      </c>
      <c r="T1713" s="229">
        <f t="shared" si="883"/>
        <v>0.01</v>
      </c>
      <c r="U1713" s="229">
        <f t="shared" si="870"/>
        <v>0.16</v>
      </c>
      <c r="V1713" s="229">
        <f t="shared" si="871"/>
        <v>0.43</v>
      </c>
      <c r="W1713" s="229">
        <f t="shared" si="872"/>
        <v>0.02</v>
      </c>
      <c r="X1713" s="229">
        <f t="shared" si="873"/>
        <v>0.89</v>
      </c>
      <c r="Y1713" s="229">
        <f t="shared" si="874"/>
        <v>0</v>
      </c>
      <c r="Z1713" s="229">
        <f t="shared" si="875"/>
        <v>1.51</v>
      </c>
      <c r="AA1713" s="230">
        <f t="shared" si="876"/>
        <v>23.49</v>
      </c>
      <c r="AB1713" s="231">
        <v>24</v>
      </c>
      <c r="AC1713" s="232">
        <f t="shared" si="877"/>
        <v>0.51000000000000156</v>
      </c>
      <c r="AD1713" s="233">
        <f t="shared" si="878"/>
        <v>3.0303030303030332E-2</v>
      </c>
      <c r="AE1713" s="234">
        <f t="shared" si="879"/>
        <v>9.01E-4</v>
      </c>
      <c r="AF1713" s="229"/>
      <c r="AG1713" s="235" t="s">
        <v>418</v>
      </c>
      <c r="AH1713" s="124"/>
    </row>
    <row r="1714" spans="1:34" ht="12" hidden="1" customHeight="1">
      <c r="A1714" s="220">
        <v>44921</v>
      </c>
      <c r="B1714" s="221" t="s">
        <v>886</v>
      </c>
      <c r="C1714" s="7" t="s">
        <v>485</v>
      </c>
      <c r="D1714" s="221" t="str">
        <f t="shared" ca="1" si="863"/>
        <v>Stocks</v>
      </c>
      <c r="E1714" s="221" t="str">
        <f ca="1">IFERROR(__xludf.DUMMYFUNCTION("split(B1714,"" "")"),"TATAMOTORS")</f>
        <v>TATAMOTORS</v>
      </c>
      <c r="F1714" s="221" t="str">
        <f ca="1">IFERROR(__xludf.DUMMYFUNCTION("""COMPUTED_VALUE"""),"29!DEC")</f>
        <v>29!DEC</v>
      </c>
      <c r="G1714" s="221">
        <f ca="1">IFERROR(__xludf.DUMMYFUNCTION("""COMPUTED_VALUE"""),380)</f>
        <v>380</v>
      </c>
      <c r="H1714" s="221" t="str">
        <f ca="1">IFERROR(__xludf.DUMMYFUNCTION("""COMPUTED_VALUE"""),"CE")</f>
        <v>CE</v>
      </c>
      <c r="I1714" s="221" t="s">
        <v>4</v>
      </c>
      <c r="J1714" s="223">
        <v>1425</v>
      </c>
      <c r="K1714" s="224">
        <v>1</v>
      </c>
      <c r="L1714" s="224">
        <v>1</v>
      </c>
      <c r="M1714" s="225">
        <f t="shared" si="864"/>
        <v>1425</v>
      </c>
      <c r="N1714" s="226">
        <v>6</v>
      </c>
      <c r="O1714" s="227">
        <v>6.6</v>
      </c>
      <c r="P1714" s="228">
        <f t="shared" si="865"/>
        <v>8550</v>
      </c>
      <c r="Q1714" s="228">
        <f t="shared" si="866"/>
        <v>9405</v>
      </c>
      <c r="R1714" s="229">
        <f t="shared" si="867"/>
        <v>17955</v>
      </c>
      <c r="S1714" s="229">
        <f t="shared" si="868"/>
        <v>854.99999999999955</v>
      </c>
      <c r="T1714" s="229">
        <f t="shared" si="883"/>
        <v>0.01</v>
      </c>
      <c r="U1714" s="229">
        <f t="shared" si="870"/>
        <v>1.72</v>
      </c>
      <c r="V1714" s="229">
        <f t="shared" si="871"/>
        <v>4.7</v>
      </c>
      <c r="W1714" s="229">
        <f t="shared" si="872"/>
        <v>0.26</v>
      </c>
      <c r="X1714" s="229">
        <f t="shared" si="873"/>
        <v>9.52</v>
      </c>
      <c r="Y1714" s="229">
        <f t="shared" si="874"/>
        <v>0.02</v>
      </c>
      <c r="Z1714" s="229">
        <f t="shared" si="875"/>
        <v>16.23</v>
      </c>
      <c r="AA1714" s="230">
        <f t="shared" si="876"/>
        <v>838.77</v>
      </c>
      <c r="AB1714" s="231">
        <v>838.75</v>
      </c>
      <c r="AC1714" s="232">
        <f t="shared" si="877"/>
        <v>-1.999999999998181E-2</v>
      </c>
      <c r="AD1714" s="233">
        <f t="shared" si="878"/>
        <v>9.9999999999999936E-2</v>
      </c>
      <c r="AE1714" s="234">
        <f t="shared" si="879"/>
        <v>9.0399999999999996E-4</v>
      </c>
      <c r="AF1714" s="229"/>
      <c r="AG1714" s="235" t="s">
        <v>418</v>
      </c>
      <c r="AH1714" s="124"/>
    </row>
    <row r="1715" spans="1:34" ht="12" hidden="1" customHeight="1">
      <c r="A1715" s="220">
        <v>44922</v>
      </c>
      <c r="B1715" s="221" t="s">
        <v>887</v>
      </c>
      <c r="C1715" s="7" t="s">
        <v>485</v>
      </c>
      <c r="D1715" s="221" t="str">
        <f t="shared" ca="1" si="863"/>
        <v>Stocks</v>
      </c>
      <c r="E1715" s="221" t="str">
        <f ca="1">IFERROR(__xludf.DUMMYFUNCTION("split(B1715,"" "")"),"DLF")</f>
        <v>DLF</v>
      </c>
      <c r="F1715" s="221" t="str">
        <f ca="1">IFERROR(__xludf.DUMMYFUNCTION("""COMPUTED_VALUE"""),"29!DEC")</f>
        <v>29!DEC</v>
      </c>
      <c r="G1715" s="221">
        <f ca="1">IFERROR(__xludf.DUMMYFUNCTION("""COMPUTED_VALUE"""),370)</f>
        <v>370</v>
      </c>
      <c r="H1715" s="221" t="str">
        <f ca="1">IFERROR(__xludf.DUMMYFUNCTION("""COMPUTED_VALUE"""),"PE")</f>
        <v>PE</v>
      </c>
      <c r="I1715" s="221" t="s">
        <v>4</v>
      </c>
      <c r="J1715" s="223">
        <v>1650</v>
      </c>
      <c r="K1715" s="224">
        <v>1</v>
      </c>
      <c r="L1715" s="224">
        <v>3</v>
      </c>
      <c r="M1715" s="225">
        <f t="shared" si="864"/>
        <v>4950</v>
      </c>
      <c r="N1715" s="226">
        <v>4.4832999999999998</v>
      </c>
      <c r="O1715" s="227">
        <v>4.7332999999999998</v>
      </c>
      <c r="P1715" s="228">
        <f t="shared" si="865"/>
        <v>22192.34</v>
      </c>
      <c r="Q1715" s="228">
        <f t="shared" si="866"/>
        <v>23429.84</v>
      </c>
      <c r="R1715" s="229">
        <f t="shared" si="867"/>
        <v>45622.18</v>
      </c>
      <c r="S1715" s="229">
        <f t="shared" si="868"/>
        <v>1237.5</v>
      </c>
      <c r="T1715" s="229">
        <f t="shared" si="883"/>
        <v>0.01</v>
      </c>
      <c r="U1715" s="229">
        <f t="shared" si="870"/>
        <v>4.3499999999999996</v>
      </c>
      <c r="V1715" s="229">
        <f t="shared" si="871"/>
        <v>11.71</v>
      </c>
      <c r="W1715" s="229">
        <f t="shared" si="872"/>
        <v>0.67</v>
      </c>
      <c r="X1715" s="229">
        <f t="shared" si="873"/>
        <v>24.18</v>
      </c>
      <c r="Y1715" s="229">
        <f t="shared" si="874"/>
        <v>0.05</v>
      </c>
      <c r="Z1715" s="229">
        <f t="shared" si="875"/>
        <v>40.97</v>
      </c>
      <c r="AA1715" s="230">
        <f t="shared" si="876"/>
        <v>1196.53</v>
      </c>
      <c r="AB1715" s="231">
        <v>1195.9100000000001</v>
      </c>
      <c r="AC1715" s="232">
        <f t="shared" si="877"/>
        <v>-0.61999999999989086</v>
      </c>
      <c r="AD1715" s="233">
        <f t="shared" si="878"/>
        <v>5.5762496375437738E-2</v>
      </c>
      <c r="AE1715" s="234">
        <f t="shared" si="879"/>
        <v>8.9800000000000004E-4</v>
      </c>
      <c r="AF1715" s="229"/>
      <c r="AG1715" s="235" t="s">
        <v>418</v>
      </c>
      <c r="AH1715" s="124"/>
    </row>
    <row r="1716" spans="1:34" ht="12" hidden="1" customHeight="1">
      <c r="A1716" s="154">
        <v>44923</v>
      </c>
      <c r="B1716" s="221" t="s">
        <v>888</v>
      </c>
      <c r="C1716" s="7" t="s">
        <v>485</v>
      </c>
      <c r="D1716" s="221" t="str">
        <f t="shared" ca="1" si="863"/>
        <v>Stocks</v>
      </c>
      <c r="E1716" s="221" t="str">
        <f ca="1">IFERROR(__xludf.DUMMYFUNCTION("split(B1716,"" "")"),"WIPRO")</f>
        <v>WIPRO</v>
      </c>
      <c r="F1716" s="221" t="str">
        <f ca="1">IFERROR(__xludf.DUMMYFUNCTION("""COMPUTED_VALUE"""),"25!JAN")</f>
        <v>25!JAN</v>
      </c>
      <c r="G1716" s="221">
        <f ca="1">IFERROR(__xludf.DUMMYFUNCTION("""COMPUTED_VALUE"""),385)</f>
        <v>385</v>
      </c>
      <c r="H1716" s="221" t="str">
        <f ca="1">IFERROR(__xludf.DUMMYFUNCTION("""COMPUTED_VALUE"""),"PE")</f>
        <v>PE</v>
      </c>
      <c r="I1716" s="221" t="s">
        <v>4</v>
      </c>
      <c r="J1716" s="223">
        <v>1500</v>
      </c>
      <c r="K1716" s="224">
        <v>1</v>
      </c>
      <c r="L1716" s="224">
        <v>1</v>
      </c>
      <c r="M1716" s="225">
        <f t="shared" si="864"/>
        <v>1500</v>
      </c>
      <c r="N1716" s="226">
        <v>11.25</v>
      </c>
      <c r="O1716" s="227">
        <v>0</v>
      </c>
      <c r="P1716" s="228">
        <f t="shared" si="865"/>
        <v>16875</v>
      </c>
      <c r="Q1716" s="228">
        <f t="shared" si="866"/>
        <v>0</v>
      </c>
      <c r="R1716" s="229">
        <f t="shared" si="867"/>
        <v>16875</v>
      </c>
      <c r="S1716" s="229">
        <f t="shared" si="868"/>
        <v>-16875</v>
      </c>
      <c r="T1716" s="229">
        <f t="shared" si="883"/>
        <v>20</v>
      </c>
      <c r="U1716" s="229">
        <f t="shared" si="870"/>
        <v>5.21</v>
      </c>
      <c r="V1716" s="229">
        <f t="shared" si="871"/>
        <v>0</v>
      </c>
      <c r="W1716" s="229">
        <f t="shared" si="872"/>
        <v>0.51</v>
      </c>
      <c r="X1716" s="229">
        <f t="shared" si="873"/>
        <v>8.94</v>
      </c>
      <c r="Y1716" s="229">
        <f t="shared" si="874"/>
        <v>0.02</v>
      </c>
      <c r="Z1716" s="229">
        <f t="shared" si="875"/>
        <v>34.680000000000007</v>
      </c>
      <c r="AA1716" s="230">
        <f t="shared" si="876"/>
        <v>-16909.68</v>
      </c>
      <c r="AB1716" s="231">
        <v>-16910.169999999998</v>
      </c>
      <c r="AC1716" s="232">
        <f t="shared" si="877"/>
        <v>-0.48999999999796273</v>
      </c>
      <c r="AD1716" s="233">
        <f t="shared" si="878"/>
        <v>-1</v>
      </c>
      <c r="AE1716" s="234">
        <f t="shared" si="879"/>
        <v>2.055E-3</v>
      </c>
      <c r="AF1716" s="229"/>
      <c r="AG1716" s="235" t="s">
        <v>418</v>
      </c>
      <c r="AH1716" s="124"/>
    </row>
    <row r="1717" spans="1:34" ht="12" hidden="1" customHeight="1">
      <c r="A1717" s="155">
        <v>44924</v>
      </c>
      <c r="B1717" s="221" t="s">
        <v>888</v>
      </c>
      <c r="C1717" s="7" t="s">
        <v>485</v>
      </c>
      <c r="D1717" s="221" t="str">
        <f t="shared" ca="1" si="863"/>
        <v>Stocks</v>
      </c>
      <c r="E1717" s="221" t="str">
        <f ca="1">IFERROR(__xludf.DUMMYFUNCTION("split(B1717,"" "")"),"WIPRO")</f>
        <v>WIPRO</v>
      </c>
      <c r="F1717" s="221" t="str">
        <f ca="1">IFERROR(__xludf.DUMMYFUNCTION("""COMPUTED_VALUE"""),"25!JAN")</f>
        <v>25!JAN</v>
      </c>
      <c r="G1717" s="221">
        <f ca="1">IFERROR(__xludf.DUMMYFUNCTION("""COMPUTED_VALUE"""),385)</f>
        <v>385</v>
      </c>
      <c r="H1717" s="221" t="str">
        <f ca="1">IFERROR(__xludf.DUMMYFUNCTION("""COMPUTED_VALUE"""),"PE")</f>
        <v>PE</v>
      </c>
      <c r="I1717" s="221" t="s">
        <v>4</v>
      </c>
      <c r="J1717" s="223">
        <v>1500</v>
      </c>
      <c r="K1717" s="224">
        <v>1</v>
      </c>
      <c r="L1717" s="224">
        <v>1</v>
      </c>
      <c r="M1717" s="225">
        <f t="shared" si="864"/>
        <v>1500</v>
      </c>
      <c r="N1717" s="226">
        <v>0</v>
      </c>
      <c r="O1717" s="227">
        <v>9.6</v>
      </c>
      <c r="P1717" s="228">
        <f t="shared" si="865"/>
        <v>0</v>
      </c>
      <c r="Q1717" s="228">
        <f t="shared" si="866"/>
        <v>14400</v>
      </c>
      <c r="R1717" s="229">
        <f t="shared" si="867"/>
        <v>14400</v>
      </c>
      <c r="S1717" s="229">
        <f t="shared" si="868"/>
        <v>14400</v>
      </c>
      <c r="T1717" s="229">
        <f t="shared" si="883"/>
        <v>20</v>
      </c>
      <c r="U1717" s="229">
        <f t="shared" si="870"/>
        <v>4.97</v>
      </c>
      <c r="V1717" s="229">
        <f t="shared" si="871"/>
        <v>7.2</v>
      </c>
      <c r="W1717" s="229">
        <f t="shared" si="872"/>
        <v>0</v>
      </c>
      <c r="X1717" s="229">
        <f t="shared" si="873"/>
        <v>7.63</v>
      </c>
      <c r="Y1717" s="229">
        <f t="shared" si="874"/>
        <v>0.01</v>
      </c>
      <c r="Z1717" s="229">
        <f t="shared" si="875"/>
        <v>39.81</v>
      </c>
      <c r="AA1717" s="230">
        <f t="shared" si="876"/>
        <v>14360.19</v>
      </c>
      <c r="AB1717" s="231">
        <v>14360.37</v>
      </c>
      <c r="AC1717" s="232">
        <f t="shared" si="877"/>
        <v>0.18000000000029104</v>
      </c>
      <c r="AD1717" s="233">
        <f t="shared" si="878"/>
        <v>0</v>
      </c>
      <c r="AE1717" s="234">
        <f t="shared" si="879"/>
        <v>2.7650000000000001E-3</v>
      </c>
      <c r="AF1717" s="229"/>
      <c r="AG1717" s="235" t="s">
        <v>418</v>
      </c>
      <c r="AH1717" s="124"/>
    </row>
    <row r="1718" spans="1:34" ht="12" hidden="1" customHeight="1">
      <c r="A1718" s="220">
        <v>44930</v>
      </c>
      <c r="B1718" s="221" t="s">
        <v>889</v>
      </c>
      <c r="C1718" s="7" t="s">
        <v>485</v>
      </c>
      <c r="D1718" s="221" t="str">
        <f t="shared" ca="1" si="863"/>
        <v>Indices</v>
      </c>
      <c r="E1718" s="221" t="str">
        <f ca="1">IFERROR(__xludf.DUMMYFUNCTION("split(B1718,"" "")"),"BANKNIFTY")</f>
        <v>BANKNIFTY</v>
      </c>
      <c r="F1718" s="222" t="str">
        <f ca="1">IFERROR(__xludf.DUMMYFUNCTION("""COMPUTED_VALUE"""),"05!JAN")</f>
        <v>05!JAN</v>
      </c>
      <c r="G1718" s="221">
        <f ca="1">IFERROR(__xludf.DUMMYFUNCTION("""COMPUTED_VALUE"""),43600)</f>
        <v>43600</v>
      </c>
      <c r="H1718" s="221" t="str">
        <f ca="1">IFERROR(__xludf.DUMMYFUNCTION("""COMPUTED_VALUE"""),"CE")</f>
        <v>CE</v>
      </c>
      <c r="I1718" s="221" t="s">
        <v>4</v>
      </c>
      <c r="J1718" s="223">
        <v>25</v>
      </c>
      <c r="K1718" s="224">
        <v>1</v>
      </c>
      <c r="L1718" s="224">
        <v>3</v>
      </c>
      <c r="M1718" s="225">
        <f t="shared" si="864"/>
        <v>75</v>
      </c>
      <c r="N1718" s="226">
        <v>123.33329999999999</v>
      </c>
      <c r="O1718" s="227">
        <v>79.400000000000006</v>
      </c>
      <c r="P1718" s="228">
        <f t="shared" si="865"/>
        <v>9250</v>
      </c>
      <c r="Q1718" s="228">
        <f t="shared" si="866"/>
        <v>5955</v>
      </c>
      <c r="R1718" s="229">
        <f t="shared" si="867"/>
        <v>15205</v>
      </c>
      <c r="S1718" s="229">
        <f t="shared" si="868"/>
        <v>-3294.997499999999</v>
      </c>
      <c r="T1718" s="229">
        <f t="shared" si="883"/>
        <v>0.01</v>
      </c>
      <c r="U1718" s="229">
        <f t="shared" si="870"/>
        <v>1.45</v>
      </c>
      <c r="V1718" s="229">
        <f t="shared" si="871"/>
        <v>2.98</v>
      </c>
      <c r="W1718" s="229">
        <f t="shared" si="872"/>
        <v>0.28000000000000003</v>
      </c>
      <c r="X1718" s="229">
        <f t="shared" si="873"/>
        <v>8.06</v>
      </c>
      <c r="Y1718" s="229">
        <f t="shared" si="874"/>
        <v>0.02</v>
      </c>
      <c r="Z1718" s="229">
        <f t="shared" si="875"/>
        <v>12.8</v>
      </c>
      <c r="AA1718" s="230">
        <f t="shared" si="876"/>
        <v>-3307.8</v>
      </c>
      <c r="AB1718" s="231">
        <v>-3307.52</v>
      </c>
      <c r="AC1718" s="232">
        <f t="shared" si="877"/>
        <v>0.28000000000020009</v>
      </c>
      <c r="AD1718" s="233">
        <f t="shared" si="878"/>
        <v>-0.35621604222055187</v>
      </c>
      <c r="AE1718" s="234">
        <f t="shared" si="879"/>
        <v>8.4199999999999998E-4</v>
      </c>
      <c r="AF1718" s="229"/>
      <c r="AG1718" s="235" t="s">
        <v>418</v>
      </c>
      <c r="AH1718" s="124"/>
    </row>
    <row r="1719" spans="1:34" ht="12" hidden="1" customHeight="1">
      <c r="A1719" s="220">
        <v>44931</v>
      </c>
      <c r="B1719" s="221" t="s">
        <v>890</v>
      </c>
      <c r="C1719" s="7" t="s">
        <v>485</v>
      </c>
      <c r="D1719" s="221" t="str">
        <f t="shared" ca="1" si="863"/>
        <v>Indices</v>
      </c>
      <c r="E1719" s="221" t="str">
        <f ca="1">IFERROR(__xludf.DUMMYFUNCTION("split(B1719,"" "")"),"NIFTY")</f>
        <v>NIFTY</v>
      </c>
      <c r="F1719" s="222" t="str">
        <f ca="1">IFERROR(__xludf.DUMMYFUNCTION("""COMPUTED_VALUE"""),"05!JAN")</f>
        <v>05!JAN</v>
      </c>
      <c r="G1719" s="221">
        <f ca="1">IFERROR(__xludf.DUMMYFUNCTION("""COMPUTED_VALUE"""),17950)</f>
        <v>17950</v>
      </c>
      <c r="H1719" s="221" t="str">
        <f ca="1">IFERROR(__xludf.DUMMYFUNCTION("""COMPUTED_VALUE"""),"PE")</f>
        <v>PE</v>
      </c>
      <c r="I1719" s="221" t="s">
        <v>4</v>
      </c>
      <c r="J1719" s="223">
        <v>50</v>
      </c>
      <c r="K1719" s="224">
        <v>1</v>
      </c>
      <c r="L1719" s="224">
        <v>2</v>
      </c>
      <c r="M1719" s="225">
        <f t="shared" si="864"/>
        <v>100</v>
      </c>
      <c r="N1719" s="226">
        <v>11.2</v>
      </c>
      <c r="O1719" s="227">
        <v>0.25</v>
      </c>
      <c r="P1719" s="228">
        <f t="shared" si="865"/>
        <v>1120</v>
      </c>
      <c r="Q1719" s="228">
        <f t="shared" si="866"/>
        <v>25</v>
      </c>
      <c r="R1719" s="229">
        <f t="shared" si="867"/>
        <v>1145</v>
      </c>
      <c r="S1719" s="229">
        <f t="shared" si="868"/>
        <v>-1095</v>
      </c>
      <c r="T1719" s="229">
        <f t="shared" si="883"/>
        <v>0.01</v>
      </c>
      <c r="U1719" s="229">
        <f t="shared" si="870"/>
        <v>0.11</v>
      </c>
      <c r="V1719" s="229">
        <f t="shared" si="871"/>
        <v>0.01</v>
      </c>
      <c r="W1719" s="229">
        <f t="shared" si="872"/>
        <v>0.03</v>
      </c>
      <c r="X1719" s="229">
        <f t="shared" si="873"/>
        <v>0.61</v>
      </c>
      <c r="Y1719" s="229">
        <f t="shared" si="874"/>
        <v>0</v>
      </c>
      <c r="Z1719" s="229">
        <f t="shared" si="875"/>
        <v>0.77</v>
      </c>
      <c r="AA1719" s="230">
        <f t="shared" si="876"/>
        <v>-1095.77</v>
      </c>
      <c r="AB1719" s="231">
        <v>-1095.72</v>
      </c>
      <c r="AC1719" s="232">
        <f t="shared" si="877"/>
        <v>4.9999999999954525E-2</v>
      </c>
      <c r="AD1719" s="233">
        <f t="shared" si="878"/>
        <v>-0.9776785714285714</v>
      </c>
      <c r="AE1719" s="234">
        <f t="shared" si="879"/>
        <v>6.7199999999999996E-4</v>
      </c>
      <c r="AF1719" s="229"/>
      <c r="AG1719" s="235" t="s">
        <v>418</v>
      </c>
      <c r="AH1719" s="124"/>
    </row>
    <row r="1720" spans="1:34" ht="12" hidden="1" customHeight="1">
      <c r="A1720" s="220">
        <v>44932</v>
      </c>
      <c r="B1720" s="221" t="s">
        <v>891</v>
      </c>
      <c r="C1720" s="7" t="s">
        <v>485</v>
      </c>
      <c r="D1720" s="221" t="str">
        <f t="shared" ca="1" si="863"/>
        <v>Indices</v>
      </c>
      <c r="E1720" s="221" t="str">
        <f ca="1">IFERROR(__xludf.DUMMYFUNCTION("split(B1720,"" "")"),"BANKNIFTY")</f>
        <v>BANKNIFTY</v>
      </c>
      <c r="F1720" s="236" t="str">
        <f ca="1">IFERROR(__xludf.DUMMYFUNCTION("""COMPUTED_VALUE"""),"12!JAN")</f>
        <v>12!JAN</v>
      </c>
      <c r="G1720" s="221">
        <f ca="1">IFERROR(__xludf.DUMMYFUNCTION("""COMPUTED_VALUE"""),42200)</f>
        <v>42200</v>
      </c>
      <c r="H1720" s="221" t="str">
        <f ca="1">IFERROR(__xludf.DUMMYFUNCTION("""COMPUTED_VALUE"""),"CE")</f>
        <v>CE</v>
      </c>
      <c r="I1720" s="221" t="s">
        <v>4</v>
      </c>
      <c r="J1720" s="223">
        <v>25</v>
      </c>
      <c r="K1720" s="224">
        <v>1</v>
      </c>
      <c r="L1720" s="224">
        <v>1</v>
      </c>
      <c r="M1720" s="225">
        <f t="shared" si="864"/>
        <v>25</v>
      </c>
      <c r="N1720" s="226">
        <v>425</v>
      </c>
      <c r="O1720" s="227">
        <v>437.15</v>
      </c>
      <c r="P1720" s="228">
        <f t="shared" si="865"/>
        <v>10625</v>
      </c>
      <c r="Q1720" s="228">
        <f t="shared" si="866"/>
        <v>10928.75</v>
      </c>
      <c r="R1720" s="229">
        <f t="shared" si="867"/>
        <v>21553.75</v>
      </c>
      <c r="S1720" s="229">
        <f t="shared" si="868"/>
        <v>303.74999999999943</v>
      </c>
      <c r="T1720" s="229">
        <f t="shared" si="883"/>
        <v>0.01</v>
      </c>
      <c r="U1720" s="229">
        <f t="shared" si="870"/>
        <v>2.06</v>
      </c>
      <c r="V1720" s="229">
        <f t="shared" si="871"/>
        <v>5.46</v>
      </c>
      <c r="W1720" s="229">
        <f t="shared" si="872"/>
        <v>0.32</v>
      </c>
      <c r="X1720" s="229">
        <f t="shared" si="873"/>
        <v>11.42</v>
      </c>
      <c r="Y1720" s="229">
        <f t="shared" si="874"/>
        <v>0.02</v>
      </c>
      <c r="Z1720" s="229">
        <f t="shared" si="875"/>
        <v>19.29</v>
      </c>
      <c r="AA1720" s="230">
        <f t="shared" si="876"/>
        <v>284.45999999999998</v>
      </c>
      <c r="AB1720" s="231">
        <v>284.37</v>
      </c>
      <c r="AC1720" s="232">
        <f t="shared" si="877"/>
        <v>-8.9999999999974989E-2</v>
      </c>
      <c r="AD1720" s="233">
        <f t="shared" si="878"/>
        <v>2.8588235294117595E-2</v>
      </c>
      <c r="AE1720" s="234">
        <f t="shared" si="879"/>
        <v>8.9499999999999996E-4</v>
      </c>
      <c r="AF1720" s="229"/>
      <c r="AG1720" s="235" t="s">
        <v>418</v>
      </c>
      <c r="AH1720" s="124"/>
    </row>
    <row r="1721" spans="1:34" ht="12" hidden="1" customHeight="1">
      <c r="A1721" s="154">
        <v>44932</v>
      </c>
      <c r="B1721" s="221" t="s">
        <v>891</v>
      </c>
      <c r="C1721" s="7" t="s">
        <v>485</v>
      </c>
      <c r="D1721" s="221" t="str">
        <f t="shared" ca="1" si="863"/>
        <v>Indices</v>
      </c>
      <c r="E1721" s="221" t="str">
        <f ca="1">IFERROR(__xludf.DUMMYFUNCTION("split(B1721,"" "")"),"BANKNIFTY")</f>
        <v>BANKNIFTY</v>
      </c>
      <c r="F1721" s="236" t="str">
        <f ca="1">IFERROR(__xludf.DUMMYFUNCTION("""COMPUTED_VALUE"""),"12!JAN")</f>
        <v>12!JAN</v>
      </c>
      <c r="G1721" s="221">
        <f ca="1">IFERROR(__xludf.DUMMYFUNCTION("""COMPUTED_VALUE"""),42200)</f>
        <v>42200</v>
      </c>
      <c r="H1721" s="221" t="str">
        <f ca="1">IFERROR(__xludf.DUMMYFUNCTION("""COMPUTED_VALUE"""),"CE")</f>
        <v>CE</v>
      </c>
      <c r="I1721" s="221" t="s">
        <v>4</v>
      </c>
      <c r="J1721" s="223">
        <v>25</v>
      </c>
      <c r="K1721" s="224">
        <v>1</v>
      </c>
      <c r="L1721" s="224">
        <v>1</v>
      </c>
      <c r="M1721" s="225">
        <f t="shared" si="864"/>
        <v>25</v>
      </c>
      <c r="N1721" s="226">
        <v>400</v>
      </c>
      <c r="O1721" s="227">
        <v>0</v>
      </c>
      <c r="P1721" s="228">
        <f t="shared" si="865"/>
        <v>10000</v>
      </c>
      <c r="Q1721" s="228">
        <f t="shared" si="866"/>
        <v>0</v>
      </c>
      <c r="R1721" s="229">
        <f t="shared" si="867"/>
        <v>10000</v>
      </c>
      <c r="S1721" s="229">
        <f t="shared" si="868"/>
        <v>-10000</v>
      </c>
      <c r="T1721" s="229">
        <f t="shared" si="883"/>
        <v>20</v>
      </c>
      <c r="U1721" s="229">
        <f t="shared" si="870"/>
        <v>4.55</v>
      </c>
      <c r="V1721" s="229">
        <f t="shared" si="871"/>
        <v>0</v>
      </c>
      <c r="W1721" s="229">
        <f t="shared" si="872"/>
        <v>0.3</v>
      </c>
      <c r="X1721" s="229">
        <f t="shared" si="873"/>
        <v>5.3</v>
      </c>
      <c r="Y1721" s="229">
        <f t="shared" si="874"/>
        <v>0.01</v>
      </c>
      <c r="Z1721" s="229">
        <f t="shared" si="875"/>
        <v>30.160000000000004</v>
      </c>
      <c r="AA1721" s="230">
        <f t="shared" si="876"/>
        <v>-10030.16</v>
      </c>
      <c r="AB1721" s="231">
        <v>-10030</v>
      </c>
      <c r="AC1721" s="232">
        <f t="shared" si="877"/>
        <v>0.15999999999985448</v>
      </c>
      <c r="AD1721" s="233">
        <f t="shared" si="878"/>
        <v>-1</v>
      </c>
      <c r="AE1721" s="234">
        <f t="shared" si="879"/>
        <v>3.016E-3</v>
      </c>
      <c r="AF1721" s="229"/>
      <c r="AG1721" s="235" t="s">
        <v>418</v>
      </c>
      <c r="AH1721" s="124"/>
    </row>
    <row r="1722" spans="1:34" ht="12" hidden="1" customHeight="1">
      <c r="A1722" s="155">
        <v>44935</v>
      </c>
      <c r="B1722" s="221" t="s">
        <v>891</v>
      </c>
      <c r="C1722" s="7" t="s">
        <v>485</v>
      </c>
      <c r="D1722" s="221" t="str">
        <f t="shared" ca="1" si="863"/>
        <v>Indices</v>
      </c>
      <c r="E1722" s="221" t="str">
        <f ca="1">IFERROR(__xludf.DUMMYFUNCTION("split(B1722,"" "")"),"BANKNIFTY")</f>
        <v>BANKNIFTY</v>
      </c>
      <c r="F1722" s="236" t="str">
        <f ca="1">IFERROR(__xludf.DUMMYFUNCTION("""COMPUTED_VALUE"""),"12!JAN")</f>
        <v>12!JAN</v>
      </c>
      <c r="G1722" s="221">
        <f ca="1">IFERROR(__xludf.DUMMYFUNCTION("""COMPUTED_VALUE"""),42200)</f>
        <v>42200</v>
      </c>
      <c r="H1722" s="221" t="str">
        <f ca="1">IFERROR(__xludf.DUMMYFUNCTION("""COMPUTED_VALUE"""),"CE")</f>
        <v>CE</v>
      </c>
      <c r="I1722" s="221" t="s">
        <v>4</v>
      </c>
      <c r="J1722" s="223">
        <v>25</v>
      </c>
      <c r="K1722" s="224">
        <v>1</v>
      </c>
      <c r="L1722" s="224">
        <v>1</v>
      </c>
      <c r="M1722" s="225">
        <f t="shared" si="864"/>
        <v>25</v>
      </c>
      <c r="N1722" s="226">
        <v>0</v>
      </c>
      <c r="O1722" s="227">
        <v>425</v>
      </c>
      <c r="P1722" s="228">
        <f t="shared" si="865"/>
        <v>0</v>
      </c>
      <c r="Q1722" s="228">
        <f t="shared" si="866"/>
        <v>10625</v>
      </c>
      <c r="R1722" s="229">
        <f t="shared" si="867"/>
        <v>10625</v>
      </c>
      <c r="S1722" s="229">
        <f t="shared" si="868"/>
        <v>10625</v>
      </c>
      <c r="T1722" s="229">
        <f t="shared" si="883"/>
        <v>20</v>
      </c>
      <c r="U1722" s="229">
        <f t="shared" si="870"/>
        <v>4.6100000000000003</v>
      </c>
      <c r="V1722" s="229">
        <f t="shared" si="871"/>
        <v>5.31</v>
      </c>
      <c r="W1722" s="229">
        <f t="shared" si="872"/>
        <v>0</v>
      </c>
      <c r="X1722" s="229">
        <f t="shared" si="873"/>
        <v>5.63</v>
      </c>
      <c r="Y1722" s="229">
        <f t="shared" si="874"/>
        <v>0.01</v>
      </c>
      <c r="Z1722" s="229">
        <f t="shared" si="875"/>
        <v>35.559999999999995</v>
      </c>
      <c r="AA1722" s="230">
        <f t="shared" si="876"/>
        <v>10589.44</v>
      </c>
      <c r="AB1722" s="231">
        <v>10589</v>
      </c>
      <c r="AC1722" s="232">
        <f t="shared" si="877"/>
        <v>-0.44000000000050932</v>
      </c>
      <c r="AD1722" s="233">
        <f t="shared" si="878"/>
        <v>0</v>
      </c>
      <c r="AE1722" s="234">
        <f t="shared" si="879"/>
        <v>3.3470000000000001E-3</v>
      </c>
      <c r="AF1722" s="229"/>
      <c r="AG1722" s="235" t="s">
        <v>418</v>
      </c>
      <c r="AH1722" s="124"/>
    </row>
    <row r="1723" spans="1:34" ht="12" hidden="1" customHeight="1">
      <c r="A1723" s="220">
        <v>44935</v>
      </c>
      <c r="B1723" s="221" t="s">
        <v>892</v>
      </c>
      <c r="C1723" s="7" t="s">
        <v>485</v>
      </c>
      <c r="D1723" s="221" t="str">
        <f t="shared" ca="1" si="863"/>
        <v>Indices</v>
      </c>
      <c r="E1723" s="221" t="str">
        <f ca="1">IFERROR(__xludf.DUMMYFUNCTION("split(B1723,"" "")"),"NIFTY")</f>
        <v>NIFTY</v>
      </c>
      <c r="F1723" s="236" t="str">
        <f ca="1">IFERROR(__xludf.DUMMYFUNCTION("""COMPUTED_VALUE"""),"12!JAN")</f>
        <v>12!JAN</v>
      </c>
      <c r="G1723" s="221">
        <f ca="1">IFERROR(__xludf.DUMMYFUNCTION("""COMPUTED_VALUE"""),18100)</f>
        <v>18100</v>
      </c>
      <c r="H1723" s="221" t="str">
        <f ca="1">IFERROR(__xludf.DUMMYFUNCTION("""COMPUTED_VALUE"""),"PE")</f>
        <v>PE</v>
      </c>
      <c r="I1723" s="221" t="s">
        <v>4</v>
      </c>
      <c r="J1723" s="223">
        <v>50</v>
      </c>
      <c r="K1723" s="224">
        <v>1</v>
      </c>
      <c r="L1723" s="224">
        <v>2</v>
      </c>
      <c r="M1723" s="225">
        <f t="shared" si="864"/>
        <v>100</v>
      </c>
      <c r="N1723" s="226">
        <v>87.5</v>
      </c>
      <c r="O1723" s="227">
        <v>94.5</v>
      </c>
      <c r="P1723" s="228">
        <f t="shared" si="865"/>
        <v>8750</v>
      </c>
      <c r="Q1723" s="228">
        <f t="shared" si="866"/>
        <v>9450</v>
      </c>
      <c r="R1723" s="229">
        <f t="shared" si="867"/>
        <v>18200</v>
      </c>
      <c r="S1723" s="229">
        <f t="shared" si="868"/>
        <v>700</v>
      </c>
      <c r="T1723" s="229">
        <f t="shared" si="883"/>
        <v>0.01</v>
      </c>
      <c r="U1723" s="229">
        <f t="shared" si="870"/>
        <v>1.74</v>
      </c>
      <c r="V1723" s="229">
        <f t="shared" si="871"/>
        <v>4.7300000000000004</v>
      </c>
      <c r="W1723" s="229">
        <f t="shared" si="872"/>
        <v>0.26</v>
      </c>
      <c r="X1723" s="229">
        <f t="shared" si="873"/>
        <v>9.65</v>
      </c>
      <c r="Y1723" s="229">
        <f t="shared" si="874"/>
        <v>0.02</v>
      </c>
      <c r="Z1723" s="229">
        <f t="shared" si="875"/>
        <v>16.41</v>
      </c>
      <c r="AA1723" s="230">
        <f t="shared" si="876"/>
        <v>683.59</v>
      </c>
      <c r="AB1723" s="231">
        <v>684.34</v>
      </c>
      <c r="AC1723" s="232">
        <f t="shared" si="877"/>
        <v>0.75</v>
      </c>
      <c r="AD1723" s="233">
        <f t="shared" si="878"/>
        <v>0.08</v>
      </c>
      <c r="AE1723" s="234">
        <f t="shared" si="879"/>
        <v>9.0200000000000002E-4</v>
      </c>
      <c r="AF1723" s="229"/>
      <c r="AG1723" s="235" t="s">
        <v>418</v>
      </c>
      <c r="AH1723" s="124"/>
    </row>
    <row r="1724" spans="1:34" ht="12" hidden="1" customHeight="1">
      <c r="A1724" s="220">
        <v>44936</v>
      </c>
      <c r="B1724" s="221" t="s">
        <v>893</v>
      </c>
      <c r="C1724" s="7" t="s">
        <v>485</v>
      </c>
      <c r="D1724" s="221" t="str">
        <f t="shared" ca="1" si="863"/>
        <v>Indices</v>
      </c>
      <c r="E1724" s="221" t="str">
        <f ca="1">IFERROR(__xludf.DUMMYFUNCTION("split(B1724,"" "")"),"BANKNIFTY")</f>
        <v>BANKNIFTY</v>
      </c>
      <c r="F1724" s="236" t="str">
        <f ca="1">IFERROR(__xludf.DUMMYFUNCTION("""COMPUTED_VALUE"""),"12!JAN")</f>
        <v>12!JAN</v>
      </c>
      <c r="G1724" s="221">
        <f ca="1">IFERROR(__xludf.DUMMYFUNCTION("""COMPUTED_VALUE"""),42100)</f>
        <v>42100</v>
      </c>
      <c r="H1724" s="221" t="str">
        <f ca="1">IFERROR(__xludf.DUMMYFUNCTION("""COMPUTED_VALUE"""),"CE")</f>
        <v>CE</v>
      </c>
      <c r="I1724" s="221" t="s">
        <v>4</v>
      </c>
      <c r="J1724" s="223">
        <v>25</v>
      </c>
      <c r="K1724" s="224">
        <v>1</v>
      </c>
      <c r="L1724" s="224">
        <v>3</v>
      </c>
      <c r="M1724" s="225">
        <f t="shared" si="864"/>
        <v>75</v>
      </c>
      <c r="N1724" s="226">
        <v>233.33330000000001</v>
      </c>
      <c r="O1724" s="227">
        <v>250</v>
      </c>
      <c r="P1724" s="228">
        <f t="shared" si="865"/>
        <v>17500</v>
      </c>
      <c r="Q1724" s="228">
        <f t="shared" si="866"/>
        <v>18750</v>
      </c>
      <c r="R1724" s="229">
        <f t="shared" si="867"/>
        <v>36250</v>
      </c>
      <c r="S1724" s="229">
        <f t="shared" si="868"/>
        <v>1250.0024999999994</v>
      </c>
      <c r="T1724" s="229">
        <f t="shared" si="883"/>
        <v>0.01</v>
      </c>
      <c r="U1724" s="229">
        <f t="shared" si="870"/>
        <v>3.46</v>
      </c>
      <c r="V1724" s="229">
        <f t="shared" si="871"/>
        <v>9.3800000000000008</v>
      </c>
      <c r="W1724" s="229">
        <f t="shared" si="872"/>
        <v>0.53</v>
      </c>
      <c r="X1724" s="229">
        <f t="shared" si="873"/>
        <v>19.21</v>
      </c>
      <c r="Y1724" s="229">
        <f t="shared" si="874"/>
        <v>0.04</v>
      </c>
      <c r="Z1724" s="229">
        <f t="shared" si="875"/>
        <v>32.630000000000003</v>
      </c>
      <c r="AA1724" s="230">
        <f t="shared" si="876"/>
        <v>1217.3699999999999</v>
      </c>
      <c r="AB1724" s="231">
        <v>1217</v>
      </c>
      <c r="AC1724" s="232">
        <f t="shared" si="877"/>
        <v>-0.36999999999989086</v>
      </c>
      <c r="AD1724" s="233">
        <f t="shared" si="878"/>
        <v>7.1428724489817741E-2</v>
      </c>
      <c r="AE1724" s="234">
        <f t="shared" si="879"/>
        <v>8.9999999999999998E-4</v>
      </c>
      <c r="AF1724" s="229"/>
      <c r="AG1724" s="235" t="s">
        <v>418</v>
      </c>
      <c r="AH1724" s="124"/>
    </row>
    <row r="1725" spans="1:34" ht="12" hidden="1" customHeight="1">
      <c r="A1725" s="220">
        <v>44936</v>
      </c>
      <c r="B1725" s="221" t="s">
        <v>894</v>
      </c>
      <c r="C1725" s="7" t="s">
        <v>485</v>
      </c>
      <c r="D1725" s="221" t="str">
        <f t="shared" ca="1" si="863"/>
        <v>Indices</v>
      </c>
      <c r="E1725" s="221" t="str">
        <f ca="1">IFERROR(__xludf.DUMMYFUNCTION("split(B1725,"" "")"),"NIFTY")</f>
        <v>NIFTY</v>
      </c>
      <c r="F1725" s="236" t="str">
        <f ca="1">IFERROR(__xludf.DUMMYFUNCTION("""COMPUTED_VALUE"""),"12!JAN")</f>
        <v>12!JAN</v>
      </c>
      <c r="G1725" s="221">
        <f ca="1">IFERROR(__xludf.DUMMYFUNCTION("""COMPUTED_VALUE"""),18000)</f>
        <v>18000</v>
      </c>
      <c r="H1725" s="221" t="str">
        <f ca="1">IFERROR(__xludf.DUMMYFUNCTION("""COMPUTED_VALUE"""),"CE")</f>
        <v>CE</v>
      </c>
      <c r="I1725" s="221" t="s">
        <v>4</v>
      </c>
      <c r="J1725" s="223">
        <v>50</v>
      </c>
      <c r="K1725" s="224">
        <v>1</v>
      </c>
      <c r="L1725" s="224">
        <v>2</v>
      </c>
      <c r="M1725" s="225">
        <f t="shared" si="864"/>
        <v>100</v>
      </c>
      <c r="N1725" s="226">
        <v>65</v>
      </c>
      <c r="O1725" s="227">
        <v>51</v>
      </c>
      <c r="P1725" s="228">
        <f t="shared" si="865"/>
        <v>6500</v>
      </c>
      <c r="Q1725" s="228">
        <f t="shared" si="866"/>
        <v>5100</v>
      </c>
      <c r="R1725" s="229">
        <f t="shared" si="867"/>
        <v>11600</v>
      </c>
      <c r="S1725" s="229">
        <f t="shared" si="868"/>
        <v>-1400</v>
      </c>
      <c r="T1725" s="229">
        <f t="shared" si="883"/>
        <v>0.01</v>
      </c>
      <c r="U1725" s="229">
        <f t="shared" si="870"/>
        <v>1.1100000000000001</v>
      </c>
      <c r="V1725" s="229">
        <f t="shared" si="871"/>
        <v>2.5499999999999998</v>
      </c>
      <c r="W1725" s="229">
        <f t="shared" si="872"/>
        <v>0.2</v>
      </c>
      <c r="X1725" s="229">
        <f t="shared" si="873"/>
        <v>6.15</v>
      </c>
      <c r="Y1725" s="229">
        <f t="shared" si="874"/>
        <v>0.01</v>
      </c>
      <c r="Z1725" s="229">
        <f t="shared" si="875"/>
        <v>10.029999999999999</v>
      </c>
      <c r="AA1725" s="230">
        <f t="shared" si="876"/>
        <v>-1410.03</v>
      </c>
      <c r="AB1725" s="231">
        <v>-1411.94</v>
      </c>
      <c r="AC1725" s="232">
        <f t="shared" si="877"/>
        <v>-1.9100000000000819</v>
      </c>
      <c r="AD1725" s="233">
        <f t="shared" si="878"/>
        <v>-0.2153846153846154</v>
      </c>
      <c r="AE1725" s="234">
        <f t="shared" si="879"/>
        <v>8.6499999999999999E-4</v>
      </c>
      <c r="AF1725" s="229"/>
      <c r="AG1725" s="235" t="s">
        <v>418</v>
      </c>
      <c r="AH1725" s="124"/>
    </row>
    <row r="1726" spans="1:34" ht="12" hidden="1" customHeight="1">
      <c r="A1726" s="220">
        <v>44937</v>
      </c>
      <c r="B1726" s="221" t="s">
        <v>895</v>
      </c>
      <c r="C1726" s="7" t="s">
        <v>485</v>
      </c>
      <c r="D1726" s="221" t="str">
        <f t="shared" ca="1" si="863"/>
        <v>Indices</v>
      </c>
      <c r="E1726" s="221" t="str">
        <f ca="1">IFERROR(__xludf.DUMMYFUNCTION("split(B1726,"" "")"),"BANKNIFTY")</f>
        <v>BANKNIFTY</v>
      </c>
      <c r="F1726" s="236" t="str">
        <f ca="1">IFERROR(__xludf.DUMMYFUNCTION("""COMPUTED_VALUE"""),"12!JAN")</f>
        <v>12!JAN</v>
      </c>
      <c r="G1726" s="221">
        <f ca="1">IFERROR(__xludf.DUMMYFUNCTION("""COMPUTED_VALUE"""),41800)</f>
        <v>41800</v>
      </c>
      <c r="H1726" s="221" t="str">
        <f ca="1">IFERROR(__xludf.DUMMYFUNCTION("""COMPUTED_VALUE"""),"PE")</f>
        <v>PE</v>
      </c>
      <c r="I1726" s="221" t="s">
        <v>4</v>
      </c>
      <c r="J1726" s="223">
        <v>25</v>
      </c>
      <c r="K1726" s="224">
        <v>1</v>
      </c>
      <c r="L1726" s="224">
        <v>1</v>
      </c>
      <c r="M1726" s="225">
        <f t="shared" si="864"/>
        <v>25</v>
      </c>
      <c r="N1726" s="226">
        <v>340</v>
      </c>
      <c r="O1726" s="227">
        <v>460</v>
      </c>
      <c r="P1726" s="228">
        <f t="shared" si="865"/>
        <v>8500</v>
      </c>
      <c r="Q1726" s="228">
        <f t="shared" si="866"/>
        <v>11500</v>
      </c>
      <c r="R1726" s="229">
        <f t="shared" si="867"/>
        <v>20000</v>
      </c>
      <c r="S1726" s="229">
        <f t="shared" si="868"/>
        <v>3000</v>
      </c>
      <c r="T1726" s="229">
        <f t="shared" si="883"/>
        <v>0.01</v>
      </c>
      <c r="U1726" s="229">
        <f t="shared" si="870"/>
        <v>1.91</v>
      </c>
      <c r="V1726" s="229">
        <f t="shared" si="871"/>
        <v>5.75</v>
      </c>
      <c r="W1726" s="229">
        <f t="shared" si="872"/>
        <v>0.26</v>
      </c>
      <c r="X1726" s="229">
        <f t="shared" si="873"/>
        <v>10.6</v>
      </c>
      <c r="Y1726" s="229">
        <f t="shared" si="874"/>
        <v>0.02</v>
      </c>
      <c r="Z1726" s="229">
        <f t="shared" si="875"/>
        <v>18.55</v>
      </c>
      <c r="AA1726" s="230">
        <f t="shared" si="876"/>
        <v>2981.45</v>
      </c>
      <c r="AB1726" s="231">
        <v>2981.47</v>
      </c>
      <c r="AC1726" s="232">
        <f t="shared" si="877"/>
        <v>1.999999999998181E-2</v>
      </c>
      <c r="AD1726" s="233">
        <f t="shared" si="878"/>
        <v>0.35294117647058826</v>
      </c>
      <c r="AE1726" s="234">
        <f t="shared" si="879"/>
        <v>9.2800000000000001E-4</v>
      </c>
      <c r="AF1726" s="229"/>
      <c r="AG1726" s="235" t="s">
        <v>418</v>
      </c>
      <c r="AH1726" s="124"/>
    </row>
    <row r="1727" spans="1:34" ht="12" hidden="1" customHeight="1">
      <c r="A1727" s="220">
        <v>44938</v>
      </c>
      <c r="B1727" s="221" t="s">
        <v>896</v>
      </c>
      <c r="C1727" s="7" t="s">
        <v>485</v>
      </c>
      <c r="D1727" s="221" t="str">
        <f t="shared" ca="1" si="863"/>
        <v>Indices</v>
      </c>
      <c r="E1727" s="221" t="str">
        <f ca="1">IFERROR(__xludf.DUMMYFUNCTION("split(B1727,"" "")"),"NIFTY")</f>
        <v>NIFTY</v>
      </c>
      <c r="F1727" s="236" t="str">
        <f ca="1">IFERROR(__xludf.DUMMYFUNCTION("""COMPUTED_VALUE"""),"12!JAN")</f>
        <v>12!JAN</v>
      </c>
      <c r="G1727" s="221">
        <f ca="1">IFERROR(__xludf.DUMMYFUNCTION("""COMPUTED_VALUE"""),17900)</f>
        <v>17900</v>
      </c>
      <c r="H1727" s="221" t="str">
        <f ca="1">IFERROR(__xludf.DUMMYFUNCTION("""COMPUTED_VALUE"""),"CE")</f>
        <v>CE</v>
      </c>
      <c r="I1727" s="221" t="s">
        <v>4</v>
      </c>
      <c r="J1727" s="223">
        <v>50</v>
      </c>
      <c r="K1727" s="224">
        <v>1</v>
      </c>
      <c r="L1727" s="224">
        <v>5</v>
      </c>
      <c r="M1727" s="225">
        <f t="shared" si="864"/>
        <v>250</v>
      </c>
      <c r="N1727" s="226">
        <v>35.200000000000003</v>
      </c>
      <c r="O1727" s="227">
        <v>16.2</v>
      </c>
      <c r="P1727" s="228">
        <f t="shared" si="865"/>
        <v>8800</v>
      </c>
      <c r="Q1727" s="228">
        <f t="shared" si="866"/>
        <v>4050</v>
      </c>
      <c r="R1727" s="229">
        <f t="shared" si="867"/>
        <v>12850</v>
      </c>
      <c r="S1727" s="229">
        <f t="shared" si="868"/>
        <v>-4750.0000000000009</v>
      </c>
      <c r="T1727" s="229">
        <f t="shared" si="883"/>
        <v>0.01</v>
      </c>
      <c r="U1727" s="229">
        <f t="shared" si="870"/>
        <v>1.23</v>
      </c>
      <c r="V1727" s="229">
        <f t="shared" si="871"/>
        <v>2.0299999999999998</v>
      </c>
      <c r="W1727" s="229">
        <f t="shared" si="872"/>
        <v>0.26</v>
      </c>
      <c r="X1727" s="229">
        <f t="shared" si="873"/>
        <v>6.81</v>
      </c>
      <c r="Y1727" s="229">
        <f t="shared" si="874"/>
        <v>0.01</v>
      </c>
      <c r="Z1727" s="229">
        <f t="shared" si="875"/>
        <v>10.35</v>
      </c>
      <c r="AA1727" s="230">
        <f t="shared" si="876"/>
        <v>-4760.3500000000004</v>
      </c>
      <c r="AB1727" s="231">
        <v>-4760.05</v>
      </c>
      <c r="AC1727" s="232">
        <f t="shared" si="877"/>
        <v>0.3000000000001819</v>
      </c>
      <c r="AD1727" s="233">
        <f t="shared" si="878"/>
        <v>-0.53977272727272729</v>
      </c>
      <c r="AE1727" s="234">
        <f t="shared" si="879"/>
        <v>8.0500000000000005E-4</v>
      </c>
      <c r="AF1727" s="229"/>
      <c r="AG1727" s="235" t="s">
        <v>418</v>
      </c>
      <c r="AH1727" s="124"/>
    </row>
    <row r="1728" spans="1:34" ht="12" hidden="1" customHeight="1">
      <c r="A1728" s="220">
        <v>44939</v>
      </c>
      <c r="B1728" s="221" t="s">
        <v>897</v>
      </c>
      <c r="C1728" s="7" t="s">
        <v>485</v>
      </c>
      <c r="D1728" s="221" t="str">
        <f t="shared" ca="1" si="863"/>
        <v>Indices</v>
      </c>
      <c r="E1728" s="221" t="str">
        <f ca="1">IFERROR(__xludf.DUMMYFUNCTION("split(B1728,"" "")"),"NIFTY")</f>
        <v>NIFTY</v>
      </c>
      <c r="F1728" s="236" t="str">
        <f ca="1">IFERROR(__xludf.DUMMYFUNCTION("""COMPUTED_VALUE"""),"19!JAN")</f>
        <v>19!JAN</v>
      </c>
      <c r="G1728" s="221">
        <f ca="1">IFERROR(__xludf.DUMMYFUNCTION("""COMPUTED_VALUE"""),18000)</f>
        <v>18000</v>
      </c>
      <c r="H1728" s="221" t="str">
        <f ca="1">IFERROR(__xludf.DUMMYFUNCTION("""COMPUTED_VALUE"""),"PE")</f>
        <v>PE</v>
      </c>
      <c r="I1728" s="221" t="s">
        <v>4</v>
      </c>
      <c r="J1728" s="223">
        <v>50</v>
      </c>
      <c r="K1728" s="224">
        <v>1</v>
      </c>
      <c r="L1728" s="224">
        <v>1</v>
      </c>
      <c r="M1728" s="225">
        <f t="shared" si="864"/>
        <v>50</v>
      </c>
      <c r="N1728" s="226">
        <v>100</v>
      </c>
      <c r="O1728" s="227">
        <v>108.1</v>
      </c>
      <c r="P1728" s="228">
        <f t="shared" si="865"/>
        <v>5000</v>
      </c>
      <c r="Q1728" s="228">
        <f t="shared" si="866"/>
        <v>5405</v>
      </c>
      <c r="R1728" s="229">
        <f t="shared" si="867"/>
        <v>10405</v>
      </c>
      <c r="S1728" s="229">
        <f t="shared" si="868"/>
        <v>404.99999999999972</v>
      </c>
      <c r="T1728" s="229">
        <f t="shared" si="883"/>
        <v>0.01</v>
      </c>
      <c r="U1728" s="229">
        <f t="shared" si="870"/>
        <v>0.99</v>
      </c>
      <c r="V1728" s="229">
        <f t="shared" si="871"/>
        <v>2.7</v>
      </c>
      <c r="W1728" s="229">
        <f t="shared" si="872"/>
        <v>0.15</v>
      </c>
      <c r="X1728" s="229">
        <f t="shared" si="873"/>
        <v>5.51</v>
      </c>
      <c r="Y1728" s="229">
        <f t="shared" si="874"/>
        <v>0.01</v>
      </c>
      <c r="Z1728" s="229">
        <f t="shared" si="875"/>
        <v>9.3699999999999992</v>
      </c>
      <c r="AA1728" s="230">
        <f t="shared" si="876"/>
        <v>395.63</v>
      </c>
      <c r="AB1728" s="231">
        <v>395.48</v>
      </c>
      <c r="AC1728" s="232">
        <f t="shared" si="877"/>
        <v>-0.14999999999997726</v>
      </c>
      <c r="AD1728" s="233">
        <f t="shared" si="878"/>
        <v>8.0999999999999947E-2</v>
      </c>
      <c r="AE1728" s="234">
        <f t="shared" si="879"/>
        <v>9.01E-4</v>
      </c>
      <c r="AF1728" s="229"/>
      <c r="AG1728" s="235" t="s">
        <v>418</v>
      </c>
      <c r="AH1728" s="124"/>
    </row>
    <row r="1729" spans="1:34" ht="12" hidden="1" customHeight="1">
      <c r="A1729" s="154">
        <v>44942</v>
      </c>
      <c r="B1729" s="221" t="s">
        <v>898</v>
      </c>
      <c r="C1729" s="7" t="s">
        <v>485</v>
      </c>
      <c r="D1729" s="221" t="str">
        <f t="shared" ca="1" si="863"/>
        <v>Indices</v>
      </c>
      <c r="E1729" s="221" t="str">
        <f ca="1">IFERROR(__xludf.DUMMYFUNCTION("split(B1729,"" "")"),"NIFTY")</f>
        <v>NIFTY</v>
      </c>
      <c r="F1729" s="236" t="str">
        <f ca="1">IFERROR(__xludf.DUMMYFUNCTION("""COMPUTED_VALUE"""),"19!JAN")</f>
        <v>19!JAN</v>
      </c>
      <c r="G1729" s="221">
        <f ca="1">IFERROR(__xludf.DUMMYFUNCTION("""COMPUTED_VALUE"""),17900)</f>
        <v>17900</v>
      </c>
      <c r="H1729" s="221" t="str">
        <f ca="1">IFERROR(__xludf.DUMMYFUNCTION("""COMPUTED_VALUE"""),"CE")</f>
        <v>CE</v>
      </c>
      <c r="I1729" s="221" t="s">
        <v>4</v>
      </c>
      <c r="J1729" s="223">
        <v>50</v>
      </c>
      <c r="K1729" s="224">
        <v>1</v>
      </c>
      <c r="L1729" s="224">
        <v>1</v>
      </c>
      <c r="M1729" s="225">
        <f t="shared" si="864"/>
        <v>50</v>
      </c>
      <c r="N1729" s="226">
        <v>118</v>
      </c>
      <c r="O1729" s="227">
        <v>0</v>
      </c>
      <c r="P1729" s="228">
        <f t="shared" si="865"/>
        <v>5900</v>
      </c>
      <c r="Q1729" s="228">
        <f t="shared" si="866"/>
        <v>0</v>
      </c>
      <c r="R1729" s="229">
        <f t="shared" si="867"/>
        <v>5900</v>
      </c>
      <c r="S1729" s="229">
        <f t="shared" si="868"/>
        <v>-5900</v>
      </c>
      <c r="T1729" s="229">
        <f t="shared" si="883"/>
        <v>20</v>
      </c>
      <c r="U1729" s="229">
        <f t="shared" si="870"/>
        <v>4.16</v>
      </c>
      <c r="V1729" s="229">
        <f t="shared" si="871"/>
        <v>0</v>
      </c>
      <c r="W1729" s="229">
        <f t="shared" si="872"/>
        <v>0.18</v>
      </c>
      <c r="X1729" s="229">
        <f t="shared" si="873"/>
        <v>3.13</v>
      </c>
      <c r="Y1729" s="229">
        <f t="shared" si="874"/>
        <v>0.01</v>
      </c>
      <c r="Z1729" s="229">
        <f t="shared" si="875"/>
        <v>27.48</v>
      </c>
      <c r="AA1729" s="230">
        <f t="shared" si="876"/>
        <v>-5927.48</v>
      </c>
      <c r="AB1729" s="231">
        <v>-5927.29</v>
      </c>
      <c r="AC1729" s="232">
        <f t="shared" si="877"/>
        <v>0.18999999999959982</v>
      </c>
      <c r="AD1729" s="233">
        <f t="shared" si="878"/>
        <v>-1</v>
      </c>
      <c r="AE1729" s="234">
        <f t="shared" si="879"/>
        <v>4.6579999999999998E-3</v>
      </c>
      <c r="AF1729" s="229"/>
      <c r="AG1729" s="235" t="s">
        <v>418</v>
      </c>
      <c r="AH1729" s="124"/>
    </row>
    <row r="1730" spans="1:34" ht="12" hidden="1" customHeight="1">
      <c r="A1730" s="155">
        <v>44943</v>
      </c>
      <c r="B1730" s="221" t="s">
        <v>898</v>
      </c>
      <c r="C1730" s="7" t="s">
        <v>485</v>
      </c>
      <c r="D1730" s="221" t="str">
        <f t="shared" ca="1" si="863"/>
        <v>Indices</v>
      </c>
      <c r="E1730" s="221" t="str">
        <f ca="1">IFERROR(__xludf.DUMMYFUNCTION("split(B1730,"" "")"),"NIFTY")</f>
        <v>NIFTY</v>
      </c>
      <c r="F1730" s="236" t="str">
        <f ca="1">IFERROR(__xludf.DUMMYFUNCTION("""COMPUTED_VALUE"""),"19!JAN")</f>
        <v>19!JAN</v>
      </c>
      <c r="G1730" s="221">
        <f ca="1">IFERROR(__xludf.DUMMYFUNCTION("""COMPUTED_VALUE"""),17900)</f>
        <v>17900</v>
      </c>
      <c r="H1730" s="221" t="str">
        <f ca="1">IFERROR(__xludf.DUMMYFUNCTION("""COMPUTED_VALUE"""),"CE")</f>
        <v>CE</v>
      </c>
      <c r="I1730" s="221" t="s">
        <v>4</v>
      </c>
      <c r="J1730" s="223">
        <v>50</v>
      </c>
      <c r="K1730" s="224">
        <v>1</v>
      </c>
      <c r="L1730" s="224">
        <v>1</v>
      </c>
      <c r="M1730" s="225">
        <f t="shared" si="864"/>
        <v>50</v>
      </c>
      <c r="N1730" s="226">
        <v>0</v>
      </c>
      <c r="O1730" s="227">
        <v>126</v>
      </c>
      <c r="P1730" s="228">
        <f t="shared" si="865"/>
        <v>0</v>
      </c>
      <c r="Q1730" s="228">
        <f t="shared" si="866"/>
        <v>6300</v>
      </c>
      <c r="R1730" s="229">
        <f t="shared" si="867"/>
        <v>6300</v>
      </c>
      <c r="S1730" s="229">
        <f t="shared" si="868"/>
        <v>6300</v>
      </c>
      <c r="T1730" s="229">
        <f t="shared" si="883"/>
        <v>20</v>
      </c>
      <c r="U1730" s="229">
        <f t="shared" si="870"/>
        <v>4.2</v>
      </c>
      <c r="V1730" s="229">
        <f t="shared" si="871"/>
        <v>3.15</v>
      </c>
      <c r="W1730" s="229">
        <f t="shared" si="872"/>
        <v>0</v>
      </c>
      <c r="X1730" s="229">
        <f t="shared" si="873"/>
        <v>3.34</v>
      </c>
      <c r="Y1730" s="229">
        <f t="shared" si="874"/>
        <v>0.01</v>
      </c>
      <c r="Z1730" s="229">
        <f t="shared" si="875"/>
        <v>30.7</v>
      </c>
      <c r="AA1730" s="230">
        <f t="shared" si="876"/>
        <v>6269.3</v>
      </c>
      <c r="AB1730" s="231">
        <v>6269</v>
      </c>
      <c r="AC1730" s="232">
        <f t="shared" si="877"/>
        <v>-0.3000000000001819</v>
      </c>
      <c r="AD1730" s="233">
        <f t="shared" si="878"/>
        <v>0</v>
      </c>
      <c r="AE1730" s="234">
        <f t="shared" si="879"/>
        <v>4.8729999999999997E-3</v>
      </c>
      <c r="AF1730" s="229"/>
      <c r="AG1730" s="235" t="s">
        <v>418</v>
      </c>
      <c r="AH1730" s="124"/>
    </row>
    <row r="1731" spans="1:34" ht="12" hidden="1" customHeight="1">
      <c r="A1731" s="220">
        <v>44943</v>
      </c>
      <c r="B1731" s="221" t="s">
        <v>899</v>
      </c>
      <c r="C1731" s="7" t="s">
        <v>485</v>
      </c>
      <c r="D1731" s="221" t="str">
        <f t="shared" ca="1" si="863"/>
        <v>Indices</v>
      </c>
      <c r="E1731" s="221" t="str">
        <f ca="1">IFERROR(__xludf.DUMMYFUNCTION("split(B1731,"" "")"),"NIFTY")</f>
        <v>NIFTY</v>
      </c>
      <c r="F1731" s="236" t="str">
        <f ca="1">IFERROR(__xludf.DUMMYFUNCTION("""COMPUTED_VALUE"""),"19!JAN")</f>
        <v>19!JAN</v>
      </c>
      <c r="G1731" s="221">
        <f ca="1">IFERROR(__xludf.DUMMYFUNCTION("""COMPUTED_VALUE"""),18000)</f>
        <v>18000</v>
      </c>
      <c r="H1731" s="221" t="str">
        <f ca="1">IFERROR(__xludf.DUMMYFUNCTION("""COMPUTED_VALUE"""),"CE")</f>
        <v>CE</v>
      </c>
      <c r="I1731" s="221" t="s">
        <v>4</v>
      </c>
      <c r="J1731" s="223">
        <v>50</v>
      </c>
      <c r="K1731" s="224">
        <v>1</v>
      </c>
      <c r="L1731" s="224">
        <v>6</v>
      </c>
      <c r="M1731" s="225">
        <f t="shared" si="864"/>
        <v>300</v>
      </c>
      <c r="N1731" s="226">
        <v>76.833349999999996</v>
      </c>
      <c r="O1731" s="227">
        <v>79.75</v>
      </c>
      <c r="P1731" s="228">
        <f t="shared" si="865"/>
        <v>23050.01</v>
      </c>
      <c r="Q1731" s="228">
        <f t="shared" si="866"/>
        <v>23925</v>
      </c>
      <c r="R1731" s="229">
        <f t="shared" si="867"/>
        <v>46975.009999999995</v>
      </c>
      <c r="S1731" s="229">
        <f t="shared" si="868"/>
        <v>874.99500000000126</v>
      </c>
      <c r="T1731" s="229">
        <f t="shared" si="883"/>
        <v>0.01</v>
      </c>
      <c r="U1731" s="229">
        <f t="shared" si="870"/>
        <v>4.4800000000000004</v>
      </c>
      <c r="V1731" s="229">
        <f t="shared" si="871"/>
        <v>11.96</v>
      </c>
      <c r="W1731" s="229">
        <f t="shared" si="872"/>
        <v>0.69</v>
      </c>
      <c r="X1731" s="229">
        <f t="shared" si="873"/>
        <v>24.9</v>
      </c>
      <c r="Y1731" s="229">
        <f t="shared" si="874"/>
        <v>0.05</v>
      </c>
      <c r="Z1731" s="229">
        <f t="shared" si="875"/>
        <v>42.09</v>
      </c>
      <c r="AA1731" s="230">
        <f t="shared" si="876"/>
        <v>832.91</v>
      </c>
      <c r="AB1731" s="231">
        <v>833.02</v>
      </c>
      <c r="AC1731" s="232">
        <f t="shared" si="877"/>
        <v>0.11000000000001364</v>
      </c>
      <c r="AD1731" s="233">
        <f t="shared" si="878"/>
        <v>3.7960729292683508E-2</v>
      </c>
      <c r="AE1731" s="234">
        <f t="shared" si="879"/>
        <v>8.9599999999999999E-4</v>
      </c>
      <c r="AF1731" s="229"/>
      <c r="AG1731" s="235" t="s">
        <v>418</v>
      </c>
      <c r="AH1731" s="124"/>
    </row>
    <row r="1732" spans="1:34" ht="12" hidden="1" customHeight="1">
      <c r="A1732" s="220">
        <v>44944</v>
      </c>
      <c r="B1732" s="221" t="s">
        <v>900</v>
      </c>
      <c r="C1732" s="7" t="s">
        <v>485</v>
      </c>
      <c r="D1732" s="221" t="str">
        <f t="shared" ca="1" si="863"/>
        <v>Stocks</v>
      </c>
      <c r="E1732" s="221" t="str">
        <f ca="1">IFERROR(__xludf.DUMMYFUNCTION("split(B1732,"" "")"),"ZEEL")</f>
        <v>ZEEL</v>
      </c>
      <c r="F1732" s="221" t="str">
        <f ca="1">IFERROR(__xludf.DUMMYFUNCTION("""COMPUTED_VALUE"""),"25!JAN")</f>
        <v>25!JAN</v>
      </c>
      <c r="G1732" s="221">
        <f ca="1">IFERROR(__xludf.DUMMYFUNCTION("""COMPUTED_VALUE"""),235)</f>
        <v>235</v>
      </c>
      <c r="H1732" s="221" t="str">
        <f ca="1">IFERROR(__xludf.DUMMYFUNCTION("""COMPUTED_VALUE"""),"CE")</f>
        <v>CE</v>
      </c>
      <c r="I1732" s="221" t="s">
        <v>4</v>
      </c>
      <c r="J1732" s="223">
        <v>3000</v>
      </c>
      <c r="K1732" s="224">
        <v>1</v>
      </c>
      <c r="L1732" s="224">
        <v>2</v>
      </c>
      <c r="M1732" s="225">
        <f t="shared" si="864"/>
        <v>6000</v>
      </c>
      <c r="N1732" s="226">
        <v>2.5750000000000002</v>
      </c>
      <c r="O1732" s="227">
        <v>2.7</v>
      </c>
      <c r="P1732" s="228">
        <f t="shared" si="865"/>
        <v>15450</v>
      </c>
      <c r="Q1732" s="228">
        <f t="shared" si="866"/>
        <v>16200</v>
      </c>
      <c r="R1732" s="229">
        <f t="shared" si="867"/>
        <v>31650</v>
      </c>
      <c r="S1732" s="229">
        <f t="shared" si="868"/>
        <v>750</v>
      </c>
      <c r="T1732" s="229">
        <f t="shared" si="883"/>
        <v>0.01</v>
      </c>
      <c r="U1732" s="229">
        <f t="shared" si="870"/>
        <v>3.02</v>
      </c>
      <c r="V1732" s="229">
        <f t="shared" si="871"/>
        <v>8.1</v>
      </c>
      <c r="W1732" s="229">
        <f t="shared" si="872"/>
        <v>0.46</v>
      </c>
      <c r="X1732" s="229">
        <f t="shared" si="873"/>
        <v>16.77</v>
      </c>
      <c r="Y1732" s="229">
        <f t="shared" si="874"/>
        <v>0.03</v>
      </c>
      <c r="Z1732" s="229">
        <f t="shared" si="875"/>
        <v>28.39</v>
      </c>
      <c r="AA1732" s="230">
        <f t="shared" si="876"/>
        <v>721.61</v>
      </c>
      <c r="AB1732" s="231">
        <v>721</v>
      </c>
      <c r="AC1732" s="232">
        <f t="shared" si="877"/>
        <v>-0.61000000000001364</v>
      </c>
      <c r="AD1732" s="233">
        <f t="shared" si="878"/>
        <v>4.8543689320388349E-2</v>
      </c>
      <c r="AE1732" s="234">
        <f t="shared" si="879"/>
        <v>8.9700000000000001E-4</v>
      </c>
      <c r="AF1732" s="229"/>
      <c r="AG1732" s="235" t="s">
        <v>418</v>
      </c>
      <c r="AH1732" s="124"/>
    </row>
    <row r="1733" spans="1:34" ht="12" hidden="1" customHeight="1">
      <c r="A1733" s="220">
        <v>44944</v>
      </c>
      <c r="B1733" s="221" t="s">
        <v>901</v>
      </c>
      <c r="C1733" s="7" t="s">
        <v>485</v>
      </c>
      <c r="D1733" s="221" t="str">
        <f t="shared" ca="1" si="863"/>
        <v>Indices</v>
      </c>
      <c r="E1733" s="221" t="str">
        <f ca="1">IFERROR(__xludf.DUMMYFUNCTION("split(B1733,"" "")"),"NIFTY")</f>
        <v>NIFTY</v>
      </c>
      <c r="F1733" s="236" t="str">
        <f ca="1">IFERROR(__xludf.DUMMYFUNCTION("""COMPUTED_VALUE"""),"19!JAN")</f>
        <v>19!JAN</v>
      </c>
      <c r="G1733" s="221">
        <f ca="1">IFERROR(__xludf.DUMMYFUNCTION("""COMPUTED_VALUE"""),18050)</f>
        <v>18050</v>
      </c>
      <c r="H1733" s="221" t="str">
        <f ca="1">IFERROR(__xludf.DUMMYFUNCTION("""COMPUTED_VALUE"""),"CE")</f>
        <v>CE</v>
      </c>
      <c r="I1733" s="221" t="s">
        <v>4</v>
      </c>
      <c r="J1733" s="223">
        <v>50</v>
      </c>
      <c r="K1733" s="224">
        <v>1</v>
      </c>
      <c r="L1733" s="224">
        <v>1</v>
      </c>
      <c r="M1733" s="225">
        <f t="shared" si="864"/>
        <v>50</v>
      </c>
      <c r="N1733" s="226">
        <v>64</v>
      </c>
      <c r="O1733" s="227">
        <v>106</v>
      </c>
      <c r="P1733" s="228">
        <f t="shared" si="865"/>
        <v>3200</v>
      </c>
      <c r="Q1733" s="228">
        <f t="shared" si="866"/>
        <v>5300</v>
      </c>
      <c r="R1733" s="229">
        <f t="shared" si="867"/>
        <v>8500</v>
      </c>
      <c r="S1733" s="229">
        <f t="shared" si="868"/>
        <v>2100</v>
      </c>
      <c r="T1733" s="229">
        <f t="shared" si="883"/>
        <v>0.01</v>
      </c>
      <c r="U1733" s="229">
        <f t="shared" si="870"/>
        <v>0.81</v>
      </c>
      <c r="V1733" s="229">
        <f t="shared" si="871"/>
        <v>2.65</v>
      </c>
      <c r="W1733" s="229">
        <f t="shared" si="872"/>
        <v>0.1</v>
      </c>
      <c r="X1733" s="229">
        <f t="shared" si="873"/>
        <v>4.51</v>
      </c>
      <c r="Y1733" s="229">
        <f t="shared" si="874"/>
        <v>0.01</v>
      </c>
      <c r="Z1733" s="229">
        <f t="shared" si="875"/>
        <v>8.09</v>
      </c>
      <c r="AA1733" s="230">
        <f t="shared" si="876"/>
        <v>2091.91</v>
      </c>
      <c r="AB1733" s="231">
        <v>2091.84</v>
      </c>
      <c r="AC1733" s="232">
        <f t="shared" si="877"/>
        <v>-6.9999999999708962E-2</v>
      </c>
      <c r="AD1733" s="233">
        <f t="shared" si="878"/>
        <v>0.65625</v>
      </c>
      <c r="AE1733" s="234">
        <f t="shared" si="879"/>
        <v>9.5200000000000005E-4</v>
      </c>
      <c r="AF1733" s="229"/>
      <c r="AG1733" s="235" t="s">
        <v>418</v>
      </c>
      <c r="AH1733" s="124"/>
    </row>
    <row r="1734" spans="1:34" ht="12" hidden="1" customHeight="1">
      <c r="A1734" s="220">
        <v>44945</v>
      </c>
      <c r="B1734" s="221" t="s">
        <v>902</v>
      </c>
      <c r="C1734" s="7" t="s">
        <v>485</v>
      </c>
      <c r="D1734" s="221" t="str">
        <f t="shared" ca="1" si="863"/>
        <v>Indices</v>
      </c>
      <c r="E1734" s="221" t="str">
        <f ca="1">IFERROR(__xludf.DUMMYFUNCTION("split(B1734,"" "")"),"NIFTY")</f>
        <v>NIFTY</v>
      </c>
      <c r="F1734" s="236" t="str">
        <f ca="1">IFERROR(__xludf.DUMMYFUNCTION("""COMPUTED_VALUE"""),"19!JAN")</f>
        <v>19!JAN</v>
      </c>
      <c r="G1734" s="221">
        <f ca="1">IFERROR(__xludf.DUMMYFUNCTION("""COMPUTED_VALUE"""),17950)</f>
        <v>17950</v>
      </c>
      <c r="H1734" s="221" t="str">
        <f ca="1">IFERROR(__xludf.DUMMYFUNCTION("""COMPUTED_VALUE"""),"CE")</f>
        <v>CE</v>
      </c>
      <c r="I1734" s="221" t="s">
        <v>4</v>
      </c>
      <c r="J1734" s="223">
        <v>50</v>
      </c>
      <c r="K1734" s="224">
        <v>1</v>
      </c>
      <c r="L1734" s="224">
        <v>5</v>
      </c>
      <c r="M1734" s="225">
        <f t="shared" si="864"/>
        <v>250</v>
      </c>
      <c r="N1734" s="226">
        <v>158.12</v>
      </c>
      <c r="O1734" s="227">
        <v>159.19999999999999</v>
      </c>
      <c r="P1734" s="228">
        <f t="shared" si="865"/>
        <v>39530</v>
      </c>
      <c r="Q1734" s="228">
        <f t="shared" si="866"/>
        <v>39800</v>
      </c>
      <c r="R1734" s="229">
        <f t="shared" si="867"/>
        <v>79330</v>
      </c>
      <c r="S1734" s="229">
        <f t="shared" si="868"/>
        <v>269.99999999999602</v>
      </c>
      <c r="T1734" s="229">
        <f t="shared" si="883"/>
        <v>0.01</v>
      </c>
      <c r="U1734" s="229">
        <f t="shared" si="870"/>
        <v>7.57</v>
      </c>
      <c r="V1734" s="229">
        <f t="shared" si="871"/>
        <v>19.899999999999999</v>
      </c>
      <c r="W1734" s="229">
        <f t="shared" si="872"/>
        <v>1.19</v>
      </c>
      <c r="X1734" s="229">
        <f t="shared" si="873"/>
        <v>42.04</v>
      </c>
      <c r="Y1734" s="229">
        <f t="shared" si="874"/>
        <v>0.08</v>
      </c>
      <c r="Z1734" s="229">
        <f t="shared" si="875"/>
        <v>70.789999999999992</v>
      </c>
      <c r="AA1734" s="230">
        <f t="shared" si="876"/>
        <v>199.21</v>
      </c>
      <c r="AB1734" s="231">
        <v>199</v>
      </c>
      <c r="AC1734" s="232">
        <f t="shared" si="877"/>
        <v>-0.21000000000000796</v>
      </c>
      <c r="AD1734" s="233">
        <f t="shared" si="878"/>
        <v>6.8302555021501647E-3</v>
      </c>
      <c r="AE1734" s="234">
        <f t="shared" si="879"/>
        <v>8.92E-4</v>
      </c>
      <c r="AF1734" s="229"/>
      <c r="AG1734" s="235" t="s">
        <v>418</v>
      </c>
      <c r="AH1734" s="124"/>
    </row>
    <row r="1735" spans="1:34" ht="12" hidden="1" customHeight="1">
      <c r="A1735" s="220">
        <v>44945</v>
      </c>
      <c r="B1735" s="221" t="s">
        <v>903</v>
      </c>
      <c r="C1735" s="7" t="s">
        <v>485</v>
      </c>
      <c r="D1735" s="221" t="str">
        <f t="shared" ca="1" si="863"/>
        <v>Stocks</v>
      </c>
      <c r="E1735" s="221" t="str">
        <f ca="1">IFERROR(__xludf.DUMMYFUNCTION("split(B1735,"" "")"),"INTELLECT")</f>
        <v>INTELLECT</v>
      </c>
      <c r="F1735" s="221" t="str">
        <f ca="1">IFERROR(__xludf.DUMMYFUNCTION("""COMPUTED_VALUE"""),"25!JAN")</f>
        <v>25!JAN</v>
      </c>
      <c r="G1735" s="221">
        <f ca="1">IFERROR(__xludf.DUMMYFUNCTION("""COMPUTED_VALUE"""),420)</f>
        <v>420</v>
      </c>
      <c r="H1735" s="221" t="str">
        <f ca="1">IFERROR(__xludf.DUMMYFUNCTION("""COMPUTED_VALUE"""),"PE")</f>
        <v>PE</v>
      </c>
      <c r="I1735" s="221" t="s">
        <v>4</v>
      </c>
      <c r="J1735" s="223">
        <v>1000</v>
      </c>
      <c r="K1735" s="224">
        <v>1</v>
      </c>
      <c r="L1735" s="224">
        <v>1</v>
      </c>
      <c r="M1735" s="225">
        <f t="shared" si="864"/>
        <v>1000</v>
      </c>
      <c r="N1735" s="226">
        <v>8</v>
      </c>
      <c r="O1735" s="227">
        <v>7.75</v>
      </c>
      <c r="P1735" s="228">
        <f t="shared" si="865"/>
        <v>8000</v>
      </c>
      <c r="Q1735" s="228">
        <f t="shared" si="866"/>
        <v>7750</v>
      </c>
      <c r="R1735" s="229">
        <f t="shared" si="867"/>
        <v>15750</v>
      </c>
      <c r="S1735" s="229">
        <f t="shared" si="868"/>
        <v>-250</v>
      </c>
      <c r="T1735" s="229">
        <f t="shared" si="883"/>
        <v>0.01</v>
      </c>
      <c r="U1735" s="229">
        <f t="shared" si="870"/>
        <v>1.5</v>
      </c>
      <c r="V1735" s="229">
        <f t="shared" si="871"/>
        <v>3.88</v>
      </c>
      <c r="W1735" s="229">
        <f t="shared" si="872"/>
        <v>0.24</v>
      </c>
      <c r="X1735" s="229">
        <f t="shared" si="873"/>
        <v>8.35</v>
      </c>
      <c r="Y1735" s="229">
        <f t="shared" si="874"/>
        <v>0.02</v>
      </c>
      <c r="Z1735" s="229">
        <f t="shared" si="875"/>
        <v>14</v>
      </c>
      <c r="AA1735" s="230">
        <f t="shared" si="876"/>
        <v>-264</v>
      </c>
      <c r="AB1735" s="231">
        <v>-263.58</v>
      </c>
      <c r="AC1735" s="232">
        <f t="shared" si="877"/>
        <v>0.42000000000001592</v>
      </c>
      <c r="AD1735" s="233">
        <f t="shared" si="878"/>
        <v>-3.125E-2</v>
      </c>
      <c r="AE1735" s="234">
        <f t="shared" si="879"/>
        <v>8.8900000000000003E-4</v>
      </c>
      <c r="AF1735" s="229"/>
      <c r="AG1735" s="235" t="s">
        <v>418</v>
      </c>
      <c r="AH1735" s="124"/>
    </row>
    <row r="1736" spans="1:34" ht="12" hidden="1" customHeight="1">
      <c r="A1736" s="220">
        <v>44946</v>
      </c>
      <c r="B1736" s="221" t="s">
        <v>904</v>
      </c>
      <c r="C1736" s="7" t="s">
        <v>485</v>
      </c>
      <c r="D1736" s="221" t="str">
        <f t="shared" ca="1" si="863"/>
        <v>Indices</v>
      </c>
      <c r="E1736" s="221" t="str">
        <f ca="1">IFERROR(__xludf.DUMMYFUNCTION("split(B1736,"" "")"),"NIFTY")</f>
        <v>NIFTY</v>
      </c>
      <c r="F1736" s="236" t="str">
        <f ca="1">IFERROR(__xludf.DUMMYFUNCTION("""COMPUTED_VALUE"""),"25!JAN")</f>
        <v>25!JAN</v>
      </c>
      <c r="G1736" s="221">
        <f ca="1">IFERROR(__xludf.DUMMYFUNCTION("""COMPUTED_VALUE"""),17950)</f>
        <v>17950</v>
      </c>
      <c r="H1736" s="221" t="str">
        <f ca="1">IFERROR(__xludf.DUMMYFUNCTION("""COMPUTED_VALUE"""),"CE")</f>
        <v>CE</v>
      </c>
      <c r="I1736" s="221" t="s">
        <v>4</v>
      </c>
      <c r="J1736" s="223">
        <v>50</v>
      </c>
      <c r="K1736" s="224">
        <v>1</v>
      </c>
      <c r="L1736" s="224">
        <v>1</v>
      </c>
      <c r="M1736" s="225">
        <f t="shared" si="864"/>
        <v>50</v>
      </c>
      <c r="N1736" s="226">
        <v>190</v>
      </c>
      <c r="O1736" s="227">
        <v>230</v>
      </c>
      <c r="P1736" s="228">
        <f t="shared" si="865"/>
        <v>9500</v>
      </c>
      <c r="Q1736" s="228">
        <f t="shared" si="866"/>
        <v>11500</v>
      </c>
      <c r="R1736" s="229">
        <f t="shared" si="867"/>
        <v>21000</v>
      </c>
      <c r="S1736" s="229">
        <f t="shared" si="868"/>
        <v>2000</v>
      </c>
      <c r="T1736" s="229">
        <f t="shared" si="883"/>
        <v>0.01</v>
      </c>
      <c r="U1736" s="229">
        <f t="shared" si="870"/>
        <v>2.0099999999999998</v>
      </c>
      <c r="V1736" s="229">
        <f t="shared" si="871"/>
        <v>5.75</v>
      </c>
      <c r="W1736" s="229">
        <f t="shared" si="872"/>
        <v>0.28999999999999998</v>
      </c>
      <c r="X1736" s="229">
        <f t="shared" si="873"/>
        <v>11.13</v>
      </c>
      <c r="Y1736" s="229">
        <f t="shared" si="874"/>
        <v>0.02</v>
      </c>
      <c r="Z1736" s="229">
        <f t="shared" si="875"/>
        <v>19.209999999999997</v>
      </c>
      <c r="AA1736" s="230">
        <f t="shared" si="876"/>
        <v>1980.79</v>
      </c>
      <c r="AB1736" s="231">
        <v>1980.4</v>
      </c>
      <c r="AC1736" s="232">
        <f t="shared" si="877"/>
        <v>-0.38999999999987267</v>
      </c>
      <c r="AD1736" s="233">
        <f t="shared" si="878"/>
        <v>0.21052631578947367</v>
      </c>
      <c r="AE1736" s="234">
        <f t="shared" si="879"/>
        <v>9.1500000000000001E-4</v>
      </c>
      <c r="AF1736" s="229"/>
      <c r="AG1736" s="235" t="s">
        <v>418</v>
      </c>
      <c r="AH1736" s="124"/>
    </row>
    <row r="1737" spans="1:34" ht="12" hidden="1" customHeight="1">
      <c r="A1737" s="220">
        <v>44946</v>
      </c>
      <c r="B1737" s="221" t="s">
        <v>905</v>
      </c>
      <c r="C1737" s="7" t="s">
        <v>485</v>
      </c>
      <c r="D1737" s="221" t="str">
        <f t="shared" ca="1" si="863"/>
        <v>Indices</v>
      </c>
      <c r="E1737" s="221" t="str">
        <f ca="1">IFERROR(__xludf.DUMMYFUNCTION("split(B1737,"" "")"),"BANKNIFTY")</f>
        <v>BANKNIFTY</v>
      </c>
      <c r="F1737" s="236" t="str">
        <f ca="1">IFERROR(__xludf.DUMMYFUNCTION("""COMPUTED_VALUE"""),"25!JAN")</f>
        <v>25!JAN</v>
      </c>
      <c r="G1737" s="221">
        <f ca="1">IFERROR(__xludf.DUMMYFUNCTION("""COMPUTED_VALUE"""),42700)</f>
        <v>42700</v>
      </c>
      <c r="H1737" s="221" t="str">
        <f ca="1">IFERROR(__xludf.DUMMYFUNCTION("""COMPUTED_VALUE"""),"PE")</f>
        <v>PE</v>
      </c>
      <c r="I1737" s="221" t="s">
        <v>4</v>
      </c>
      <c r="J1737" s="223">
        <v>25</v>
      </c>
      <c r="K1737" s="224">
        <v>1</v>
      </c>
      <c r="L1737" s="224">
        <v>1</v>
      </c>
      <c r="M1737" s="225">
        <f t="shared" si="864"/>
        <v>25</v>
      </c>
      <c r="N1737" s="226">
        <v>305</v>
      </c>
      <c r="O1737" s="227">
        <v>330</v>
      </c>
      <c r="P1737" s="228">
        <f t="shared" si="865"/>
        <v>7625</v>
      </c>
      <c r="Q1737" s="228">
        <f t="shared" si="866"/>
        <v>8250</v>
      </c>
      <c r="R1737" s="229">
        <f t="shared" si="867"/>
        <v>15875</v>
      </c>
      <c r="S1737" s="229">
        <f t="shared" si="868"/>
        <v>625</v>
      </c>
      <c r="T1737" s="229">
        <f t="shared" si="883"/>
        <v>0.01</v>
      </c>
      <c r="U1737" s="229">
        <f t="shared" si="870"/>
        <v>1.52</v>
      </c>
      <c r="V1737" s="229">
        <f t="shared" si="871"/>
        <v>4.13</v>
      </c>
      <c r="W1737" s="229">
        <f t="shared" si="872"/>
        <v>0.23</v>
      </c>
      <c r="X1737" s="229">
        <f t="shared" si="873"/>
        <v>8.41</v>
      </c>
      <c r="Y1737" s="229">
        <f t="shared" si="874"/>
        <v>0.02</v>
      </c>
      <c r="Z1737" s="229">
        <f t="shared" si="875"/>
        <v>14.32</v>
      </c>
      <c r="AA1737" s="230">
        <f t="shared" si="876"/>
        <v>610.67999999999995</v>
      </c>
      <c r="AB1737" s="231">
        <v>610.5</v>
      </c>
      <c r="AC1737" s="232">
        <f t="shared" si="877"/>
        <v>-0.17999999999994998</v>
      </c>
      <c r="AD1737" s="233">
        <f t="shared" si="878"/>
        <v>8.1967213114754092E-2</v>
      </c>
      <c r="AE1737" s="234">
        <f t="shared" si="879"/>
        <v>9.0200000000000002E-4</v>
      </c>
      <c r="AF1737" s="229"/>
      <c r="AG1737" s="235" t="s">
        <v>418</v>
      </c>
      <c r="AH1737" s="124"/>
    </row>
    <row r="1738" spans="1:34" ht="12" hidden="1" customHeight="1">
      <c r="A1738" s="220">
        <v>44949</v>
      </c>
      <c r="B1738" s="221" t="s">
        <v>906</v>
      </c>
      <c r="C1738" s="7" t="s">
        <v>485</v>
      </c>
      <c r="D1738" s="221" t="str">
        <f t="shared" ca="1" si="863"/>
        <v>Indices</v>
      </c>
      <c r="E1738" s="221" t="str">
        <f ca="1">IFERROR(__xludf.DUMMYFUNCTION("split(B1738,"" "")"),"BANKNIFTY")</f>
        <v>BANKNIFTY</v>
      </c>
      <c r="F1738" s="236" t="str">
        <f ca="1">IFERROR(__xludf.DUMMYFUNCTION("""COMPUTED_VALUE"""),"25!JAN")</f>
        <v>25!JAN</v>
      </c>
      <c r="G1738" s="221">
        <f ca="1">IFERROR(__xludf.DUMMYFUNCTION("""COMPUTED_VALUE"""),43000)</f>
        <v>43000</v>
      </c>
      <c r="H1738" s="221" t="str">
        <f ca="1">IFERROR(__xludf.DUMMYFUNCTION("""COMPUTED_VALUE"""),"PE")</f>
        <v>PE</v>
      </c>
      <c r="I1738" s="221" t="s">
        <v>4</v>
      </c>
      <c r="J1738" s="223">
        <v>25</v>
      </c>
      <c r="K1738" s="224">
        <v>1</v>
      </c>
      <c r="L1738" s="224">
        <v>2</v>
      </c>
      <c r="M1738" s="225">
        <f t="shared" si="864"/>
        <v>50</v>
      </c>
      <c r="N1738" s="226">
        <v>252.5</v>
      </c>
      <c r="O1738" s="227">
        <v>255</v>
      </c>
      <c r="P1738" s="228">
        <f t="shared" si="865"/>
        <v>12625</v>
      </c>
      <c r="Q1738" s="228">
        <f t="shared" si="866"/>
        <v>12750</v>
      </c>
      <c r="R1738" s="229">
        <f t="shared" si="867"/>
        <v>25375</v>
      </c>
      <c r="S1738" s="229">
        <f t="shared" si="868"/>
        <v>125</v>
      </c>
      <c r="T1738" s="229">
        <f t="shared" si="883"/>
        <v>0.01</v>
      </c>
      <c r="U1738" s="229">
        <f t="shared" si="870"/>
        <v>2.42</v>
      </c>
      <c r="V1738" s="229">
        <f t="shared" si="871"/>
        <v>6.38</v>
      </c>
      <c r="W1738" s="229">
        <f t="shared" si="872"/>
        <v>0.38</v>
      </c>
      <c r="X1738" s="229">
        <f t="shared" si="873"/>
        <v>13.45</v>
      </c>
      <c r="Y1738" s="229">
        <f t="shared" si="874"/>
        <v>0.03</v>
      </c>
      <c r="Z1738" s="229">
        <f t="shared" si="875"/>
        <v>22.67</v>
      </c>
      <c r="AA1738" s="230">
        <f t="shared" si="876"/>
        <v>102.33</v>
      </c>
      <c r="AB1738" s="231">
        <v>103.1</v>
      </c>
      <c r="AC1738" s="232">
        <f t="shared" si="877"/>
        <v>0.76999999999999602</v>
      </c>
      <c r="AD1738" s="233">
        <f t="shared" si="878"/>
        <v>9.9009900990099011E-3</v>
      </c>
      <c r="AE1738" s="234">
        <f t="shared" si="879"/>
        <v>8.9300000000000002E-4</v>
      </c>
      <c r="AF1738" s="229"/>
      <c r="AG1738" s="235" t="s">
        <v>418</v>
      </c>
      <c r="AH1738" s="124"/>
    </row>
    <row r="1739" spans="1:34" ht="12" hidden="1" customHeight="1">
      <c r="A1739" s="220">
        <v>44950</v>
      </c>
      <c r="B1739" s="221" t="s">
        <v>907</v>
      </c>
      <c r="C1739" s="7" t="s">
        <v>485</v>
      </c>
      <c r="D1739" s="221" t="str">
        <f t="shared" ca="1" si="863"/>
        <v>Indices</v>
      </c>
      <c r="E1739" s="221" t="str">
        <f ca="1">IFERROR(__xludf.DUMMYFUNCTION("split(B1739,"" "")"),"NIFTY")</f>
        <v>NIFTY</v>
      </c>
      <c r="F1739" s="236" t="str">
        <f ca="1">IFERROR(__xludf.DUMMYFUNCTION("""COMPUTED_VALUE"""),"25!JAN")</f>
        <v>25!JAN</v>
      </c>
      <c r="G1739" s="221">
        <f ca="1">IFERROR(__xludf.DUMMYFUNCTION("""COMPUTED_VALUE"""),18150)</f>
        <v>18150</v>
      </c>
      <c r="H1739" s="221" t="str">
        <f ca="1">IFERROR(__xludf.DUMMYFUNCTION("""COMPUTED_VALUE"""),"CE")</f>
        <v>CE</v>
      </c>
      <c r="I1739" s="221" t="s">
        <v>4</v>
      </c>
      <c r="J1739" s="223">
        <v>50</v>
      </c>
      <c r="K1739" s="224">
        <v>1</v>
      </c>
      <c r="L1739" s="224">
        <v>5</v>
      </c>
      <c r="M1739" s="225">
        <f t="shared" si="864"/>
        <v>250</v>
      </c>
      <c r="N1739" s="226">
        <v>55.8</v>
      </c>
      <c r="O1739" s="227">
        <v>58.55</v>
      </c>
      <c r="P1739" s="228">
        <f t="shared" si="865"/>
        <v>13950</v>
      </c>
      <c r="Q1739" s="228">
        <f t="shared" si="866"/>
        <v>14637.5</v>
      </c>
      <c r="R1739" s="229">
        <f t="shared" si="867"/>
        <v>28587.5</v>
      </c>
      <c r="S1739" s="229">
        <f t="shared" si="868"/>
        <v>687.5</v>
      </c>
      <c r="T1739" s="229">
        <f t="shared" si="883"/>
        <v>0.01</v>
      </c>
      <c r="U1739" s="229">
        <f t="shared" si="870"/>
        <v>2.73</v>
      </c>
      <c r="V1739" s="229">
        <f t="shared" si="871"/>
        <v>7.32</v>
      </c>
      <c r="W1739" s="229">
        <f t="shared" si="872"/>
        <v>0.42</v>
      </c>
      <c r="X1739" s="229">
        <f t="shared" si="873"/>
        <v>15.15</v>
      </c>
      <c r="Y1739" s="229">
        <f t="shared" si="874"/>
        <v>0.03</v>
      </c>
      <c r="Z1739" s="229">
        <f t="shared" si="875"/>
        <v>25.660000000000004</v>
      </c>
      <c r="AA1739" s="230">
        <f t="shared" si="876"/>
        <v>661.84</v>
      </c>
      <c r="AB1739" s="231">
        <v>661.62</v>
      </c>
      <c r="AC1739" s="232">
        <f t="shared" si="877"/>
        <v>-0.22000000000002728</v>
      </c>
      <c r="AD1739" s="233">
        <f t="shared" si="878"/>
        <v>4.9283154121863799E-2</v>
      </c>
      <c r="AE1739" s="234">
        <f t="shared" si="879"/>
        <v>8.9800000000000004E-4</v>
      </c>
      <c r="AF1739" s="229"/>
      <c r="AG1739" s="235" t="s">
        <v>418</v>
      </c>
      <c r="AH1739" s="124"/>
    </row>
    <row r="1740" spans="1:34" ht="12" hidden="1" customHeight="1">
      <c r="A1740" s="154">
        <v>44950</v>
      </c>
      <c r="B1740" s="221" t="s">
        <v>907</v>
      </c>
      <c r="C1740" s="7" t="s">
        <v>485</v>
      </c>
      <c r="D1740" s="221" t="str">
        <f t="shared" ca="1" si="863"/>
        <v>Indices</v>
      </c>
      <c r="E1740" s="221" t="str">
        <f ca="1">IFERROR(__xludf.DUMMYFUNCTION("split(B1740,"" "")"),"NIFTY")</f>
        <v>NIFTY</v>
      </c>
      <c r="F1740" s="236" t="str">
        <f ca="1">IFERROR(__xludf.DUMMYFUNCTION("""COMPUTED_VALUE"""),"25!JAN")</f>
        <v>25!JAN</v>
      </c>
      <c r="G1740" s="221">
        <f ca="1">IFERROR(__xludf.DUMMYFUNCTION("""COMPUTED_VALUE"""),18150)</f>
        <v>18150</v>
      </c>
      <c r="H1740" s="221" t="str">
        <f ca="1">IFERROR(__xludf.DUMMYFUNCTION("""COMPUTED_VALUE"""),"CE")</f>
        <v>CE</v>
      </c>
      <c r="I1740" s="221" t="s">
        <v>4</v>
      </c>
      <c r="J1740" s="223">
        <v>50</v>
      </c>
      <c r="K1740" s="224">
        <v>1</v>
      </c>
      <c r="L1740" s="224">
        <v>3</v>
      </c>
      <c r="M1740" s="225">
        <f t="shared" si="864"/>
        <v>150</v>
      </c>
      <c r="N1740" s="226">
        <v>55</v>
      </c>
      <c r="O1740" s="227">
        <v>0</v>
      </c>
      <c r="P1740" s="228">
        <f t="shared" si="865"/>
        <v>8250</v>
      </c>
      <c r="Q1740" s="228">
        <f t="shared" si="866"/>
        <v>0</v>
      </c>
      <c r="R1740" s="229">
        <f t="shared" si="867"/>
        <v>8250</v>
      </c>
      <c r="S1740" s="229">
        <f t="shared" si="868"/>
        <v>-8250</v>
      </c>
      <c r="T1740" s="229">
        <f t="shared" si="883"/>
        <v>60</v>
      </c>
      <c r="U1740" s="229">
        <f t="shared" si="870"/>
        <v>11.59</v>
      </c>
      <c r="V1740" s="229">
        <f t="shared" si="871"/>
        <v>0</v>
      </c>
      <c r="W1740" s="229">
        <f t="shared" si="872"/>
        <v>0.25</v>
      </c>
      <c r="X1740" s="229">
        <f t="shared" si="873"/>
        <v>4.37</v>
      </c>
      <c r="Y1740" s="229">
        <f t="shared" si="874"/>
        <v>0.01</v>
      </c>
      <c r="Z1740" s="229">
        <f t="shared" si="875"/>
        <v>76.220000000000013</v>
      </c>
      <c r="AA1740" s="230">
        <f t="shared" si="876"/>
        <v>-8326.2199999999993</v>
      </c>
      <c r="AB1740" s="231">
        <v>-8326</v>
      </c>
      <c r="AC1740" s="232">
        <f t="shared" si="877"/>
        <v>0.21999999999934516</v>
      </c>
      <c r="AD1740" s="233">
        <f t="shared" si="878"/>
        <v>-1</v>
      </c>
      <c r="AE1740" s="234">
        <f t="shared" si="879"/>
        <v>9.2390000000000007E-3</v>
      </c>
      <c r="AF1740" s="229"/>
      <c r="AG1740" s="235" t="s">
        <v>418</v>
      </c>
      <c r="AH1740" s="124"/>
    </row>
    <row r="1741" spans="1:34" ht="12" hidden="1" customHeight="1">
      <c r="A1741" s="155">
        <v>44951</v>
      </c>
      <c r="B1741" s="221" t="s">
        <v>907</v>
      </c>
      <c r="C1741" s="7" t="s">
        <v>485</v>
      </c>
      <c r="D1741" s="221" t="str">
        <f t="shared" ca="1" si="863"/>
        <v>Indices</v>
      </c>
      <c r="E1741" s="221" t="str">
        <f ca="1">IFERROR(__xludf.DUMMYFUNCTION("split(B1741,"" "")"),"NIFTY")</f>
        <v>NIFTY</v>
      </c>
      <c r="F1741" s="236" t="str">
        <f ca="1">IFERROR(__xludf.DUMMYFUNCTION("""COMPUTED_VALUE"""),"25!JAN")</f>
        <v>25!JAN</v>
      </c>
      <c r="G1741" s="221">
        <f ca="1">IFERROR(__xludf.DUMMYFUNCTION("""COMPUTED_VALUE"""),18150)</f>
        <v>18150</v>
      </c>
      <c r="H1741" s="221" t="str">
        <f ca="1">IFERROR(__xludf.DUMMYFUNCTION("""COMPUTED_VALUE"""),"CE")</f>
        <v>CE</v>
      </c>
      <c r="I1741" s="221" t="s">
        <v>4</v>
      </c>
      <c r="J1741" s="223">
        <v>50</v>
      </c>
      <c r="K1741" s="224">
        <v>3</v>
      </c>
      <c r="L1741" s="224">
        <v>1</v>
      </c>
      <c r="M1741" s="225">
        <f t="shared" si="864"/>
        <v>150</v>
      </c>
      <c r="N1741" s="226">
        <v>0</v>
      </c>
      <c r="O1741" s="227">
        <v>1.1499999999999999</v>
      </c>
      <c r="P1741" s="228">
        <f t="shared" si="865"/>
        <v>0</v>
      </c>
      <c r="Q1741" s="228">
        <f t="shared" si="866"/>
        <v>172.5</v>
      </c>
      <c r="R1741" s="229">
        <f t="shared" si="867"/>
        <v>172.5</v>
      </c>
      <c r="S1741" s="229">
        <f t="shared" si="868"/>
        <v>172.5</v>
      </c>
      <c r="T1741" s="229">
        <f>IF(AND(N1741&lt;&gt;0,O1741&lt;&gt;0,AG1741="Kotak"),0.01,IF(AND(N1741="",O1741=""),0,IF(N1741=0,0,G$1815*L1741)+IF(O1741=0,0,G$1815*L1741)))-15</f>
        <v>5</v>
      </c>
      <c r="U1741" s="229">
        <f t="shared" si="870"/>
        <v>0.92</v>
      </c>
      <c r="V1741" s="229">
        <f t="shared" si="871"/>
        <v>0.09</v>
      </c>
      <c r="W1741" s="229">
        <f t="shared" si="872"/>
        <v>0</v>
      </c>
      <c r="X1741" s="229">
        <f t="shared" si="873"/>
        <v>0.09</v>
      </c>
      <c r="Y1741" s="229">
        <f t="shared" si="874"/>
        <v>0</v>
      </c>
      <c r="Z1741" s="229">
        <f t="shared" si="875"/>
        <v>6.1</v>
      </c>
      <c r="AA1741" s="230">
        <f t="shared" si="876"/>
        <v>166.4</v>
      </c>
      <c r="AB1741" s="231">
        <v>166.98</v>
      </c>
      <c r="AC1741" s="232">
        <f t="shared" si="877"/>
        <v>0.57999999999998408</v>
      </c>
      <c r="AD1741" s="233">
        <f t="shared" si="878"/>
        <v>0</v>
      </c>
      <c r="AE1741" s="234">
        <f t="shared" si="879"/>
        <v>3.5361999999999998E-2</v>
      </c>
      <c r="AF1741" s="229"/>
      <c r="AG1741" s="235" t="s">
        <v>418</v>
      </c>
      <c r="AH1741" s="124"/>
    </row>
    <row r="1742" spans="1:34" ht="12" hidden="1" customHeight="1">
      <c r="A1742" s="220">
        <v>44951</v>
      </c>
      <c r="B1742" s="221" t="s">
        <v>907</v>
      </c>
      <c r="C1742" s="7" t="s">
        <v>485</v>
      </c>
      <c r="D1742" s="221" t="str">
        <f t="shared" ca="1" si="863"/>
        <v>Indices</v>
      </c>
      <c r="E1742" s="221" t="str">
        <f ca="1">IFERROR(__xludf.DUMMYFUNCTION("split(B1742,"" "")"),"NIFTY")</f>
        <v>NIFTY</v>
      </c>
      <c r="F1742" s="236" t="str">
        <f ca="1">IFERROR(__xludf.DUMMYFUNCTION("""COMPUTED_VALUE"""),"25!JAN")</f>
        <v>25!JAN</v>
      </c>
      <c r="G1742" s="221">
        <f ca="1">IFERROR(__xludf.DUMMYFUNCTION("""COMPUTED_VALUE"""),18150)</f>
        <v>18150</v>
      </c>
      <c r="H1742" s="221" t="str">
        <f ca="1">IFERROR(__xludf.DUMMYFUNCTION("""COMPUTED_VALUE"""),"CE")</f>
        <v>CE</v>
      </c>
      <c r="I1742" s="221" t="s">
        <v>4</v>
      </c>
      <c r="J1742" s="223">
        <v>50</v>
      </c>
      <c r="K1742" s="224">
        <v>1</v>
      </c>
      <c r="L1742" s="224">
        <v>9</v>
      </c>
      <c r="M1742" s="225">
        <f t="shared" si="864"/>
        <v>450</v>
      </c>
      <c r="N1742" s="226">
        <v>5.9667000000000003</v>
      </c>
      <c r="O1742" s="227">
        <v>1.1499999999999999</v>
      </c>
      <c r="P1742" s="228">
        <f t="shared" si="865"/>
        <v>2685.02</v>
      </c>
      <c r="Q1742" s="228">
        <f t="shared" si="866"/>
        <v>517.5</v>
      </c>
      <c r="R1742" s="229">
        <f t="shared" si="867"/>
        <v>3202.52</v>
      </c>
      <c r="S1742" s="229">
        <f t="shared" si="868"/>
        <v>-2167.5150000000003</v>
      </c>
      <c r="T1742" s="229">
        <f t="shared" ref="T1742:T1787" si="884">IF(AND(N1742&lt;&gt;0,O1742&lt;&gt;0,AG1742="Kotak"),0.01,IF(AND(N1742="",O1742=""),0,IF(N1742=0,0,G$1815*L1742)+IF(O1742=0,0,G$1815*L1742)))</f>
        <v>0.01</v>
      </c>
      <c r="U1742" s="229">
        <f t="shared" si="870"/>
        <v>0.31</v>
      </c>
      <c r="V1742" s="229">
        <f t="shared" si="871"/>
        <v>0.26</v>
      </c>
      <c r="W1742" s="229">
        <f t="shared" si="872"/>
        <v>0.08</v>
      </c>
      <c r="X1742" s="229">
        <f t="shared" si="873"/>
        <v>1.7</v>
      </c>
      <c r="Y1742" s="229">
        <f t="shared" si="874"/>
        <v>0</v>
      </c>
      <c r="Z1742" s="229">
        <f t="shared" si="875"/>
        <v>2.36</v>
      </c>
      <c r="AA1742" s="230">
        <f t="shared" si="876"/>
        <v>-2169.88</v>
      </c>
      <c r="AB1742" s="231">
        <v>-2170</v>
      </c>
      <c r="AC1742" s="232">
        <f t="shared" si="877"/>
        <v>-0.11999999999989086</v>
      </c>
      <c r="AD1742" s="233">
        <f t="shared" si="878"/>
        <v>-0.80726364657180694</v>
      </c>
      <c r="AE1742" s="234">
        <f t="shared" si="879"/>
        <v>7.3700000000000002E-4</v>
      </c>
      <c r="AF1742" s="229"/>
      <c r="AG1742" s="235" t="s">
        <v>418</v>
      </c>
      <c r="AH1742" s="124"/>
    </row>
    <row r="1743" spans="1:34" ht="12" hidden="1" customHeight="1">
      <c r="A1743" s="220">
        <v>44953</v>
      </c>
      <c r="B1743" s="221" t="s">
        <v>908</v>
      </c>
      <c r="C1743" s="7" t="s">
        <v>485</v>
      </c>
      <c r="D1743" s="221" t="str">
        <f t="shared" ca="1" si="863"/>
        <v>Indices</v>
      </c>
      <c r="E1743" s="221" t="str">
        <f ca="1">IFERROR(__xludf.DUMMYFUNCTION("split(B1743,"" "")"),"NIFTY")</f>
        <v>NIFTY</v>
      </c>
      <c r="F1743" s="236" t="str">
        <f ca="1">IFERROR(__xludf.DUMMYFUNCTION("""COMPUTED_VALUE"""),"02!FEB")</f>
        <v>02!FEB</v>
      </c>
      <c r="G1743" s="221">
        <f ca="1">IFERROR(__xludf.DUMMYFUNCTION("""COMPUTED_VALUE"""),17900)</f>
        <v>17900</v>
      </c>
      <c r="H1743" s="221" t="str">
        <f ca="1">IFERROR(__xludf.DUMMYFUNCTION("""COMPUTED_VALUE"""),"CE")</f>
        <v>CE</v>
      </c>
      <c r="I1743" s="221" t="s">
        <v>4</v>
      </c>
      <c r="J1743" s="223">
        <v>50</v>
      </c>
      <c r="K1743" s="224">
        <v>1</v>
      </c>
      <c r="L1743" s="224">
        <v>9</v>
      </c>
      <c r="M1743" s="225">
        <f t="shared" si="864"/>
        <v>450</v>
      </c>
      <c r="N1743" s="226">
        <v>89.111099999999993</v>
      </c>
      <c r="O1743" s="227">
        <v>85.916700000000006</v>
      </c>
      <c r="P1743" s="228">
        <f t="shared" si="865"/>
        <v>40100</v>
      </c>
      <c r="Q1743" s="228">
        <f t="shared" si="866"/>
        <v>38662.519999999997</v>
      </c>
      <c r="R1743" s="229">
        <f t="shared" si="867"/>
        <v>78762.51999999999</v>
      </c>
      <c r="S1743" s="229">
        <f t="shared" si="868"/>
        <v>-1437.4799999999943</v>
      </c>
      <c r="T1743" s="229">
        <f t="shared" si="884"/>
        <v>0.01</v>
      </c>
      <c r="U1743" s="229">
        <f t="shared" si="870"/>
        <v>7.52</v>
      </c>
      <c r="V1743" s="229">
        <f t="shared" si="871"/>
        <v>19.329999999999998</v>
      </c>
      <c r="W1743" s="229">
        <f t="shared" si="872"/>
        <v>1.2</v>
      </c>
      <c r="X1743" s="229">
        <f t="shared" si="873"/>
        <v>41.74</v>
      </c>
      <c r="Y1743" s="229">
        <f t="shared" si="874"/>
        <v>0.08</v>
      </c>
      <c r="Z1743" s="229">
        <f t="shared" si="875"/>
        <v>69.88</v>
      </c>
      <c r="AA1743" s="230">
        <f t="shared" si="876"/>
        <v>-1507.36</v>
      </c>
      <c r="AB1743" s="231">
        <v>-1506.85</v>
      </c>
      <c r="AC1743" s="232">
        <f t="shared" si="877"/>
        <v>0.50999999999999091</v>
      </c>
      <c r="AD1743" s="233">
        <f t="shared" si="878"/>
        <v>-3.5847386015883408E-2</v>
      </c>
      <c r="AE1743" s="234">
        <f t="shared" si="879"/>
        <v>8.8699999999999998E-4</v>
      </c>
      <c r="AF1743" s="229"/>
      <c r="AG1743" s="235" t="s">
        <v>418</v>
      </c>
      <c r="AH1743" s="124"/>
    </row>
    <row r="1744" spans="1:34" ht="12" hidden="1" customHeight="1">
      <c r="A1744" s="220">
        <v>44956</v>
      </c>
      <c r="B1744" s="221" t="s">
        <v>908</v>
      </c>
      <c r="C1744" s="7" t="s">
        <v>485</v>
      </c>
      <c r="D1744" s="221" t="str">
        <f t="shared" ca="1" si="863"/>
        <v>Indices</v>
      </c>
      <c r="E1744" s="221" t="str">
        <f ca="1">IFERROR(__xludf.DUMMYFUNCTION("split(B1744,"" "")"),"NIFTY")</f>
        <v>NIFTY</v>
      </c>
      <c r="F1744" s="236" t="str">
        <f ca="1">IFERROR(__xludf.DUMMYFUNCTION("""COMPUTED_VALUE"""),"02!FEB")</f>
        <v>02!FEB</v>
      </c>
      <c r="G1744" s="221">
        <f ca="1">IFERROR(__xludf.DUMMYFUNCTION("""COMPUTED_VALUE"""),17900)</f>
        <v>17900</v>
      </c>
      <c r="H1744" s="221" t="str">
        <f ca="1">IFERROR(__xludf.DUMMYFUNCTION("""COMPUTED_VALUE"""),"CE")</f>
        <v>CE</v>
      </c>
      <c r="I1744" s="221" t="s">
        <v>4</v>
      </c>
      <c r="J1744" s="223">
        <v>50</v>
      </c>
      <c r="K1744" s="224">
        <v>1</v>
      </c>
      <c r="L1744" s="224">
        <v>1</v>
      </c>
      <c r="M1744" s="225">
        <f t="shared" si="864"/>
        <v>50</v>
      </c>
      <c r="N1744" s="226">
        <v>90</v>
      </c>
      <c r="O1744" s="227">
        <v>72.05</v>
      </c>
      <c r="P1744" s="228">
        <f t="shared" si="865"/>
        <v>4500</v>
      </c>
      <c r="Q1744" s="228">
        <f t="shared" si="866"/>
        <v>3602.5</v>
      </c>
      <c r="R1744" s="229">
        <f t="shared" si="867"/>
        <v>8102.5</v>
      </c>
      <c r="S1744" s="229">
        <f t="shared" si="868"/>
        <v>-897.50000000000011</v>
      </c>
      <c r="T1744" s="229">
        <f t="shared" si="884"/>
        <v>0.01</v>
      </c>
      <c r="U1744" s="229">
        <f t="shared" si="870"/>
        <v>0.77</v>
      </c>
      <c r="V1744" s="229">
        <f t="shared" si="871"/>
        <v>1.8</v>
      </c>
      <c r="W1744" s="229">
        <f t="shared" si="872"/>
        <v>0.14000000000000001</v>
      </c>
      <c r="X1744" s="229">
        <f t="shared" si="873"/>
        <v>4.29</v>
      </c>
      <c r="Y1744" s="229">
        <f t="shared" si="874"/>
        <v>0.01</v>
      </c>
      <c r="Z1744" s="229">
        <f t="shared" si="875"/>
        <v>7.02</v>
      </c>
      <c r="AA1744" s="230">
        <f t="shared" si="876"/>
        <v>-904.52</v>
      </c>
      <c r="AB1744" s="231">
        <v>-904.57</v>
      </c>
      <c r="AC1744" s="232">
        <f t="shared" si="877"/>
        <v>-5.0000000000068212E-2</v>
      </c>
      <c r="AD1744" s="233">
        <f t="shared" si="878"/>
        <v>-0.19944444444444448</v>
      </c>
      <c r="AE1744" s="234">
        <f t="shared" si="879"/>
        <v>8.6600000000000002E-4</v>
      </c>
      <c r="AF1744" s="229"/>
      <c r="AG1744" s="235" t="s">
        <v>418</v>
      </c>
      <c r="AH1744" s="124"/>
    </row>
    <row r="1745" spans="1:34" ht="12" hidden="1" customHeight="1">
      <c r="A1745" s="220">
        <v>44957</v>
      </c>
      <c r="B1745" s="221" t="s">
        <v>908</v>
      </c>
      <c r="C1745" s="7" t="s">
        <v>485</v>
      </c>
      <c r="D1745" s="221" t="str">
        <f t="shared" ca="1" si="863"/>
        <v>Indices</v>
      </c>
      <c r="E1745" s="221" t="str">
        <f ca="1">IFERROR(__xludf.DUMMYFUNCTION("split(B1745,"" "")"),"NIFTY")</f>
        <v>NIFTY</v>
      </c>
      <c r="F1745" s="236" t="str">
        <f ca="1">IFERROR(__xludf.DUMMYFUNCTION("""COMPUTED_VALUE"""),"02!FEB")</f>
        <v>02!FEB</v>
      </c>
      <c r="G1745" s="221">
        <f ca="1">IFERROR(__xludf.DUMMYFUNCTION("""COMPUTED_VALUE"""),17900)</f>
        <v>17900</v>
      </c>
      <c r="H1745" s="221" t="str">
        <f ca="1">IFERROR(__xludf.DUMMYFUNCTION("""COMPUTED_VALUE"""),"CE")</f>
        <v>CE</v>
      </c>
      <c r="I1745" s="221" t="s">
        <v>4</v>
      </c>
      <c r="J1745" s="223">
        <v>50</v>
      </c>
      <c r="K1745" s="224">
        <v>1</v>
      </c>
      <c r="L1745" s="224">
        <v>1</v>
      </c>
      <c r="M1745" s="225">
        <f t="shared" si="864"/>
        <v>50</v>
      </c>
      <c r="N1745" s="226">
        <v>52</v>
      </c>
      <c r="O1745" s="227">
        <v>56</v>
      </c>
      <c r="P1745" s="228">
        <f t="shared" si="865"/>
        <v>2600</v>
      </c>
      <c r="Q1745" s="228">
        <f t="shared" si="866"/>
        <v>2800</v>
      </c>
      <c r="R1745" s="229">
        <f t="shared" si="867"/>
        <v>5400</v>
      </c>
      <c r="S1745" s="229">
        <f t="shared" si="868"/>
        <v>200</v>
      </c>
      <c r="T1745" s="229">
        <f t="shared" si="884"/>
        <v>0.01</v>
      </c>
      <c r="U1745" s="229">
        <f t="shared" si="870"/>
        <v>0.52</v>
      </c>
      <c r="V1745" s="229">
        <f t="shared" si="871"/>
        <v>1.4</v>
      </c>
      <c r="W1745" s="229">
        <f t="shared" si="872"/>
        <v>0.08</v>
      </c>
      <c r="X1745" s="229">
        <f t="shared" si="873"/>
        <v>2.86</v>
      </c>
      <c r="Y1745" s="229">
        <f t="shared" si="874"/>
        <v>0.01</v>
      </c>
      <c r="Z1745" s="229">
        <f t="shared" si="875"/>
        <v>4.879999999999999</v>
      </c>
      <c r="AA1745" s="230">
        <f t="shared" si="876"/>
        <v>195.12</v>
      </c>
      <c r="AB1745" s="231">
        <v>195.61</v>
      </c>
      <c r="AC1745" s="232">
        <f t="shared" si="877"/>
        <v>0.49000000000000909</v>
      </c>
      <c r="AD1745" s="233">
        <f t="shared" si="878"/>
        <v>7.6923076923076927E-2</v>
      </c>
      <c r="AE1745" s="234">
        <f t="shared" si="879"/>
        <v>9.0399999999999996E-4</v>
      </c>
      <c r="AF1745" s="229"/>
      <c r="AG1745" s="235" t="s">
        <v>418</v>
      </c>
      <c r="AH1745" s="124"/>
    </row>
    <row r="1746" spans="1:34" ht="12" hidden="1" customHeight="1">
      <c r="A1746" s="220">
        <v>44958</v>
      </c>
      <c r="B1746" s="221" t="s">
        <v>908</v>
      </c>
      <c r="C1746" s="7" t="s">
        <v>485</v>
      </c>
      <c r="D1746" s="221" t="str">
        <f t="shared" ca="1" si="863"/>
        <v>Indices</v>
      </c>
      <c r="E1746" s="221" t="str">
        <f ca="1">IFERROR(__xludf.DUMMYFUNCTION("split(B1746,"" "")"),"NIFTY")</f>
        <v>NIFTY</v>
      </c>
      <c r="F1746" s="236" t="str">
        <f ca="1">IFERROR(__xludf.DUMMYFUNCTION("""COMPUTED_VALUE"""),"02!FEB")</f>
        <v>02!FEB</v>
      </c>
      <c r="G1746" s="221">
        <f ca="1">IFERROR(__xludf.DUMMYFUNCTION("""COMPUTED_VALUE"""),17900)</f>
        <v>17900</v>
      </c>
      <c r="H1746" s="221" t="str">
        <f ca="1">IFERROR(__xludf.DUMMYFUNCTION("""COMPUTED_VALUE"""),"CE")</f>
        <v>CE</v>
      </c>
      <c r="I1746" s="221" t="s">
        <v>4</v>
      </c>
      <c r="J1746" s="223">
        <v>50</v>
      </c>
      <c r="K1746" s="224">
        <v>1</v>
      </c>
      <c r="L1746" s="224">
        <v>3</v>
      </c>
      <c r="M1746" s="225">
        <f t="shared" si="864"/>
        <v>150</v>
      </c>
      <c r="N1746" s="226">
        <v>58.666699999999999</v>
      </c>
      <c r="O1746" s="227">
        <v>56.666699999999999</v>
      </c>
      <c r="P1746" s="228">
        <f t="shared" si="865"/>
        <v>8800.01</v>
      </c>
      <c r="Q1746" s="228">
        <f t="shared" si="866"/>
        <v>8500.01</v>
      </c>
      <c r="R1746" s="229">
        <f t="shared" si="867"/>
        <v>17300.02</v>
      </c>
      <c r="S1746" s="229">
        <f t="shared" si="868"/>
        <v>-300</v>
      </c>
      <c r="T1746" s="229">
        <f t="shared" si="884"/>
        <v>0.01</v>
      </c>
      <c r="U1746" s="229">
        <f t="shared" si="870"/>
        <v>1.65</v>
      </c>
      <c r="V1746" s="229">
        <f t="shared" si="871"/>
        <v>4.25</v>
      </c>
      <c r="W1746" s="229">
        <f t="shared" si="872"/>
        <v>0.26</v>
      </c>
      <c r="X1746" s="229">
        <f t="shared" si="873"/>
        <v>9.17</v>
      </c>
      <c r="Y1746" s="229">
        <f t="shared" si="874"/>
        <v>0.02</v>
      </c>
      <c r="Z1746" s="229">
        <f t="shared" si="875"/>
        <v>15.36</v>
      </c>
      <c r="AA1746" s="230">
        <f t="shared" si="876"/>
        <v>-315.36</v>
      </c>
      <c r="AB1746" s="231">
        <v>-314.83999999999997</v>
      </c>
      <c r="AC1746" s="232">
        <f t="shared" si="877"/>
        <v>0.52000000000003865</v>
      </c>
      <c r="AD1746" s="233">
        <f t="shared" si="878"/>
        <v>-3.4090889721085385E-2</v>
      </c>
      <c r="AE1746" s="234">
        <f t="shared" si="879"/>
        <v>8.8800000000000001E-4</v>
      </c>
      <c r="AF1746" s="229"/>
      <c r="AG1746" s="235" t="s">
        <v>418</v>
      </c>
      <c r="AH1746" s="124"/>
    </row>
    <row r="1747" spans="1:34" ht="12" hidden="1" customHeight="1">
      <c r="A1747" s="220">
        <v>44959</v>
      </c>
      <c r="B1747" s="221" t="s">
        <v>908</v>
      </c>
      <c r="C1747" s="7" t="s">
        <v>485</v>
      </c>
      <c r="D1747" s="221" t="str">
        <f t="shared" ca="1" si="863"/>
        <v>Indices</v>
      </c>
      <c r="E1747" s="221" t="str">
        <f ca="1">IFERROR(__xludf.DUMMYFUNCTION("split(B1747,"" "")"),"NIFTY")</f>
        <v>NIFTY</v>
      </c>
      <c r="F1747" s="236" t="str">
        <f ca="1">IFERROR(__xludf.DUMMYFUNCTION("""COMPUTED_VALUE"""),"02!FEB")</f>
        <v>02!FEB</v>
      </c>
      <c r="G1747" s="221">
        <f ca="1">IFERROR(__xludf.DUMMYFUNCTION("""COMPUTED_VALUE"""),17900)</f>
        <v>17900</v>
      </c>
      <c r="H1747" s="221" t="str">
        <f ca="1">IFERROR(__xludf.DUMMYFUNCTION("""COMPUTED_VALUE"""),"CE")</f>
        <v>CE</v>
      </c>
      <c r="I1747" s="221" t="s">
        <v>4</v>
      </c>
      <c r="J1747" s="223">
        <v>50</v>
      </c>
      <c r="K1747" s="224">
        <v>1</v>
      </c>
      <c r="L1747" s="224">
        <v>21</v>
      </c>
      <c r="M1747" s="225">
        <f t="shared" si="864"/>
        <v>1050</v>
      </c>
      <c r="N1747" s="226">
        <v>2.0357099999999999</v>
      </c>
      <c r="O1747" s="227">
        <v>0.95</v>
      </c>
      <c r="P1747" s="228">
        <f t="shared" si="865"/>
        <v>2137.5</v>
      </c>
      <c r="Q1747" s="228">
        <f t="shared" si="866"/>
        <v>997.5</v>
      </c>
      <c r="R1747" s="229">
        <f t="shared" si="867"/>
        <v>3135</v>
      </c>
      <c r="S1747" s="229">
        <f t="shared" si="868"/>
        <v>-1139.9955</v>
      </c>
      <c r="T1747" s="229">
        <f t="shared" si="884"/>
        <v>0.01</v>
      </c>
      <c r="U1747" s="229">
        <f t="shared" si="870"/>
        <v>0.3</v>
      </c>
      <c r="V1747" s="229">
        <f t="shared" si="871"/>
        <v>0.5</v>
      </c>
      <c r="W1747" s="229">
        <f t="shared" si="872"/>
        <v>0.06</v>
      </c>
      <c r="X1747" s="229">
        <f t="shared" si="873"/>
        <v>1.66</v>
      </c>
      <c r="Y1747" s="229">
        <f t="shared" si="874"/>
        <v>0</v>
      </c>
      <c r="Z1747" s="229">
        <f t="shared" si="875"/>
        <v>2.5300000000000002</v>
      </c>
      <c r="AA1747" s="230">
        <f t="shared" si="876"/>
        <v>-1142.53</v>
      </c>
      <c r="AB1747" s="231">
        <v>-1142.96</v>
      </c>
      <c r="AC1747" s="232">
        <f t="shared" si="877"/>
        <v>-0.43000000000006366</v>
      </c>
      <c r="AD1747" s="233">
        <f t="shared" si="878"/>
        <v>-0.53333235087512465</v>
      </c>
      <c r="AE1747" s="234">
        <f t="shared" si="879"/>
        <v>8.0699999999999999E-4</v>
      </c>
      <c r="AF1747" s="229"/>
      <c r="AG1747" s="235" t="s">
        <v>418</v>
      </c>
      <c r="AH1747" s="124"/>
    </row>
    <row r="1748" spans="1:34" ht="12" hidden="1" customHeight="1">
      <c r="A1748" s="220">
        <v>44960</v>
      </c>
      <c r="B1748" s="221" t="s">
        <v>909</v>
      </c>
      <c r="C1748" s="7" t="s">
        <v>485</v>
      </c>
      <c r="D1748" s="221" t="str">
        <f t="shared" ca="1" si="863"/>
        <v>Indices</v>
      </c>
      <c r="E1748" s="221" t="str">
        <f ca="1">IFERROR(__xludf.DUMMYFUNCTION("split(B1748,"" "")"),"NIFTY")</f>
        <v>NIFTY</v>
      </c>
      <c r="F1748" s="236" t="str">
        <f ca="1">IFERROR(__xludf.DUMMYFUNCTION("""COMPUTED_VALUE"""),"09!FEB")</f>
        <v>09!FEB</v>
      </c>
      <c r="G1748" s="221">
        <f ca="1">IFERROR(__xludf.DUMMYFUNCTION("""COMPUTED_VALUE"""),18100)</f>
        <v>18100</v>
      </c>
      <c r="H1748" s="221" t="str">
        <f ca="1">IFERROR(__xludf.DUMMYFUNCTION("""COMPUTED_VALUE"""),"CE")</f>
        <v>CE</v>
      </c>
      <c r="I1748" s="221" t="s">
        <v>4</v>
      </c>
      <c r="J1748" s="223">
        <v>50</v>
      </c>
      <c r="K1748" s="224">
        <v>1</v>
      </c>
      <c r="L1748" s="224">
        <v>2</v>
      </c>
      <c r="M1748" s="225">
        <f t="shared" si="864"/>
        <v>100</v>
      </c>
      <c r="N1748" s="226">
        <v>12.5</v>
      </c>
      <c r="O1748" s="227">
        <v>15</v>
      </c>
      <c r="P1748" s="228">
        <f t="shared" si="865"/>
        <v>1250</v>
      </c>
      <c r="Q1748" s="228">
        <f t="shared" si="866"/>
        <v>1500</v>
      </c>
      <c r="R1748" s="229">
        <f t="shared" si="867"/>
        <v>2750</v>
      </c>
      <c r="S1748" s="229">
        <f t="shared" si="868"/>
        <v>250</v>
      </c>
      <c r="T1748" s="229">
        <f t="shared" si="884"/>
        <v>0.01</v>
      </c>
      <c r="U1748" s="229">
        <f t="shared" si="870"/>
        <v>0.26</v>
      </c>
      <c r="V1748" s="229">
        <f t="shared" si="871"/>
        <v>0.75</v>
      </c>
      <c r="W1748" s="229">
        <f t="shared" si="872"/>
        <v>0.04</v>
      </c>
      <c r="X1748" s="229">
        <f t="shared" si="873"/>
        <v>1.46</v>
      </c>
      <c r="Y1748" s="229">
        <f t="shared" si="874"/>
        <v>0</v>
      </c>
      <c r="Z1748" s="229">
        <f t="shared" si="875"/>
        <v>2.52</v>
      </c>
      <c r="AA1748" s="230">
        <f t="shared" si="876"/>
        <v>247.48</v>
      </c>
      <c r="AB1748" s="231">
        <v>247.28</v>
      </c>
      <c r="AC1748" s="232">
        <f t="shared" si="877"/>
        <v>-0.19999999999998863</v>
      </c>
      <c r="AD1748" s="233">
        <f t="shared" si="878"/>
        <v>0.2</v>
      </c>
      <c r="AE1748" s="234">
        <f t="shared" si="879"/>
        <v>9.1600000000000004E-4</v>
      </c>
      <c r="AF1748" s="229"/>
      <c r="AG1748" s="235" t="s">
        <v>418</v>
      </c>
      <c r="AH1748" s="124"/>
    </row>
    <row r="1749" spans="1:34" ht="12" hidden="1" customHeight="1">
      <c r="A1749" s="220">
        <v>44963</v>
      </c>
      <c r="B1749" s="221" t="s">
        <v>909</v>
      </c>
      <c r="C1749" s="7" t="s">
        <v>485</v>
      </c>
      <c r="D1749" s="221" t="str">
        <f t="shared" ca="1" si="863"/>
        <v>Indices</v>
      </c>
      <c r="E1749" s="221" t="str">
        <f ca="1">IFERROR(__xludf.DUMMYFUNCTION("split(B1749,"" "")"),"NIFTY")</f>
        <v>NIFTY</v>
      </c>
      <c r="F1749" s="236" t="str">
        <f ca="1">IFERROR(__xludf.DUMMYFUNCTION("""COMPUTED_VALUE"""),"09!FEB")</f>
        <v>09!FEB</v>
      </c>
      <c r="G1749" s="221">
        <f ca="1">IFERROR(__xludf.DUMMYFUNCTION("""COMPUTED_VALUE"""),18100)</f>
        <v>18100</v>
      </c>
      <c r="H1749" s="221" t="str">
        <f ca="1">IFERROR(__xludf.DUMMYFUNCTION("""COMPUTED_VALUE"""),"CE")</f>
        <v>CE</v>
      </c>
      <c r="I1749" s="221" t="s">
        <v>4</v>
      </c>
      <c r="J1749" s="223">
        <v>50</v>
      </c>
      <c r="K1749" s="224">
        <v>1</v>
      </c>
      <c r="L1749" s="224">
        <v>2</v>
      </c>
      <c r="M1749" s="225">
        <f t="shared" si="864"/>
        <v>100</v>
      </c>
      <c r="N1749" s="226">
        <v>12.9</v>
      </c>
      <c r="O1749" s="227">
        <v>12</v>
      </c>
      <c r="P1749" s="228">
        <f t="shared" si="865"/>
        <v>1290</v>
      </c>
      <c r="Q1749" s="228">
        <f t="shared" si="866"/>
        <v>1200</v>
      </c>
      <c r="R1749" s="229">
        <f t="shared" si="867"/>
        <v>2490</v>
      </c>
      <c r="S1749" s="229">
        <f t="shared" si="868"/>
        <v>-90.000000000000028</v>
      </c>
      <c r="T1749" s="229">
        <f t="shared" si="884"/>
        <v>0.01</v>
      </c>
      <c r="U1749" s="229">
        <f t="shared" si="870"/>
        <v>0.24</v>
      </c>
      <c r="V1749" s="229">
        <f t="shared" si="871"/>
        <v>0.6</v>
      </c>
      <c r="W1749" s="229">
        <f t="shared" si="872"/>
        <v>0.04</v>
      </c>
      <c r="X1749" s="229">
        <f t="shared" si="873"/>
        <v>1.32</v>
      </c>
      <c r="Y1749" s="229">
        <f t="shared" si="874"/>
        <v>0</v>
      </c>
      <c r="Z1749" s="229">
        <f t="shared" si="875"/>
        <v>2.21</v>
      </c>
      <c r="AA1749" s="230">
        <f t="shared" si="876"/>
        <v>-92.21</v>
      </c>
      <c r="AB1749" s="231">
        <v>-92.56</v>
      </c>
      <c r="AC1749" s="232">
        <f t="shared" si="877"/>
        <v>-0.35000000000000853</v>
      </c>
      <c r="AD1749" s="233">
        <f t="shared" si="878"/>
        <v>-6.9767441860465143E-2</v>
      </c>
      <c r="AE1749" s="234">
        <f t="shared" si="879"/>
        <v>8.8800000000000001E-4</v>
      </c>
      <c r="AF1749" s="229"/>
      <c r="AG1749" s="235" t="s">
        <v>418</v>
      </c>
      <c r="AH1749" s="124"/>
    </row>
    <row r="1750" spans="1:34" ht="12" hidden="1" customHeight="1">
      <c r="A1750" s="220">
        <v>44964</v>
      </c>
      <c r="B1750" s="221" t="s">
        <v>909</v>
      </c>
      <c r="C1750" s="7" t="s">
        <v>485</v>
      </c>
      <c r="D1750" s="221" t="str">
        <f t="shared" ca="1" si="863"/>
        <v>Indices</v>
      </c>
      <c r="E1750" s="221" t="str">
        <f ca="1">IFERROR(__xludf.DUMMYFUNCTION("split(B1750,"" "")"),"NIFTY")</f>
        <v>NIFTY</v>
      </c>
      <c r="F1750" s="236" t="str">
        <f ca="1">IFERROR(__xludf.DUMMYFUNCTION("""COMPUTED_VALUE"""),"09!FEB")</f>
        <v>09!FEB</v>
      </c>
      <c r="G1750" s="221">
        <f ca="1">IFERROR(__xludf.DUMMYFUNCTION("""COMPUTED_VALUE"""),18100)</f>
        <v>18100</v>
      </c>
      <c r="H1750" s="221" t="str">
        <f ca="1">IFERROR(__xludf.DUMMYFUNCTION("""COMPUTED_VALUE"""),"CE")</f>
        <v>CE</v>
      </c>
      <c r="I1750" s="221" t="s">
        <v>4</v>
      </c>
      <c r="J1750" s="223">
        <v>50</v>
      </c>
      <c r="K1750" s="224">
        <v>1</v>
      </c>
      <c r="L1750" s="224">
        <v>11</v>
      </c>
      <c r="M1750" s="225">
        <f t="shared" si="864"/>
        <v>550</v>
      </c>
      <c r="N1750" s="226">
        <v>7.7181899999999999</v>
      </c>
      <c r="O1750" s="227">
        <v>5.75</v>
      </c>
      <c r="P1750" s="228">
        <f t="shared" si="865"/>
        <v>4245</v>
      </c>
      <c r="Q1750" s="228">
        <f t="shared" si="866"/>
        <v>3162.5</v>
      </c>
      <c r="R1750" s="229">
        <f t="shared" si="867"/>
        <v>7407.5</v>
      </c>
      <c r="S1750" s="229">
        <f t="shared" si="868"/>
        <v>-1082.5045</v>
      </c>
      <c r="T1750" s="229">
        <f t="shared" si="884"/>
        <v>0.01</v>
      </c>
      <c r="U1750" s="229">
        <f t="shared" si="870"/>
        <v>0.71</v>
      </c>
      <c r="V1750" s="229">
        <f t="shared" si="871"/>
        <v>1.58</v>
      </c>
      <c r="W1750" s="229">
        <f t="shared" si="872"/>
        <v>0.13</v>
      </c>
      <c r="X1750" s="229">
        <f t="shared" si="873"/>
        <v>3.93</v>
      </c>
      <c r="Y1750" s="229">
        <f t="shared" si="874"/>
        <v>0.01</v>
      </c>
      <c r="Z1750" s="229">
        <f t="shared" si="875"/>
        <v>6.3699999999999992</v>
      </c>
      <c r="AA1750" s="230">
        <f t="shared" si="876"/>
        <v>-1088.8699999999999</v>
      </c>
      <c r="AB1750" s="231">
        <v>-1089.1400000000001</v>
      </c>
      <c r="AC1750" s="232">
        <f t="shared" si="877"/>
        <v>-0.27000000000020918</v>
      </c>
      <c r="AD1750" s="233">
        <f t="shared" si="878"/>
        <v>-0.25500667902707758</v>
      </c>
      <c r="AE1750" s="234">
        <f t="shared" si="879"/>
        <v>8.5999999999999998E-4</v>
      </c>
      <c r="AF1750" s="229"/>
      <c r="AG1750" s="235" t="s">
        <v>418</v>
      </c>
      <c r="AH1750" s="124"/>
    </row>
    <row r="1751" spans="1:34" ht="12" hidden="1" customHeight="1">
      <c r="A1751" s="220">
        <v>44965</v>
      </c>
      <c r="B1751" s="221" t="s">
        <v>910</v>
      </c>
      <c r="C1751" s="7" t="s">
        <v>485</v>
      </c>
      <c r="D1751" s="221" t="str">
        <f t="shared" ca="1" si="863"/>
        <v>Indices</v>
      </c>
      <c r="E1751" s="221" t="str">
        <f ca="1">IFERROR(__xludf.DUMMYFUNCTION("split(B1751,"" "")"),"NIFTY")</f>
        <v>NIFTY</v>
      </c>
      <c r="F1751" s="236" t="str">
        <f ca="1">IFERROR(__xludf.DUMMYFUNCTION("""COMPUTED_VALUE"""),"09!FEB")</f>
        <v>09!FEB</v>
      </c>
      <c r="G1751" s="221">
        <f ca="1">IFERROR(__xludf.DUMMYFUNCTION("""COMPUTED_VALUE"""),17700)</f>
        <v>17700</v>
      </c>
      <c r="H1751" s="221" t="str">
        <f ca="1">IFERROR(__xludf.DUMMYFUNCTION("""COMPUTED_VALUE"""),"PE")</f>
        <v>PE</v>
      </c>
      <c r="I1751" s="221" t="s">
        <v>4</v>
      </c>
      <c r="J1751" s="223">
        <v>50</v>
      </c>
      <c r="K1751" s="224">
        <v>1</v>
      </c>
      <c r="L1751" s="224">
        <v>2</v>
      </c>
      <c r="M1751" s="225">
        <f t="shared" si="864"/>
        <v>100</v>
      </c>
      <c r="N1751" s="226">
        <v>26</v>
      </c>
      <c r="O1751" s="227">
        <v>13</v>
      </c>
      <c r="P1751" s="228">
        <f t="shared" si="865"/>
        <v>2600</v>
      </c>
      <c r="Q1751" s="228">
        <f t="shared" si="866"/>
        <v>1300</v>
      </c>
      <c r="R1751" s="229">
        <f t="shared" si="867"/>
        <v>3900</v>
      </c>
      <c r="S1751" s="229">
        <f t="shared" si="868"/>
        <v>-1300</v>
      </c>
      <c r="T1751" s="229">
        <f t="shared" si="884"/>
        <v>0.01</v>
      </c>
      <c r="U1751" s="229">
        <f t="shared" si="870"/>
        <v>0.37</v>
      </c>
      <c r="V1751" s="229">
        <f t="shared" si="871"/>
        <v>0.65</v>
      </c>
      <c r="W1751" s="229">
        <f t="shared" si="872"/>
        <v>0.08</v>
      </c>
      <c r="X1751" s="229">
        <f t="shared" si="873"/>
        <v>2.0699999999999998</v>
      </c>
      <c r="Y1751" s="229">
        <f t="shared" si="874"/>
        <v>0</v>
      </c>
      <c r="Z1751" s="229">
        <f t="shared" si="875"/>
        <v>3.1799999999999997</v>
      </c>
      <c r="AA1751" s="230">
        <f t="shared" si="876"/>
        <v>-1303.18</v>
      </c>
      <c r="AB1751" s="231">
        <v>-1303.44</v>
      </c>
      <c r="AC1751" s="232">
        <f t="shared" si="877"/>
        <v>-0.25999999999999091</v>
      </c>
      <c r="AD1751" s="233">
        <f t="shared" si="878"/>
        <v>-0.5</v>
      </c>
      <c r="AE1751" s="234">
        <f t="shared" si="879"/>
        <v>8.1499999999999997E-4</v>
      </c>
      <c r="AF1751" s="229"/>
      <c r="AG1751" s="235" t="s">
        <v>418</v>
      </c>
      <c r="AH1751" s="124"/>
    </row>
    <row r="1752" spans="1:34" ht="12" hidden="1" customHeight="1">
      <c r="A1752" s="220">
        <v>44970</v>
      </c>
      <c r="B1752" s="221" t="s">
        <v>911</v>
      </c>
      <c r="C1752" s="7" t="s">
        <v>485</v>
      </c>
      <c r="D1752" s="221" t="str">
        <f t="shared" ca="1" si="863"/>
        <v>Indices</v>
      </c>
      <c r="E1752" s="221" t="str">
        <f ca="1">IFERROR(__xludf.DUMMYFUNCTION("split(B1752,"" "")"),"NIFTY")</f>
        <v>NIFTY</v>
      </c>
      <c r="F1752" s="236" t="str">
        <f ca="1">IFERROR(__xludf.DUMMYFUNCTION("""COMPUTED_VALUE"""),"16!FEB")</f>
        <v>16!FEB</v>
      </c>
      <c r="G1752" s="221">
        <f ca="1">IFERROR(__xludf.DUMMYFUNCTION("""COMPUTED_VALUE"""),18000)</f>
        <v>18000</v>
      </c>
      <c r="H1752" s="221" t="str">
        <f ca="1">IFERROR(__xludf.DUMMYFUNCTION("""COMPUTED_VALUE"""),"CE")</f>
        <v>CE</v>
      </c>
      <c r="I1752" s="221" t="s">
        <v>4</v>
      </c>
      <c r="J1752" s="223">
        <v>50</v>
      </c>
      <c r="K1752" s="224">
        <v>1</v>
      </c>
      <c r="L1752" s="224">
        <v>1</v>
      </c>
      <c r="M1752" s="225">
        <f t="shared" si="864"/>
        <v>50</v>
      </c>
      <c r="N1752" s="226">
        <v>19.5</v>
      </c>
      <c r="O1752" s="227">
        <v>21</v>
      </c>
      <c r="P1752" s="228">
        <f t="shared" si="865"/>
        <v>975</v>
      </c>
      <c r="Q1752" s="228">
        <f t="shared" si="866"/>
        <v>1050</v>
      </c>
      <c r="R1752" s="229">
        <f t="shared" si="867"/>
        <v>2025</v>
      </c>
      <c r="S1752" s="229">
        <f t="shared" si="868"/>
        <v>75</v>
      </c>
      <c r="T1752" s="229">
        <f t="shared" si="884"/>
        <v>0.01</v>
      </c>
      <c r="U1752" s="229">
        <f t="shared" si="870"/>
        <v>0.19</v>
      </c>
      <c r="V1752" s="229">
        <f t="shared" si="871"/>
        <v>0.53</v>
      </c>
      <c r="W1752" s="229">
        <f t="shared" si="872"/>
        <v>0.03</v>
      </c>
      <c r="X1752" s="229">
        <f t="shared" si="873"/>
        <v>1.07</v>
      </c>
      <c r="Y1752" s="229">
        <f t="shared" si="874"/>
        <v>0</v>
      </c>
      <c r="Z1752" s="229">
        <f t="shared" si="875"/>
        <v>1.83</v>
      </c>
      <c r="AA1752" s="230">
        <f t="shared" si="876"/>
        <v>73.17</v>
      </c>
      <c r="AB1752" s="231">
        <v>72.73</v>
      </c>
      <c r="AC1752" s="232">
        <f t="shared" si="877"/>
        <v>-0.43999999999999773</v>
      </c>
      <c r="AD1752" s="233">
        <f t="shared" si="878"/>
        <v>7.6923076923076927E-2</v>
      </c>
      <c r="AE1752" s="234">
        <f t="shared" si="879"/>
        <v>9.0399999999999996E-4</v>
      </c>
      <c r="AF1752" s="229"/>
      <c r="AG1752" s="235" t="s">
        <v>418</v>
      </c>
      <c r="AH1752" s="124"/>
    </row>
    <row r="1753" spans="1:34" ht="12" hidden="1" customHeight="1">
      <c r="A1753" s="220">
        <v>44971</v>
      </c>
      <c r="B1753" s="221" t="s">
        <v>911</v>
      </c>
      <c r="C1753" s="7" t="s">
        <v>485</v>
      </c>
      <c r="D1753" s="221" t="str">
        <f t="shared" ca="1" si="863"/>
        <v>Indices</v>
      </c>
      <c r="E1753" s="221" t="str">
        <f ca="1">IFERROR(__xludf.DUMMYFUNCTION("split(B1753,"" "")"),"NIFTY")</f>
        <v>NIFTY</v>
      </c>
      <c r="F1753" s="236" t="str">
        <f ca="1">IFERROR(__xludf.DUMMYFUNCTION("""COMPUTED_VALUE"""),"16!FEB")</f>
        <v>16!FEB</v>
      </c>
      <c r="G1753" s="221">
        <f ca="1">IFERROR(__xludf.DUMMYFUNCTION("""COMPUTED_VALUE"""),18000)</f>
        <v>18000</v>
      </c>
      <c r="H1753" s="221" t="str">
        <f ca="1">IFERROR(__xludf.DUMMYFUNCTION("""COMPUTED_VALUE"""),"CE")</f>
        <v>CE</v>
      </c>
      <c r="I1753" s="221" t="s">
        <v>4</v>
      </c>
      <c r="J1753" s="223">
        <v>50</v>
      </c>
      <c r="K1753" s="224">
        <v>1</v>
      </c>
      <c r="L1753" s="224">
        <v>1</v>
      </c>
      <c r="M1753" s="225">
        <f t="shared" si="864"/>
        <v>50</v>
      </c>
      <c r="N1753" s="226">
        <v>18</v>
      </c>
      <c r="O1753" s="227">
        <v>23.5</v>
      </c>
      <c r="P1753" s="228">
        <f t="shared" si="865"/>
        <v>900</v>
      </c>
      <c r="Q1753" s="228">
        <f t="shared" si="866"/>
        <v>1175</v>
      </c>
      <c r="R1753" s="229">
        <f t="shared" si="867"/>
        <v>2075</v>
      </c>
      <c r="S1753" s="229">
        <f t="shared" si="868"/>
        <v>275</v>
      </c>
      <c r="T1753" s="229">
        <f t="shared" si="884"/>
        <v>0.01</v>
      </c>
      <c r="U1753" s="229">
        <f t="shared" si="870"/>
        <v>0.2</v>
      </c>
      <c r="V1753" s="229">
        <f t="shared" si="871"/>
        <v>0.59</v>
      </c>
      <c r="W1753" s="229">
        <f t="shared" si="872"/>
        <v>0.03</v>
      </c>
      <c r="X1753" s="229">
        <f t="shared" si="873"/>
        <v>1.1000000000000001</v>
      </c>
      <c r="Y1753" s="229">
        <f t="shared" si="874"/>
        <v>0</v>
      </c>
      <c r="Z1753" s="229">
        <f t="shared" si="875"/>
        <v>1.9300000000000002</v>
      </c>
      <c r="AA1753" s="230">
        <f t="shared" si="876"/>
        <v>273.07</v>
      </c>
      <c r="AB1753" s="231">
        <v>272.7</v>
      </c>
      <c r="AC1753" s="232">
        <f t="shared" si="877"/>
        <v>-0.37000000000000455</v>
      </c>
      <c r="AD1753" s="233">
        <f t="shared" si="878"/>
        <v>0.30555555555555558</v>
      </c>
      <c r="AE1753" s="234">
        <f t="shared" si="879"/>
        <v>9.3000000000000005E-4</v>
      </c>
      <c r="AF1753" s="229"/>
      <c r="AG1753" s="235" t="s">
        <v>418</v>
      </c>
      <c r="AH1753" s="124"/>
    </row>
    <row r="1754" spans="1:34" ht="12" hidden="1" customHeight="1">
      <c r="A1754" s="220">
        <v>44972</v>
      </c>
      <c r="B1754" s="221" t="s">
        <v>911</v>
      </c>
      <c r="C1754" s="7" t="s">
        <v>485</v>
      </c>
      <c r="D1754" s="221" t="str">
        <f t="shared" ca="1" si="863"/>
        <v>Indices</v>
      </c>
      <c r="E1754" s="221" t="str">
        <f ca="1">IFERROR(__xludf.DUMMYFUNCTION("split(B1754,"" "")"),"NIFTY")</f>
        <v>NIFTY</v>
      </c>
      <c r="F1754" s="236" t="str">
        <f ca="1">IFERROR(__xludf.DUMMYFUNCTION("""COMPUTED_VALUE"""),"16!FEB")</f>
        <v>16!FEB</v>
      </c>
      <c r="G1754" s="221">
        <f ca="1">IFERROR(__xludf.DUMMYFUNCTION("""COMPUTED_VALUE"""),18000)</f>
        <v>18000</v>
      </c>
      <c r="H1754" s="221" t="str">
        <f ca="1">IFERROR(__xludf.DUMMYFUNCTION("""COMPUTED_VALUE"""),"CE")</f>
        <v>CE</v>
      </c>
      <c r="I1754" s="221" t="s">
        <v>4</v>
      </c>
      <c r="J1754" s="223">
        <v>50</v>
      </c>
      <c r="K1754" s="224">
        <v>1</v>
      </c>
      <c r="L1754" s="224">
        <v>2</v>
      </c>
      <c r="M1754" s="225">
        <f t="shared" si="864"/>
        <v>100</v>
      </c>
      <c r="N1754" s="226">
        <v>14</v>
      </c>
      <c r="O1754" s="227">
        <v>33</v>
      </c>
      <c r="P1754" s="228">
        <f t="shared" si="865"/>
        <v>1400</v>
      </c>
      <c r="Q1754" s="228">
        <f t="shared" si="866"/>
        <v>3300</v>
      </c>
      <c r="R1754" s="229">
        <f t="shared" si="867"/>
        <v>4700</v>
      </c>
      <c r="S1754" s="229">
        <f t="shared" si="868"/>
        <v>1900</v>
      </c>
      <c r="T1754" s="229">
        <f t="shared" si="884"/>
        <v>0.01</v>
      </c>
      <c r="U1754" s="229">
        <f t="shared" si="870"/>
        <v>0.45</v>
      </c>
      <c r="V1754" s="229">
        <f t="shared" si="871"/>
        <v>1.65</v>
      </c>
      <c r="W1754" s="229">
        <f t="shared" si="872"/>
        <v>0.04</v>
      </c>
      <c r="X1754" s="229">
        <f t="shared" si="873"/>
        <v>2.4900000000000002</v>
      </c>
      <c r="Y1754" s="229">
        <f t="shared" si="874"/>
        <v>0</v>
      </c>
      <c r="Z1754" s="229">
        <f t="shared" si="875"/>
        <v>4.6400000000000006</v>
      </c>
      <c r="AA1754" s="230">
        <f t="shared" si="876"/>
        <v>1895.36</v>
      </c>
      <c r="AB1754" s="231">
        <v>1895.26</v>
      </c>
      <c r="AC1754" s="232">
        <f t="shared" si="877"/>
        <v>-9.9999999999909051E-2</v>
      </c>
      <c r="AD1754" s="233">
        <f t="shared" si="878"/>
        <v>1.3571428571428572</v>
      </c>
      <c r="AE1754" s="234">
        <f t="shared" si="879"/>
        <v>9.8700000000000003E-4</v>
      </c>
      <c r="AF1754" s="229"/>
      <c r="AG1754" s="235" t="s">
        <v>418</v>
      </c>
      <c r="AH1754" s="124"/>
    </row>
    <row r="1755" spans="1:34" ht="12" hidden="1" customHeight="1">
      <c r="A1755" s="220">
        <v>44972</v>
      </c>
      <c r="B1755" s="221" t="s">
        <v>912</v>
      </c>
      <c r="C1755" s="7" t="s">
        <v>485</v>
      </c>
      <c r="D1755" s="221" t="str">
        <f t="shared" ca="1" si="863"/>
        <v>Indices</v>
      </c>
      <c r="E1755" s="221" t="str">
        <f ca="1">IFERROR(__xludf.DUMMYFUNCTION("split(B1755,"" "")"),"NIFTY")</f>
        <v>NIFTY</v>
      </c>
      <c r="F1755" s="236" t="str">
        <f ca="1">IFERROR(__xludf.DUMMYFUNCTION("""COMPUTED_VALUE"""),"16!FEB")</f>
        <v>16!FEB</v>
      </c>
      <c r="G1755" s="221">
        <f ca="1">IFERROR(__xludf.DUMMYFUNCTION("""COMPUTED_VALUE"""),17900)</f>
        <v>17900</v>
      </c>
      <c r="H1755" s="221" t="str">
        <f ca="1">IFERROR(__xludf.DUMMYFUNCTION("""COMPUTED_VALUE"""),"PE")</f>
        <v>PE</v>
      </c>
      <c r="I1755" s="221" t="s">
        <v>4</v>
      </c>
      <c r="J1755" s="223">
        <v>50</v>
      </c>
      <c r="K1755" s="224">
        <v>1</v>
      </c>
      <c r="L1755" s="224">
        <v>1</v>
      </c>
      <c r="M1755" s="225">
        <f t="shared" si="864"/>
        <v>50</v>
      </c>
      <c r="N1755" s="226">
        <v>25</v>
      </c>
      <c r="O1755" s="227">
        <v>16.25</v>
      </c>
      <c r="P1755" s="228">
        <f t="shared" si="865"/>
        <v>1250</v>
      </c>
      <c r="Q1755" s="228">
        <f t="shared" si="866"/>
        <v>812.5</v>
      </c>
      <c r="R1755" s="229">
        <f t="shared" si="867"/>
        <v>2062.5</v>
      </c>
      <c r="S1755" s="229">
        <f t="shared" si="868"/>
        <v>-437.5</v>
      </c>
      <c r="T1755" s="229">
        <f t="shared" si="884"/>
        <v>0.01</v>
      </c>
      <c r="U1755" s="229">
        <f t="shared" si="870"/>
        <v>0.2</v>
      </c>
      <c r="V1755" s="229">
        <f t="shared" si="871"/>
        <v>0.41</v>
      </c>
      <c r="W1755" s="229">
        <f t="shared" si="872"/>
        <v>0.04</v>
      </c>
      <c r="X1755" s="229">
        <f t="shared" si="873"/>
        <v>1.0900000000000001</v>
      </c>
      <c r="Y1755" s="229">
        <f t="shared" si="874"/>
        <v>0</v>
      </c>
      <c r="Z1755" s="229">
        <f t="shared" si="875"/>
        <v>1.75</v>
      </c>
      <c r="AA1755" s="230">
        <f t="shared" si="876"/>
        <v>-439.25</v>
      </c>
      <c r="AB1755" s="231">
        <v>-439</v>
      </c>
      <c r="AC1755" s="232">
        <f t="shared" si="877"/>
        <v>0.25</v>
      </c>
      <c r="AD1755" s="233">
        <f t="shared" si="878"/>
        <v>-0.35</v>
      </c>
      <c r="AE1755" s="234">
        <f t="shared" si="879"/>
        <v>8.4800000000000001E-4</v>
      </c>
      <c r="AF1755" s="229"/>
      <c r="AG1755" s="235" t="s">
        <v>418</v>
      </c>
      <c r="AH1755" s="124"/>
    </row>
    <row r="1756" spans="1:34" ht="12" hidden="1" customHeight="1">
      <c r="A1756" s="220">
        <v>44973</v>
      </c>
      <c r="B1756" s="221" t="s">
        <v>913</v>
      </c>
      <c r="C1756" s="7" t="s">
        <v>485</v>
      </c>
      <c r="D1756" s="221" t="str">
        <f t="shared" ca="1" si="863"/>
        <v>Indices</v>
      </c>
      <c r="E1756" s="221" t="str">
        <f ca="1">IFERROR(__xludf.DUMMYFUNCTION("split(B1756,"" "")"),"NIFTY")</f>
        <v>NIFTY</v>
      </c>
      <c r="F1756" s="236" t="str">
        <f ca="1">IFERROR(__xludf.DUMMYFUNCTION("""COMPUTED_VALUE"""),"16!FEB")</f>
        <v>16!FEB</v>
      </c>
      <c r="G1756" s="221">
        <f ca="1">IFERROR(__xludf.DUMMYFUNCTION("""COMPUTED_VALUE"""),18150)</f>
        <v>18150</v>
      </c>
      <c r="H1756" s="221" t="str">
        <f ca="1">IFERROR(__xludf.DUMMYFUNCTION("""COMPUTED_VALUE"""),"CE")</f>
        <v>CE</v>
      </c>
      <c r="I1756" s="221" t="s">
        <v>4</v>
      </c>
      <c r="J1756" s="223">
        <v>50</v>
      </c>
      <c r="K1756" s="224">
        <v>1</v>
      </c>
      <c r="L1756" s="224">
        <v>2</v>
      </c>
      <c r="M1756" s="225">
        <f t="shared" si="864"/>
        <v>100</v>
      </c>
      <c r="N1756" s="226">
        <v>12.5</v>
      </c>
      <c r="O1756" s="227">
        <v>8.2249999999999996</v>
      </c>
      <c r="P1756" s="228">
        <f t="shared" si="865"/>
        <v>1250</v>
      </c>
      <c r="Q1756" s="228">
        <f t="shared" si="866"/>
        <v>822.5</v>
      </c>
      <c r="R1756" s="229">
        <f t="shared" si="867"/>
        <v>2072.5</v>
      </c>
      <c r="S1756" s="229">
        <f t="shared" si="868"/>
        <v>-427.50000000000006</v>
      </c>
      <c r="T1756" s="229">
        <f t="shared" si="884"/>
        <v>0.01</v>
      </c>
      <c r="U1756" s="229">
        <f t="shared" si="870"/>
        <v>0.2</v>
      </c>
      <c r="V1756" s="229">
        <f t="shared" si="871"/>
        <v>0.41</v>
      </c>
      <c r="W1756" s="229">
        <f t="shared" si="872"/>
        <v>0.04</v>
      </c>
      <c r="X1756" s="229">
        <f t="shared" si="873"/>
        <v>1.1000000000000001</v>
      </c>
      <c r="Y1756" s="229">
        <f t="shared" si="874"/>
        <v>0</v>
      </c>
      <c r="Z1756" s="229">
        <f t="shared" si="875"/>
        <v>1.7600000000000002</v>
      </c>
      <c r="AA1756" s="230">
        <f t="shared" si="876"/>
        <v>-429.26</v>
      </c>
      <c r="AB1756" s="231">
        <v>-428.8</v>
      </c>
      <c r="AC1756" s="232">
        <f t="shared" si="877"/>
        <v>0.45999999999997954</v>
      </c>
      <c r="AD1756" s="233">
        <f t="shared" si="878"/>
        <v>-0.34200000000000003</v>
      </c>
      <c r="AE1756" s="234">
        <f t="shared" si="879"/>
        <v>8.4900000000000004E-4</v>
      </c>
      <c r="AF1756" s="229"/>
      <c r="AG1756" s="235" t="s">
        <v>418</v>
      </c>
      <c r="AH1756" s="124"/>
    </row>
    <row r="1757" spans="1:34" ht="12" hidden="1" customHeight="1">
      <c r="A1757" s="220">
        <v>44977</v>
      </c>
      <c r="B1757" s="221" t="s">
        <v>914</v>
      </c>
      <c r="C1757" s="7" t="s">
        <v>485</v>
      </c>
      <c r="D1757" s="221" t="str">
        <f t="shared" ca="1" si="863"/>
        <v>Indices</v>
      </c>
      <c r="E1757" s="221" t="str">
        <f ca="1">IFERROR(__xludf.DUMMYFUNCTION("split(B1757,"" "")"),"NIFTY")</f>
        <v>NIFTY</v>
      </c>
      <c r="F1757" s="236" t="str">
        <f ca="1">IFERROR(__xludf.DUMMYFUNCTION("""COMPUTED_VALUE"""),"23!FEB")</f>
        <v>23!FEB</v>
      </c>
      <c r="G1757" s="221">
        <f ca="1">IFERROR(__xludf.DUMMYFUNCTION("""COMPUTED_VALUE"""),18000)</f>
        <v>18000</v>
      </c>
      <c r="H1757" s="221" t="str">
        <f ca="1">IFERROR(__xludf.DUMMYFUNCTION("""COMPUTED_VALUE"""),"CE")</f>
        <v>CE</v>
      </c>
      <c r="I1757" s="221" t="s">
        <v>4</v>
      </c>
      <c r="J1757" s="223">
        <v>50</v>
      </c>
      <c r="K1757" s="224">
        <v>1</v>
      </c>
      <c r="L1757" s="224">
        <v>1</v>
      </c>
      <c r="M1757" s="225">
        <f t="shared" si="864"/>
        <v>50</v>
      </c>
      <c r="N1757" s="226">
        <v>55</v>
      </c>
      <c r="O1757" s="227">
        <v>35</v>
      </c>
      <c r="P1757" s="228">
        <f t="shared" si="865"/>
        <v>2750</v>
      </c>
      <c r="Q1757" s="228">
        <f t="shared" si="866"/>
        <v>1750</v>
      </c>
      <c r="R1757" s="229">
        <f t="shared" si="867"/>
        <v>4500</v>
      </c>
      <c r="S1757" s="229">
        <f t="shared" si="868"/>
        <v>-1000</v>
      </c>
      <c r="T1757" s="229">
        <f t="shared" si="884"/>
        <v>0.01</v>
      </c>
      <c r="U1757" s="229">
        <f t="shared" si="870"/>
        <v>0.43</v>
      </c>
      <c r="V1757" s="229">
        <f t="shared" si="871"/>
        <v>0.88</v>
      </c>
      <c r="W1757" s="229">
        <f t="shared" si="872"/>
        <v>0.08</v>
      </c>
      <c r="X1757" s="229">
        <f t="shared" si="873"/>
        <v>2.39</v>
      </c>
      <c r="Y1757" s="229">
        <f t="shared" si="874"/>
        <v>0</v>
      </c>
      <c r="Z1757" s="229">
        <f t="shared" si="875"/>
        <v>3.79</v>
      </c>
      <c r="AA1757" s="230">
        <f t="shared" si="876"/>
        <v>-1003.79</v>
      </c>
      <c r="AB1757" s="231">
        <v>-1003.82</v>
      </c>
      <c r="AC1757" s="232">
        <f t="shared" si="877"/>
        <v>-3.0000000000086402E-2</v>
      </c>
      <c r="AD1757" s="233">
        <f t="shared" si="878"/>
        <v>-0.36363636363636365</v>
      </c>
      <c r="AE1757" s="234">
        <f t="shared" si="879"/>
        <v>8.4199999999999998E-4</v>
      </c>
      <c r="AF1757" s="229"/>
      <c r="AG1757" s="235" t="s">
        <v>418</v>
      </c>
      <c r="AH1757" s="124"/>
    </row>
    <row r="1758" spans="1:34" ht="12" hidden="1" customHeight="1">
      <c r="A1758" s="220">
        <v>44978</v>
      </c>
      <c r="B1758" s="221" t="s">
        <v>914</v>
      </c>
      <c r="C1758" s="7" t="s">
        <v>485</v>
      </c>
      <c r="D1758" s="221" t="str">
        <f t="shared" ca="1" si="863"/>
        <v>Indices</v>
      </c>
      <c r="E1758" s="221" t="str">
        <f ca="1">IFERROR(__xludf.DUMMYFUNCTION("split(B1758,"" "")"),"NIFTY")</f>
        <v>NIFTY</v>
      </c>
      <c r="F1758" s="236" t="str">
        <f ca="1">IFERROR(__xludf.DUMMYFUNCTION("""COMPUTED_VALUE"""),"23!FEB")</f>
        <v>23!FEB</v>
      </c>
      <c r="G1758" s="221">
        <f ca="1">IFERROR(__xludf.DUMMYFUNCTION("""COMPUTED_VALUE"""),18000)</f>
        <v>18000</v>
      </c>
      <c r="H1758" s="221" t="str">
        <f ca="1">IFERROR(__xludf.DUMMYFUNCTION("""COMPUTED_VALUE"""),"CE")</f>
        <v>CE</v>
      </c>
      <c r="I1758" s="221" t="s">
        <v>4</v>
      </c>
      <c r="J1758" s="223">
        <v>50</v>
      </c>
      <c r="K1758" s="224">
        <v>1</v>
      </c>
      <c r="L1758" s="224">
        <v>1</v>
      </c>
      <c r="M1758" s="225">
        <f t="shared" si="864"/>
        <v>50</v>
      </c>
      <c r="N1758" s="226">
        <v>21.25</v>
      </c>
      <c r="O1758" s="227">
        <v>22</v>
      </c>
      <c r="P1758" s="228">
        <f t="shared" si="865"/>
        <v>1062.5</v>
      </c>
      <c r="Q1758" s="228">
        <f t="shared" si="866"/>
        <v>1100</v>
      </c>
      <c r="R1758" s="229">
        <f t="shared" si="867"/>
        <v>2162.5</v>
      </c>
      <c r="S1758" s="229">
        <f t="shared" si="868"/>
        <v>37.5</v>
      </c>
      <c r="T1758" s="229">
        <f t="shared" si="884"/>
        <v>0.01</v>
      </c>
      <c r="U1758" s="229">
        <f t="shared" si="870"/>
        <v>0.21</v>
      </c>
      <c r="V1758" s="229">
        <f t="shared" si="871"/>
        <v>0.55000000000000004</v>
      </c>
      <c r="W1758" s="229">
        <f t="shared" si="872"/>
        <v>0.03</v>
      </c>
      <c r="X1758" s="229">
        <f t="shared" si="873"/>
        <v>1.1499999999999999</v>
      </c>
      <c r="Y1758" s="229">
        <f t="shared" si="874"/>
        <v>0</v>
      </c>
      <c r="Z1758" s="229">
        <f t="shared" si="875"/>
        <v>1.95</v>
      </c>
      <c r="AA1758" s="230">
        <f t="shared" si="876"/>
        <v>35.549999999999997</v>
      </c>
      <c r="AB1758" s="231">
        <v>35.14</v>
      </c>
      <c r="AC1758" s="232">
        <f t="shared" si="877"/>
        <v>-0.40999999999999659</v>
      </c>
      <c r="AD1758" s="233">
        <f t="shared" si="878"/>
        <v>3.5294117647058823E-2</v>
      </c>
      <c r="AE1758" s="234">
        <f t="shared" si="879"/>
        <v>9.0200000000000002E-4</v>
      </c>
      <c r="AF1758" s="229"/>
      <c r="AG1758" s="235" t="s">
        <v>418</v>
      </c>
      <c r="AH1758" s="124"/>
    </row>
    <row r="1759" spans="1:34" ht="12" hidden="1" customHeight="1">
      <c r="A1759" s="220">
        <v>44979</v>
      </c>
      <c r="B1759" s="221" t="s">
        <v>914</v>
      </c>
      <c r="C1759" s="7" t="s">
        <v>485</v>
      </c>
      <c r="D1759" s="221" t="str">
        <f t="shared" ca="1" si="863"/>
        <v>Indices</v>
      </c>
      <c r="E1759" s="221" t="str">
        <f ca="1">IFERROR(__xludf.DUMMYFUNCTION("split(B1759,"" "")"),"NIFTY")</f>
        <v>NIFTY</v>
      </c>
      <c r="F1759" s="236" t="str">
        <f ca="1">IFERROR(__xludf.DUMMYFUNCTION("""COMPUTED_VALUE"""),"23!FEB")</f>
        <v>23!FEB</v>
      </c>
      <c r="G1759" s="221">
        <f ca="1">IFERROR(__xludf.DUMMYFUNCTION("""COMPUTED_VALUE"""),18000)</f>
        <v>18000</v>
      </c>
      <c r="H1759" s="221" t="str">
        <f ca="1">IFERROR(__xludf.DUMMYFUNCTION("""COMPUTED_VALUE"""),"CE")</f>
        <v>CE</v>
      </c>
      <c r="I1759" s="221" t="s">
        <v>4</v>
      </c>
      <c r="J1759" s="223">
        <v>50</v>
      </c>
      <c r="K1759" s="224">
        <v>1</v>
      </c>
      <c r="L1759" s="224">
        <v>6</v>
      </c>
      <c r="M1759" s="225">
        <f t="shared" si="864"/>
        <v>300</v>
      </c>
      <c r="N1759" s="226">
        <v>4.2750000000000004</v>
      </c>
      <c r="O1759" s="227">
        <v>4.0999999999999996</v>
      </c>
      <c r="P1759" s="228">
        <f t="shared" si="865"/>
        <v>1282.5</v>
      </c>
      <c r="Q1759" s="228">
        <f t="shared" si="866"/>
        <v>1230</v>
      </c>
      <c r="R1759" s="229">
        <f t="shared" si="867"/>
        <v>2512.5</v>
      </c>
      <c r="S1759" s="229">
        <f t="shared" si="868"/>
        <v>-52.500000000000213</v>
      </c>
      <c r="T1759" s="229">
        <f t="shared" si="884"/>
        <v>0.01</v>
      </c>
      <c r="U1759" s="229">
        <f t="shared" si="870"/>
        <v>0.24</v>
      </c>
      <c r="V1759" s="229">
        <f t="shared" si="871"/>
        <v>0.62</v>
      </c>
      <c r="W1759" s="229">
        <f t="shared" si="872"/>
        <v>0.04</v>
      </c>
      <c r="X1759" s="229">
        <f t="shared" si="873"/>
        <v>1.33</v>
      </c>
      <c r="Y1759" s="229">
        <f t="shared" si="874"/>
        <v>0</v>
      </c>
      <c r="Z1759" s="229">
        <f t="shared" si="875"/>
        <v>2.2400000000000002</v>
      </c>
      <c r="AA1759" s="230">
        <f t="shared" si="876"/>
        <v>-54.74</v>
      </c>
      <c r="AB1759" s="231">
        <v>-55.07</v>
      </c>
      <c r="AC1759" s="232">
        <f t="shared" si="877"/>
        <v>-0.32999999999999829</v>
      </c>
      <c r="AD1759" s="233">
        <f t="shared" si="878"/>
        <v>-4.0935672514620047E-2</v>
      </c>
      <c r="AE1759" s="234">
        <f t="shared" si="879"/>
        <v>8.92E-4</v>
      </c>
      <c r="AF1759" s="229"/>
      <c r="AG1759" s="235" t="s">
        <v>418</v>
      </c>
      <c r="AH1759" s="124"/>
    </row>
    <row r="1760" spans="1:34" ht="12" hidden="1" customHeight="1">
      <c r="A1760" s="220">
        <v>44981</v>
      </c>
      <c r="B1760" s="221" t="s">
        <v>915</v>
      </c>
      <c r="C1760" s="7" t="s">
        <v>485</v>
      </c>
      <c r="D1760" s="221" t="str">
        <f t="shared" ca="1" si="863"/>
        <v>Indices</v>
      </c>
      <c r="E1760" s="221" t="str">
        <f ca="1">IFERROR(__xludf.DUMMYFUNCTION("split(B1760,"" "")"),"NIFTY")</f>
        <v>NIFTY</v>
      </c>
      <c r="F1760" s="222" t="str">
        <f ca="1">IFERROR(__xludf.DUMMYFUNCTION("""COMPUTED_VALUE"""),"02!MAR")</f>
        <v>02!MAR</v>
      </c>
      <c r="G1760" s="221">
        <f ca="1">IFERROR(__xludf.DUMMYFUNCTION("""COMPUTED_VALUE"""),17650)</f>
        <v>17650</v>
      </c>
      <c r="H1760" s="221" t="str">
        <f ca="1">IFERROR(__xludf.DUMMYFUNCTION("""COMPUTED_VALUE"""),"CE")</f>
        <v>CE</v>
      </c>
      <c r="I1760" s="221" t="s">
        <v>4</v>
      </c>
      <c r="J1760" s="223">
        <v>50</v>
      </c>
      <c r="K1760" s="224">
        <v>1</v>
      </c>
      <c r="L1760" s="224">
        <v>1</v>
      </c>
      <c r="M1760" s="225">
        <f t="shared" si="864"/>
        <v>50</v>
      </c>
      <c r="N1760" s="226">
        <v>35</v>
      </c>
      <c r="O1760" s="227">
        <v>39.200000000000003</v>
      </c>
      <c r="P1760" s="228">
        <f t="shared" si="865"/>
        <v>1750</v>
      </c>
      <c r="Q1760" s="228">
        <f t="shared" si="866"/>
        <v>1960</v>
      </c>
      <c r="R1760" s="229">
        <f t="shared" si="867"/>
        <v>3710</v>
      </c>
      <c r="S1760" s="229">
        <f t="shared" si="868"/>
        <v>210.00000000000014</v>
      </c>
      <c r="T1760" s="229">
        <f t="shared" si="884"/>
        <v>0.01</v>
      </c>
      <c r="U1760" s="229">
        <f t="shared" si="870"/>
        <v>0.36</v>
      </c>
      <c r="V1760" s="229">
        <f t="shared" si="871"/>
        <v>0.98</v>
      </c>
      <c r="W1760" s="229">
        <f t="shared" si="872"/>
        <v>0.05</v>
      </c>
      <c r="X1760" s="229">
        <f t="shared" si="873"/>
        <v>1.97</v>
      </c>
      <c r="Y1760" s="229">
        <f t="shared" si="874"/>
        <v>0</v>
      </c>
      <c r="Z1760" s="229">
        <f t="shared" si="875"/>
        <v>3.37</v>
      </c>
      <c r="AA1760" s="230">
        <f t="shared" si="876"/>
        <v>206.63</v>
      </c>
      <c r="AB1760" s="231">
        <v>206.66</v>
      </c>
      <c r="AC1760" s="232">
        <f t="shared" si="877"/>
        <v>3.0000000000001137E-2</v>
      </c>
      <c r="AD1760" s="233">
        <f t="shared" si="878"/>
        <v>0.12000000000000008</v>
      </c>
      <c r="AE1760" s="234">
        <f t="shared" si="879"/>
        <v>9.0799999999999995E-4</v>
      </c>
      <c r="AF1760" s="229"/>
      <c r="AG1760" s="235" t="s">
        <v>418</v>
      </c>
      <c r="AH1760" s="124"/>
    </row>
    <row r="1761" spans="1:34" ht="12" hidden="1" customHeight="1">
      <c r="A1761" s="220">
        <v>44984</v>
      </c>
      <c r="B1761" s="221" t="s">
        <v>915</v>
      </c>
      <c r="C1761" s="7" t="s">
        <v>485</v>
      </c>
      <c r="D1761" s="221" t="str">
        <f t="shared" ca="1" si="863"/>
        <v>Indices</v>
      </c>
      <c r="E1761" s="221" t="str">
        <f ca="1">IFERROR(__xludf.DUMMYFUNCTION("split(B1761,"" "")"),"NIFTY")</f>
        <v>NIFTY</v>
      </c>
      <c r="F1761" s="222" t="str">
        <f ca="1">IFERROR(__xludf.DUMMYFUNCTION("""COMPUTED_VALUE"""),"02!MAR")</f>
        <v>02!MAR</v>
      </c>
      <c r="G1761" s="221">
        <f ca="1">IFERROR(__xludf.DUMMYFUNCTION("""COMPUTED_VALUE"""),17650)</f>
        <v>17650</v>
      </c>
      <c r="H1761" s="221" t="str">
        <f ca="1">IFERROR(__xludf.DUMMYFUNCTION("""COMPUTED_VALUE"""),"CE")</f>
        <v>CE</v>
      </c>
      <c r="I1761" s="221" t="s">
        <v>4</v>
      </c>
      <c r="J1761" s="223">
        <v>50</v>
      </c>
      <c r="K1761" s="224">
        <v>1</v>
      </c>
      <c r="L1761" s="224">
        <v>3</v>
      </c>
      <c r="M1761" s="225">
        <f t="shared" si="864"/>
        <v>150</v>
      </c>
      <c r="N1761" s="226">
        <v>13.2</v>
      </c>
      <c r="O1761" s="227">
        <v>15.916700000000001</v>
      </c>
      <c r="P1761" s="228">
        <f t="shared" si="865"/>
        <v>1980</v>
      </c>
      <c r="Q1761" s="228">
        <f t="shared" si="866"/>
        <v>2387.5100000000002</v>
      </c>
      <c r="R1761" s="229">
        <f t="shared" si="867"/>
        <v>4367.51</v>
      </c>
      <c r="S1761" s="229">
        <f t="shared" si="868"/>
        <v>407.50500000000017</v>
      </c>
      <c r="T1761" s="229">
        <f t="shared" si="884"/>
        <v>0.01</v>
      </c>
      <c r="U1761" s="229">
        <f t="shared" si="870"/>
        <v>0.42</v>
      </c>
      <c r="V1761" s="229">
        <f t="shared" si="871"/>
        <v>1.19</v>
      </c>
      <c r="W1761" s="229">
        <f t="shared" si="872"/>
        <v>0.06</v>
      </c>
      <c r="X1761" s="229">
        <f t="shared" si="873"/>
        <v>2.31</v>
      </c>
      <c r="Y1761" s="229">
        <f t="shared" si="874"/>
        <v>0</v>
      </c>
      <c r="Z1761" s="229">
        <f t="shared" si="875"/>
        <v>3.99</v>
      </c>
      <c r="AA1761" s="230">
        <f t="shared" si="876"/>
        <v>403.52</v>
      </c>
      <c r="AB1761" s="231">
        <v>403.76</v>
      </c>
      <c r="AC1761" s="232">
        <f t="shared" si="877"/>
        <v>0.24000000000000909</v>
      </c>
      <c r="AD1761" s="233">
        <f t="shared" si="878"/>
        <v>0.20581060606060617</v>
      </c>
      <c r="AE1761" s="234">
        <f t="shared" si="879"/>
        <v>9.1399999999999999E-4</v>
      </c>
      <c r="AF1761" s="229"/>
      <c r="AG1761" s="235" t="s">
        <v>418</v>
      </c>
      <c r="AH1761" s="124"/>
    </row>
    <row r="1762" spans="1:34" ht="12" hidden="1" customHeight="1">
      <c r="A1762" s="220">
        <v>44985</v>
      </c>
      <c r="B1762" s="221" t="s">
        <v>915</v>
      </c>
      <c r="C1762" s="7" t="s">
        <v>485</v>
      </c>
      <c r="D1762" s="221" t="str">
        <f t="shared" ca="1" si="863"/>
        <v>Indices</v>
      </c>
      <c r="E1762" s="221" t="str">
        <f ca="1">IFERROR(__xludf.DUMMYFUNCTION("split(B1762,"" "")"),"NIFTY")</f>
        <v>NIFTY</v>
      </c>
      <c r="F1762" s="222" t="str">
        <f ca="1">IFERROR(__xludf.DUMMYFUNCTION("""COMPUTED_VALUE"""),"02!MAR")</f>
        <v>02!MAR</v>
      </c>
      <c r="G1762" s="221">
        <f ca="1">IFERROR(__xludf.DUMMYFUNCTION("""COMPUTED_VALUE"""),17650)</f>
        <v>17650</v>
      </c>
      <c r="H1762" s="221" t="str">
        <f ca="1">IFERROR(__xludf.DUMMYFUNCTION("""COMPUTED_VALUE"""),"CE")</f>
        <v>CE</v>
      </c>
      <c r="I1762" s="221" t="s">
        <v>4</v>
      </c>
      <c r="J1762" s="223">
        <v>50</v>
      </c>
      <c r="K1762" s="224">
        <v>1</v>
      </c>
      <c r="L1762" s="224">
        <v>3</v>
      </c>
      <c r="M1762" s="225">
        <f t="shared" si="864"/>
        <v>150</v>
      </c>
      <c r="N1762" s="226">
        <v>7.6166700000000001</v>
      </c>
      <c r="O1762" s="227">
        <v>6.6</v>
      </c>
      <c r="P1762" s="228">
        <f t="shared" si="865"/>
        <v>1142.5</v>
      </c>
      <c r="Q1762" s="228">
        <f t="shared" si="866"/>
        <v>990</v>
      </c>
      <c r="R1762" s="229">
        <f t="shared" si="867"/>
        <v>2132.5</v>
      </c>
      <c r="S1762" s="229">
        <f t="shared" si="868"/>
        <v>-152.50050000000007</v>
      </c>
      <c r="T1762" s="229">
        <f t="shared" si="884"/>
        <v>0.01</v>
      </c>
      <c r="U1762" s="229">
        <f t="shared" si="870"/>
        <v>0.21</v>
      </c>
      <c r="V1762" s="229">
        <f t="shared" si="871"/>
        <v>0.5</v>
      </c>
      <c r="W1762" s="229">
        <f t="shared" si="872"/>
        <v>0.03</v>
      </c>
      <c r="X1762" s="229">
        <f t="shared" si="873"/>
        <v>1.1299999999999999</v>
      </c>
      <c r="Y1762" s="229">
        <f t="shared" si="874"/>
        <v>0</v>
      </c>
      <c r="Z1762" s="229">
        <f t="shared" si="875"/>
        <v>1.88</v>
      </c>
      <c r="AA1762" s="230">
        <f t="shared" si="876"/>
        <v>-154.38</v>
      </c>
      <c r="AB1762" s="231">
        <v>-154.83000000000001</v>
      </c>
      <c r="AC1762" s="232">
        <f t="shared" si="877"/>
        <v>-0.45000000000001705</v>
      </c>
      <c r="AD1762" s="233">
        <f t="shared" si="878"/>
        <v>-0.13347959147501473</v>
      </c>
      <c r="AE1762" s="234">
        <f t="shared" si="879"/>
        <v>8.8199999999999997E-4</v>
      </c>
      <c r="AF1762" s="229"/>
      <c r="AG1762" s="235" t="s">
        <v>418</v>
      </c>
      <c r="AH1762" s="124"/>
    </row>
    <row r="1763" spans="1:34" ht="12" hidden="1" customHeight="1">
      <c r="A1763" s="220">
        <v>44986</v>
      </c>
      <c r="B1763" s="221" t="s">
        <v>916</v>
      </c>
      <c r="C1763" s="7" t="s">
        <v>485</v>
      </c>
      <c r="D1763" s="221" t="str">
        <f t="shared" ca="1" si="863"/>
        <v>Indices</v>
      </c>
      <c r="E1763" s="221" t="str">
        <f ca="1">IFERROR(__xludf.DUMMYFUNCTION("split(B1763,"" "")"),"NIFTY")</f>
        <v>NIFTY</v>
      </c>
      <c r="F1763" s="222" t="str">
        <f ca="1">IFERROR(__xludf.DUMMYFUNCTION("""COMPUTED_VALUE"""),"02!MAR")</f>
        <v>02!MAR</v>
      </c>
      <c r="G1763" s="221">
        <f ca="1">IFERROR(__xludf.DUMMYFUNCTION("""COMPUTED_VALUE"""),17200)</f>
        <v>17200</v>
      </c>
      <c r="H1763" s="221" t="str">
        <f ca="1">IFERROR(__xludf.DUMMYFUNCTION("""COMPUTED_VALUE"""),"PE")</f>
        <v>PE</v>
      </c>
      <c r="I1763" s="221" t="s">
        <v>4</v>
      </c>
      <c r="J1763" s="223">
        <v>50</v>
      </c>
      <c r="K1763" s="224">
        <v>1</v>
      </c>
      <c r="L1763" s="224">
        <v>1</v>
      </c>
      <c r="M1763" s="225">
        <f t="shared" si="864"/>
        <v>50</v>
      </c>
      <c r="N1763" s="226">
        <v>9</v>
      </c>
      <c r="O1763" s="227">
        <v>6.5</v>
      </c>
      <c r="P1763" s="228">
        <f t="shared" si="865"/>
        <v>450</v>
      </c>
      <c r="Q1763" s="228">
        <f t="shared" si="866"/>
        <v>325</v>
      </c>
      <c r="R1763" s="229">
        <f t="shared" si="867"/>
        <v>775</v>
      </c>
      <c r="S1763" s="229">
        <f t="shared" si="868"/>
        <v>-125</v>
      </c>
      <c r="T1763" s="229">
        <f t="shared" si="884"/>
        <v>0.01</v>
      </c>
      <c r="U1763" s="229">
        <f t="shared" si="870"/>
        <v>0.08</v>
      </c>
      <c r="V1763" s="229">
        <f t="shared" si="871"/>
        <v>0.16</v>
      </c>
      <c r="W1763" s="229">
        <f t="shared" si="872"/>
        <v>0.01</v>
      </c>
      <c r="X1763" s="229">
        <f t="shared" si="873"/>
        <v>0.41</v>
      </c>
      <c r="Y1763" s="229">
        <f t="shared" si="874"/>
        <v>0</v>
      </c>
      <c r="Z1763" s="229">
        <f t="shared" si="875"/>
        <v>0.66999999999999993</v>
      </c>
      <c r="AA1763" s="230">
        <f t="shared" si="876"/>
        <v>-125.67</v>
      </c>
      <c r="AB1763" s="231">
        <v>-125.48</v>
      </c>
      <c r="AC1763" s="232">
        <f t="shared" si="877"/>
        <v>0.18999999999999773</v>
      </c>
      <c r="AD1763" s="233">
        <f t="shared" si="878"/>
        <v>-0.27777777777777779</v>
      </c>
      <c r="AE1763" s="234">
        <f t="shared" si="879"/>
        <v>8.6499999999999999E-4</v>
      </c>
      <c r="AF1763" s="229"/>
      <c r="AG1763" s="235" t="s">
        <v>418</v>
      </c>
      <c r="AH1763" s="124"/>
    </row>
    <row r="1764" spans="1:34" ht="12" hidden="1" customHeight="1">
      <c r="A1764" s="220">
        <v>44987</v>
      </c>
      <c r="B1764" s="221" t="s">
        <v>915</v>
      </c>
      <c r="C1764" s="7" t="s">
        <v>485</v>
      </c>
      <c r="D1764" s="221" t="str">
        <f t="shared" ca="1" si="863"/>
        <v>Indices</v>
      </c>
      <c r="E1764" s="221" t="str">
        <f ca="1">IFERROR(__xludf.DUMMYFUNCTION("split(B1764,"" "")"),"NIFTY")</f>
        <v>NIFTY</v>
      </c>
      <c r="F1764" s="222" t="str">
        <f ca="1">IFERROR(__xludf.DUMMYFUNCTION("""COMPUTED_VALUE"""),"02!MAR")</f>
        <v>02!MAR</v>
      </c>
      <c r="G1764" s="221">
        <f ca="1">IFERROR(__xludf.DUMMYFUNCTION("""COMPUTED_VALUE"""),17650)</f>
        <v>17650</v>
      </c>
      <c r="H1764" s="221" t="str">
        <f ca="1">IFERROR(__xludf.DUMMYFUNCTION("""COMPUTED_VALUE"""),"CE")</f>
        <v>CE</v>
      </c>
      <c r="I1764" s="221" t="s">
        <v>4</v>
      </c>
      <c r="J1764" s="223">
        <v>50</v>
      </c>
      <c r="K1764" s="224">
        <v>1</v>
      </c>
      <c r="L1764" s="224">
        <v>4</v>
      </c>
      <c r="M1764" s="225">
        <f t="shared" si="864"/>
        <v>200</v>
      </c>
      <c r="N1764" s="226">
        <v>1.05</v>
      </c>
      <c r="O1764" s="227">
        <v>0.6</v>
      </c>
      <c r="P1764" s="228">
        <f t="shared" si="865"/>
        <v>210</v>
      </c>
      <c r="Q1764" s="228">
        <f t="shared" si="866"/>
        <v>120</v>
      </c>
      <c r="R1764" s="229">
        <f t="shared" si="867"/>
        <v>330</v>
      </c>
      <c r="S1764" s="229">
        <f t="shared" si="868"/>
        <v>-90.000000000000014</v>
      </c>
      <c r="T1764" s="229">
        <f t="shared" si="884"/>
        <v>0.01</v>
      </c>
      <c r="U1764" s="229">
        <f t="shared" si="870"/>
        <v>0.03</v>
      </c>
      <c r="V1764" s="229">
        <f t="shared" si="871"/>
        <v>0.06</v>
      </c>
      <c r="W1764" s="229">
        <f t="shared" si="872"/>
        <v>0.01</v>
      </c>
      <c r="X1764" s="229">
        <f t="shared" si="873"/>
        <v>0.17</v>
      </c>
      <c r="Y1764" s="229">
        <f t="shared" si="874"/>
        <v>0</v>
      </c>
      <c r="Z1764" s="229">
        <f t="shared" si="875"/>
        <v>0.28000000000000003</v>
      </c>
      <c r="AA1764" s="230">
        <f t="shared" si="876"/>
        <v>-90.28</v>
      </c>
      <c r="AB1764" s="231">
        <v>-90.21</v>
      </c>
      <c r="AC1764" s="232">
        <f t="shared" si="877"/>
        <v>7.000000000000739E-2</v>
      </c>
      <c r="AD1764" s="233">
        <f t="shared" si="878"/>
        <v>-0.4285714285714286</v>
      </c>
      <c r="AE1764" s="234">
        <f t="shared" si="879"/>
        <v>8.4800000000000001E-4</v>
      </c>
      <c r="AF1764" s="229"/>
      <c r="AG1764" s="235" t="s">
        <v>418</v>
      </c>
      <c r="AH1764" s="124"/>
    </row>
    <row r="1765" spans="1:34" ht="12" hidden="1" customHeight="1">
      <c r="A1765" s="220">
        <v>44993</v>
      </c>
      <c r="B1765" s="221" t="s">
        <v>917</v>
      </c>
      <c r="C1765" s="7" t="s">
        <v>485</v>
      </c>
      <c r="D1765" s="221" t="str">
        <f t="shared" ca="1" si="863"/>
        <v>Indices</v>
      </c>
      <c r="E1765" s="221" t="str">
        <f ca="1">IFERROR(__xludf.DUMMYFUNCTION("split(B1765,"" "")"),"NIFTY")</f>
        <v>NIFTY</v>
      </c>
      <c r="F1765" s="222" t="str">
        <f ca="1">IFERROR(__xludf.DUMMYFUNCTION("""COMPUTED_VALUE"""),"09!MAR")</f>
        <v>09!MAR</v>
      </c>
      <c r="G1765" s="221">
        <f ca="1">IFERROR(__xludf.DUMMYFUNCTION("""COMPUTED_VALUE"""),17900)</f>
        <v>17900</v>
      </c>
      <c r="H1765" s="221" t="str">
        <f ca="1">IFERROR(__xludf.DUMMYFUNCTION("""COMPUTED_VALUE"""),"CE")</f>
        <v>CE</v>
      </c>
      <c r="I1765" s="221" t="s">
        <v>4</v>
      </c>
      <c r="J1765" s="223">
        <v>50</v>
      </c>
      <c r="K1765" s="224">
        <v>1</v>
      </c>
      <c r="L1765" s="224">
        <v>1</v>
      </c>
      <c r="M1765" s="225">
        <f t="shared" si="864"/>
        <v>50</v>
      </c>
      <c r="N1765" s="226">
        <v>3.1</v>
      </c>
      <c r="O1765" s="227">
        <v>3.5</v>
      </c>
      <c r="P1765" s="228">
        <f t="shared" si="865"/>
        <v>155</v>
      </c>
      <c r="Q1765" s="228">
        <f t="shared" si="866"/>
        <v>175</v>
      </c>
      <c r="R1765" s="229">
        <f t="shared" si="867"/>
        <v>330</v>
      </c>
      <c r="S1765" s="229">
        <f t="shared" si="868"/>
        <v>19.999999999999996</v>
      </c>
      <c r="T1765" s="229">
        <f t="shared" si="884"/>
        <v>0.01</v>
      </c>
      <c r="U1765" s="229">
        <f t="shared" si="870"/>
        <v>0.03</v>
      </c>
      <c r="V1765" s="229">
        <f t="shared" si="871"/>
        <v>0.09</v>
      </c>
      <c r="W1765" s="229">
        <f t="shared" si="872"/>
        <v>0</v>
      </c>
      <c r="X1765" s="229">
        <f t="shared" si="873"/>
        <v>0.17</v>
      </c>
      <c r="Y1765" s="229">
        <f t="shared" si="874"/>
        <v>0</v>
      </c>
      <c r="Z1765" s="229">
        <f t="shared" si="875"/>
        <v>0.30000000000000004</v>
      </c>
      <c r="AA1765" s="230">
        <f t="shared" si="876"/>
        <v>19.7</v>
      </c>
      <c r="AB1765" s="231">
        <v>19.79</v>
      </c>
      <c r="AC1765" s="232">
        <f t="shared" si="877"/>
        <v>8.9999999999999858E-2</v>
      </c>
      <c r="AD1765" s="233">
        <f t="shared" si="878"/>
        <v>0.1290322580645161</v>
      </c>
      <c r="AE1765" s="234">
        <f t="shared" si="879"/>
        <v>9.0899999999999998E-4</v>
      </c>
      <c r="AF1765" s="229"/>
      <c r="AG1765" s="235" t="s">
        <v>418</v>
      </c>
      <c r="AH1765" s="124"/>
    </row>
    <row r="1766" spans="1:34" ht="12" hidden="1" customHeight="1">
      <c r="A1766" s="220">
        <v>44995</v>
      </c>
      <c r="B1766" s="221" t="s">
        <v>918</v>
      </c>
      <c r="C1766" s="7" t="s">
        <v>485</v>
      </c>
      <c r="D1766" s="221" t="str">
        <f t="shared" ca="1" si="863"/>
        <v>Indices</v>
      </c>
      <c r="E1766" s="221" t="str">
        <f ca="1">IFERROR(__xludf.DUMMYFUNCTION("split(B1766,"" "")"),"NIFTY")</f>
        <v>NIFTY</v>
      </c>
      <c r="F1766" s="222" t="str">
        <f ca="1">IFERROR(__xludf.DUMMYFUNCTION("""COMPUTED_VALUE"""),"16!MAR")</f>
        <v>16!MAR</v>
      </c>
      <c r="G1766" s="221">
        <f ca="1">IFERROR(__xludf.DUMMYFUNCTION("""COMPUTED_VALUE"""),17800)</f>
        <v>17800</v>
      </c>
      <c r="H1766" s="221" t="str">
        <f ca="1">IFERROR(__xludf.DUMMYFUNCTION("""COMPUTED_VALUE"""),"CE")</f>
        <v>CE</v>
      </c>
      <c r="I1766" s="221" t="s">
        <v>4</v>
      </c>
      <c r="J1766" s="223">
        <v>50</v>
      </c>
      <c r="K1766" s="224">
        <v>1</v>
      </c>
      <c r="L1766" s="224">
        <v>4</v>
      </c>
      <c r="M1766" s="225">
        <f t="shared" si="864"/>
        <v>200</v>
      </c>
      <c r="N1766" s="226">
        <v>7.75</v>
      </c>
      <c r="O1766" s="227">
        <v>8.7249999999999996</v>
      </c>
      <c r="P1766" s="228">
        <f t="shared" si="865"/>
        <v>1550</v>
      </c>
      <c r="Q1766" s="228">
        <f t="shared" si="866"/>
        <v>1745</v>
      </c>
      <c r="R1766" s="229">
        <f t="shared" si="867"/>
        <v>3295</v>
      </c>
      <c r="S1766" s="229">
        <f t="shared" si="868"/>
        <v>194.99999999999994</v>
      </c>
      <c r="T1766" s="229">
        <f t="shared" si="884"/>
        <v>0.01</v>
      </c>
      <c r="U1766" s="229">
        <f t="shared" si="870"/>
        <v>0.32</v>
      </c>
      <c r="V1766" s="229">
        <f t="shared" si="871"/>
        <v>0.87</v>
      </c>
      <c r="W1766" s="229">
        <f t="shared" si="872"/>
        <v>0.05</v>
      </c>
      <c r="X1766" s="229">
        <f t="shared" si="873"/>
        <v>1.75</v>
      </c>
      <c r="Y1766" s="229">
        <f t="shared" si="874"/>
        <v>0</v>
      </c>
      <c r="Z1766" s="229">
        <f t="shared" si="875"/>
        <v>3</v>
      </c>
      <c r="AA1766" s="230">
        <f t="shared" si="876"/>
        <v>192</v>
      </c>
      <c r="AB1766" s="231">
        <v>191.94</v>
      </c>
      <c r="AC1766" s="232">
        <f t="shared" si="877"/>
        <v>-6.0000000000002274E-2</v>
      </c>
      <c r="AD1766" s="233">
        <f t="shared" si="878"/>
        <v>0.12580645161290319</v>
      </c>
      <c r="AE1766" s="234">
        <f t="shared" si="879"/>
        <v>9.1E-4</v>
      </c>
      <c r="AF1766" s="229"/>
      <c r="AG1766" s="235" t="s">
        <v>418</v>
      </c>
      <c r="AH1766" s="124"/>
    </row>
    <row r="1767" spans="1:34" ht="12" hidden="1" customHeight="1">
      <c r="A1767" s="220">
        <v>44999</v>
      </c>
      <c r="B1767" s="221" t="s">
        <v>918</v>
      </c>
      <c r="C1767" s="7" t="s">
        <v>485</v>
      </c>
      <c r="D1767" s="221" t="str">
        <f t="shared" ca="1" si="863"/>
        <v>Indices</v>
      </c>
      <c r="E1767" s="221" t="str">
        <f ca="1">IFERROR(__xludf.DUMMYFUNCTION("split(B1767,"" "")"),"NIFTY")</f>
        <v>NIFTY</v>
      </c>
      <c r="F1767" s="222" t="str">
        <f ca="1">IFERROR(__xludf.DUMMYFUNCTION("""COMPUTED_VALUE"""),"16!MAR")</f>
        <v>16!MAR</v>
      </c>
      <c r="G1767" s="221">
        <f ca="1">IFERROR(__xludf.DUMMYFUNCTION("""COMPUTED_VALUE"""),17800)</f>
        <v>17800</v>
      </c>
      <c r="H1767" s="221" t="str">
        <f ca="1">IFERROR(__xludf.DUMMYFUNCTION("""COMPUTED_VALUE"""),"CE")</f>
        <v>CE</v>
      </c>
      <c r="I1767" s="221" t="s">
        <v>4</v>
      </c>
      <c r="J1767" s="223">
        <v>50</v>
      </c>
      <c r="K1767" s="224">
        <v>1</v>
      </c>
      <c r="L1767" s="224">
        <v>2</v>
      </c>
      <c r="M1767" s="225">
        <f t="shared" si="864"/>
        <v>100</v>
      </c>
      <c r="N1767" s="226">
        <v>3.25</v>
      </c>
      <c r="O1767" s="227">
        <v>3.15</v>
      </c>
      <c r="P1767" s="228">
        <f t="shared" si="865"/>
        <v>325</v>
      </c>
      <c r="Q1767" s="228">
        <f t="shared" si="866"/>
        <v>315</v>
      </c>
      <c r="R1767" s="229">
        <f t="shared" si="867"/>
        <v>640</v>
      </c>
      <c r="S1767" s="229">
        <f t="shared" si="868"/>
        <v>-10.000000000000009</v>
      </c>
      <c r="T1767" s="229">
        <f t="shared" si="884"/>
        <v>0.01</v>
      </c>
      <c r="U1767" s="229">
        <f t="shared" si="870"/>
        <v>0.06</v>
      </c>
      <c r="V1767" s="229">
        <f t="shared" si="871"/>
        <v>0.16</v>
      </c>
      <c r="W1767" s="229">
        <f t="shared" si="872"/>
        <v>0.01</v>
      </c>
      <c r="X1767" s="229">
        <f t="shared" si="873"/>
        <v>0.34</v>
      </c>
      <c r="Y1767" s="229">
        <f t="shared" si="874"/>
        <v>0</v>
      </c>
      <c r="Z1767" s="229">
        <f t="shared" si="875"/>
        <v>0.58000000000000007</v>
      </c>
      <c r="AA1767" s="230">
        <f t="shared" si="876"/>
        <v>-10.58</v>
      </c>
      <c r="AB1767" s="231">
        <v>-10.4</v>
      </c>
      <c r="AC1767" s="232">
        <f t="shared" si="877"/>
        <v>0.17999999999999972</v>
      </c>
      <c r="AD1767" s="233">
        <f t="shared" si="878"/>
        <v>-3.0769230769230795E-2</v>
      </c>
      <c r="AE1767" s="234">
        <f t="shared" si="879"/>
        <v>9.0600000000000001E-4</v>
      </c>
      <c r="AF1767" s="229"/>
      <c r="AG1767" s="235" t="s">
        <v>418</v>
      </c>
      <c r="AH1767" s="124"/>
    </row>
    <row r="1768" spans="1:34" ht="12" hidden="1" customHeight="1">
      <c r="A1768" s="220">
        <v>45000</v>
      </c>
      <c r="B1768" s="221" t="s">
        <v>918</v>
      </c>
      <c r="C1768" s="7" t="s">
        <v>485</v>
      </c>
      <c r="D1768" s="221" t="str">
        <f t="shared" ca="1" si="863"/>
        <v>Indices</v>
      </c>
      <c r="E1768" s="221" t="str">
        <f ca="1">IFERROR(__xludf.DUMMYFUNCTION("split(B1768,"" "")"),"NIFTY")</f>
        <v>NIFTY</v>
      </c>
      <c r="F1768" s="222" t="str">
        <f ca="1">IFERROR(__xludf.DUMMYFUNCTION("""COMPUTED_VALUE"""),"16!MAR")</f>
        <v>16!MAR</v>
      </c>
      <c r="G1768" s="221">
        <f ca="1">IFERROR(__xludf.DUMMYFUNCTION("""COMPUTED_VALUE"""),17800)</f>
        <v>17800</v>
      </c>
      <c r="H1768" s="221" t="str">
        <f ca="1">IFERROR(__xludf.DUMMYFUNCTION("""COMPUTED_VALUE"""),"CE")</f>
        <v>CE</v>
      </c>
      <c r="I1768" s="221" t="s">
        <v>4</v>
      </c>
      <c r="J1768" s="223">
        <v>50</v>
      </c>
      <c r="K1768" s="224">
        <v>1</v>
      </c>
      <c r="L1768" s="224">
        <v>2</v>
      </c>
      <c r="M1768" s="225">
        <f t="shared" si="864"/>
        <v>100</v>
      </c>
      <c r="N1768" s="226">
        <v>1.65</v>
      </c>
      <c r="O1768" s="227">
        <v>1.7</v>
      </c>
      <c r="P1768" s="228">
        <f t="shared" si="865"/>
        <v>165</v>
      </c>
      <c r="Q1768" s="228">
        <f t="shared" si="866"/>
        <v>170</v>
      </c>
      <c r="R1768" s="229">
        <f t="shared" si="867"/>
        <v>335</v>
      </c>
      <c r="S1768" s="229">
        <f t="shared" si="868"/>
        <v>5.0000000000000044</v>
      </c>
      <c r="T1768" s="229">
        <f t="shared" si="884"/>
        <v>0.01</v>
      </c>
      <c r="U1768" s="229">
        <f t="shared" si="870"/>
        <v>0.03</v>
      </c>
      <c r="V1768" s="229">
        <f t="shared" si="871"/>
        <v>0.09</v>
      </c>
      <c r="W1768" s="229">
        <f t="shared" si="872"/>
        <v>0</v>
      </c>
      <c r="X1768" s="229">
        <f t="shared" si="873"/>
        <v>0.18</v>
      </c>
      <c r="Y1768" s="229">
        <f t="shared" si="874"/>
        <v>0</v>
      </c>
      <c r="Z1768" s="229">
        <f t="shared" si="875"/>
        <v>0.31</v>
      </c>
      <c r="AA1768" s="230">
        <f t="shared" si="876"/>
        <v>4.6900000000000004</v>
      </c>
      <c r="AB1768" s="231">
        <v>5</v>
      </c>
      <c r="AC1768" s="232">
        <f t="shared" si="877"/>
        <v>0.30999999999999961</v>
      </c>
      <c r="AD1768" s="233">
        <f t="shared" si="878"/>
        <v>3.0303030303030332E-2</v>
      </c>
      <c r="AE1768" s="234">
        <f t="shared" si="879"/>
        <v>9.2500000000000004E-4</v>
      </c>
      <c r="AF1768" s="229"/>
      <c r="AG1768" s="235" t="s">
        <v>418</v>
      </c>
      <c r="AH1768" s="124"/>
    </row>
    <row r="1769" spans="1:34" ht="12" hidden="1" customHeight="1">
      <c r="A1769" s="220">
        <v>45000</v>
      </c>
      <c r="B1769" s="221" t="s">
        <v>919</v>
      </c>
      <c r="C1769" s="7" t="s">
        <v>485</v>
      </c>
      <c r="D1769" s="221" t="str">
        <f t="shared" ca="1" si="863"/>
        <v>Indices</v>
      </c>
      <c r="E1769" s="221" t="str">
        <f ca="1">IFERROR(__xludf.DUMMYFUNCTION("split(B1769,"" "")"),"NIFTY")</f>
        <v>NIFTY</v>
      </c>
      <c r="F1769" s="222" t="str">
        <f ca="1">IFERROR(__xludf.DUMMYFUNCTION("""COMPUTED_VALUE"""),"16!MAR")</f>
        <v>16!MAR</v>
      </c>
      <c r="G1769" s="221">
        <f ca="1">IFERROR(__xludf.DUMMYFUNCTION("""COMPUTED_VALUE"""),17100)</f>
        <v>17100</v>
      </c>
      <c r="H1769" s="221" t="str">
        <f ca="1">IFERROR(__xludf.DUMMYFUNCTION("""COMPUTED_VALUE"""),"PE")</f>
        <v>PE</v>
      </c>
      <c r="I1769" s="221" t="s">
        <v>4</v>
      </c>
      <c r="J1769" s="223">
        <v>50</v>
      </c>
      <c r="K1769" s="224">
        <v>1</v>
      </c>
      <c r="L1769" s="224">
        <v>2</v>
      </c>
      <c r="M1769" s="225">
        <f t="shared" si="864"/>
        <v>100</v>
      </c>
      <c r="N1769" s="226">
        <v>35.5</v>
      </c>
      <c r="O1769" s="227">
        <v>44.75</v>
      </c>
      <c r="P1769" s="228">
        <f t="shared" si="865"/>
        <v>3550</v>
      </c>
      <c r="Q1769" s="228">
        <f t="shared" si="866"/>
        <v>4475</v>
      </c>
      <c r="R1769" s="229">
        <f t="shared" si="867"/>
        <v>8025</v>
      </c>
      <c r="S1769" s="229">
        <f t="shared" si="868"/>
        <v>925</v>
      </c>
      <c r="T1769" s="229">
        <f t="shared" si="884"/>
        <v>0.01</v>
      </c>
      <c r="U1769" s="229">
        <f t="shared" si="870"/>
        <v>0.77</v>
      </c>
      <c r="V1769" s="229">
        <f t="shared" si="871"/>
        <v>2.2400000000000002</v>
      </c>
      <c r="W1769" s="229">
        <f t="shared" si="872"/>
        <v>0.11</v>
      </c>
      <c r="X1769" s="229">
        <f t="shared" si="873"/>
        <v>4.25</v>
      </c>
      <c r="Y1769" s="229">
        <f t="shared" si="874"/>
        <v>0.01</v>
      </c>
      <c r="Z1769" s="229">
        <f t="shared" si="875"/>
        <v>7.3900000000000006</v>
      </c>
      <c r="AA1769" s="230">
        <f t="shared" si="876"/>
        <v>917.61</v>
      </c>
      <c r="AB1769" s="231">
        <v>917.5</v>
      </c>
      <c r="AC1769" s="232">
        <f t="shared" si="877"/>
        <v>-0.11000000000001364</v>
      </c>
      <c r="AD1769" s="233">
        <f t="shared" si="878"/>
        <v>0.26056338028169013</v>
      </c>
      <c r="AE1769" s="234">
        <f t="shared" si="879"/>
        <v>9.2100000000000005E-4</v>
      </c>
      <c r="AF1769" s="229"/>
      <c r="AG1769" s="235" t="s">
        <v>418</v>
      </c>
      <c r="AH1769" s="124"/>
    </row>
    <row r="1770" spans="1:34" ht="12" hidden="1" customHeight="1">
      <c r="A1770" s="220">
        <v>45000</v>
      </c>
      <c r="B1770" s="221" t="s">
        <v>920</v>
      </c>
      <c r="C1770" s="7" t="s">
        <v>485</v>
      </c>
      <c r="D1770" s="221" t="str">
        <f t="shared" ca="1" si="863"/>
        <v>Indices</v>
      </c>
      <c r="E1770" s="221" t="str">
        <f ca="1">IFERROR(__xludf.DUMMYFUNCTION("split(B1770,"" "")"),"NIFTY")</f>
        <v>NIFTY</v>
      </c>
      <c r="F1770" s="222" t="str">
        <f ca="1">IFERROR(__xludf.DUMMYFUNCTION("""COMPUTED_VALUE"""),"16!MAR")</f>
        <v>16!MAR</v>
      </c>
      <c r="G1770" s="221">
        <f ca="1">IFERROR(__xludf.DUMMYFUNCTION("""COMPUTED_VALUE"""),16800)</f>
        <v>16800</v>
      </c>
      <c r="H1770" s="221" t="str">
        <f ca="1">IFERROR(__xludf.DUMMYFUNCTION("""COMPUTED_VALUE"""),"CE")</f>
        <v>CE</v>
      </c>
      <c r="I1770" s="221" t="s">
        <v>4</v>
      </c>
      <c r="J1770" s="223">
        <v>50</v>
      </c>
      <c r="K1770" s="224">
        <v>1</v>
      </c>
      <c r="L1770" s="224">
        <v>2</v>
      </c>
      <c r="M1770" s="225">
        <f t="shared" si="864"/>
        <v>100</v>
      </c>
      <c r="N1770" s="226">
        <v>7</v>
      </c>
      <c r="O1770" s="227">
        <v>7.5</v>
      </c>
      <c r="P1770" s="228">
        <f t="shared" si="865"/>
        <v>700</v>
      </c>
      <c r="Q1770" s="228">
        <f t="shared" si="866"/>
        <v>750</v>
      </c>
      <c r="R1770" s="229">
        <f t="shared" si="867"/>
        <v>1450</v>
      </c>
      <c r="S1770" s="229">
        <f t="shared" si="868"/>
        <v>50</v>
      </c>
      <c r="T1770" s="229">
        <f t="shared" si="884"/>
        <v>0.01</v>
      </c>
      <c r="U1770" s="229">
        <f t="shared" si="870"/>
        <v>0.14000000000000001</v>
      </c>
      <c r="V1770" s="229">
        <f t="shared" si="871"/>
        <v>0.38</v>
      </c>
      <c r="W1770" s="229">
        <f t="shared" si="872"/>
        <v>0.02</v>
      </c>
      <c r="X1770" s="229">
        <f t="shared" si="873"/>
        <v>0.77</v>
      </c>
      <c r="Y1770" s="229">
        <f t="shared" si="874"/>
        <v>0</v>
      </c>
      <c r="Z1770" s="229">
        <f t="shared" si="875"/>
        <v>1.32</v>
      </c>
      <c r="AA1770" s="230">
        <f t="shared" si="876"/>
        <v>48.68</v>
      </c>
      <c r="AB1770" s="231">
        <v>48.5</v>
      </c>
      <c r="AC1770" s="232">
        <f t="shared" si="877"/>
        <v>-0.17999999999999972</v>
      </c>
      <c r="AD1770" s="233">
        <f t="shared" si="878"/>
        <v>7.1428571428571425E-2</v>
      </c>
      <c r="AE1770" s="234">
        <f t="shared" si="879"/>
        <v>9.1E-4</v>
      </c>
      <c r="AF1770" s="229"/>
      <c r="AG1770" s="235" t="s">
        <v>418</v>
      </c>
      <c r="AH1770" s="124"/>
    </row>
    <row r="1771" spans="1:34" ht="12" hidden="1" customHeight="1">
      <c r="A1771" s="220">
        <v>45000</v>
      </c>
      <c r="B1771" s="221" t="s">
        <v>921</v>
      </c>
      <c r="C1771" s="7" t="s">
        <v>485</v>
      </c>
      <c r="D1771" s="221" t="str">
        <f t="shared" ca="1" si="863"/>
        <v>Indices</v>
      </c>
      <c r="E1771" s="221" t="str">
        <f ca="1">IFERROR(__xludf.DUMMYFUNCTION("split(B1771,"" "")"),"NIFTY")</f>
        <v>NIFTY</v>
      </c>
      <c r="F1771" s="222" t="str">
        <f ca="1">IFERROR(__xludf.DUMMYFUNCTION("""COMPUTED_VALUE"""),"16!MAR")</f>
        <v>16!MAR</v>
      </c>
      <c r="G1771" s="221">
        <f ca="1">IFERROR(__xludf.DUMMYFUNCTION("""COMPUTED_VALUE"""),16900)</f>
        <v>16900</v>
      </c>
      <c r="H1771" s="221" t="str">
        <f ca="1">IFERROR(__xludf.DUMMYFUNCTION("""COMPUTED_VALUE"""),"PE")</f>
        <v>PE</v>
      </c>
      <c r="I1771" s="221" t="s">
        <v>4</v>
      </c>
      <c r="J1771" s="223">
        <v>50</v>
      </c>
      <c r="K1771" s="224">
        <v>1</v>
      </c>
      <c r="L1771" s="224">
        <v>4</v>
      </c>
      <c r="M1771" s="225">
        <f t="shared" si="864"/>
        <v>200</v>
      </c>
      <c r="N1771" s="226">
        <v>18.5</v>
      </c>
      <c r="O1771" s="227">
        <v>20.324999999999999</v>
      </c>
      <c r="P1771" s="228">
        <f t="shared" si="865"/>
        <v>3700</v>
      </c>
      <c r="Q1771" s="228">
        <f t="shared" si="866"/>
        <v>4065</v>
      </c>
      <c r="R1771" s="229">
        <f t="shared" si="867"/>
        <v>7765</v>
      </c>
      <c r="S1771" s="229">
        <f t="shared" si="868"/>
        <v>364.99999999999989</v>
      </c>
      <c r="T1771" s="229">
        <f t="shared" si="884"/>
        <v>0.01</v>
      </c>
      <c r="U1771" s="229">
        <f t="shared" si="870"/>
        <v>0.74</v>
      </c>
      <c r="V1771" s="229">
        <f t="shared" si="871"/>
        <v>2.0299999999999998</v>
      </c>
      <c r="W1771" s="229">
        <f t="shared" si="872"/>
        <v>0.11</v>
      </c>
      <c r="X1771" s="229">
        <f t="shared" si="873"/>
        <v>4.12</v>
      </c>
      <c r="Y1771" s="229">
        <f t="shared" si="874"/>
        <v>0.01</v>
      </c>
      <c r="Z1771" s="229">
        <f t="shared" si="875"/>
        <v>7.02</v>
      </c>
      <c r="AA1771" s="230">
        <f t="shared" si="876"/>
        <v>357.98</v>
      </c>
      <c r="AB1771" s="231">
        <v>357.98</v>
      </c>
      <c r="AC1771" s="232">
        <f t="shared" si="877"/>
        <v>0</v>
      </c>
      <c r="AD1771" s="233">
        <f t="shared" si="878"/>
        <v>9.8648648648648612E-2</v>
      </c>
      <c r="AE1771" s="234">
        <f t="shared" si="879"/>
        <v>9.0399999999999996E-4</v>
      </c>
      <c r="AF1771" s="229"/>
      <c r="AG1771" s="235" t="s">
        <v>418</v>
      </c>
      <c r="AH1771" s="124"/>
    </row>
    <row r="1772" spans="1:34" ht="12" hidden="1" customHeight="1">
      <c r="A1772" s="220">
        <v>45001</v>
      </c>
      <c r="B1772" s="221" t="s">
        <v>922</v>
      </c>
      <c r="C1772" s="7" t="s">
        <v>485</v>
      </c>
      <c r="D1772" s="221" t="str">
        <f t="shared" ca="1" si="863"/>
        <v>Indices</v>
      </c>
      <c r="E1772" s="221" t="str">
        <f ca="1">IFERROR(__xludf.DUMMYFUNCTION("split(B1772,"" "")"),"NIFTY")</f>
        <v>NIFTY</v>
      </c>
      <c r="F1772" s="222" t="str">
        <f ca="1">IFERROR(__xludf.DUMMYFUNCTION("""COMPUTED_VALUE"""),"16!MAR")</f>
        <v>16!MAR</v>
      </c>
      <c r="G1772" s="221">
        <f ca="1">IFERROR(__xludf.DUMMYFUNCTION("""COMPUTED_VALUE"""),16800)</f>
        <v>16800</v>
      </c>
      <c r="H1772" s="221" t="str">
        <f ca="1">IFERROR(__xludf.DUMMYFUNCTION("""COMPUTED_VALUE"""),"PE")</f>
        <v>PE</v>
      </c>
      <c r="I1772" s="221" t="s">
        <v>4</v>
      </c>
      <c r="J1772" s="223">
        <v>50</v>
      </c>
      <c r="K1772" s="224">
        <v>1</v>
      </c>
      <c r="L1772" s="224">
        <v>6</v>
      </c>
      <c r="M1772" s="225">
        <f t="shared" si="864"/>
        <v>300</v>
      </c>
      <c r="N1772" s="226">
        <v>6.25</v>
      </c>
      <c r="O1772" s="227">
        <v>5.25</v>
      </c>
      <c r="P1772" s="228">
        <f t="shared" si="865"/>
        <v>1875</v>
      </c>
      <c r="Q1772" s="228">
        <f t="shared" si="866"/>
        <v>1575</v>
      </c>
      <c r="R1772" s="229">
        <f t="shared" si="867"/>
        <v>3450</v>
      </c>
      <c r="S1772" s="229">
        <f t="shared" si="868"/>
        <v>-300</v>
      </c>
      <c r="T1772" s="229">
        <f t="shared" si="884"/>
        <v>0.01</v>
      </c>
      <c r="U1772" s="229">
        <f t="shared" si="870"/>
        <v>0.33</v>
      </c>
      <c r="V1772" s="229">
        <f t="shared" si="871"/>
        <v>0.79</v>
      </c>
      <c r="W1772" s="229">
        <f t="shared" si="872"/>
        <v>0.06</v>
      </c>
      <c r="X1772" s="229">
        <f t="shared" si="873"/>
        <v>1.83</v>
      </c>
      <c r="Y1772" s="229">
        <f t="shared" si="874"/>
        <v>0</v>
      </c>
      <c r="Z1772" s="229">
        <f t="shared" si="875"/>
        <v>3.0200000000000005</v>
      </c>
      <c r="AA1772" s="230">
        <f t="shared" si="876"/>
        <v>-303.02</v>
      </c>
      <c r="AB1772" s="231">
        <v>-303</v>
      </c>
      <c r="AC1772" s="232">
        <f t="shared" si="877"/>
        <v>1.999999999998181E-2</v>
      </c>
      <c r="AD1772" s="233">
        <f t="shared" si="878"/>
        <v>-0.16</v>
      </c>
      <c r="AE1772" s="234">
        <f t="shared" si="879"/>
        <v>8.7500000000000002E-4</v>
      </c>
      <c r="AF1772" s="229"/>
      <c r="AG1772" s="235" t="s">
        <v>418</v>
      </c>
      <c r="AH1772" s="124"/>
    </row>
    <row r="1773" spans="1:34" ht="12" hidden="1" customHeight="1">
      <c r="A1773" s="220">
        <v>45001</v>
      </c>
      <c r="B1773" s="221" t="s">
        <v>918</v>
      </c>
      <c r="C1773" s="7" t="s">
        <v>485</v>
      </c>
      <c r="D1773" s="221" t="str">
        <f t="shared" ca="1" si="863"/>
        <v>Indices</v>
      </c>
      <c r="E1773" s="221" t="str">
        <f ca="1">IFERROR(__xludf.DUMMYFUNCTION("split(B1773,"" "")"),"NIFTY")</f>
        <v>NIFTY</v>
      </c>
      <c r="F1773" s="222" t="str">
        <f ca="1">IFERROR(__xludf.DUMMYFUNCTION("""COMPUTED_VALUE"""),"16!MAR")</f>
        <v>16!MAR</v>
      </c>
      <c r="G1773" s="221">
        <f ca="1">IFERROR(__xludf.DUMMYFUNCTION("""COMPUTED_VALUE"""),17800)</f>
        <v>17800</v>
      </c>
      <c r="H1773" s="221" t="str">
        <f ca="1">IFERROR(__xludf.DUMMYFUNCTION("""COMPUTED_VALUE"""),"CE")</f>
        <v>CE</v>
      </c>
      <c r="I1773" s="221" t="s">
        <v>4</v>
      </c>
      <c r="J1773" s="223">
        <v>50</v>
      </c>
      <c r="K1773" s="224">
        <v>1</v>
      </c>
      <c r="L1773" s="224">
        <v>4</v>
      </c>
      <c r="M1773" s="225">
        <f t="shared" si="864"/>
        <v>200</v>
      </c>
      <c r="N1773" s="226">
        <v>0.65</v>
      </c>
      <c r="O1773" s="227">
        <v>0.3</v>
      </c>
      <c r="P1773" s="228">
        <f t="shared" si="865"/>
        <v>130</v>
      </c>
      <c r="Q1773" s="228">
        <f t="shared" si="866"/>
        <v>60</v>
      </c>
      <c r="R1773" s="229">
        <f t="shared" si="867"/>
        <v>190</v>
      </c>
      <c r="S1773" s="229">
        <f t="shared" si="868"/>
        <v>-70</v>
      </c>
      <c r="T1773" s="229">
        <f t="shared" si="884"/>
        <v>0.01</v>
      </c>
      <c r="U1773" s="229">
        <f t="shared" si="870"/>
        <v>0.02</v>
      </c>
      <c r="V1773" s="229">
        <f t="shared" si="871"/>
        <v>0.03</v>
      </c>
      <c r="W1773" s="229">
        <f t="shared" si="872"/>
        <v>0</v>
      </c>
      <c r="X1773" s="229">
        <f t="shared" si="873"/>
        <v>0.1</v>
      </c>
      <c r="Y1773" s="229">
        <f t="shared" si="874"/>
        <v>0</v>
      </c>
      <c r="Z1773" s="229">
        <f t="shared" si="875"/>
        <v>0.16</v>
      </c>
      <c r="AA1773" s="230">
        <f t="shared" si="876"/>
        <v>-70.16</v>
      </c>
      <c r="AB1773" s="231">
        <v>-70.28</v>
      </c>
      <c r="AC1773" s="232">
        <f t="shared" si="877"/>
        <v>-0.12000000000000455</v>
      </c>
      <c r="AD1773" s="233">
        <f t="shared" si="878"/>
        <v>-0.53846153846153855</v>
      </c>
      <c r="AE1773" s="234">
        <f t="shared" si="879"/>
        <v>8.4199999999999998E-4</v>
      </c>
      <c r="AF1773" s="229"/>
      <c r="AG1773" s="235" t="s">
        <v>418</v>
      </c>
      <c r="AH1773" s="124"/>
    </row>
    <row r="1774" spans="1:34" ht="12" hidden="1" customHeight="1">
      <c r="A1774" s="220">
        <v>45002</v>
      </c>
      <c r="B1774" s="221" t="s">
        <v>923</v>
      </c>
      <c r="C1774" s="7" t="s">
        <v>485</v>
      </c>
      <c r="D1774" s="221" t="str">
        <f t="shared" ca="1" si="863"/>
        <v>Indices</v>
      </c>
      <c r="E1774" s="221" t="str">
        <f ca="1">IFERROR(__xludf.DUMMYFUNCTION("split(B1774,"" "")"),"NIFTY")</f>
        <v>NIFTY</v>
      </c>
      <c r="F1774" s="222" t="str">
        <f ca="1">IFERROR(__xludf.DUMMYFUNCTION("""COMPUTED_VALUE"""),"23!MAR")</f>
        <v>23!MAR</v>
      </c>
      <c r="G1774" s="221">
        <f ca="1">IFERROR(__xludf.DUMMYFUNCTION("""COMPUTED_VALUE"""),17500)</f>
        <v>17500</v>
      </c>
      <c r="H1774" s="221" t="str">
        <f ca="1">IFERROR(__xludf.DUMMYFUNCTION("""COMPUTED_VALUE"""),"CE")</f>
        <v>CE</v>
      </c>
      <c r="I1774" s="221" t="s">
        <v>4</v>
      </c>
      <c r="J1774" s="223">
        <v>50</v>
      </c>
      <c r="K1774" s="224">
        <v>1</v>
      </c>
      <c r="L1774" s="224">
        <v>12</v>
      </c>
      <c r="M1774" s="225">
        <f t="shared" si="864"/>
        <v>600</v>
      </c>
      <c r="N1774" s="226">
        <v>10.64584</v>
      </c>
      <c r="O1774" s="227">
        <v>11.2125</v>
      </c>
      <c r="P1774" s="228">
        <f t="shared" si="865"/>
        <v>6387.5</v>
      </c>
      <c r="Q1774" s="228">
        <f t="shared" si="866"/>
        <v>6727.5</v>
      </c>
      <c r="R1774" s="229">
        <f t="shared" si="867"/>
        <v>13115</v>
      </c>
      <c r="S1774" s="229">
        <f t="shared" si="868"/>
        <v>339.99600000000038</v>
      </c>
      <c r="T1774" s="229">
        <f t="shared" si="884"/>
        <v>0.01</v>
      </c>
      <c r="U1774" s="229">
        <f t="shared" si="870"/>
        <v>1.25</v>
      </c>
      <c r="V1774" s="229">
        <f t="shared" si="871"/>
        <v>3.36</v>
      </c>
      <c r="W1774" s="229">
        <f t="shared" si="872"/>
        <v>0.19</v>
      </c>
      <c r="X1774" s="229">
        <f t="shared" si="873"/>
        <v>6.95</v>
      </c>
      <c r="Y1774" s="229">
        <f t="shared" si="874"/>
        <v>0.01</v>
      </c>
      <c r="Z1774" s="229">
        <f t="shared" si="875"/>
        <v>11.770000000000001</v>
      </c>
      <c r="AA1774" s="230">
        <f t="shared" si="876"/>
        <v>328.23</v>
      </c>
      <c r="AB1774" s="231">
        <v>328.79</v>
      </c>
      <c r="AC1774" s="232">
        <f t="shared" si="877"/>
        <v>0.56000000000000227</v>
      </c>
      <c r="AD1774" s="233">
        <f t="shared" si="878"/>
        <v>5.3228303262119345E-2</v>
      </c>
      <c r="AE1774" s="234">
        <f t="shared" si="879"/>
        <v>8.9700000000000001E-4</v>
      </c>
      <c r="AF1774" s="229"/>
      <c r="AG1774" s="235" t="s">
        <v>418</v>
      </c>
      <c r="AH1774" s="124"/>
    </row>
    <row r="1775" spans="1:34" ht="12" hidden="1" customHeight="1">
      <c r="A1775" s="220">
        <v>45005</v>
      </c>
      <c r="B1775" s="221" t="s">
        <v>923</v>
      </c>
      <c r="C1775" s="7" t="s">
        <v>485</v>
      </c>
      <c r="D1775" s="221" t="str">
        <f t="shared" ca="1" si="863"/>
        <v>Indices</v>
      </c>
      <c r="E1775" s="221" t="str">
        <f ca="1">IFERROR(__xludf.DUMMYFUNCTION("split(B1775,"" "")"),"NIFTY")</f>
        <v>NIFTY</v>
      </c>
      <c r="F1775" s="222" t="str">
        <f ca="1">IFERROR(__xludf.DUMMYFUNCTION("""COMPUTED_VALUE"""),"23!MAR")</f>
        <v>23!MAR</v>
      </c>
      <c r="G1775" s="221">
        <f ca="1">IFERROR(__xludf.DUMMYFUNCTION("""COMPUTED_VALUE"""),17500)</f>
        <v>17500</v>
      </c>
      <c r="H1775" s="221" t="str">
        <f ca="1">IFERROR(__xludf.DUMMYFUNCTION("""COMPUTED_VALUE"""),"CE")</f>
        <v>CE</v>
      </c>
      <c r="I1775" s="221" t="s">
        <v>4</v>
      </c>
      <c r="J1775" s="223">
        <v>50</v>
      </c>
      <c r="K1775" s="224">
        <v>1</v>
      </c>
      <c r="L1775" s="224">
        <v>8</v>
      </c>
      <c r="M1775" s="225">
        <f t="shared" si="864"/>
        <v>400</v>
      </c>
      <c r="N1775" s="226">
        <v>4.3937999999999997</v>
      </c>
      <c r="O1775" s="227">
        <v>4</v>
      </c>
      <c r="P1775" s="228">
        <f t="shared" si="865"/>
        <v>1757.52</v>
      </c>
      <c r="Q1775" s="228">
        <f t="shared" si="866"/>
        <v>1600</v>
      </c>
      <c r="R1775" s="229">
        <f t="shared" si="867"/>
        <v>3357.52</v>
      </c>
      <c r="S1775" s="229">
        <f t="shared" si="868"/>
        <v>-157.51999999999987</v>
      </c>
      <c r="T1775" s="229">
        <f t="shared" si="884"/>
        <v>0.01</v>
      </c>
      <c r="U1775" s="229">
        <f t="shared" si="870"/>
        <v>0.32</v>
      </c>
      <c r="V1775" s="229">
        <f t="shared" si="871"/>
        <v>0.8</v>
      </c>
      <c r="W1775" s="229">
        <f t="shared" si="872"/>
        <v>0.05</v>
      </c>
      <c r="X1775" s="229">
        <f t="shared" si="873"/>
        <v>1.78</v>
      </c>
      <c r="Y1775" s="229">
        <f t="shared" si="874"/>
        <v>0</v>
      </c>
      <c r="Z1775" s="229">
        <f t="shared" si="875"/>
        <v>2.96</v>
      </c>
      <c r="AA1775" s="230">
        <f t="shared" si="876"/>
        <v>-160.47999999999999</v>
      </c>
      <c r="AB1775" s="231">
        <v>-160.6</v>
      </c>
      <c r="AC1775" s="232">
        <f t="shared" si="877"/>
        <v>-0.12000000000000455</v>
      </c>
      <c r="AD1775" s="233">
        <f t="shared" si="878"/>
        <v>-8.9626291592698748E-2</v>
      </c>
      <c r="AE1775" s="234">
        <f t="shared" si="879"/>
        <v>8.8199999999999997E-4</v>
      </c>
      <c r="AF1775" s="229"/>
      <c r="AG1775" s="235" t="s">
        <v>418</v>
      </c>
      <c r="AH1775" s="124"/>
    </row>
    <row r="1776" spans="1:34" ht="12" hidden="1" customHeight="1">
      <c r="A1776" s="220">
        <v>45006</v>
      </c>
      <c r="B1776" s="221" t="s">
        <v>923</v>
      </c>
      <c r="C1776" s="7" t="s">
        <v>485</v>
      </c>
      <c r="D1776" s="221" t="str">
        <f t="shared" ca="1" si="863"/>
        <v>Indices</v>
      </c>
      <c r="E1776" s="221" t="str">
        <f ca="1">IFERROR(__xludf.DUMMYFUNCTION("split(B1776,"" "")"),"NIFTY")</f>
        <v>NIFTY</v>
      </c>
      <c r="F1776" s="222" t="str">
        <f ca="1">IFERROR(__xludf.DUMMYFUNCTION("""COMPUTED_VALUE"""),"23!MAR")</f>
        <v>23!MAR</v>
      </c>
      <c r="G1776" s="221">
        <f ca="1">IFERROR(__xludf.DUMMYFUNCTION("""COMPUTED_VALUE"""),17500)</f>
        <v>17500</v>
      </c>
      <c r="H1776" s="221" t="str">
        <f ca="1">IFERROR(__xludf.DUMMYFUNCTION("""COMPUTED_VALUE"""),"CE")</f>
        <v>CE</v>
      </c>
      <c r="I1776" s="221" t="s">
        <v>4</v>
      </c>
      <c r="J1776" s="223">
        <v>50</v>
      </c>
      <c r="K1776" s="224">
        <v>1</v>
      </c>
      <c r="L1776" s="224">
        <v>2</v>
      </c>
      <c r="M1776" s="225">
        <f t="shared" si="864"/>
        <v>100</v>
      </c>
      <c r="N1776" s="226">
        <v>3.45</v>
      </c>
      <c r="O1776" s="227">
        <v>4</v>
      </c>
      <c r="P1776" s="228">
        <f t="shared" si="865"/>
        <v>345</v>
      </c>
      <c r="Q1776" s="228">
        <f t="shared" si="866"/>
        <v>400</v>
      </c>
      <c r="R1776" s="229">
        <f t="shared" si="867"/>
        <v>745</v>
      </c>
      <c r="S1776" s="229">
        <f t="shared" si="868"/>
        <v>54.999999999999986</v>
      </c>
      <c r="T1776" s="229">
        <f t="shared" si="884"/>
        <v>0.01</v>
      </c>
      <c r="U1776" s="229">
        <f t="shared" si="870"/>
        <v>7.0000000000000007E-2</v>
      </c>
      <c r="V1776" s="229">
        <f t="shared" si="871"/>
        <v>0.2</v>
      </c>
      <c r="W1776" s="229">
        <f t="shared" si="872"/>
        <v>0.01</v>
      </c>
      <c r="X1776" s="229">
        <f t="shared" si="873"/>
        <v>0.39</v>
      </c>
      <c r="Y1776" s="229">
        <f t="shared" si="874"/>
        <v>0</v>
      </c>
      <c r="Z1776" s="229">
        <f t="shared" si="875"/>
        <v>0.68</v>
      </c>
      <c r="AA1776" s="230">
        <f t="shared" si="876"/>
        <v>54.32</v>
      </c>
      <c r="AB1776" s="231">
        <v>54.53</v>
      </c>
      <c r="AC1776" s="232">
        <f t="shared" si="877"/>
        <v>0.21000000000000085</v>
      </c>
      <c r="AD1776" s="233">
        <f t="shared" si="878"/>
        <v>0.15942028985507239</v>
      </c>
      <c r="AE1776" s="234">
        <f t="shared" si="879"/>
        <v>9.1299999999999997E-4</v>
      </c>
      <c r="AF1776" s="229"/>
      <c r="AG1776" s="235" t="s">
        <v>418</v>
      </c>
      <c r="AH1776" s="124"/>
    </row>
    <row r="1777" spans="1:34" ht="12" hidden="1" customHeight="1">
      <c r="A1777" s="154">
        <v>45007</v>
      </c>
      <c r="B1777" s="221" t="s">
        <v>923</v>
      </c>
      <c r="C1777" s="7" t="s">
        <v>485</v>
      </c>
      <c r="D1777" s="221" t="str">
        <f t="shared" ca="1" si="863"/>
        <v>Indices</v>
      </c>
      <c r="E1777" s="221" t="str">
        <f ca="1">IFERROR(__xludf.DUMMYFUNCTION("split(B1777,"" "")"),"NIFTY")</f>
        <v>NIFTY</v>
      </c>
      <c r="F1777" s="222" t="str">
        <f ca="1">IFERROR(__xludf.DUMMYFUNCTION("""COMPUTED_VALUE"""),"23!MAR")</f>
        <v>23!MAR</v>
      </c>
      <c r="G1777" s="221">
        <f ca="1">IFERROR(__xludf.DUMMYFUNCTION("""COMPUTED_VALUE"""),17500)</f>
        <v>17500</v>
      </c>
      <c r="H1777" s="221" t="str">
        <f ca="1">IFERROR(__xludf.DUMMYFUNCTION("""COMPUTED_VALUE"""),"CE")</f>
        <v>CE</v>
      </c>
      <c r="I1777" s="221" t="s">
        <v>4</v>
      </c>
      <c r="J1777" s="223">
        <v>50</v>
      </c>
      <c r="K1777" s="224">
        <v>1</v>
      </c>
      <c r="L1777" s="224">
        <v>3</v>
      </c>
      <c r="M1777" s="225">
        <f t="shared" si="864"/>
        <v>150</v>
      </c>
      <c r="N1777" s="226">
        <v>2.2000000000000002</v>
      </c>
      <c r="O1777" s="227">
        <v>0</v>
      </c>
      <c r="P1777" s="228">
        <f t="shared" si="865"/>
        <v>330</v>
      </c>
      <c r="Q1777" s="228">
        <f t="shared" si="866"/>
        <v>0</v>
      </c>
      <c r="R1777" s="229">
        <f t="shared" si="867"/>
        <v>330</v>
      </c>
      <c r="S1777" s="229">
        <f t="shared" si="868"/>
        <v>-330</v>
      </c>
      <c r="T1777" s="229">
        <f t="shared" si="884"/>
        <v>60</v>
      </c>
      <c r="U1777" s="229">
        <f t="shared" si="870"/>
        <v>10.83</v>
      </c>
      <c r="V1777" s="229">
        <f t="shared" si="871"/>
        <v>0</v>
      </c>
      <c r="W1777" s="229">
        <f t="shared" si="872"/>
        <v>0.01</v>
      </c>
      <c r="X1777" s="229">
        <f t="shared" si="873"/>
        <v>0.17</v>
      </c>
      <c r="Y1777" s="229">
        <f t="shared" si="874"/>
        <v>0</v>
      </c>
      <c r="Z1777" s="229">
        <f t="shared" si="875"/>
        <v>71.010000000000005</v>
      </c>
      <c r="AA1777" s="230">
        <f t="shared" si="876"/>
        <v>-401.01</v>
      </c>
      <c r="AB1777" s="231">
        <v>-401.01</v>
      </c>
      <c r="AC1777" s="232">
        <f t="shared" si="877"/>
        <v>0</v>
      </c>
      <c r="AD1777" s="233">
        <f t="shared" si="878"/>
        <v>-1</v>
      </c>
      <c r="AE1777" s="234">
        <f t="shared" si="879"/>
        <v>0.21518200000000001</v>
      </c>
      <c r="AF1777" s="229"/>
      <c r="AG1777" s="235" t="s">
        <v>418</v>
      </c>
      <c r="AH1777" s="124"/>
    </row>
    <row r="1778" spans="1:34" ht="12" hidden="1" customHeight="1">
      <c r="A1778" s="155">
        <v>45008</v>
      </c>
      <c r="B1778" s="221" t="s">
        <v>923</v>
      </c>
      <c r="C1778" s="7" t="s">
        <v>485</v>
      </c>
      <c r="D1778" s="221" t="str">
        <f t="shared" ca="1" si="863"/>
        <v>Indices</v>
      </c>
      <c r="E1778" s="221" t="str">
        <f ca="1">IFERROR(__xludf.DUMMYFUNCTION("split(B1778,"" "")"),"NIFTY")</f>
        <v>NIFTY</v>
      </c>
      <c r="F1778" s="222" t="str">
        <f ca="1">IFERROR(__xludf.DUMMYFUNCTION("""COMPUTED_VALUE"""),"23!MAR")</f>
        <v>23!MAR</v>
      </c>
      <c r="G1778" s="221">
        <f ca="1">IFERROR(__xludf.DUMMYFUNCTION("""COMPUTED_VALUE"""),17500)</f>
        <v>17500</v>
      </c>
      <c r="H1778" s="221" t="str">
        <f ca="1">IFERROR(__xludf.DUMMYFUNCTION("""COMPUTED_VALUE"""),"CE")</f>
        <v>CE</v>
      </c>
      <c r="I1778" s="221" t="s">
        <v>4</v>
      </c>
      <c r="J1778" s="223">
        <v>50</v>
      </c>
      <c r="K1778" s="224">
        <v>3</v>
      </c>
      <c r="L1778" s="224">
        <v>1</v>
      </c>
      <c r="M1778" s="225">
        <f t="shared" si="864"/>
        <v>150</v>
      </c>
      <c r="N1778" s="226">
        <v>0</v>
      </c>
      <c r="O1778" s="227">
        <v>0.9</v>
      </c>
      <c r="P1778" s="228">
        <f t="shared" si="865"/>
        <v>0</v>
      </c>
      <c r="Q1778" s="228">
        <f t="shared" si="866"/>
        <v>135</v>
      </c>
      <c r="R1778" s="229">
        <f t="shared" si="867"/>
        <v>135</v>
      </c>
      <c r="S1778" s="229">
        <f t="shared" si="868"/>
        <v>135</v>
      </c>
      <c r="T1778" s="229">
        <f t="shared" si="884"/>
        <v>20</v>
      </c>
      <c r="U1778" s="229">
        <f t="shared" si="870"/>
        <v>3.61</v>
      </c>
      <c r="V1778" s="229">
        <f t="shared" si="871"/>
        <v>7.0000000000000007E-2</v>
      </c>
      <c r="W1778" s="229">
        <f t="shared" si="872"/>
        <v>0</v>
      </c>
      <c r="X1778" s="229">
        <f t="shared" si="873"/>
        <v>7.0000000000000007E-2</v>
      </c>
      <c r="Y1778" s="229">
        <f t="shared" si="874"/>
        <v>0</v>
      </c>
      <c r="Z1778" s="229">
        <f t="shared" si="875"/>
        <v>23.75</v>
      </c>
      <c r="AA1778" s="230">
        <f t="shared" si="876"/>
        <v>111.25</v>
      </c>
      <c r="AB1778" s="231">
        <v>111.32</v>
      </c>
      <c r="AC1778" s="232">
        <f t="shared" si="877"/>
        <v>6.9999999999993179E-2</v>
      </c>
      <c r="AD1778" s="233">
        <f t="shared" si="878"/>
        <v>0</v>
      </c>
      <c r="AE1778" s="234">
        <f t="shared" si="879"/>
        <v>0.175926</v>
      </c>
      <c r="AF1778" s="229"/>
      <c r="AG1778" s="235" t="s">
        <v>418</v>
      </c>
      <c r="AH1778" s="124"/>
    </row>
    <row r="1779" spans="1:34" ht="12" hidden="1" customHeight="1">
      <c r="A1779" s="220">
        <v>45013</v>
      </c>
      <c r="B1779" s="221" t="s">
        <v>924</v>
      </c>
      <c r="C1779" s="7" t="s">
        <v>485</v>
      </c>
      <c r="D1779" s="221" t="str">
        <f t="shared" ca="1" si="863"/>
        <v>Indices</v>
      </c>
      <c r="E1779" s="221" t="str">
        <f ca="1">IFERROR(__xludf.DUMMYFUNCTION("split(B1779,"" "")"),"NIFTY")</f>
        <v>NIFTY</v>
      </c>
      <c r="F1779" s="222" t="str">
        <f ca="1">IFERROR(__xludf.DUMMYFUNCTION("""COMPUTED_VALUE"""),"29!MAR")</f>
        <v>29!MAR</v>
      </c>
      <c r="G1779" s="221">
        <f ca="1">IFERROR(__xludf.DUMMYFUNCTION("""COMPUTED_VALUE"""),17500)</f>
        <v>17500</v>
      </c>
      <c r="H1779" s="221" t="str">
        <f ca="1">IFERROR(__xludf.DUMMYFUNCTION("""COMPUTED_VALUE"""),"CE")</f>
        <v>CE</v>
      </c>
      <c r="I1779" s="221" t="s">
        <v>4</v>
      </c>
      <c r="J1779" s="223">
        <v>50</v>
      </c>
      <c r="K1779" s="224">
        <v>1</v>
      </c>
      <c r="L1779" s="224">
        <v>2</v>
      </c>
      <c r="M1779" s="225">
        <f t="shared" si="864"/>
        <v>100</v>
      </c>
      <c r="N1779" s="226">
        <v>1.55</v>
      </c>
      <c r="O1779" s="227">
        <v>1.55</v>
      </c>
      <c r="P1779" s="228">
        <f t="shared" si="865"/>
        <v>155</v>
      </c>
      <c r="Q1779" s="228">
        <f t="shared" si="866"/>
        <v>155</v>
      </c>
      <c r="R1779" s="229">
        <f t="shared" si="867"/>
        <v>310</v>
      </c>
      <c r="S1779" s="229">
        <f t="shared" si="868"/>
        <v>0</v>
      </c>
      <c r="T1779" s="229">
        <f t="shared" si="884"/>
        <v>0.01</v>
      </c>
      <c r="U1779" s="229">
        <f t="shared" si="870"/>
        <v>0.03</v>
      </c>
      <c r="V1779" s="229">
        <f>ROUND(Q1779*F$1819,2)-0.08</f>
        <v>0</v>
      </c>
      <c r="W1779" s="229">
        <f t="shared" si="872"/>
        <v>0</v>
      </c>
      <c r="X1779" s="229">
        <f t="shared" si="873"/>
        <v>0.16</v>
      </c>
      <c r="Y1779" s="229">
        <f t="shared" si="874"/>
        <v>0</v>
      </c>
      <c r="Z1779" s="229">
        <f t="shared" si="875"/>
        <v>0.2</v>
      </c>
      <c r="AA1779" s="230">
        <f t="shared" si="876"/>
        <v>-0.2</v>
      </c>
      <c r="AB1779" s="231">
        <v>-0.19</v>
      </c>
      <c r="AC1779" s="232">
        <f t="shared" si="877"/>
        <v>1.0000000000000009E-2</v>
      </c>
      <c r="AD1779" s="233">
        <f t="shared" si="878"/>
        <v>0</v>
      </c>
      <c r="AE1779" s="234">
        <f t="shared" si="879"/>
        <v>6.4499999999999996E-4</v>
      </c>
      <c r="AF1779" s="229"/>
      <c r="AG1779" s="235" t="s">
        <v>418</v>
      </c>
      <c r="AH1779" s="124"/>
    </row>
    <row r="1780" spans="1:34" ht="12" hidden="1" customHeight="1">
      <c r="A1780" s="220">
        <v>45014</v>
      </c>
      <c r="B1780" s="221" t="s">
        <v>925</v>
      </c>
      <c r="C1780" s="7" t="s">
        <v>485</v>
      </c>
      <c r="D1780" s="221" t="str">
        <f t="shared" ca="1" si="863"/>
        <v>Indices</v>
      </c>
      <c r="E1780" s="221" t="str">
        <f ca="1">IFERROR(__xludf.DUMMYFUNCTION("split(B1780,"" "")"),"NIFTY")</f>
        <v>NIFTY</v>
      </c>
      <c r="F1780" s="222" t="str">
        <f ca="1">IFERROR(__xludf.DUMMYFUNCTION("""COMPUTED_VALUE"""),"06!APR")</f>
        <v>06!APR</v>
      </c>
      <c r="G1780" s="221">
        <f ca="1">IFERROR(__xludf.DUMMYFUNCTION("""COMPUTED_VALUE"""),17600)</f>
        <v>17600</v>
      </c>
      <c r="H1780" s="221" t="str">
        <f ca="1">IFERROR(__xludf.DUMMYFUNCTION("""COMPUTED_VALUE"""),"CE")</f>
        <v>CE</v>
      </c>
      <c r="I1780" s="221" t="s">
        <v>4</v>
      </c>
      <c r="J1780" s="223">
        <v>50</v>
      </c>
      <c r="K1780" s="224">
        <v>1</v>
      </c>
      <c r="L1780" s="224">
        <v>1</v>
      </c>
      <c r="M1780" s="225">
        <f t="shared" si="864"/>
        <v>50</v>
      </c>
      <c r="N1780" s="226">
        <v>4</v>
      </c>
      <c r="O1780" s="227">
        <v>3.9</v>
      </c>
      <c r="P1780" s="228">
        <f t="shared" si="865"/>
        <v>200</v>
      </c>
      <c r="Q1780" s="228">
        <f t="shared" si="866"/>
        <v>195</v>
      </c>
      <c r="R1780" s="229">
        <f t="shared" si="867"/>
        <v>395</v>
      </c>
      <c r="S1780" s="229">
        <f t="shared" si="868"/>
        <v>-5.0000000000000044</v>
      </c>
      <c r="T1780" s="229">
        <f t="shared" si="884"/>
        <v>0.01</v>
      </c>
      <c r="U1780" s="229">
        <f t="shared" si="870"/>
        <v>0.04</v>
      </c>
      <c r="V1780" s="229">
        <f t="shared" ref="V1780:V1781" si="885">ROUND(Q1780*F$1819,2)</f>
        <v>0.1</v>
      </c>
      <c r="W1780" s="229">
        <f t="shared" si="872"/>
        <v>0.01</v>
      </c>
      <c r="X1780" s="229">
        <f t="shared" si="873"/>
        <v>0.21</v>
      </c>
      <c r="Y1780" s="229">
        <f t="shared" si="874"/>
        <v>0</v>
      </c>
      <c r="Z1780" s="229">
        <f t="shared" si="875"/>
        <v>0.37</v>
      </c>
      <c r="AA1780" s="230">
        <f t="shared" si="876"/>
        <v>-5.37</v>
      </c>
      <c r="AB1780" s="231">
        <v>-5.25</v>
      </c>
      <c r="AC1780" s="232">
        <f t="shared" si="877"/>
        <v>0.12000000000000011</v>
      </c>
      <c r="AD1780" s="233">
        <f t="shared" si="878"/>
        <v>-2.5000000000000022E-2</v>
      </c>
      <c r="AE1780" s="234">
        <f t="shared" si="879"/>
        <v>9.3700000000000001E-4</v>
      </c>
      <c r="AF1780" s="229"/>
      <c r="AG1780" s="235" t="s">
        <v>418</v>
      </c>
      <c r="AH1780" s="124"/>
    </row>
    <row r="1781" spans="1:34" ht="12" hidden="1" customHeight="1">
      <c r="A1781" s="220">
        <v>45016</v>
      </c>
      <c r="B1781" s="221" t="s">
        <v>926</v>
      </c>
      <c r="C1781" s="7" t="s">
        <v>485</v>
      </c>
      <c r="D1781" s="221" t="str">
        <f t="shared" ca="1" si="863"/>
        <v>Indices</v>
      </c>
      <c r="E1781" s="221" t="str">
        <f ca="1">IFERROR(__xludf.DUMMYFUNCTION("split(B1781,"" "")"),"NIFTY")</f>
        <v>NIFTY</v>
      </c>
      <c r="F1781" s="222" t="str">
        <f ca="1">IFERROR(__xludf.DUMMYFUNCTION("""COMPUTED_VALUE"""),"06!APR")</f>
        <v>06!APR</v>
      </c>
      <c r="G1781" s="221">
        <f ca="1">IFERROR(__xludf.DUMMYFUNCTION("""COMPUTED_VALUE"""),16700)</f>
        <v>16700</v>
      </c>
      <c r="H1781" s="221" t="str">
        <f ca="1">IFERROR(__xludf.DUMMYFUNCTION("""COMPUTED_VALUE"""),"PE")</f>
        <v>PE</v>
      </c>
      <c r="I1781" s="221" t="s">
        <v>4</v>
      </c>
      <c r="J1781" s="223">
        <v>50</v>
      </c>
      <c r="K1781" s="224">
        <v>1</v>
      </c>
      <c r="L1781" s="224">
        <v>2</v>
      </c>
      <c r="M1781" s="225">
        <f t="shared" si="864"/>
        <v>100</v>
      </c>
      <c r="N1781" s="226">
        <v>7.6</v>
      </c>
      <c r="O1781" s="227">
        <v>7.4749999999999996</v>
      </c>
      <c r="P1781" s="228">
        <f t="shared" si="865"/>
        <v>760</v>
      </c>
      <c r="Q1781" s="228">
        <f t="shared" si="866"/>
        <v>747.5</v>
      </c>
      <c r="R1781" s="229">
        <f t="shared" si="867"/>
        <v>1507.5</v>
      </c>
      <c r="S1781" s="229">
        <f t="shared" si="868"/>
        <v>-12.5</v>
      </c>
      <c r="T1781" s="229">
        <f t="shared" si="884"/>
        <v>0.01</v>
      </c>
      <c r="U1781" s="229">
        <f t="shared" si="870"/>
        <v>0.15</v>
      </c>
      <c r="V1781" s="229">
        <f t="shared" si="885"/>
        <v>0.37</v>
      </c>
      <c r="W1781" s="229">
        <f t="shared" si="872"/>
        <v>0.02</v>
      </c>
      <c r="X1781" s="229">
        <f t="shared" si="873"/>
        <v>0.8</v>
      </c>
      <c r="Y1781" s="229">
        <f t="shared" si="874"/>
        <v>0</v>
      </c>
      <c r="Z1781" s="229">
        <f t="shared" si="875"/>
        <v>1.35</v>
      </c>
      <c r="AA1781" s="230">
        <f t="shared" si="876"/>
        <v>-13.85</v>
      </c>
      <c r="AB1781" s="231">
        <v>-13.44</v>
      </c>
      <c r="AC1781" s="232">
        <f t="shared" si="877"/>
        <v>0.41000000000000014</v>
      </c>
      <c r="AD1781" s="233">
        <f t="shared" si="878"/>
        <v>-1.6447368421052631E-2</v>
      </c>
      <c r="AE1781" s="234">
        <f t="shared" si="879"/>
        <v>8.9599999999999999E-4</v>
      </c>
      <c r="AF1781" s="229"/>
      <c r="AG1781" s="235" t="s">
        <v>418</v>
      </c>
      <c r="AH1781" s="124"/>
    </row>
    <row r="1782" spans="1:34" ht="12" hidden="1" customHeight="1">
      <c r="A1782" s="220">
        <v>45022</v>
      </c>
      <c r="B1782" s="221" t="s">
        <v>927</v>
      </c>
      <c r="C1782" s="237" t="s">
        <v>485</v>
      </c>
      <c r="D1782" s="221" t="str">
        <f t="shared" ca="1" si="863"/>
        <v>Indices</v>
      </c>
      <c r="E1782" s="221" t="str">
        <f ca="1">IFERROR(__xludf.DUMMYFUNCTION("split(B1782,"" "")"),"NIFTY")</f>
        <v>NIFTY</v>
      </c>
      <c r="F1782" s="222" t="str">
        <f ca="1">IFERROR(__xludf.DUMMYFUNCTION("""COMPUTED_VALUE"""),"13!APR")</f>
        <v>13!APR</v>
      </c>
      <c r="G1782" s="221">
        <f ca="1">IFERROR(__xludf.DUMMYFUNCTION("""COMPUTED_VALUE"""),18000)</f>
        <v>18000</v>
      </c>
      <c r="H1782" s="221" t="str">
        <f ca="1">IFERROR(__xludf.DUMMYFUNCTION("""COMPUTED_VALUE"""),"CE")</f>
        <v>CE</v>
      </c>
      <c r="I1782" s="221" t="s">
        <v>4</v>
      </c>
      <c r="J1782" s="223">
        <v>50</v>
      </c>
      <c r="K1782" s="224">
        <v>1</v>
      </c>
      <c r="L1782" s="224">
        <v>14</v>
      </c>
      <c r="M1782" s="225">
        <f t="shared" si="864"/>
        <v>700</v>
      </c>
      <c r="N1782" s="226">
        <v>5.1749999999999998</v>
      </c>
      <c r="O1782" s="227">
        <v>5.2249999999999996</v>
      </c>
      <c r="P1782" s="228">
        <f t="shared" si="865"/>
        <v>3622.5</v>
      </c>
      <c r="Q1782" s="228">
        <f t="shared" si="866"/>
        <v>3657.5</v>
      </c>
      <c r="R1782" s="229">
        <f t="shared" si="867"/>
        <v>7280</v>
      </c>
      <c r="S1782" s="229">
        <f t="shared" si="868"/>
        <v>34.999999999999872</v>
      </c>
      <c r="T1782" s="229">
        <f t="shared" si="884"/>
        <v>0.01</v>
      </c>
      <c r="U1782" s="229">
        <f t="shared" si="870"/>
        <v>0.66</v>
      </c>
      <c r="V1782" s="229">
        <f t="shared" ref="V1782:V1787" si="886">ROUND(Q1782*G$1819,2)</f>
        <v>2.29</v>
      </c>
      <c r="W1782" s="229">
        <f t="shared" si="872"/>
        <v>0.11</v>
      </c>
      <c r="X1782" s="229">
        <f t="shared" ref="X1782:X1787" si="887">ROUND(R1782*I$1822,2)</f>
        <v>3.64</v>
      </c>
      <c r="Y1782" s="229">
        <f t="shared" si="874"/>
        <v>0.01</v>
      </c>
      <c r="Z1782" s="229">
        <f t="shared" si="875"/>
        <v>6.72</v>
      </c>
      <c r="AA1782" s="230">
        <f t="shared" si="876"/>
        <v>28.28</v>
      </c>
      <c r="AB1782" s="231">
        <v>28.66</v>
      </c>
      <c r="AC1782" s="232">
        <f t="shared" si="877"/>
        <v>0.37999999999999901</v>
      </c>
      <c r="AD1782" s="233">
        <f t="shared" si="878"/>
        <v>9.6618357487922371E-3</v>
      </c>
      <c r="AE1782" s="234">
        <f t="shared" si="879"/>
        <v>9.2299999999999999E-4</v>
      </c>
      <c r="AF1782" s="229"/>
      <c r="AG1782" s="235" t="s">
        <v>418</v>
      </c>
      <c r="AH1782" s="124"/>
    </row>
    <row r="1783" spans="1:34" ht="12" hidden="1" customHeight="1">
      <c r="A1783" s="220">
        <v>45027</v>
      </c>
      <c r="B1783" s="221" t="s">
        <v>928</v>
      </c>
      <c r="C1783" s="237" t="s">
        <v>485</v>
      </c>
      <c r="D1783" s="221" t="str">
        <f t="shared" ca="1" si="863"/>
        <v>Indices</v>
      </c>
      <c r="E1783" s="221" t="str">
        <f ca="1">IFERROR(__xludf.DUMMYFUNCTION("split(B1783,"" "")"),"NIFTY")</f>
        <v>NIFTY</v>
      </c>
      <c r="F1783" s="236" t="str">
        <f ca="1">IFERROR(__xludf.DUMMYFUNCTION("""COMPUTED_VALUE"""),"13!APR")</f>
        <v>13!APR</v>
      </c>
      <c r="G1783" s="221">
        <f ca="1">IFERROR(__xludf.DUMMYFUNCTION("""COMPUTED_VALUE"""),17500)</f>
        <v>17500</v>
      </c>
      <c r="H1783" s="221" t="str">
        <f ca="1">IFERROR(__xludf.DUMMYFUNCTION("""COMPUTED_VALUE"""),"PE")</f>
        <v>PE</v>
      </c>
      <c r="I1783" s="221" t="s">
        <v>4</v>
      </c>
      <c r="J1783" s="223">
        <v>50</v>
      </c>
      <c r="K1783" s="224">
        <v>1</v>
      </c>
      <c r="L1783" s="224">
        <v>1</v>
      </c>
      <c r="M1783" s="225">
        <f t="shared" si="864"/>
        <v>50</v>
      </c>
      <c r="N1783" s="226">
        <v>8</v>
      </c>
      <c r="O1783" s="227">
        <v>9.5</v>
      </c>
      <c r="P1783" s="228">
        <f t="shared" si="865"/>
        <v>400</v>
      </c>
      <c r="Q1783" s="228">
        <f t="shared" si="866"/>
        <v>475</v>
      </c>
      <c r="R1783" s="229">
        <f t="shared" si="867"/>
        <v>875</v>
      </c>
      <c r="S1783" s="229">
        <f t="shared" si="868"/>
        <v>75</v>
      </c>
      <c r="T1783" s="229">
        <f t="shared" si="884"/>
        <v>0.01</v>
      </c>
      <c r="U1783" s="229">
        <f t="shared" si="870"/>
        <v>0.08</v>
      </c>
      <c r="V1783" s="229">
        <f t="shared" si="886"/>
        <v>0.3</v>
      </c>
      <c r="W1783" s="229">
        <f t="shared" si="872"/>
        <v>0.01</v>
      </c>
      <c r="X1783" s="229">
        <f t="shared" si="887"/>
        <v>0.44</v>
      </c>
      <c r="Y1783" s="229">
        <f t="shared" si="874"/>
        <v>0</v>
      </c>
      <c r="Z1783" s="229">
        <f t="shared" si="875"/>
        <v>0.84000000000000008</v>
      </c>
      <c r="AA1783" s="230">
        <f t="shared" si="876"/>
        <v>74.16</v>
      </c>
      <c r="AB1783" s="231">
        <v>74.48</v>
      </c>
      <c r="AC1783" s="232">
        <f t="shared" si="877"/>
        <v>0.32000000000000739</v>
      </c>
      <c r="AD1783" s="233">
        <f t="shared" ref="AD1783:AD1787" si="888">(O1783-N1783)/N1783</f>
        <v>0.1875</v>
      </c>
      <c r="AE1783" s="234">
        <f t="shared" si="879"/>
        <v>9.6000000000000002E-4</v>
      </c>
      <c r="AF1783" s="229"/>
      <c r="AG1783" s="235" t="s">
        <v>418</v>
      </c>
      <c r="AH1783" s="124"/>
    </row>
    <row r="1784" spans="1:34" ht="12" hidden="1" customHeight="1">
      <c r="A1784" s="220">
        <v>45028</v>
      </c>
      <c r="B1784" s="221" t="s">
        <v>929</v>
      </c>
      <c r="C1784" s="237" t="s">
        <v>485</v>
      </c>
      <c r="D1784" s="221" t="str">
        <f t="shared" ca="1" si="863"/>
        <v>Indices</v>
      </c>
      <c r="E1784" s="221" t="str">
        <f ca="1">IFERROR(__xludf.DUMMYFUNCTION("split(B1784,"" "")"),"NIFTY")</f>
        <v>NIFTY</v>
      </c>
      <c r="F1784" s="236" t="str">
        <f ca="1">IFERROR(__xludf.DUMMYFUNCTION("""COMPUTED_VALUE"""),"13!APR")</f>
        <v>13!APR</v>
      </c>
      <c r="G1784" s="221">
        <f ca="1">IFERROR(__xludf.DUMMYFUNCTION("""COMPUTED_VALUE"""),17300)</f>
        <v>17300</v>
      </c>
      <c r="H1784" s="221" t="str">
        <f ca="1">IFERROR(__xludf.DUMMYFUNCTION("""COMPUTED_VALUE"""),"PE")</f>
        <v>PE</v>
      </c>
      <c r="I1784" s="221" t="s">
        <v>4</v>
      </c>
      <c r="J1784" s="223">
        <v>50</v>
      </c>
      <c r="K1784" s="224">
        <v>1</v>
      </c>
      <c r="L1784" s="224">
        <v>20</v>
      </c>
      <c r="M1784" s="225">
        <f t="shared" si="864"/>
        <v>1000</v>
      </c>
      <c r="N1784" s="226">
        <v>1.57</v>
      </c>
      <c r="O1784" s="227">
        <v>1.6</v>
      </c>
      <c r="P1784" s="228">
        <f t="shared" si="865"/>
        <v>1570</v>
      </c>
      <c r="Q1784" s="228">
        <f t="shared" si="866"/>
        <v>1600</v>
      </c>
      <c r="R1784" s="229">
        <f t="shared" si="867"/>
        <v>3170</v>
      </c>
      <c r="S1784" s="229">
        <f t="shared" si="868"/>
        <v>30.000000000000028</v>
      </c>
      <c r="T1784" s="229">
        <f t="shared" si="884"/>
        <v>0.01</v>
      </c>
      <c r="U1784" s="229">
        <f t="shared" si="870"/>
        <v>0.28999999999999998</v>
      </c>
      <c r="V1784" s="229">
        <f t="shared" si="886"/>
        <v>1</v>
      </c>
      <c r="W1784" s="229">
        <f t="shared" si="872"/>
        <v>0.05</v>
      </c>
      <c r="X1784" s="229">
        <f t="shared" si="887"/>
        <v>1.59</v>
      </c>
      <c r="Y1784" s="229">
        <f t="shared" si="874"/>
        <v>0</v>
      </c>
      <c r="Z1784" s="229">
        <f t="shared" si="875"/>
        <v>2.9400000000000004</v>
      </c>
      <c r="AA1784" s="230">
        <f t="shared" si="876"/>
        <v>27.06</v>
      </c>
      <c r="AB1784" s="231">
        <v>27.11</v>
      </c>
      <c r="AC1784" s="232">
        <f t="shared" si="877"/>
        <v>5.0000000000000711E-2</v>
      </c>
      <c r="AD1784" s="233">
        <f t="shared" si="888"/>
        <v>1.9108280254777087E-2</v>
      </c>
      <c r="AE1784" s="234">
        <f t="shared" si="879"/>
        <v>9.2699999999999998E-4</v>
      </c>
      <c r="AF1784" s="229"/>
      <c r="AG1784" s="235" t="s">
        <v>418</v>
      </c>
      <c r="AH1784" s="124"/>
    </row>
    <row r="1785" spans="1:34" ht="12" hidden="1" customHeight="1">
      <c r="A1785" s="220">
        <v>45029</v>
      </c>
      <c r="B1785" s="221" t="s">
        <v>930</v>
      </c>
      <c r="C1785" s="237" t="s">
        <v>485</v>
      </c>
      <c r="D1785" s="221" t="str">
        <f t="shared" ca="1" si="863"/>
        <v>Indices</v>
      </c>
      <c r="E1785" s="221" t="str">
        <f ca="1">IFERROR(__xludf.DUMMYFUNCTION("split(B1785,"" "")"),"BANKNIFTY")</f>
        <v>BANKNIFTY</v>
      </c>
      <c r="F1785" s="236" t="str">
        <f ca="1">IFERROR(__xludf.DUMMYFUNCTION("""COMPUTED_VALUE"""),"20!APR")</f>
        <v>20!APR</v>
      </c>
      <c r="G1785" s="221">
        <f ca="1">IFERROR(__xludf.DUMMYFUNCTION("""COMPUTED_VALUE"""),41400)</f>
        <v>41400</v>
      </c>
      <c r="H1785" s="221" t="str">
        <f ca="1">IFERROR(__xludf.DUMMYFUNCTION("""COMPUTED_VALUE"""),"PE")</f>
        <v>PE</v>
      </c>
      <c r="I1785" s="221" t="s">
        <v>4</v>
      </c>
      <c r="J1785" s="223">
        <v>25</v>
      </c>
      <c r="K1785" s="224">
        <v>1</v>
      </c>
      <c r="L1785" s="224">
        <v>1</v>
      </c>
      <c r="M1785" s="225">
        <f t="shared" si="864"/>
        <v>25</v>
      </c>
      <c r="N1785" s="226">
        <v>93</v>
      </c>
      <c r="O1785" s="227">
        <v>64</v>
      </c>
      <c r="P1785" s="228">
        <f t="shared" si="865"/>
        <v>2325</v>
      </c>
      <c r="Q1785" s="228">
        <f t="shared" si="866"/>
        <v>1600</v>
      </c>
      <c r="R1785" s="229">
        <f t="shared" si="867"/>
        <v>3925</v>
      </c>
      <c r="S1785" s="229">
        <f t="shared" si="868"/>
        <v>-725</v>
      </c>
      <c r="T1785" s="229">
        <f t="shared" si="884"/>
        <v>0.01</v>
      </c>
      <c r="U1785" s="229">
        <f t="shared" si="870"/>
        <v>0.35</v>
      </c>
      <c r="V1785" s="229">
        <f t="shared" si="886"/>
        <v>1</v>
      </c>
      <c r="W1785" s="229">
        <f t="shared" si="872"/>
        <v>7.0000000000000007E-2</v>
      </c>
      <c r="X1785" s="229">
        <f t="shared" si="887"/>
        <v>1.96</v>
      </c>
      <c r="Y1785" s="229">
        <f t="shared" si="874"/>
        <v>0</v>
      </c>
      <c r="Z1785" s="229">
        <f t="shared" si="875"/>
        <v>3.3899999999999997</v>
      </c>
      <c r="AA1785" s="230">
        <f t="shared" si="876"/>
        <v>-728.39</v>
      </c>
      <c r="AB1785" s="231">
        <v>-728.35</v>
      </c>
      <c r="AC1785" s="232">
        <f t="shared" si="877"/>
        <v>3.999999999996362E-2</v>
      </c>
      <c r="AD1785" s="233">
        <f t="shared" si="888"/>
        <v>-0.31182795698924731</v>
      </c>
      <c r="AE1785" s="234">
        <f t="shared" si="879"/>
        <v>8.6399999999999997E-4</v>
      </c>
      <c r="AF1785" s="229"/>
      <c r="AG1785" s="235" t="s">
        <v>418</v>
      </c>
      <c r="AH1785" s="124"/>
    </row>
    <row r="1786" spans="1:34" ht="12" customHeight="1">
      <c r="A1786" s="220">
        <v>45040</v>
      </c>
      <c r="B1786" s="221" t="s">
        <v>931</v>
      </c>
      <c r="C1786" s="237" t="s">
        <v>485</v>
      </c>
      <c r="D1786" s="221" t="str">
        <f t="shared" ca="1" si="863"/>
        <v>Indices</v>
      </c>
      <c r="E1786" s="221" t="str">
        <f ca="1">IFERROR(__xludf.DUMMYFUNCTION("split(B1786,"" "")"),"BANKNIFTY")</f>
        <v>BANKNIFTY</v>
      </c>
      <c r="F1786" s="236" t="str">
        <f ca="1">IFERROR(__xludf.DUMMYFUNCTION("""COMPUTED_VALUE"""),"27!APR")</f>
        <v>27!APR</v>
      </c>
      <c r="G1786" s="221">
        <f ca="1">IFERROR(__xludf.DUMMYFUNCTION("""COMPUTED_VALUE"""),43000)</f>
        <v>43000</v>
      </c>
      <c r="H1786" s="221" t="str">
        <f ca="1">IFERROR(__xludf.DUMMYFUNCTION("""COMPUTED_VALUE"""),"PE")</f>
        <v>PE</v>
      </c>
      <c r="I1786" s="221" t="s">
        <v>4</v>
      </c>
      <c r="J1786" s="223">
        <v>25</v>
      </c>
      <c r="K1786" s="224">
        <v>1</v>
      </c>
      <c r="L1786" s="224">
        <v>1</v>
      </c>
      <c r="M1786" s="225">
        <f t="shared" si="864"/>
        <v>25</v>
      </c>
      <c r="N1786" s="226">
        <v>30</v>
      </c>
      <c r="O1786" s="227">
        <v>33.799999999999997</v>
      </c>
      <c r="P1786" s="228">
        <f t="shared" si="865"/>
        <v>750</v>
      </c>
      <c r="Q1786" s="228">
        <f t="shared" si="866"/>
        <v>845</v>
      </c>
      <c r="R1786" s="229">
        <f t="shared" si="867"/>
        <v>1595</v>
      </c>
      <c r="S1786" s="229">
        <f t="shared" si="868"/>
        <v>94.999999999999929</v>
      </c>
      <c r="T1786" s="229">
        <f t="shared" si="884"/>
        <v>0.01</v>
      </c>
      <c r="U1786" s="229">
        <f t="shared" si="870"/>
        <v>0.15</v>
      </c>
      <c r="V1786" s="229">
        <f t="shared" si="886"/>
        <v>0.53</v>
      </c>
      <c r="W1786" s="229">
        <f t="shared" si="872"/>
        <v>0.02</v>
      </c>
      <c r="X1786" s="229">
        <f t="shared" si="887"/>
        <v>0.8</v>
      </c>
      <c r="Y1786" s="229">
        <f t="shared" si="874"/>
        <v>0</v>
      </c>
      <c r="Z1786" s="229">
        <f t="shared" si="875"/>
        <v>1.5100000000000002</v>
      </c>
      <c r="AA1786" s="230">
        <f t="shared" si="876"/>
        <v>93.49</v>
      </c>
      <c r="AB1786" s="231">
        <v>93.04</v>
      </c>
      <c r="AC1786" s="232">
        <f t="shared" si="877"/>
        <v>-0.44999999999998863</v>
      </c>
      <c r="AD1786" s="233">
        <f t="shared" si="888"/>
        <v>0.12666666666666657</v>
      </c>
      <c r="AE1786" s="234">
        <f t="shared" si="879"/>
        <v>9.4700000000000003E-4</v>
      </c>
      <c r="AF1786" s="229"/>
      <c r="AG1786" s="235" t="s">
        <v>418</v>
      </c>
      <c r="AH1786" s="124"/>
    </row>
    <row r="1787" spans="1:34" ht="12" customHeight="1">
      <c r="A1787" s="220">
        <v>45044</v>
      </c>
      <c r="B1787" s="221" t="s">
        <v>932</v>
      </c>
      <c r="C1787" s="237" t="s">
        <v>485</v>
      </c>
      <c r="D1787" s="221" t="str">
        <f ca="1">IF(OR(E1787="NIFTY",E1787="BANKNIFTY",E1787="FINNIFTY"),"Indices","Stocks")</f>
        <v>Indices</v>
      </c>
      <c r="E1787" s="221" t="str">
        <f ca="1">IFERROR(__xludf.DUMMYFUNCTION("split(B1787,"" "")"),"NIFTY")</f>
        <v>NIFTY</v>
      </c>
      <c r="F1787" s="238" t="str">
        <f ca="1">IFERROR(__xludf.DUMMYFUNCTION("""COMPUTED_VALUE"""),"04!MAY")</f>
        <v>04!MAY</v>
      </c>
      <c r="G1787" s="221">
        <f ca="1">IFERROR(__xludf.DUMMYFUNCTION("""COMPUTED_VALUE"""),18400)</f>
        <v>18400</v>
      </c>
      <c r="H1787" s="221" t="str">
        <f ca="1">IFERROR(__xludf.DUMMYFUNCTION("""COMPUTED_VALUE"""),"CE")</f>
        <v>CE</v>
      </c>
      <c r="I1787" s="221" t="s">
        <v>4</v>
      </c>
      <c r="J1787" s="223">
        <v>50</v>
      </c>
      <c r="K1787" s="224">
        <v>1</v>
      </c>
      <c r="L1787" s="224">
        <v>2</v>
      </c>
      <c r="M1787" s="225">
        <f t="shared" si="864"/>
        <v>100</v>
      </c>
      <c r="N1787" s="226">
        <v>3.125</v>
      </c>
      <c r="O1787" s="227">
        <v>2.75</v>
      </c>
      <c r="P1787" s="228">
        <f t="shared" si="865"/>
        <v>312.5</v>
      </c>
      <c r="Q1787" s="228">
        <f t="shared" si="866"/>
        <v>275</v>
      </c>
      <c r="R1787" s="229">
        <f t="shared" si="867"/>
        <v>587.5</v>
      </c>
      <c r="S1787" s="229">
        <f t="shared" si="868"/>
        <v>-37.5</v>
      </c>
      <c r="T1787" s="229">
        <f t="shared" si="884"/>
        <v>0.01</v>
      </c>
      <c r="U1787" s="229">
        <f t="shared" si="870"/>
        <v>0.05</v>
      </c>
      <c r="V1787" s="229">
        <f t="shared" si="886"/>
        <v>0.17</v>
      </c>
      <c r="W1787" s="229">
        <f t="shared" si="872"/>
        <v>0.01</v>
      </c>
      <c r="X1787" s="229">
        <f t="shared" si="887"/>
        <v>0.28999999999999998</v>
      </c>
      <c r="Y1787" s="229">
        <f t="shared" si="874"/>
        <v>0</v>
      </c>
      <c r="Z1787" s="229">
        <f t="shared" si="875"/>
        <v>0.53</v>
      </c>
      <c r="AA1787" s="230">
        <f t="shared" si="876"/>
        <v>-38.03</v>
      </c>
      <c r="AB1787" s="231">
        <v>-37.85</v>
      </c>
      <c r="AC1787" s="232">
        <f t="shared" si="877"/>
        <v>0.17999999999999972</v>
      </c>
      <c r="AD1787" s="233">
        <f t="shared" si="888"/>
        <v>-0.12</v>
      </c>
      <c r="AE1787" s="234">
        <f t="shared" si="879"/>
        <v>9.0200000000000002E-4</v>
      </c>
      <c r="AF1787" s="229"/>
      <c r="AG1787" s="235" t="s">
        <v>418</v>
      </c>
      <c r="AH1787" s="124"/>
    </row>
    <row r="1788" spans="1:34" ht="5.25" customHeight="1">
      <c r="A1788" s="70"/>
      <c r="B1788" s="70"/>
      <c r="D1788" s="70"/>
      <c r="E1788" s="70"/>
      <c r="F1788" s="70"/>
      <c r="G1788" s="70"/>
      <c r="H1788" s="70"/>
      <c r="J1788" s="239"/>
      <c r="K1788" s="240"/>
      <c r="L1788" s="240"/>
      <c r="M1788" s="241"/>
      <c r="N1788" s="169"/>
      <c r="O1788" s="242"/>
      <c r="P1788" s="243"/>
      <c r="Q1788" s="243"/>
      <c r="R1788" s="170"/>
      <c r="S1788" s="170"/>
      <c r="T1788" s="170"/>
      <c r="U1788" s="170"/>
      <c r="V1788" s="170"/>
      <c r="W1788" s="170"/>
      <c r="X1788" s="170"/>
      <c r="Y1788" s="170"/>
      <c r="Z1788" s="170"/>
      <c r="AA1788" s="244"/>
      <c r="AB1788" s="173"/>
      <c r="AC1788" s="175"/>
      <c r="AD1788" s="245"/>
      <c r="AE1788" s="177"/>
      <c r="AF1788" s="170"/>
      <c r="AG1788" s="179"/>
      <c r="AH1788" s="124"/>
    </row>
    <row r="1789" spans="1:34" ht="12" customHeight="1">
      <c r="A1789" s="104" t="s">
        <v>0</v>
      </c>
      <c r="B1789" s="105" t="s">
        <v>731</v>
      </c>
      <c r="C1789" s="106" t="s">
        <v>436</v>
      </c>
      <c r="D1789" s="105" t="s">
        <v>732</v>
      </c>
      <c r="E1789" s="105" t="s">
        <v>437</v>
      </c>
      <c r="F1789" s="105" t="s">
        <v>733</v>
      </c>
      <c r="G1789" s="105" t="s">
        <v>734</v>
      </c>
      <c r="H1789" s="105" t="s">
        <v>735</v>
      </c>
      <c r="I1789" s="106" t="s">
        <v>656</v>
      </c>
      <c r="J1789" s="106" t="s">
        <v>736</v>
      </c>
      <c r="K1789" s="106" t="s">
        <v>737</v>
      </c>
      <c r="L1789" s="106" t="s">
        <v>738</v>
      </c>
      <c r="M1789" s="107" t="s">
        <v>440</v>
      </c>
      <c r="N1789" s="104" t="s">
        <v>657</v>
      </c>
      <c r="O1789" s="104" t="s">
        <v>658</v>
      </c>
      <c r="P1789" s="104" t="s">
        <v>739</v>
      </c>
      <c r="Q1789" s="104" t="s">
        <v>740</v>
      </c>
      <c r="R1789" s="104" t="s">
        <v>444</v>
      </c>
      <c r="S1789" s="104" t="s">
        <v>661</v>
      </c>
      <c r="T1789" s="104" t="s">
        <v>662</v>
      </c>
      <c r="U1789" s="104" t="s">
        <v>446</v>
      </c>
      <c r="V1789" s="104" t="s">
        <v>447</v>
      </c>
      <c r="W1789" s="104" t="s">
        <v>448</v>
      </c>
      <c r="X1789" s="104" t="s">
        <v>449</v>
      </c>
      <c r="Y1789" s="104" t="s">
        <v>450</v>
      </c>
      <c r="Z1789" s="104" t="s">
        <v>451</v>
      </c>
      <c r="AA1789" s="104" t="s">
        <v>933</v>
      </c>
      <c r="AB1789" s="104" t="s">
        <v>934</v>
      </c>
      <c r="AC1789" s="108" t="s">
        <v>935</v>
      </c>
      <c r="AD1789" s="104" t="s">
        <v>666</v>
      </c>
      <c r="AE1789" s="104" t="s">
        <v>456</v>
      </c>
      <c r="AF1789" s="105" t="s">
        <v>667</v>
      </c>
      <c r="AG1789" s="104" t="s">
        <v>458</v>
      </c>
      <c r="AH1789" s="109"/>
    </row>
    <row r="1790" spans="1:34" ht="12" customHeight="1">
      <c r="A1790" s="220"/>
      <c r="B1790" s="221"/>
      <c r="C1790" s="237" t="s">
        <v>485</v>
      </c>
      <c r="D1790" s="221" t="str">
        <f ca="1">IF(OR(E1790="NIFTY",E1790="BANKNIFTY",E1790="FINNIFTY"),"Indices","Stocks")</f>
        <v>Stocks</v>
      </c>
      <c r="E1790" s="221" t="str">
        <f ca="1">IFERROR(__xludf.DUMMYFUNCTION("split(B1790,"" "")"),"#VALUE!")</f>
        <v>#VALUE!</v>
      </c>
      <c r="F1790" s="221"/>
      <c r="G1790" s="221"/>
      <c r="H1790" s="221"/>
      <c r="I1790" s="221" t="s">
        <v>4</v>
      </c>
      <c r="J1790" s="223"/>
      <c r="K1790" s="224">
        <v>1</v>
      </c>
      <c r="L1790" s="224">
        <v>1</v>
      </c>
      <c r="M1790" s="225">
        <f>J1790*K1790*L1790</f>
        <v>0</v>
      </c>
      <c r="N1790" s="226"/>
      <c r="O1790" s="227"/>
      <c r="P1790" s="228">
        <f>ROUND(M1790*N1790,2)</f>
        <v>0</v>
      </c>
      <c r="Q1790" s="228">
        <f>ROUND(M1790*O1790,2)</f>
        <v>0</v>
      </c>
      <c r="R1790" s="229">
        <f>SUM(P1790:Q1790)</f>
        <v>0</v>
      </c>
      <c r="S1790" s="229">
        <f>(O1790-N1790)*M1790</f>
        <v>0</v>
      </c>
      <c r="T1790" s="229">
        <f>IF(AND(N1790&lt;&gt;0,O1790&lt;&gt;0,AG1790="Kotak"),0.01,IF(AND(N1790="",O1790=""),0,IF(N1790=0,0,G$1815*L1790)+IF(O1790=0,0,G$1815*L1790)))</f>
        <v>0</v>
      </c>
      <c r="U1790" s="229">
        <f>ROUND((T1790+X1790)*H$1816,2)</f>
        <v>0</v>
      </c>
      <c r="V1790" s="229">
        <f>ROUND(Q1790*G$1819,2)</f>
        <v>0</v>
      </c>
      <c r="W1790" s="229">
        <f>ROUND(P1790*G$1825,2)</f>
        <v>0</v>
      </c>
      <c r="X1790" s="229">
        <f>ROUND(R1790*I$1822,2)</f>
        <v>0</v>
      </c>
      <c r="Y1790" s="229">
        <f>ROUND(R1790*C$1826,2)</f>
        <v>0</v>
      </c>
      <c r="Z1790" s="229">
        <f>SUM(T1790:Y1790)</f>
        <v>0</v>
      </c>
      <c r="AA1790" s="230">
        <f>ROUND(S1790-Z1790,2)</f>
        <v>0</v>
      </c>
      <c r="AB1790" s="231">
        <f>ROUND(AA1790,0)</f>
        <v>0</v>
      </c>
      <c r="AC1790" s="232">
        <f>AB1790-AA1790</f>
        <v>0</v>
      </c>
      <c r="AD1790" s="233" t="e">
        <f>(O1790-N1790)/N1790</f>
        <v>#DIV/0!</v>
      </c>
      <c r="AE1790" s="234" t="e">
        <f>ROUND(Z1790/R1790,6)</f>
        <v>#DIV/0!</v>
      </c>
      <c r="AF1790" s="229"/>
      <c r="AG1790" s="235" t="s">
        <v>418</v>
      </c>
      <c r="AH1790" s="124"/>
    </row>
    <row r="1791" spans="1:34" ht="5.25" customHeight="1">
      <c r="A1791" s="98"/>
      <c r="B1791" s="98"/>
      <c r="C1791" s="98"/>
      <c r="D1791" s="98"/>
      <c r="E1791" s="98"/>
      <c r="F1791" s="98"/>
      <c r="G1791" s="98"/>
      <c r="H1791" s="98"/>
      <c r="I1791" s="98"/>
      <c r="K1791" s="98"/>
      <c r="L1791" s="98"/>
      <c r="M1791" s="98"/>
      <c r="N1791" s="98"/>
      <c r="O1791" s="98"/>
      <c r="P1791" s="182"/>
      <c r="Q1791" s="182"/>
      <c r="R1791" s="98"/>
      <c r="S1791" s="98"/>
      <c r="T1791" s="98"/>
      <c r="U1791" s="98"/>
      <c r="V1791" s="98"/>
      <c r="W1791" s="98"/>
      <c r="X1791" s="98"/>
      <c r="Y1791" s="98"/>
      <c r="Z1791" s="98"/>
      <c r="AA1791" s="98"/>
      <c r="AB1791" s="98"/>
      <c r="AC1791" s="98"/>
      <c r="AD1791" s="98"/>
      <c r="AE1791" s="246"/>
      <c r="AF1791" s="98"/>
      <c r="AG1791" s="98"/>
      <c r="AH1791" s="98"/>
    </row>
    <row r="1792" spans="1:34" ht="12" customHeight="1">
      <c r="A1792" s="247">
        <f>SUMIFS(AB$845:AB1428,C$845:C1428,"Satya",B$845:B1428,B1792,A$845:A1428,"&gt;="&amp;R1793,A$845:A1428,"&lt;="&amp;V1793)</f>
        <v>-337.89999999999992</v>
      </c>
      <c r="B1792" s="248" t="str">
        <f>Holding!A573</f>
        <v>SAIL</v>
      </c>
      <c r="C1792" s="249">
        <f t="array" ref="C1792">LOOKUP(2,1/((B$845:B1428=B1792)*(C$845:C1428="Satya")),M$845:M1428)</f>
        <v>100</v>
      </c>
      <c r="D1792" s="250"/>
      <c r="E1792" s="250"/>
      <c r="F1792" s="250"/>
      <c r="G1792" s="250"/>
      <c r="H1792" s="250"/>
      <c r="L1792" s="251"/>
      <c r="M1792" s="98"/>
      <c r="N1792" s="98"/>
      <c r="O1792" s="98"/>
      <c r="P1792" s="182"/>
      <c r="Q1792" s="98"/>
      <c r="R1792" s="677" t="s">
        <v>936</v>
      </c>
      <c r="S1792" s="678"/>
      <c r="T1792" s="678"/>
      <c r="U1792" s="678"/>
      <c r="V1792" s="678"/>
      <c r="W1792" s="678"/>
      <c r="X1792" s="678"/>
      <c r="Y1792" s="678"/>
      <c r="Z1792" s="678"/>
      <c r="AA1792" s="676"/>
      <c r="AC1792" s="679" t="s">
        <v>405</v>
      </c>
      <c r="AD1792" s="680"/>
      <c r="AE1792" s="681"/>
      <c r="AF1792" s="195">
        <f>AA1794</f>
        <v>152155.26000000021</v>
      </c>
      <c r="AG1792" s="214">
        <v>152155.26000000021</v>
      </c>
      <c r="AH1792" s="252" t="s">
        <v>937</v>
      </c>
    </row>
    <row r="1793" spans="1:36" ht="12" customHeight="1">
      <c r="A1793" s="247">
        <f t="array" ref="A1793">LOOKUP(2,1/((B$845:B1428=B1792)*(C$845:C1428="Satya")),AB$845:AB1428)</f>
        <v>41.31</v>
      </c>
      <c r="B1793" s="253" t="s">
        <v>938</v>
      </c>
      <c r="C1793" s="254">
        <f t="array" ref="C1793">LOOKUP(2,1/((B$845:B1428=B1792)*(C$845:C1428="Satya")),O$845:O1428)</f>
        <v>85</v>
      </c>
      <c r="D1793" s="255"/>
      <c r="E1793" s="255"/>
      <c r="F1793" s="255"/>
      <c r="G1793" s="255"/>
      <c r="H1793" s="255"/>
      <c r="L1793" s="256"/>
      <c r="M1793" s="98"/>
      <c r="N1793" s="98"/>
      <c r="O1793" s="98"/>
      <c r="P1793" s="98"/>
      <c r="Q1793" s="98"/>
      <c r="R1793" s="685">
        <v>44197</v>
      </c>
      <c r="S1793" s="686"/>
      <c r="T1793" s="687"/>
      <c r="U1793" s="682" t="s">
        <v>939</v>
      </c>
      <c r="V1793" s="685">
        <f>MAX(A2:A1788)</f>
        <v>45049</v>
      </c>
      <c r="W1793" s="686"/>
      <c r="X1793" s="687"/>
      <c r="Y1793" s="257" t="s">
        <v>940</v>
      </c>
      <c r="Z1793" s="258">
        <f>SUMIFS(AB2:AB839,C2:C839,"Satya",A2:A839,"&gt;="&amp;R1793,A2:A839,"&lt;="&amp;V1793)</f>
        <v>3609.9500000000116</v>
      </c>
      <c r="AA1793" s="259">
        <f>SUMIFS(AB2:AB839,C2:C839,"Sunita",A2:A839,"&gt;="&amp;R1793,A2:A839,"&lt;="&amp;V1793)</f>
        <v>-535139</v>
      </c>
      <c r="AC1793" s="694" t="s">
        <v>941</v>
      </c>
      <c r="AD1793" s="676"/>
      <c r="AE1793" s="260">
        <f>SUMIFS(AC2:AC839,C2:C839,S1805,A2:A839,"&gt;="&amp;R1793,A2:A839,"&lt;="&amp;V1793)</f>
        <v>-2.3600000000193404</v>
      </c>
      <c r="AF1793" s="195">
        <f>Holding!O569</f>
        <v>100329.16000000013</v>
      </c>
      <c r="AG1793" s="214">
        <v>100329.16000000012</v>
      </c>
      <c r="AH1793" s="41" t="s">
        <v>19</v>
      </c>
    </row>
    <row r="1794" spans="1:36" ht="12" customHeight="1">
      <c r="A1794" s="261">
        <f t="array" ref="A1794">LOOKUP(2,1/((B$845:B1428=B1792)*(C$845:C1428="Satya")),A$845:A1428)</f>
        <v>45048</v>
      </c>
      <c r="B1794" s="253" t="s">
        <v>942</v>
      </c>
      <c r="C1794" s="254">
        <f t="array" ref="C1794">LOOKUP(2,1/((B$845:B1428=B1792)*(C$845:C1428="Satya")),N$845:N1428)</f>
        <v>84.5</v>
      </c>
      <c r="D1794" s="255"/>
      <c r="E1794" s="255"/>
      <c r="F1794" s="255"/>
      <c r="G1794" s="255"/>
      <c r="H1794" s="255"/>
      <c r="I1794" s="249">
        <f>COUNTIFS(B$845:B1428,B1792,C$845:C1428,"Satya",A$845:A1428,"&gt;="&amp;R1793,A$845:A1428,"&lt;="&amp;V1793)</f>
        <v>16</v>
      </c>
      <c r="K1794" s="98"/>
      <c r="L1794" s="98"/>
      <c r="M1794" s="4"/>
      <c r="N1794" s="98"/>
      <c r="O1794" s="98"/>
      <c r="P1794" s="182"/>
      <c r="Q1794" s="98"/>
      <c r="R1794" s="688"/>
      <c r="S1794" s="689"/>
      <c r="T1794" s="690"/>
      <c r="U1794" s="683"/>
      <c r="V1794" s="688"/>
      <c r="W1794" s="689"/>
      <c r="X1794" s="690"/>
      <c r="Y1794" s="188" t="s">
        <v>937</v>
      </c>
      <c r="Z1794" s="195">
        <f>SUMIFS(AB845:AB1428,C845:C1428,"Satya",A845:A1428,"&gt;="&amp;R1793,A845:A1428,"&lt;="&amp;V1793)</f>
        <v>11300.139999999998</v>
      </c>
      <c r="AA1794" s="262">
        <f>SUMIFS(AB845:AB1428,C845:C1428,"Sunita",A845:A1428,"&gt;="&amp;R1793,A845:A1428,"&lt;="&amp;V1793)</f>
        <v>152155.26000000021</v>
      </c>
      <c r="AC1794" s="695" t="s">
        <v>943</v>
      </c>
      <c r="AD1794" s="676"/>
      <c r="AE1794" s="263">
        <f>SUMIFS(AC845:AC1428,C845:C1428,S1805,A845:A1428,"&gt;="&amp;R1793,A845:A1428,"&lt;="&amp;V1793)</f>
        <v>-47.750000000000327</v>
      </c>
      <c r="AF1794" s="252" t="s">
        <v>937</v>
      </c>
      <c r="AG1794" s="41" t="s">
        <v>19</v>
      </c>
      <c r="AH1794" s="41"/>
    </row>
    <row r="1795" spans="1:36" ht="12" customHeight="1">
      <c r="D1795" s="98"/>
      <c r="E1795" s="98"/>
      <c r="F1795" s="98"/>
      <c r="G1795" s="98"/>
      <c r="H1795" s="98"/>
      <c r="I1795" s="98"/>
      <c r="K1795" s="98"/>
      <c r="L1795" s="98"/>
      <c r="M1795" s="98"/>
      <c r="N1795" s="98"/>
      <c r="O1795" s="98"/>
      <c r="P1795" s="182"/>
      <c r="Q1795" s="98"/>
      <c r="R1795" s="688"/>
      <c r="S1795" s="689"/>
      <c r="T1795" s="690"/>
      <c r="U1795" s="683"/>
      <c r="V1795" s="688"/>
      <c r="W1795" s="689"/>
      <c r="X1795" s="690"/>
      <c r="Y1795" s="7" t="s">
        <v>944</v>
      </c>
      <c r="Z1795" s="264">
        <f>SUMIFS(AB1433:AB1788,C1433:C1788,"Satya",AG1433:AG1788,"Zerodha",O1433:O1788,"&lt;&gt;",A1433:A1788,"&gt;="&amp;R1793,A1433:A1788,"&lt;="&amp;V1793)-SUMIFS(AB1433:AB1788,C1433:C1788,"Satya",AG1433:AG1788,"Zerodha",N1433:N1788,"",A1433:A1788,"&gt;="&amp;R1793,A1433:A1788,"&lt;="&amp;V1793)</f>
        <v>-291958.26999999996</v>
      </c>
      <c r="AA1795" s="265">
        <f>SUMIFS(Z1433:Z1788,AG1433:AG1788,"Zerodha",A1433:A1788,"&gt;="&amp;R1793,A1433:A1788,"&lt;="&amp;V1793)</f>
        <v>16964.430000000004</v>
      </c>
      <c r="AB1795" s="266">
        <f>SUMIFS(T1433:T1788,AG1433:AG1788,"Zerodha",A1433:A1788,"&gt;="&amp;R1793,A1433:A1788,"&lt;="&amp;V1793)</f>
        <v>10180</v>
      </c>
      <c r="AC1795" s="709" t="s">
        <v>945</v>
      </c>
      <c r="AD1795" s="710"/>
      <c r="AE1795" s="267">
        <f>SUMIFS(AC1433:AC1788,C1433:C1788,S1805,A1433:A1788,"&gt;="&amp;R1793,A1433:A1788,"&lt;="&amp;V1793)</f>
        <v>-5.6799999999999322</v>
      </c>
      <c r="AF1795" s="268">
        <f>AF1792-AG1792</f>
        <v>0</v>
      </c>
      <c r="AG1795" s="268">
        <f>AF1793-AG1793</f>
        <v>0</v>
      </c>
      <c r="AH1795" s="268"/>
    </row>
    <row r="1796" spans="1:36" ht="12" customHeight="1">
      <c r="A1796" s="269"/>
      <c r="B1796" s="270" t="s">
        <v>946</v>
      </c>
      <c r="C1796" s="271" t="str">
        <f>Holding!A573</f>
        <v>SAIL</v>
      </c>
      <c r="D1796" s="98"/>
      <c r="E1796" s="98"/>
      <c r="F1796" s="98"/>
      <c r="G1796" s="98"/>
      <c r="H1796" s="98"/>
      <c r="K1796" s="98"/>
      <c r="L1796" s="98"/>
      <c r="M1796" s="98"/>
      <c r="N1796" s="98"/>
      <c r="O1796" s="98"/>
      <c r="P1796" s="182"/>
      <c r="Q1796" s="182"/>
      <c r="R1796" s="688"/>
      <c r="S1796" s="689"/>
      <c r="T1796" s="690"/>
      <c r="U1796" s="683"/>
      <c r="V1796" s="688"/>
      <c r="W1796" s="689"/>
      <c r="X1796" s="690"/>
      <c r="Y1796" s="272" t="s">
        <v>947</v>
      </c>
      <c r="Z1796" s="273">
        <f>SUMIFS(AB1433:AB1788,C1433:C1788,"Satya",AG1433:AG1788,"Dhan",O1433:O1788,"&lt;&gt;",A1433:A1788,"&gt;="&amp;R1793,A1433:A1788,"&lt;="&amp;V1793)-SUMIFS(AB1433:AB1788,C1433:C1788,"Satya",AG1433:AG1788,"Dhan",N1433:N1788,"",A1433:A1788,"&gt;="&amp;R1793,A1433:A1788,"&lt;="&amp;V1793)</f>
        <v>-20120.260000000002</v>
      </c>
      <c r="AA1796" s="274">
        <f>SUMIFS(Z1433:Z1788,AG1433:AG1788,"Dhan",A1433:A1788,"&gt;="&amp;R1793,A1433:A1788,"&lt;="&amp;V1793)</f>
        <v>385.3</v>
      </c>
      <c r="AB1796" s="275">
        <f>SUMIFS(T1433:T1788,AG1433:AG1788,"Dhan",A1433:A1788,"&gt;="&amp;R1793,A1433:A1788,"&lt;="&amp;V1793)</f>
        <v>300</v>
      </c>
      <c r="AE1796" s="276" t="s">
        <v>683</v>
      </c>
    </row>
    <row r="1797" spans="1:36" ht="12" customHeight="1">
      <c r="A1797" s="277">
        <f ca="1">SUMIFS(AB$1433:AB1788,D$1433:D1788,B1796,A$1433:A1788,"&gt;="&amp;R1793,A$1433:A1788,"&lt;="&amp;V1793)</f>
        <v>-241675.02999999994</v>
      </c>
      <c r="B1797" s="7" t="s">
        <v>948</v>
      </c>
      <c r="C1797" s="277">
        <f ca="1">SUMIFS(AB$1433:AB1788,E$1433:E1788,C1796,A$1433:A1788,"&gt;="&amp;R1793,A$1433:A1788,"&lt;="&amp;V1793)</f>
        <v>-35794.32</v>
      </c>
      <c r="D1797" s="277">
        <f t="array" aca="1" ref="D1797" ca="1">INDEX(AB1433:AB1788,LARGE(IF((E1433:E1788=C1796)*(AB1433:AB1788&lt;&gt;""),ROW(1433:1788)-1432),2))</f>
        <v>-19749.45</v>
      </c>
      <c r="E1797" s="278">
        <f t="array" aca="1" ref="E1797" ca="1">IFERROR(LARGE(IF((E1433:E1788=C1796)*(AB1433:AB1788&lt;&gt;""),ROW(1433:1788)-1432),ROW(2:2))+1432,"")</f>
        <v>1475</v>
      </c>
      <c r="F1797">
        <f t="array" aca="1" ref="F1797" ca="1">INDEX(AB1:AB1788,LARGE(IF((E1:E1788=C1796)*(AB1:AB1788&lt;&gt;""),ROW(1:1788)),2))</f>
        <v>-19749.45</v>
      </c>
      <c r="G1797" s="98">
        <f t="array" aca="1" ref="G1797" ca="1">IFERROR(LARGE(IF((E1:E1788=C1796)*(AB1:AB1788&lt;&gt;""),ROW(1:1788)),2),"")</f>
        <v>1475</v>
      </c>
      <c r="H1797" s="98"/>
      <c r="K1797" s="98"/>
      <c r="L1797" s="98"/>
      <c r="M1797" s="98"/>
      <c r="N1797" s="98"/>
      <c r="O1797" s="98"/>
      <c r="P1797" s="182"/>
      <c r="Q1797" s="182"/>
      <c r="R1797" s="691"/>
      <c r="S1797" s="692"/>
      <c r="T1797" s="693"/>
      <c r="U1797" s="684"/>
      <c r="V1797" s="691"/>
      <c r="W1797" s="692"/>
      <c r="X1797" s="693"/>
      <c r="Y1797" s="257" t="s">
        <v>949</v>
      </c>
      <c r="Z1797" s="258">
        <f>SUMIFS(AB1433:AB1788,C1433:C1788,"Satya",AG1433:AG1788,"Kotak",O1433:O1788,"&lt;&gt;",A1433:A1788,"&gt;="&amp;R1793,A1433:A1788,"&lt;="&amp;V1793)-SUMIFS(AB1433:AB1788,C1433:C1788,"Satya",AG1433:AG1788,"Kotak",N1433:N1788,"",A1433:A1788,"&gt;="&amp;R1793,A1433:A1788,"&lt;="&amp;V1793)</f>
        <v>-24026.889999999989</v>
      </c>
      <c r="AA1797" s="279">
        <f>SUMIFS(Z1433:Z1788,AG1433:AG1788,"Kotak",A1433:A1788,"&gt;="&amp;R1793,A1433:A1788,"&lt;="&amp;V1793)</f>
        <v>1509.62</v>
      </c>
      <c r="AB1797" s="280">
        <f>SUMIFS(T1433:T1788,AG1433:AG1788,"Kotak",A1433:A1788,"&gt;="&amp;R1793,A1433:A1788,"&lt;="&amp;V1793)</f>
        <v>405.7199999999994</v>
      </c>
      <c r="AC1797" s="281">
        <f>2000</f>
        <v>2000</v>
      </c>
      <c r="AD1797" s="281">
        <f>(6750+1350+700)</f>
        <v>8800</v>
      </c>
      <c r="AE1797" s="282">
        <f>SUMIFS(AB845:AB1428,AF845:AF1428,AE1796,A845:A1428,"&gt;="&amp;R1793,A845:A1428,"&lt;="&amp;V1793)</f>
        <v>-3255.96</v>
      </c>
      <c r="AF1797" s="98"/>
      <c r="AG1797" s="98"/>
      <c r="AH1797" s="98"/>
    </row>
    <row r="1798" spans="1:36" ht="12" customHeight="1">
      <c r="A1798" s="277">
        <f t="array" aca="1" ref="A1798" ca="1">LOOKUP(2,1/(D$1433:D1788=B1796),AB$1433:AB1788)</f>
        <v>-263.58</v>
      </c>
      <c r="B1798" s="283" t="s">
        <v>950</v>
      </c>
      <c r="C1798" s="277">
        <f ca="1">IF(OR(E1798&gt;E1799,E1799=""),D1798+D1797,D1799)</f>
        <v>-11232.41</v>
      </c>
      <c r="D1798" s="277">
        <f t="array" aca="1" ref="D1798" ca="1">INDEX(AB1433:AB1788,LARGE(IF((E1433:E1788=C1796)*(AB1433:AB1788&lt;&gt;""),ROW(1433:1788)-1432),1))</f>
        <v>8517.0400000000009</v>
      </c>
      <c r="E1798" s="278">
        <f t="array" aca="1" ref="E1798" ca="1">IFERROR(LARGE(IF((E1433:E1788=C1796)*(AB1433:AB1788&lt;&gt;""),ROW(1433:1788)-1432),ROW(1:1))+1432,"")</f>
        <v>1476</v>
      </c>
      <c r="F1798" s="98">
        <f t="array" aca="1" ref="F1798" ca="1">INDEX(AB1:AB1788,LARGE(IF((E1:E1788=C1796)*(AB1:AB1788&lt;&gt;""),ROW(1:1788)),1))</f>
        <v>8517.0400000000009</v>
      </c>
      <c r="G1798" s="43">
        <f t="array" aca="1" ref="G1798" ca="1">IFERROR(LARGE(IF((E1:E1788=C1796)*(AB1:AB1788&lt;&gt;""),ROW(1:1788)),1),"")</f>
        <v>1476</v>
      </c>
      <c r="H1798" s="43"/>
      <c r="M1798" s="98"/>
      <c r="N1798" s="98"/>
      <c r="O1798" s="98"/>
      <c r="P1798" s="182"/>
      <c r="Q1798" s="182"/>
      <c r="R1798" s="98"/>
      <c r="S1798" s="98"/>
      <c r="T1798" s="98"/>
      <c r="U1798" s="98"/>
      <c r="V1798" s="98"/>
      <c r="W1798" s="98"/>
      <c r="X1798" s="98"/>
      <c r="Y1798" s="98"/>
      <c r="Z1798" s="284"/>
      <c r="AA1798" s="4"/>
      <c r="AB1798" s="98"/>
      <c r="AD1798" s="40"/>
      <c r="AF1798" s="98"/>
      <c r="AG1798" s="98"/>
      <c r="AH1798" s="98"/>
    </row>
    <row r="1799" spans="1:36" ht="12" customHeight="1">
      <c r="A1799" s="5">
        <f t="array" aca="1" ref="A1799" ca="1">LOOKUP(2,1/(D$1433:D1788=B1796),A$1433:A1788)</f>
        <v>44945</v>
      </c>
      <c r="B1799" s="283" t="s">
        <v>951</v>
      </c>
      <c r="C1799" s="5">
        <f t="array" aca="1" ref="C1799" ca="1">LOOKUP(2,1/(E$1433:E1788=C1796),A$1433:A1788)</f>
        <v>44670</v>
      </c>
      <c r="D1799" s="277">
        <f t="array" aca="1" ref="D1799" ca="1">INDEX(AB1433:AB1788,LARGE(IF((E1433:E1788=C1796)*(AB1433:AB1788&lt;&gt;"")*(N1433:N1788&lt;&gt;0)*(O1433:O1788&lt;&gt;0),ROW(1433:1788)-1432),1))</f>
        <v>182.48</v>
      </c>
      <c r="E1799" s="278">
        <f t="array" aca="1" ref="E1799" ca="1">IFERROR(LARGE(IF((E1433:E1788=C1796)*(AB1433:AB1788&lt;&gt;"")*(N1433:N1788&lt;&gt;0)*(O1433:O1788&lt;&gt;0),ROW(1433:1788)-1432),ROW(1:1))+1432,"")</f>
        <v>1463</v>
      </c>
      <c r="F1799" s="43">
        <f t="array" aca="1" ref="F1799" ca="1">INDEX(AB1:AB1788,LARGE(IF((E1:E1788=C1796)*(AB1:AB1788&lt;&gt;"")*(N1:N1788&lt;&gt;0)*(O1:O1788&lt;&gt;0),ROW(1:1788)),1))</f>
        <v>182.48</v>
      </c>
      <c r="G1799" s="43">
        <f t="array" aca="1" ref="G1799" ca="1">IFERROR(LARGE(IF((E1:E1788=C1796)*(AB1:AB1788&lt;&gt;"")*(N1:N1788&lt;&gt;0)*(O1:O1788&lt;&gt;0),ROW(1:1788)),1),"")</f>
        <v>1463</v>
      </c>
      <c r="H1799" s="43"/>
      <c r="I1799" s="7" t="s">
        <v>946</v>
      </c>
      <c r="M1799" s="98"/>
      <c r="N1799" s="98"/>
      <c r="O1799" s="98"/>
      <c r="P1799" s="182"/>
      <c r="Q1799" s="182"/>
      <c r="R1799" s="702">
        <v>45049</v>
      </c>
      <c r="S1799" s="704" t="s">
        <v>418</v>
      </c>
      <c r="T1799" s="714" t="s">
        <v>952</v>
      </c>
      <c r="U1799" s="680"/>
      <c r="V1799" s="680"/>
      <c r="W1799" s="680"/>
      <c r="X1799" s="680"/>
      <c r="Y1799" s="680"/>
      <c r="Z1799" s="680"/>
      <c r="AA1799" s="680"/>
      <c r="AB1799" s="681"/>
      <c r="AC1799" s="696" t="s">
        <v>953</v>
      </c>
      <c r="AD1799" s="712" t="s">
        <v>954</v>
      </c>
      <c r="AE1799" s="696" t="s">
        <v>955</v>
      </c>
      <c r="AF1799" s="697" t="s">
        <v>956</v>
      </c>
      <c r="AG1799" s="700" t="s">
        <v>957</v>
      </c>
      <c r="AH1799" s="687"/>
    </row>
    <row r="1800" spans="1:36" ht="12" customHeight="1">
      <c r="A1800" s="278">
        <f ca="1">COUNTIFS(D$1433:D1788,B1796,A$1433:A1788,"&gt;="&amp;R1793,A$1433:A1788,"&lt;="&amp;V1793,N$1433:N1788,"&lt;&gt;0")</f>
        <v>129</v>
      </c>
      <c r="B1800" s="283" t="s">
        <v>958</v>
      </c>
      <c r="C1800" s="285">
        <f ca="1">COUNTIFS(E$1433:E1788,C1796,A$1433:A1788,"&gt;="&amp;R1793,A$1433:A1788,"&lt;="&amp;V1793,N$1433:N1788,"&lt;&gt;0")</f>
        <v>11</v>
      </c>
      <c r="F1800" s="43"/>
      <c r="G1800" s="43"/>
      <c r="H1800" s="43"/>
      <c r="I1800" s="7" t="s">
        <v>959</v>
      </c>
      <c r="M1800" s="98"/>
      <c r="N1800" s="98"/>
      <c r="O1800" s="98"/>
      <c r="P1800" s="182"/>
      <c r="Q1800" s="182"/>
      <c r="R1800" s="683"/>
      <c r="S1800" s="705"/>
      <c r="T1800" s="720" t="s">
        <v>960</v>
      </c>
      <c r="U1800" s="676"/>
      <c r="V1800" s="286" t="s">
        <v>1</v>
      </c>
      <c r="W1800" s="286" t="s">
        <v>442</v>
      </c>
      <c r="X1800" s="287" t="s">
        <v>449</v>
      </c>
      <c r="Y1800" s="286" t="s">
        <v>446</v>
      </c>
      <c r="Z1800" s="286" t="s">
        <v>447</v>
      </c>
      <c r="AA1800" s="287" t="s">
        <v>448</v>
      </c>
      <c r="AB1800" s="287" t="s">
        <v>961</v>
      </c>
      <c r="AC1800" s="711"/>
      <c r="AD1800" s="713"/>
      <c r="AE1800" s="684"/>
      <c r="AF1800" s="698"/>
      <c r="AG1800" s="691"/>
      <c r="AH1800" s="693"/>
    </row>
    <row r="1801" spans="1:36" ht="12" customHeight="1">
      <c r="F1801" s="43"/>
      <c r="G1801" s="43"/>
      <c r="H1801" s="43"/>
      <c r="M1801" s="98"/>
      <c r="N1801" s="98"/>
      <c r="O1801" s="98"/>
      <c r="P1801" s="182"/>
      <c r="Q1801" s="182"/>
      <c r="R1801" s="683"/>
      <c r="S1801" s="705"/>
      <c r="T1801" s="721" t="s">
        <v>4</v>
      </c>
      <c r="U1801" s="676"/>
      <c r="V1801" s="264">
        <f>SUMIFS(S1433:S1788,$A1433:$A1788,"="&amp;$R1799,AG1433:AG1788,S1799)</f>
        <v>0</v>
      </c>
      <c r="W1801" s="264">
        <f>SUMIFS(T1433:T1788,$A1433:$A1788,"="&amp;$R1799,AG1433:AG1788,S1799)</f>
        <v>0</v>
      </c>
      <c r="X1801" s="264">
        <f>SUMIFS(X1433:X1788,$A1433:$A1788,"="&amp;$R1799,AG1433:AG1788,S1799)</f>
        <v>0</v>
      </c>
      <c r="Y1801" s="264">
        <f>SUMIFS(U1433:U1788,$A1433:$A1788,"="&amp;$R1799,AG1433:AG1788,S1799)</f>
        <v>0</v>
      </c>
      <c r="Z1801" s="264">
        <f>SUMIFS(V1433:V1788,$A1433:$A1788,"="&amp;$R1799,AG1433:AG1788,S1799)</f>
        <v>0</v>
      </c>
      <c r="AA1801" s="264">
        <f>SUMIFS(W1433:W1788,$A1433:$A1788,"="&amp;$R1799,AG1433:AG1788,S1799)</f>
        <v>0</v>
      </c>
      <c r="AB1801" s="264">
        <f>SUMIFS(Y1433:Y1788,$A1433:$A1788,"="&amp;$R1799,AG1433:AG1788,S1799)</f>
        <v>0</v>
      </c>
      <c r="AC1801" s="264">
        <f t="shared" ref="AC1801:AC1802" si="889">SUM(W1801:AB1801)</f>
        <v>0</v>
      </c>
      <c r="AD1801" s="288">
        <f>SUMIFS(AB1433:AB1788,AG1433:AG1788,S1799,$A1433:$A1788,"="&amp;$R1799)</f>
        <v>0</v>
      </c>
      <c r="AE1801" s="289">
        <f>SUMIFS(AB1433:AB1788,AG1433:AG1788,S1799,N1433:N1788,"",$A1433:$A1788,"="&amp;$R1799)+SUMIFS(AB1433:AB1788,AG1433:AG1788,S1799,O1433:O1788,"",$A1433:$A1788,"="&amp;$R1799)</f>
        <v>0</v>
      </c>
      <c r="AF1801" s="698"/>
      <c r="AG1801" s="5"/>
      <c r="AH1801" s="277"/>
      <c r="AI1801" s="290"/>
      <c r="AJ1801" s="7"/>
    </row>
    <row r="1802" spans="1:36" ht="12" customHeight="1">
      <c r="A1802" s="291">
        <f ca="1">SUMIFS(AB$1433:AB1788,E$1433:E1788,B1802,A$1433:A1788,"&gt;="&amp;R1793,A$1433:A1788,"&lt;="&amp;V1793)</f>
        <v>-50250.94</v>
      </c>
      <c r="B1802" s="292" t="s">
        <v>962</v>
      </c>
      <c r="C1802" s="293">
        <f ca="1">COUNTIFS(E$1433:E1788,B1802,A$1433:A1788,"&gt;="&amp;R1793,A$1433:A1788,"&lt;="&amp;V1793,N$1433:N1788,"&lt;&gt;0")</f>
        <v>117</v>
      </c>
      <c r="D1802" s="98"/>
      <c r="E1802" s="98"/>
      <c r="F1802" s="294"/>
      <c r="G1802" s="294"/>
      <c r="H1802" s="294"/>
      <c r="M1802" s="98"/>
      <c r="N1802" s="98"/>
      <c r="O1802" s="98"/>
      <c r="P1802" s="182"/>
      <c r="Q1802" s="182"/>
      <c r="R1802" s="683"/>
      <c r="S1802" s="705"/>
      <c r="T1802" s="717" t="s">
        <v>963</v>
      </c>
      <c r="U1802" s="676"/>
      <c r="V1802" s="295"/>
      <c r="W1802" s="295"/>
      <c r="X1802" s="295"/>
      <c r="Y1802" s="295"/>
      <c r="Z1802" s="295"/>
      <c r="AA1802" s="295"/>
      <c r="AB1802" s="295"/>
      <c r="AC1802" s="295">
        <f t="shared" si="889"/>
        <v>0</v>
      </c>
      <c r="AD1802" s="296"/>
      <c r="AE1802" s="297" t="s">
        <v>964</v>
      </c>
      <c r="AF1802" s="699"/>
      <c r="AG1802" s="5"/>
      <c r="AH1802" s="277"/>
      <c r="AI1802" s="290"/>
      <c r="AJ1802" s="7"/>
    </row>
    <row r="1803" spans="1:36" ht="12" customHeight="1">
      <c r="A1803" s="291">
        <f t="array" aca="1" ref="A1803" ca="1">LOOKUP(2,1/(E$1433:E1788=B1802),AB$1433:AB1788)</f>
        <v>-37.85</v>
      </c>
      <c r="B1803" s="298" t="s">
        <v>965</v>
      </c>
      <c r="C1803" s="299">
        <f ca="1">COUNTIFS(H$1433:H1788,"CE",E$1433:E1788,B1802,A$1433:A1788,"&gt;="&amp;R1793,A$1433:A1788,"&lt;="&amp;V1793,N$1433:N1788,"&lt;&gt;0")</f>
        <v>81</v>
      </c>
      <c r="D1803" s="291">
        <f ca="1">SUMIFS(AB$1433:AB1788,H$1433:H1788,"CE",E$1433:E1788,B1802,A$1433:A1788,"&gt;="&amp;R1793,A$1433:A1788,"&lt;="&amp;V1793)</f>
        <v>-54299.049999999996</v>
      </c>
      <c r="E1803" s="98"/>
      <c r="F1803" s="98"/>
      <c r="G1803" s="98"/>
      <c r="H1803" s="98"/>
      <c r="I1803" s="300"/>
      <c r="J1803" s="300"/>
      <c r="L1803" s="98"/>
      <c r="O1803" s="98"/>
      <c r="P1803" s="182"/>
      <c r="Q1803" s="182"/>
      <c r="R1803" s="683"/>
      <c r="S1803" s="705"/>
      <c r="T1803" s="718" t="s">
        <v>966</v>
      </c>
      <c r="U1803" s="719"/>
      <c r="V1803" s="301">
        <f t="shared" ref="V1803:AD1803" si="890">V1802-V1801</f>
        <v>0</v>
      </c>
      <c r="W1803" s="301">
        <f t="shared" si="890"/>
        <v>0</v>
      </c>
      <c r="X1803" s="301">
        <f t="shared" si="890"/>
        <v>0</v>
      </c>
      <c r="Y1803" s="301">
        <f t="shared" si="890"/>
        <v>0</v>
      </c>
      <c r="Z1803" s="301">
        <f t="shared" si="890"/>
        <v>0</v>
      </c>
      <c r="AA1803" s="301">
        <f t="shared" si="890"/>
        <v>0</v>
      </c>
      <c r="AB1803" s="301">
        <f t="shared" si="890"/>
        <v>0</v>
      </c>
      <c r="AC1803" s="301">
        <f t="shared" si="890"/>
        <v>0</v>
      </c>
      <c r="AD1803" s="301">
        <f t="shared" si="890"/>
        <v>0</v>
      </c>
      <c r="AE1803" s="289">
        <f>SUMIFS(AB1433:AB1788,AG1433:AG1788,S1799,O1433:O1788,"&lt;&gt;",$A1433:$A1788,"="&amp;$R1799)-SUMIFS(AB1433:AB1788,AG1433:AG1788,S1799,N1433:N1788,"",$A1433:$A1788,"="&amp;$R1799)</f>
        <v>0</v>
      </c>
      <c r="AF1803" s="302">
        <f>AH1805+AE1803</f>
        <v>0</v>
      </c>
      <c r="AG1803" s="5"/>
      <c r="AH1803" s="277"/>
      <c r="AI1803" s="290"/>
      <c r="AJ1803" s="7"/>
    </row>
    <row r="1804" spans="1:36" ht="12" customHeight="1">
      <c r="A1804" s="303">
        <f t="array" aca="1" ref="A1804" ca="1">LOOKUP(2,1/(E$1433:E1788=B1802),A$1433:A1788)</f>
        <v>45044</v>
      </c>
      <c r="B1804" s="298" t="s">
        <v>967</v>
      </c>
      <c r="C1804" s="304">
        <f ca="1">COUNTIFS(H$1433:H1788,"PE",E$1433:E1788,B1802,A$1433:A1788,"&gt;="&amp;R1793,A$1433:A1788,"&lt;="&amp;V1793,N$1433:N1788,"&lt;&gt;0")</f>
        <v>36</v>
      </c>
      <c r="D1804" s="291">
        <f ca="1">SUMIFS(AB$1433:AB1788,H$1433:H1788,"PE",E$1433:E1788,B1802,A$1433:A1788,"&gt;="&amp;R1793,A$1433:A1788,"&lt;="&amp;V1793)</f>
        <v>4048.110000000001</v>
      </c>
      <c r="L1804" s="98"/>
      <c r="M1804" s="98"/>
      <c r="N1804" s="98"/>
      <c r="O1804" s="98"/>
      <c r="P1804" s="182"/>
      <c r="Q1804" s="182"/>
      <c r="R1804" s="683"/>
      <c r="S1804" s="706"/>
      <c r="T1804" s="672" t="s">
        <v>960</v>
      </c>
      <c r="U1804" s="673"/>
      <c r="V1804" s="305" t="s">
        <v>1</v>
      </c>
      <c r="W1804" s="305" t="s">
        <v>442</v>
      </c>
      <c r="X1804" s="306" t="s">
        <v>449</v>
      </c>
      <c r="Y1804" s="305" t="s">
        <v>446</v>
      </c>
      <c r="Z1804" s="305" t="s">
        <v>447</v>
      </c>
      <c r="AA1804" s="306" t="s">
        <v>448</v>
      </c>
      <c r="AB1804" s="306" t="s">
        <v>961</v>
      </c>
      <c r="AC1804" s="701" t="s">
        <v>953</v>
      </c>
      <c r="AD1804" s="701" t="s">
        <v>968</v>
      </c>
      <c r="AE1804" s="4"/>
      <c r="AG1804" s="5"/>
      <c r="AH1804" s="277"/>
      <c r="AI1804" s="307"/>
      <c r="AJ1804" s="7"/>
    </row>
    <row r="1805" spans="1:36" ht="12" customHeight="1">
      <c r="A1805" s="308">
        <f ca="1">SUMIFS(AB$1433:AB1788,E$1433:E1788,B1805,A$1433:A1788,"&gt;="&amp;R1793,A$1433:A1788,"&lt;="&amp;V1793)</f>
        <v>-44179.44999999999</v>
      </c>
      <c r="B1805" s="309" t="s">
        <v>969</v>
      </c>
      <c r="C1805" s="310">
        <f ca="1">COUNTIFS(E$1433:E1788,B1805,A$1433:A1788,"&gt;="&amp;R1793,A$1433:A1788,"&lt;="&amp;V1793,N$1433:N1788,"&lt;&gt;0")</f>
        <v>22</v>
      </c>
      <c r="L1805" s="98"/>
      <c r="M1805" s="98"/>
      <c r="N1805" s="98"/>
      <c r="O1805" s="98"/>
      <c r="P1805" s="180"/>
      <c r="Q1805" s="98"/>
      <c r="R1805" s="683"/>
      <c r="S1805" s="707" t="s">
        <v>485</v>
      </c>
      <c r="T1805" s="674" t="s">
        <v>467</v>
      </c>
      <c r="U1805" s="673"/>
      <c r="V1805" s="311">
        <f>-SUMIFS(R2:R839,$A2:$A839,"="&amp;$R1799,$I2:$I839,"=Buy",$C2:$C839,S1805)</f>
        <v>0</v>
      </c>
      <c r="W1805" s="311">
        <f>SUMIFS(T2:T839,$A2:$A839,"="&amp;$R1799,$I2:$I839,"=Buy",$C2:$C839,S1805)</f>
        <v>0</v>
      </c>
      <c r="X1805" s="311">
        <f>SUMIFS(X2:X839,$A2:$A839,"="&amp;$R1799,$I2:$I839,"=Buy",$C2:$C839,S1805)</f>
        <v>0</v>
      </c>
      <c r="Y1805" s="311">
        <f>SUMIFS(U2:U839,$A2:$A839,"="&amp;$R1799,$I2:$I839,"=Buy",$C2:$C839,S1805)</f>
        <v>0</v>
      </c>
      <c r="Z1805" s="311">
        <f>SUMIFS(V2:V839,$A2:$A839,"="&amp;$R1799,$I2:$I839,"=Buy",$C2:$C839,S1805)</f>
        <v>0</v>
      </c>
      <c r="AA1805" s="311">
        <f>SUMIFS(W2:W839,$A2:$A839,"="&amp;$R1799,$I2:$I839,"=Buy",$C2:$C839,S1805)</f>
        <v>0</v>
      </c>
      <c r="AB1805" s="311">
        <f>SUMIFS(Y2:Y839,$A2:$A839,"="&amp;$R1799,$I2:$I839,"=Buy",$C2:$C839,S1805)</f>
        <v>0</v>
      </c>
      <c r="AC1805" s="683"/>
      <c r="AD1805" s="683"/>
      <c r="AE1805" s="4"/>
      <c r="AF1805" s="98"/>
      <c r="AG1805" s="312" t="s">
        <v>970</v>
      </c>
      <c r="AH1805" s="313">
        <f>SUM(AH1801:AH1804)</f>
        <v>0</v>
      </c>
    </row>
    <row r="1806" spans="1:36" ht="12" customHeight="1">
      <c r="A1806" s="308">
        <f t="array" aca="1" ref="A1806" ca="1">LOOKUP(2,1/(E$1433:E1788=B1805),AB$1433:AB1788)</f>
        <v>93.04</v>
      </c>
      <c r="B1806" s="314" t="s">
        <v>965</v>
      </c>
      <c r="C1806" s="315">
        <f ca="1">COUNTIFS(H$1433:H1788,"CE",E$1433:E1788,B1805,A$1433:A1788,"&gt;="&amp;R1793,A$1433:A1788,"&lt;="&amp;V1793,N$1433:N1788,"&lt;&gt;0")</f>
        <v>12</v>
      </c>
      <c r="D1806" s="308">
        <f ca="1">SUMIFS(AB$1433:AB1788,H$1433:H1788,"CE",E$1433:E1788,B1805,A$1433:A1788,"&gt;="&amp;R1793,A$1433:A1788,"&lt;="&amp;V1793)</f>
        <v>-41956.209999999992</v>
      </c>
      <c r="E1806" s="43"/>
      <c r="F1806" s="43"/>
      <c r="G1806" s="43"/>
      <c r="H1806" s="43"/>
      <c r="L1806" s="98"/>
      <c r="M1806" s="98"/>
      <c r="N1806" s="98"/>
      <c r="O1806" s="98"/>
      <c r="P1806" s="180"/>
      <c r="Q1806" s="98"/>
      <c r="R1806" s="683"/>
      <c r="S1806" s="705"/>
      <c r="T1806" s="675" t="s">
        <v>461</v>
      </c>
      <c r="U1806" s="676"/>
      <c r="V1806" s="316">
        <f>SUMIFS(R2:R839,$A2:$A839,"="&amp;$R1799,$I2:$I839,"=Sell",$C2:$C839,S1805)</f>
        <v>8525</v>
      </c>
      <c r="W1806" s="316">
        <f>SUMIFS(T2:T839,$A2:$A839,"="&amp;$R1799,$I2:$I839,"=Sell",$C2:$C839,S1805)</f>
        <v>0</v>
      </c>
      <c r="X1806" s="316">
        <f>SUMIFS(X2:X839,$A2:$A839,"="&amp;$R1799,$I2:$I839,"=Sell",$C2:$C839,S1805)</f>
        <v>0.28000000000000003</v>
      </c>
      <c r="Y1806" s="316">
        <f>SUMIFS(U2:U839,$A2:$A839,"="&amp;$R1799,$I2:$I839,"=Sell",$C2:$C839,S1805)</f>
        <v>0.05</v>
      </c>
      <c r="Z1806" s="316">
        <f>SUMIFS(V2:V839,$A2:$A839,"="&amp;$R1799,$I2:$I839,"=Sell",$C2:$C839,S1805)</f>
        <v>8.5299999999999994</v>
      </c>
      <c r="AA1806" s="316">
        <f>SUMIFS(W2:W839,$A2:$A839,"="&amp;$R1799,$I2:$I839,"=Sell",$C2:$C839,S1805)</f>
        <v>0</v>
      </c>
      <c r="AB1806" s="316">
        <f>SUMIFS(Y2:Y839,$A2:$A839,"="&amp;$R1799,$I2:$I839,"=Sell",$C2:$C839,S1805)</f>
        <v>0.01</v>
      </c>
      <c r="AC1806" s="683"/>
      <c r="AD1806" s="683"/>
      <c r="AE1806" s="5">
        <f>R$1799</f>
        <v>45049</v>
      </c>
      <c r="AF1806" s="277">
        <f>AE$1801</f>
        <v>0</v>
      </c>
      <c r="AI1806" s="70"/>
    </row>
    <row r="1807" spans="1:36" ht="12" customHeight="1">
      <c r="A1807" s="317">
        <f t="array" aca="1" ref="A1807" ca="1">LOOKUP(2,1/(E$1433:E1788=B1805),A$1433:A1788)</f>
        <v>45040</v>
      </c>
      <c r="B1807" s="314" t="s">
        <v>967</v>
      </c>
      <c r="C1807" s="318">
        <f ca="1">COUNTIFS(H$1433:H1788,"PE",E$1433:E1788,B1805,A$1433:A1788,"&gt;="&amp;R1793,A$1433:A1788,"&lt;="&amp;V1793,N$1433:N1788,"&lt;&gt;0")</f>
        <v>10</v>
      </c>
      <c r="D1807" s="308">
        <f ca="1">SUMIFS(AB$1433:AB1788,H$1433:H1788,"PE",E$1433:E1788,B1805,A$1433:A1788,"&gt;="&amp;R1793,A$1433:A1788,"&lt;="&amp;V1793)</f>
        <v>-2223.2400000000002</v>
      </c>
      <c r="E1807" s="43"/>
      <c r="F1807" s="43"/>
      <c r="G1807" s="43"/>
      <c r="H1807" s="43"/>
      <c r="L1807" s="98"/>
      <c r="M1807" s="98"/>
      <c r="N1807" s="98"/>
      <c r="O1807" s="98"/>
      <c r="P1807" s="180"/>
      <c r="Q1807" s="98"/>
      <c r="R1807" s="683"/>
      <c r="S1807" s="705"/>
      <c r="T1807" s="715" t="s">
        <v>937</v>
      </c>
      <c r="U1807" s="676"/>
      <c r="V1807" s="319">
        <f>SUMIFS(S845:S1428,$A845:$A1428,"="&amp;$R1799,$I845:$I1428,"=Intra",$C845:$C1428,S1805)</f>
        <v>0</v>
      </c>
      <c r="W1807" s="319">
        <f>SUMIFS(T845:T1428,$A845:$A1428,"="&amp;$R1799,$I845:$I1428,"=Intra",$C845:$C1428,S1805)</f>
        <v>0</v>
      </c>
      <c r="X1807" s="319">
        <f>SUMIFS(X845:X1428,$A845:$A1428,"="&amp;$R1799,$I845:$I1428,"=Intra",$C845:$C1428,S1805)</f>
        <v>0</v>
      </c>
      <c r="Y1807" s="319">
        <f>SUMIFS(U845:U1428,$A845:$A1428,"="&amp;$R1799,$I845:$I1428,"=Intra",$C845:$C1428,S1805)</f>
        <v>0</v>
      </c>
      <c r="Z1807" s="319">
        <f>SUMIFS(V845:V1428,$A845:$A1428,"="&amp;$R1799,$I845:$I1428,"=Intra",$C845:$C1428,S1805)</f>
        <v>0</v>
      </c>
      <c r="AA1807" s="319">
        <f>SUMIFS(W845:W1428,$A845:$A1428,"="&amp;$R1799,$I845:$I1428,"=Intra",$C845:$C1428,S1805)</f>
        <v>0</v>
      </c>
      <c r="AB1807" s="319">
        <f>SUMIFS(Y845:Y1428,$A845:$A1428,"="&amp;$R1799,$I845:$I1428,"=Intra",$C845:$C1428,S1805)</f>
        <v>0</v>
      </c>
      <c r="AC1807" s="684"/>
      <c r="AD1807" s="684"/>
      <c r="AF1807" s="98"/>
      <c r="AG1807" s="5"/>
      <c r="AH1807" s="277"/>
      <c r="AI1807" s="290"/>
      <c r="AJ1807" s="221"/>
    </row>
    <row r="1808" spans="1:36" ht="12" customHeight="1">
      <c r="A1808" s="320">
        <f ca="1">SUMIFS(AB$1433:AB1788,E$1433:E1788,B1808,A$1433:A1788,"&gt;="&amp;R1793,A$1433:A1788,"&lt;="&amp;V1793)</f>
        <v>0</v>
      </c>
      <c r="B1808" s="321" t="s">
        <v>971</v>
      </c>
      <c r="C1808" s="322">
        <f ca="1">COUNTIFS(E$1433:E1788,B1808,A$1433:A1788,"&gt;="&amp;R1793,A$1433:A1788,"&lt;="&amp;V1793,N$1433:N1788,"&lt;&gt;0")</f>
        <v>0</v>
      </c>
      <c r="D1808" s="43"/>
      <c r="E1808" s="43"/>
      <c r="F1808" s="43"/>
      <c r="G1808" s="43"/>
      <c r="H1808" s="43"/>
      <c r="I1808" s="323"/>
      <c r="L1808" s="98"/>
      <c r="M1808" s="98"/>
      <c r="N1808" s="98"/>
      <c r="O1808" s="98"/>
      <c r="P1808" s="180"/>
      <c r="Q1808" s="98"/>
      <c r="R1808" s="683"/>
      <c r="S1808" s="705"/>
      <c r="T1808" s="716" t="s">
        <v>972</v>
      </c>
      <c r="U1808" s="676"/>
      <c r="V1808" s="324">
        <f t="shared" ref="V1808:AB1808" si="891">SUM(V1805:V1807)</f>
        <v>8525</v>
      </c>
      <c r="W1808" s="324">
        <f t="shared" si="891"/>
        <v>0</v>
      </c>
      <c r="X1808" s="324">
        <f t="shared" si="891"/>
        <v>0.28000000000000003</v>
      </c>
      <c r="Y1808" s="324">
        <f t="shared" si="891"/>
        <v>0.05</v>
      </c>
      <c r="Z1808" s="324">
        <f t="shared" si="891"/>
        <v>8.5299999999999994</v>
      </c>
      <c r="AA1808" s="324">
        <f t="shared" si="891"/>
        <v>0</v>
      </c>
      <c r="AB1808" s="324">
        <f t="shared" si="891"/>
        <v>0.01</v>
      </c>
      <c r="AC1808" s="324">
        <f t="shared" ref="AC1808:AC1809" si="892">SUM(W1808:AB1808)</f>
        <v>8.8699999999999992</v>
      </c>
      <c r="AD1808" s="273">
        <f>SUMIFS(AB2:AB1428,$A2:$A1428,"="&amp;$R1799,$C2:$C1428,S1805)</f>
        <v>8516</v>
      </c>
      <c r="AE1808" s="4"/>
      <c r="AF1808" s="98"/>
      <c r="AG1808" s="5"/>
      <c r="AH1808" s="277"/>
      <c r="AI1808" s="290"/>
      <c r="AJ1808" s="7"/>
    </row>
    <row r="1809" spans="1:36" ht="12" customHeight="1">
      <c r="A1809" s="320" t="e">
        <f t="array" aca="1" ref="A1809" ca="1">LOOKUP(2,1/(E$1433:E1788=B1808),AB$1433:AB1788)</f>
        <v>#N/A</v>
      </c>
      <c r="B1809" s="325" t="s">
        <v>965</v>
      </c>
      <c r="C1809" s="326">
        <f ca="1">COUNTIFS(H$1433:H1788,"CE",E$1433:E1788,B1808,A$1433:A1788,"&gt;="&amp;R1793,A$1433:A1788,"&lt;="&amp;V1793,N$1433:N1788,"&lt;&gt;0")</f>
        <v>0</v>
      </c>
      <c r="D1809" s="320">
        <f ca="1">SUMIFS(AB$1433:AB1788,H$1433:H1788,"CE",E$1433:E1788,B1808,A$1433:A1788,"&gt;="&amp;R1793,A$1433:A1788,"&lt;="&amp;V1793)</f>
        <v>0</v>
      </c>
      <c r="L1809" s="327"/>
      <c r="M1809" s="98"/>
      <c r="N1809" s="98"/>
      <c r="O1809" s="98"/>
      <c r="P1809" s="180"/>
      <c r="Q1809" s="98"/>
      <c r="R1809" s="683"/>
      <c r="S1809" s="705"/>
      <c r="T1809" s="717" t="s">
        <v>963</v>
      </c>
      <c r="U1809" s="676"/>
      <c r="V1809" s="295"/>
      <c r="W1809" s="295"/>
      <c r="X1809" s="295"/>
      <c r="Y1809" s="295"/>
      <c r="Z1809" s="295"/>
      <c r="AA1809" s="295"/>
      <c r="AB1809" s="295"/>
      <c r="AC1809" s="295">
        <f t="shared" si="892"/>
        <v>0</v>
      </c>
      <c r="AD1809" s="328"/>
      <c r="AE1809" s="4"/>
      <c r="AF1809" s="98"/>
      <c r="AG1809" s="5"/>
      <c r="AH1809" s="277"/>
      <c r="AI1809" s="290"/>
      <c r="AJ1809" s="7"/>
    </row>
    <row r="1810" spans="1:36" ht="12" customHeight="1">
      <c r="A1810" s="329" t="e">
        <f t="array" aca="1" ref="A1810" ca="1">LOOKUP(2,1/(E$1433:E1788=B1808),A$1433:A1788)</f>
        <v>#N/A</v>
      </c>
      <c r="B1810" s="325" t="s">
        <v>967</v>
      </c>
      <c r="C1810" s="330">
        <f ca="1">COUNTIFS(H$1433:H1788,"PE",E$1433:E1788,B1808,A$1433:A1788,"&gt;="&amp;R1793,A$1433:A1788,"&lt;="&amp;V1793,N$1433:N1788,"&lt;&gt;0")</f>
        <v>0</v>
      </c>
      <c r="D1810" s="320">
        <f ca="1">SUMIFS(AB$1433:AB1788,H$1433:H1788,"PE",E$1433:E1788,B1808,A$1433:A1788,"&gt;="&amp;R1793,A$1433:A1788,"&lt;="&amp;V1793)</f>
        <v>0</v>
      </c>
      <c r="M1810" s="98"/>
      <c r="N1810" s="98"/>
      <c r="O1810" s="98"/>
      <c r="P1810" s="182"/>
      <c r="Q1810" s="98"/>
      <c r="R1810" s="703"/>
      <c r="S1810" s="708"/>
      <c r="T1810" s="718" t="s">
        <v>966</v>
      </c>
      <c r="U1810" s="719"/>
      <c r="V1810" s="301">
        <f t="shared" ref="V1810:AD1810" si="893">V1809-V1808</f>
        <v>-8525</v>
      </c>
      <c r="W1810" s="301">
        <f t="shared" si="893"/>
        <v>0</v>
      </c>
      <c r="X1810" s="301">
        <f t="shared" si="893"/>
        <v>-0.28000000000000003</v>
      </c>
      <c r="Y1810" s="301">
        <f t="shared" si="893"/>
        <v>-0.05</v>
      </c>
      <c r="Z1810" s="301">
        <f t="shared" si="893"/>
        <v>-8.5299999999999994</v>
      </c>
      <c r="AA1810" s="301">
        <f t="shared" si="893"/>
        <v>0</v>
      </c>
      <c r="AB1810" s="301">
        <f t="shared" si="893"/>
        <v>-0.01</v>
      </c>
      <c r="AC1810" s="301">
        <f t="shared" si="893"/>
        <v>-8.8699999999999992</v>
      </c>
      <c r="AD1810" s="301">
        <f t="shared" si="893"/>
        <v>-8516</v>
      </c>
      <c r="AE1810" s="4"/>
      <c r="AF1810" s="98"/>
      <c r="AG1810" s="5"/>
      <c r="AH1810" s="277"/>
      <c r="AI1810" s="290"/>
      <c r="AJ1810" s="7"/>
    </row>
    <row r="1811" spans="1:36" ht="12" customHeight="1">
      <c r="M1811" s="98"/>
      <c r="N1811" s="98"/>
      <c r="O1811" s="98"/>
      <c r="P1811" s="182"/>
      <c r="Q1811" s="182"/>
      <c r="R1811" s="98"/>
      <c r="S1811" s="98"/>
      <c r="T1811" s="98"/>
      <c r="U1811" s="98"/>
      <c r="W1811" s="98"/>
      <c r="X1811" s="98"/>
      <c r="Y1811" s="98"/>
      <c r="Z1811" s="98"/>
      <c r="AC1811" s="98"/>
      <c r="AD1811" s="98"/>
      <c r="AE1811" s="98"/>
      <c r="AF1811" s="98"/>
      <c r="AG1811" s="5"/>
      <c r="AH1811" s="277"/>
      <c r="AI1811" s="290"/>
      <c r="AJ1811" s="7"/>
    </row>
    <row r="1812" spans="1:36" ht="12" customHeight="1">
      <c r="M1812" s="327"/>
      <c r="N1812" s="98"/>
      <c r="O1812" s="98"/>
      <c r="P1812" s="98"/>
      <c r="Q1812" s="98"/>
      <c r="R1812" s="98"/>
      <c r="S1812" s="180"/>
      <c r="T1812" s="98"/>
      <c r="U1812" s="98"/>
      <c r="V1812" s="98"/>
      <c r="W1812" s="98"/>
      <c r="X1812" s="98"/>
      <c r="Y1812" s="98"/>
      <c r="Z1812" s="98"/>
      <c r="AA1812" s="98"/>
      <c r="AB1812" s="181"/>
      <c r="AC1812" s="98"/>
      <c r="AD1812" s="180"/>
      <c r="AE1812" s="183"/>
      <c r="AF1812" s="180"/>
      <c r="AG1812" s="312" t="s">
        <v>970</v>
      </c>
      <c r="AH1812" s="313">
        <f>SUM(AH1807:AH1811)</f>
        <v>0</v>
      </c>
      <c r="AI1812" s="290" t="s">
        <v>4</v>
      </c>
      <c r="AJ1812" s="277"/>
    </row>
    <row r="1813" spans="1:36" ht="12" hidden="1" customHeight="1">
      <c r="A1813" s="331" t="s">
        <v>973</v>
      </c>
      <c r="B1813" s="331"/>
      <c r="C1813" s="332">
        <v>4.0000000000000001E-3</v>
      </c>
      <c r="D1813" s="331"/>
      <c r="E1813" s="332">
        <v>7.0000000000000001E-3</v>
      </c>
      <c r="F1813" s="332">
        <v>5.0073460434302552E-3</v>
      </c>
      <c r="G1813" s="332">
        <v>0</v>
      </c>
      <c r="H1813" s="333"/>
      <c r="I1813" s="43"/>
      <c r="J1813" s="43"/>
      <c r="R1813" s="98"/>
      <c r="S1813" s="180"/>
      <c r="T1813" s="98"/>
      <c r="U1813" s="98"/>
      <c r="V1813" s="98"/>
      <c r="W1813" s="98"/>
      <c r="Y1813" s="98"/>
      <c r="Z1813" s="98"/>
      <c r="AA1813" s="98"/>
      <c r="AB1813" s="181"/>
      <c r="AC1813" s="98"/>
      <c r="AD1813" s="180"/>
      <c r="AE1813" s="183"/>
      <c r="AF1813" s="180"/>
    </row>
    <row r="1814" spans="1:36" ht="12" hidden="1" customHeight="1">
      <c r="A1814" s="331" t="s">
        <v>974</v>
      </c>
      <c r="B1814" s="331"/>
      <c r="C1814" s="334">
        <v>7.5000000000000002E-4</v>
      </c>
      <c r="D1814" s="331"/>
      <c r="E1814" s="332"/>
      <c r="F1814" s="333"/>
      <c r="G1814" s="332">
        <v>2.9999999999999997E-4</v>
      </c>
      <c r="H1814" s="333"/>
      <c r="I1814" s="43"/>
      <c r="J1814" s="43"/>
      <c r="R1814" s="98"/>
      <c r="S1814" s="180"/>
      <c r="T1814" s="98"/>
      <c r="U1814" s="98"/>
      <c r="V1814" s="98"/>
      <c r="W1814" s="98"/>
      <c r="Y1814" s="98"/>
      <c r="Z1814" s="98"/>
      <c r="AA1814" s="98"/>
      <c r="AB1814" s="181"/>
      <c r="AC1814" s="98"/>
      <c r="AD1814" s="335"/>
      <c r="AE1814" s="183"/>
      <c r="AF1814" s="335"/>
    </row>
    <row r="1815" spans="1:36" ht="12" hidden="1" customHeight="1">
      <c r="A1815" s="331" t="s">
        <v>975</v>
      </c>
      <c r="B1815" s="331"/>
      <c r="C1815" s="334"/>
      <c r="D1815" s="331"/>
      <c r="E1815" s="332"/>
      <c r="F1815" s="333"/>
      <c r="G1815" s="333">
        <v>20</v>
      </c>
      <c r="H1815" s="333"/>
      <c r="I1815" s="43"/>
      <c r="J1815" s="43"/>
      <c r="R1815" s="98"/>
      <c r="S1815" s="180"/>
      <c r="T1815" s="98"/>
      <c r="U1815" s="98"/>
      <c r="V1815" s="98"/>
      <c r="W1815" s="98"/>
      <c r="Y1815" s="98"/>
      <c r="Z1815" s="98"/>
      <c r="AA1815" s="98"/>
      <c r="AB1815" s="181"/>
      <c r="AC1815" s="98"/>
      <c r="AD1815" s="335"/>
      <c r="AE1815" s="183"/>
      <c r="AF1815" s="335"/>
    </row>
    <row r="1816" spans="1:36" ht="12" hidden="1" customHeight="1">
      <c r="A1816" s="336" t="s">
        <v>976</v>
      </c>
      <c r="B1816" s="336"/>
      <c r="C1816" s="337">
        <v>0.12239999999999999</v>
      </c>
      <c r="D1816" s="336"/>
      <c r="E1816" s="337">
        <v>0.10199999999999999</v>
      </c>
      <c r="F1816" s="337">
        <v>0.10299999999999999</v>
      </c>
      <c r="G1816" s="337">
        <v>0.1236</v>
      </c>
      <c r="H1816" s="337">
        <v>0.18</v>
      </c>
      <c r="I1816" s="43"/>
      <c r="J1816" s="43"/>
      <c r="R1816" s="98"/>
      <c r="S1816" s="180"/>
      <c r="T1816" s="181"/>
      <c r="U1816" s="98"/>
      <c r="V1816" s="98"/>
      <c r="W1816" s="98"/>
      <c r="Y1816" s="98"/>
      <c r="Z1816" s="98"/>
      <c r="AA1816" s="98"/>
      <c r="AB1816" s="98"/>
      <c r="AC1816" s="98"/>
      <c r="AD1816" s="338"/>
      <c r="AE1816" s="183"/>
      <c r="AF1816" s="338"/>
    </row>
    <row r="1817" spans="1:36" ht="12" hidden="1" customHeight="1">
      <c r="A1817" s="339" t="s">
        <v>977</v>
      </c>
      <c r="B1817" s="339"/>
      <c r="C1817" s="340">
        <v>1.25E-3</v>
      </c>
      <c r="D1817" s="339"/>
      <c r="E1817" s="340">
        <v>7.5000000000000002E-4</v>
      </c>
      <c r="F1817" s="340">
        <v>1E-3</v>
      </c>
      <c r="G1817" s="340"/>
      <c r="H1817" s="340"/>
      <c r="I1817" s="43"/>
      <c r="J1817" s="43"/>
      <c r="R1817" s="98"/>
      <c r="S1817" s="180"/>
      <c r="T1817" s="98"/>
      <c r="U1817" s="98"/>
      <c r="V1817" s="98"/>
      <c r="W1817" s="98"/>
      <c r="Y1817" s="98"/>
      <c r="Z1817" s="98"/>
      <c r="AA1817" s="98"/>
      <c r="AB1817" s="98"/>
      <c r="AC1817" s="98"/>
      <c r="AD1817" s="338"/>
      <c r="AE1817" s="183"/>
      <c r="AF1817" s="338"/>
    </row>
    <row r="1818" spans="1:36" ht="12" hidden="1" customHeight="1">
      <c r="A1818" s="339" t="s">
        <v>978</v>
      </c>
      <c r="B1818" s="339"/>
      <c r="C1818" s="340">
        <v>2.5000000000000001E-4</v>
      </c>
      <c r="D1818" s="339"/>
      <c r="E1818" s="340">
        <v>1.4999999999999999E-4</v>
      </c>
      <c r="F1818" s="340">
        <v>2.5000000000000001E-4</v>
      </c>
      <c r="G1818" s="341"/>
      <c r="H1818" s="341"/>
      <c r="I1818" s="43"/>
      <c r="J1818" s="43"/>
      <c r="R1818" s="98"/>
      <c r="S1818" s="180"/>
      <c r="T1818" s="98"/>
      <c r="U1818" s="98"/>
      <c r="V1818" s="98"/>
      <c r="W1818" s="98"/>
      <c r="Y1818" s="98"/>
      <c r="Z1818" s="98"/>
      <c r="AA1818" s="98"/>
      <c r="AB1818" s="98"/>
      <c r="AC1818" s="98"/>
      <c r="AD1818" s="338"/>
      <c r="AE1818" s="183"/>
      <c r="AF1818" s="338"/>
    </row>
    <row r="1819" spans="1:36" ht="12" hidden="1" customHeight="1">
      <c r="A1819" s="339" t="s">
        <v>979</v>
      </c>
      <c r="B1819" s="339"/>
      <c r="C1819" s="340">
        <v>1.7000000000000001E-4</v>
      </c>
      <c r="D1819" s="339"/>
      <c r="E1819" s="342">
        <v>1E-4</v>
      </c>
      <c r="F1819" s="340">
        <v>5.0000000000000001E-4</v>
      </c>
      <c r="G1819" s="340">
        <v>6.2500000000000001E-4</v>
      </c>
      <c r="H1819" s="341"/>
      <c r="I1819" s="43"/>
      <c r="J1819" s="43"/>
      <c r="R1819" s="98"/>
      <c r="S1819" s="180"/>
      <c r="T1819" s="98"/>
      <c r="U1819" s="98"/>
      <c r="V1819" s="98"/>
      <c r="W1819" s="98"/>
      <c r="Y1819" s="98"/>
      <c r="Z1819" s="98"/>
      <c r="AA1819" s="98"/>
      <c r="AB1819" s="98"/>
      <c r="AC1819" s="98"/>
      <c r="AD1819" s="338"/>
      <c r="AE1819" s="183"/>
      <c r="AF1819" s="338"/>
    </row>
    <row r="1820" spans="1:36" ht="12" hidden="1" customHeight="1">
      <c r="A1820" s="343" t="s">
        <v>980</v>
      </c>
      <c r="B1820" s="343"/>
      <c r="C1820" s="344"/>
      <c r="D1820" s="343"/>
      <c r="E1820" s="344">
        <v>3.65E-5</v>
      </c>
      <c r="F1820" s="344">
        <v>3.2499999999999997E-5</v>
      </c>
      <c r="G1820" s="344">
        <v>2.7500000000000001E-5</v>
      </c>
      <c r="H1820" s="344">
        <v>3.4499999999999998E-5</v>
      </c>
      <c r="I1820" s="344">
        <v>3.2499999999999997E-5</v>
      </c>
      <c r="J1820" s="43"/>
      <c r="R1820" s="98"/>
      <c r="S1820" s="180"/>
      <c r="T1820" s="98"/>
      <c r="U1820" s="98"/>
      <c r="V1820" s="98"/>
      <c r="W1820" s="98"/>
      <c r="Y1820" s="98"/>
      <c r="Z1820" s="98"/>
      <c r="AA1820" s="181"/>
      <c r="AB1820" s="98"/>
      <c r="AC1820" s="98"/>
      <c r="AD1820" s="98"/>
      <c r="AE1820" s="183"/>
      <c r="AF1820" s="98"/>
    </row>
    <row r="1821" spans="1:36" ht="12" hidden="1" customHeight="1">
      <c r="A1821" s="343" t="s">
        <v>981</v>
      </c>
      <c r="B1821" s="343"/>
      <c r="C1821" s="344"/>
      <c r="D1821" s="343"/>
      <c r="E1821" s="345"/>
      <c r="F1821" s="344"/>
      <c r="G1821" s="344"/>
      <c r="H1821" s="344">
        <v>3.0000000000000001E-5</v>
      </c>
      <c r="I1821" s="344">
        <v>3.4499999999999998E-5</v>
      </c>
      <c r="J1821" s="344">
        <v>1E-3</v>
      </c>
      <c r="K1821" s="344">
        <v>3.7499999999999997E-5</v>
      </c>
      <c r="R1821" s="98"/>
      <c r="S1821" s="180"/>
      <c r="T1821" s="98"/>
      <c r="U1821" s="98"/>
      <c r="V1821" s="98"/>
      <c r="W1821" s="98"/>
      <c r="X1821" s="98"/>
      <c r="Y1821" s="98"/>
      <c r="Z1821" s="98"/>
      <c r="AA1821" s="181"/>
      <c r="AB1821" s="98"/>
      <c r="AC1821" s="98"/>
      <c r="AD1821" s="98"/>
      <c r="AE1821" s="183"/>
      <c r="AF1821" s="98"/>
    </row>
    <row r="1822" spans="1:36" ht="12" hidden="1" customHeight="1">
      <c r="A1822" s="343" t="s">
        <v>982</v>
      </c>
      <c r="B1822" s="343"/>
      <c r="C1822" s="344"/>
      <c r="D1822" s="343"/>
      <c r="E1822" s="345"/>
      <c r="F1822" s="344"/>
      <c r="G1822" s="344"/>
      <c r="H1822" s="344">
        <v>5.2999999999999998E-4</v>
      </c>
      <c r="I1822" s="344">
        <v>5.0000000000000001E-4</v>
      </c>
      <c r="J1822" s="344"/>
      <c r="R1822" s="98"/>
      <c r="S1822" s="180"/>
      <c r="T1822" s="98"/>
      <c r="U1822" s="98"/>
      <c r="V1822" s="98"/>
      <c r="W1822" s="98"/>
      <c r="X1822" s="98"/>
      <c r="Y1822" s="98"/>
      <c r="Z1822" s="98"/>
      <c r="AA1822" s="181"/>
      <c r="AB1822" s="98"/>
      <c r="AC1822" s="98"/>
      <c r="AD1822" s="98"/>
      <c r="AE1822" s="183"/>
      <c r="AF1822" s="98"/>
    </row>
    <row r="1823" spans="1:36" ht="12" hidden="1" customHeight="1">
      <c r="A1823" s="346" t="s">
        <v>983</v>
      </c>
      <c r="B1823" s="346"/>
      <c r="C1823" s="347">
        <v>1E-4</v>
      </c>
      <c r="D1823" s="346"/>
      <c r="E1823" s="348"/>
      <c r="F1823" s="347">
        <v>1.4999999999999999E-4</v>
      </c>
      <c r="G1823" s="43"/>
      <c r="H1823" s="43"/>
      <c r="I1823" s="43"/>
      <c r="J1823" s="43"/>
      <c r="R1823" s="98"/>
      <c r="S1823" s="180"/>
      <c r="T1823" s="98"/>
      <c r="U1823" s="98"/>
      <c r="V1823" s="98"/>
      <c r="W1823" s="98"/>
      <c r="X1823" s="98"/>
      <c r="Y1823" s="98"/>
      <c r="Z1823" s="98"/>
      <c r="AA1823" s="98"/>
      <c r="AB1823" s="98"/>
      <c r="AC1823" s="98"/>
      <c r="AD1823" s="98"/>
      <c r="AE1823" s="183"/>
      <c r="AF1823" s="98"/>
    </row>
    <row r="1824" spans="1:36" ht="12" hidden="1" customHeight="1">
      <c r="A1824" s="346" t="s">
        <v>984</v>
      </c>
      <c r="B1824" s="346"/>
      <c r="C1824" s="347">
        <v>1E-4</v>
      </c>
      <c r="D1824" s="346"/>
      <c r="E1824" s="348"/>
      <c r="F1824" s="347">
        <v>2.0000000000000002E-5</v>
      </c>
      <c r="G1824" s="347">
        <v>3.0000000000000001E-5</v>
      </c>
      <c r="H1824" s="43"/>
      <c r="I1824" s="43"/>
      <c r="J1824" s="43"/>
      <c r="R1824" s="98"/>
      <c r="S1824" s="180"/>
      <c r="T1824" s="98"/>
      <c r="U1824" s="98"/>
      <c r="V1824" s="98"/>
      <c r="W1824" s="98"/>
      <c r="X1824" s="98"/>
      <c r="Y1824" s="98"/>
      <c r="Z1824" s="98"/>
      <c r="AA1824" s="98"/>
      <c r="AB1824" s="98"/>
      <c r="AC1824" s="98"/>
      <c r="AD1824" s="98"/>
      <c r="AE1824" s="183"/>
      <c r="AF1824" s="98"/>
    </row>
    <row r="1825" spans="1:32" ht="12" hidden="1" customHeight="1">
      <c r="A1825" s="346" t="s">
        <v>985</v>
      </c>
      <c r="B1825" s="346"/>
      <c r="C1825" s="347"/>
      <c r="D1825" s="346"/>
      <c r="E1825" s="348"/>
      <c r="F1825" s="347"/>
      <c r="G1825" s="347">
        <v>3.0000000000000001E-5</v>
      </c>
      <c r="H1825" s="43"/>
      <c r="I1825" s="43"/>
      <c r="J1825" s="43"/>
      <c r="R1825" s="98"/>
      <c r="S1825" s="180"/>
      <c r="T1825" s="98"/>
      <c r="U1825" s="98"/>
      <c r="V1825" s="98"/>
      <c r="W1825" s="98"/>
      <c r="X1825" s="98"/>
      <c r="Y1825" s="98"/>
      <c r="Z1825" s="98"/>
      <c r="AA1825" s="98"/>
      <c r="AB1825" s="98"/>
      <c r="AC1825" s="98"/>
      <c r="AD1825" s="98"/>
      <c r="AE1825" s="183"/>
      <c r="AF1825" s="98"/>
    </row>
    <row r="1826" spans="1:32" ht="12" hidden="1" customHeight="1">
      <c r="A1826" s="272" t="s">
        <v>169</v>
      </c>
      <c r="B1826" s="272"/>
      <c r="C1826" s="349">
        <f>10/10000000</f>
        <v>9.9999999999999995E-7</v>
      </c>
      <c r="D1826" s="272"/>
      <c r="E1826" s="350">
        <v>0.01</v>
      </c>
      <c r="F1826" s="351"/>
      <c r="G1826" s="43"/>
      <c r="H1826" s="43"/>
      <c r="I1826" s="43"/>
      <c r="J1826" s="43"/>
      <c r="R1826" s="98"/>
      <c r="S1826" s="180"/>
      <c r="T1826" s="98"/>
      <c r="U1826" s="98"/>
      <c r="V1826" s="98"/>
      <c r="W1826" s="98"/>
      <c r="X1826" s="98"/>
      <c r="Y1826" s="98"/>
      <c r="Z1826" s="98"/>
      <c r="AA1826" s="98"/>
      <c r="AB1826" s="98"/>
      <c r="AC1826" s="98"/>
      <c r="AD1826" s="98"/>
      <c r="AE1826" s="183"/>
      <c r="AF1826" s="98"/>
    </row>
    <row r="1827" spans="1:32">
      <c r="AC1827" s="98"/>
      <c r="AD1827" s="98"/>
      <c r="AE1827" s="183"/>
    </row>
    <row r="1828" spans="1:32">
      <c r="AC1828" s="98"/>
      <c r="AD1828" s="98"/>
      <c r="AE1828" s="183"/>
    </row>
    <row r="1829" spans="1:32">
      <c r="AC1829" s="98"/>
      <c r="AD1829" s="98"/>
      <c r="AE1829" s="183"/>
    </row>
    <row r="1830" spans="1:32">
      <c r="K1830" s="40"/>
      <c r="AC1830" s="98"/>
      <c r="AD1830" s="98"/>
      <c r="AE1830" s="183"/>
    </row>
    <row r="1831" spans="1:32">
      <c r="AC1831" s="98"/>
      <c r="AD1831" s="98"/>
      <c r="AE1831" s="183"/>
    </row>
    <row r="1832" spans="1:32">
      <c r="AC1832" s="98"/>
      <c r="AD1832" s="98"/>
      <c r="AE1832" s="183"/>
    </row>
    <row r="1833" spans="1:32">
      <c r="AC1833" s="98"/>
      <c r="AD1833" s="98"/>
      <c r="AE1833" s="183"/>
    </row>
    <row r="1834" spans="1:32">
      <c r="AC1834" s="98"/>
      <c r="AD1834" s="98"/>
      <c r="AE1834" s="183"/>
    </row>
    <row r="1835" spans="1:32">
      <c r="AC1835" s="98"/>
      <c r="AD1835" s="98"/>
      <c r="AE1835" s="183"/>
    </row>
  </sheetData>
  <mergeCells count="30">
    <mergeCell ref="AF1799:AF1802"/>
    <mergeCell ref="AG1799:AH1800"/>
    <mergeCell ref="AC1804:AC1807"/>
    <mergeCell ref="AD1804:AD1807"/>
    <mergeCell ref="R1793:T1797"/>
    <mergeCell ref="R1799:R1810"/>
    <mergeCell ref="S1799:S1804"/>
    <mergeCell ref="S1805:S1810"/>
    <mergeCell ref="AC1795:AD1795"/>
    <mergeCell ref="AC1799:AC1800"/>
    <mergeCell ref="AD1799:AD1800"/>
    <mergeCell ref="T1799:AB1799"/>
    <mergeCell ref="T1807:U1807"/>
    <mergeCell ref="T1808:U1808"/>
    <mergeCell ref="T1809:U1809"/>
    <mergeCell ref="T1810:U1810"/>
    <mergeCell ref="T1804:U1804"/>
    <mergeCell ref="T1805:U1805"/>
    <mergeCell ref="T1806:U1806"/>
    <mergeCell ref="R1792:AA1792"/>
    <mergeCell ref="AC1792:AE1792"/>
    <mergeCell ref="U1793:U1797"/>
    <mergeCell ref="V1793:X1797"/>
    <mergeCell ref="AC1793:AD1793"/>
    <mergeCell ref="AC1794:AD1794"/>
    <mergeCell ref="AE1799:AE1800"/>
    <mergeCell ref="T1800:U1800"/>
    <mergeCell ref="T1801:U1801"/>
    <mergeCell ref="T1802:U1802"/>
    <mergeCell ref="T1803:U1803"/>
  </mergeCells>
  <conditionalFormatting sqref="B1433:B1790">
    <cfRule type="expression" dxfId="45" priority="1">
      <formula>H1433="PE"</formula>
    </cfRule>
  </conditionalFormatting>
  <conditionalFormatting sqref="B1433:B1790">
    <cfRule type="expression" dxfId="44" priority="2">
      <formula>H1433="CE"</formula>
    </cfRule>
  </conditionalFormatting>
  <dataValidations count="7">
    <dataValidation type="custom" allowBlank="1" showDropDown="1" sqref="A622:A838 A841:A842 A1332:A1427 A1430 A1554 A1556:A1787 A1790">
      <formula1>OR(NOT(ISERROR(DATEVALUE(A622))), AND(ISNUMBER(A622), LEFT(CELL("format", A622))="D"))</formula1>
    </dataValidation>
    <dataValidation type="list" allowBlank="1" sqref="C828:C838 C841:C842 C1421:C1427 C1430 C1782:C1787 C1790">
      <formula1>"Satya,Sunita"</formula1>
    </dataValidation>
    <dataValidation type="custom" allowBlank="1" sqref="R1799">
      <formula1>OR(NOT(ISERROR(DATEVALUE(R1799))), AND(ISNUMBER(R1799), LEFT(CELL("format", R1799))="D"))</formula1>
    </dataValidation>
    <dataValidation type="list" allowBlank="1" showErrorMessage="1" sqref="S1805">
      <formula1>"Satya,Sunita"</formula1>
    </dataValidation>
    <dataValidation type="list" allowBlank="1" sqref="AG1693:AG1787 AG1790">
      <formula1>"Zerodha,Kotak,Dhan"</formula1>
    </dataValidation>
    <dataValidation type="list" allowBlank="1" showErrorMessage="1" sqref="S1799">
      <formula1>"Zerodha,Dhan,Kotak"</formula1>
    </dataValidation>
    <dataValidation type="list" allowBlank="1" sqref="AE1796">
      <formula1>"Golden"</formula1>
    </dataValidation>
  </dataValidations>
  <pageMargins left="1.69" right="0.75" top="0.49" bottom="1" header="0" footer="0"/>
  <pageSetup paperSize="9" scale="87" orientation="portrait"/>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rgb="FF99CC00"/>
  </sheetPr>
  <dimension ref="A1:Z1000"/>
  <sheetViews>
    <sheetView workbookViewId="0">
      <pane ySplit="1" topLeftCell="A2" activePane="bottomLeft" state="frozen"/>
      <selection pane="bottomLeft" activeCell="B3" sqref="B3"/>
    </sheetView>
  </sheetViews>
  <sheetFormatPr baseColWidth="10" defaultColWidth="14.42578125" defaultRowHeight="15" customHeight="1" outlineLevelCol="1"/>
  <cols>
    <col min="1" max="1" width="10.42578125" customWidth="1"/>
    <col min="2" max="2" width="21.28515625" customWidth="1"/>
    <col min="3" max="3" width="6.5703125" customWidth="1"/>
    <col min="4" max="4" width="7.28515625" customWidth="1"/>
    <col min="5" max="5" width="9" customWidth="1"/>
    <col min="6" max="6" width="7.5703125" customWidth="1"/>
    <col min="7" max="7" width="9.85546875" customWidth="1"/>
    <col min="8" max="9" width="9.28515625" hidden="1" customWidth="1" outlineLevel="1"/>
    <col min="10" max="10" width="9.85546875" hidden="1" customWidth="1" outlineLevel="1"/>
    <col min="11" max="11" width="10.140625" customWidth="1" collapsed="1"/>
    <col min="12" max="12" width="9" customWidth="1"/>
    <col min="13" max="13" width="8.5703125" hidden="1" customWidth="1" outlineLevel="1"/>
    <col min="14" max="14" width="9.7109375" hidden="1" customWidth="1" outlineLevel="1"/>
    <col min="15" max="15" width="10.7109375" hidden="1" customWidth="1" outlineLevel="1"/>
    <col min="16" max="16" width="9.7109375" hidden="1" customWidth="1" outlineLevel="1"/>
    <col min="17" max="17" width="10.7109375" hidden="1" customWidth="1" outlineLevel="1"/>
    <col min="18" max="18" width="9.7109375" customWidth="1" collapsed="1"/>
    <col min="19" max="19" width="10.7109375" customWidth="1"/>
    <col min="20" max="20" width="10.140625" customWidth="1"/>
    <col min="21" max="21" width="10.7109375" customWidth="1"/>
    <col min="22" max="22" width="10.140625" customWidth="1"/>
    <col min="23" max="23" width="9" customWidth="1"/>
    <col min="24" max="24" width="9.7109375" customWidth="1"/>
    <col min="25" max="25" width="5.7109375" customWidth="1"/>
    <col min="26" max="26" width="9.5703125" customWidth="1"/>
  </cols>
  <sheetData>
    <row r="1" spans="1:26" ht="12" customHeight="1">
      <c r="A1" s="98" t="s">
        <v>0</v>
      </c>
      <c r="B1" s="98" t="s">
        <v>986</v>
      </c>
      <c r="C1" s="352" t="s">
        <v>987</v>
      </c>
      <c r="D1" s="353" t="s">
        <v>988</v>
      </c>
      <c r="E1" s="353" t="s">
        <v>441</v>
      </c>
      <c r="F1" s="353" t="s">
        <v>442</v>
      </c>
      <c r="G1" s="353" t="s">
        <v>443</v>
      </c>
      <c r="H1" s="353" t="s">
        <v>989</v>
      </c>
      <c r="I1" s="353" t="s">
        <v>990</v>
      </c>
      <c r="J1" s="353" t="s">
        <v>991</v>
      </c>
      <c r="K1" s="353" t="s">
        <v>992</v>
      </c>
      <c r="L1" s="353" t="s">
        <v>442</v>
      </c>
      <c r="M1" s="353" t="s">
        <v>993</v>
      </c>
      <c r="N1" s="353" t="s">
        <v>994</v>
      </c>
      <c r="O1" s="353" t="s">
        <v>995</v>
      </c>
      <c r="P1" s="353" t="s">
        <v>996</v>
      </c>
      <c r="Q1" s="353" t="s">
        <v>450</v>
      </c>
      <c r="R1" s="353" t="s">
        <v>997</v>
      </c>
      <c r="S1" s="353" t="s">
        <v>998</v>
      </c>
      <c r="T1" s="353" t="s">
        <v>999</v>
      </c>
      <c r="U1" s="353"/>
      <c r="V1" s="353" t="s">
        <v>1000</v>
      </c>
      <c r="W1" s="353" t="s">
        <v>1001</v>
      </c>
      <c r="X1" s="353" t="s">
        <v>1002</v>
      </c>
      <c r="Y1" s="353" t="s">
        <v>1003</v>
      </c>
      <c r="Z1" s="98"/>
    </row>
    <row r="2" spans="1:26" ht="12" customHeight="1">
      <c r="A2" s="180">
        <v>38348</v>
      </c>
      <c r="B2" s="354" t="s">
        <v>1004</v>
      </c>
      <c r="C2" s="98" t="s">
        <v>460</v>
      </c>
      <c r="D2" s="98">
        <v>100</v>
      </c>
      <c r="E2" s="181">
        <v>70.3</v>
      </c>
      <c r="F2" s="181">
        <f t="shared" ref="F2:F3" si="0">ROUND(L2/D2,2)</f>
        <v>0.49</v>
      </c>
      <c r="G2" s="181"/>
      <c r="H2" s="181">
        <f t="shared" ref="H2:H116" si="1">ROUND(E2+I2,2)</f>
        <v>71.010000000000005</v>
      </c>
      <c r="I2" s="219">
        <f t="shared" ref="I2:I116" si="2">ROUNDUP(SUM(L2:Q2)/D2,4)</f>
        <v>0.70499999999999996</v>
      </c>
      <c r="J2" s="181">
        <f t="shared" ref="J2:J5" si="3">D2*E2</f>
        <v>7030</v>
      </c>
      <c r="K2" s="181">
        <f t="shared" ref="K2:K4" si="4">-ROUNDUP(J2+L2+M2+N2+Q2,2)</f>
        <v>-7100.5</v>
      </c>
      <c r="L2" s="181">
        <f t="shared" ref="L2:L3" si="5">J2*D$326</f>
        <v>49.21</v>
      </c>
      <c r="M2" s="181">
        <f t="shared" ref="M2:M3" si="6">L2*D$328</f>
        <v>5.0194199999999993</v>
      </c>
      <c r="N2" s="181">
        <f t="shared" ref="N2:N3" si="7">ROUND(J2*D$329,2)</f>
        <v>5.27</v>
      </c>
      <c r="O2" s="181"/>
      <c r="P2" s="181"/>
      <c r="Q2" s="98">
        <f t="shared" ref="Q2:Q3" si="8">D$336</f>
        <v>11</v>
      </c>
      <c r="R2" s="181">
        <v>-7100.27</v>
      </c>
      <c r="S2" s="183">
        <f t="shared" ref="S2:S103" si="9">IF(R2=K2,0,IF(R2&lt;0,K2-R2))</f>
        <v>-0.22999999999956344</v>
      </c>
      <c r="T2" s="180">
        <v>38349</v>
      </c>
      <c r="U2" s="355"/>
      <c r="V2" s="98"/>
      <c r="W2" s="98"/>
      <c r="X2" s="356"/>
      <c r="Y2" s="98"/>
      <c r="Z2" s="98"/>
    </row>
    <row r="3" spans="1:26" ht="12" customHeight="1">
      <c r="A3" s="180">
        <v>38359</v>
      </c>
      <c r="B3" s="354" t="s">
        <v>1005</v>
      </c>
      <c r="C3" s="98" t="s">
        <v>460</v>
      </c>
      <c r="D3" s="98">
        <v>100</v>
      </c>
      <c r="E3" s="181">
        <v>16.100000000000001</v>
      </c>
      <c r="F3" s="181">
        <f t="shared" si="0"/>
        <v>0.11</v>
      </c>
      <c r="G3" s="181"/>
      <c r="H3" s="181">
        <f t="shared" si="1"/>
        <v>16.350000000000001</v>
      </c>
      <c r="I3" s="219">
        <f t="shared" si="2"/>
        <v>0.24629999999999999</v>
      </c>
      <c r="J3" s="181">
        <f t="shared" si="3"/>
        <v>1610.0000000000002</v>
      </c>
      <c r="K3" s="181">
        <f t="shared" si="4"/>
        <v>-1634.6299999999999</v>
      </c>
      <c r="L3" s="181">
        <f t="shared" si="5"/>
        <v>11.270000000000001</v>
      </c>
      <c r="M3" s="181">
        <f t="shared" si="6"/>
        <v>1.14954</v>
      </c>
      <c r="N3" s="181">
        <f t="shared" si="7"/>
        <v>1.21</v>
      </c>
      <c r="O3" s="181"/>
      <c r="P3" s="181"/>
      <c r="Q3" s="98">
        <f t="shared" si="8"/>
        <v>11</v>
      </c>
      <c r="R3" s="181">
        <v>-1634.33</v>
      </c>
      <c r="S3" s="183">
        <f t="shared" si="9"/>
        <v>-0.29999999999995453</v>
      </c>
      <c r="T3" s="180">
        <v>38360</v>
      </c>
      <c r="U3" s="355"/>
      <c r="V3" s="98"/>
      <c r="W3" s="98"/>
      <c r="X3" s="356"/>
      <c r="Y3" s="98"/>
      <c r="Z3" s="98"/>
    </row>
    <row r="4" spans="1:26" ht="12" customHeight="1">
      <c r="A4" s="180">
        <v>38456</v>
      </c>
      <c r="B4" s="354" t="s">
        <v>1004</v>
      </c>
      <c r="C4" s="98" t="s">
        <v>460</v>
      </c>
      <c r="D4" s="98">
        <v>75</v>
      </c>
      <c r="E4" s="181">
        <v>82</v>
      </c>
      <c r="F4" s="181"/>
      <c r="G4" s="181"/>
      <c r="H4" s="181">
        <f t="shared" si="1"/>
        <v>82</v>
      </c>
      <c r="I4" s="219">
        <f t="shared" si="2"/>
        <v>0</v>
      </c>
      <c r="J4" s="181">
        <f t="shared" si="3"/>
        <v>6150</v>
      </c>
      <c r="K4" s="181">
        <f t="shared" si="4"/>
        <v>-6150</v>
      </c>
      <c r="L4" s="181"/>
      <c r="M4" s="181"/>
      <c r="N4" s="181"/>
      <c r="O4" s="181"/>
      <c r="P4" s="181"/>
      <c r="Q4" s="98"/>
      <c r="R4" s="181">
        <v>-6150</v>
      </c>
      <c r="S4" s="183">
        <f t="shared" si="9"/>
        <v>0</v>
      </c>
      <c r="T4" s="180">
        <v>38457</v>
      </c>
      <c r="U4" s="355"/>
      <c r="V4" s="98"/>
      <c r="W4" s="98"/>
      <c r="X4" s="356"/>
      <c r="Y4" s="98"/>
      <c r="Z4" s="98"/>
    </row>
    <row r="5" spans="1:26" ht="12" customHeight="1">
      <c r="A5" s="180">
        <v>38496</v>
      </c>
      <c r="B5" s="354" t="s">
        <v>1006</v>
      </c>
      <c r="C5" s="98" t="s">
        <v>460</v>
      </c>
      <c r="D5" s="98">
        <v>5</v>
      </c>
      <c r="E5" s="181">
        <v>1398</v>
      </c>
      <c r="F5" s="181">
        <f>ROUND(L5/D5,2)</f>
        <v>6.99</v>
      </c>
      <c r="G5" s="181"/>
      <c r="H5" s="181">
        <f t="shared" si="1"/>
        <v>1406.94</v>
      </c>
      <c r="I5" s="219">
        <f t="shared" si="2"/>
        <v>8.9398</v>
      </c>
      <c r="J5" s="181">
        <f t="shared" si="3"/>
        <v>6990</v>
      </c>
      <c r="K5" s="181">
        <f>-ROUNDUP(J5+L5+M5+N5+O5+P5+Q5,2)</f>
        <v>-7034.7</v>
      </c>
      <c r="L5" s="181">
        <f>J5*E$326</f>
        <v>34.950000000000003</v>
      </c>
      <c r="M5" s="181">
        <f t="shared" ref="M5:M7" si="10">L5*E$328</f>
        <v>3.5649000000000002</v>
      </c>
      <c r="N5" s="181">
        <f>ROUND(J5*D$329,2)</f>
        <v>5.24</v>
      </c>
      <c r="O5" s="181">
        <f t="shared" ref="O5:O7" si="11">J5*E$332</f>
        <v>0.24464999999999998</v>
      </c>
      <c r="P5" s="181">
        <f t="shared" ref="P5:P7" si="12">J5*E$334</f>
        <v>0.69900000000000007</v>
      </c>
      <c r="Q5" s="98">
        <f t="shared" ref="Q5:Q7" si="13">E$336</f>
        <v>0</v>
      </c>
      <c r="R5" s="181">
        <v>-7035</v>
      </c>
      <c r="S5" s="183">
        <f t="shared" si="9"/>
        <v>0.3000000000001819</v>
      </c>
      <c r="T5" s="180">
        <v>38497</v>
      </c>
      <c r="U5" s="355"/>
      <c r="V5" s="98"/>
      <c r="W5" s="98"/>
      <c r="X5" s="356"/>
      <c r="Y5" s="98"/>
      <c r="Z5" s="98"/>
    </row>
    <row r="6" spans="1:26" ht="12" customHeight="1">
      <c r="A6" s="180">
        <v>38517</v>
      </c>
      <c r="B6" s="354" t="s">
        <v>640</v>
      </c>
      <c r="C6" s="98" t="s">
        <v>460</v>
      </c>
      <c r="D6" s="98">
        <v>50</v>
      </c>
      <c r="E6" s="181">
        <v>83.1</v>
      </c>
      <c r="F6" s="181">
        <f t="shared" ref="F6:F7" si="14">IF(E6*D6*E$326&lt;10,10/D6,ROUND(E6*E$326,2))</f>
        <v>0.42</v>
      </c>
      <c r="G6" s="181">
        <f t="shared" ref="G6:G7" si="15">E6+F6</f>
        <v>83.52</v>
      </c>
      <c r="H6" s="181">
        <f t="shared" si="1"/>
        <v>83.66</v>
      </c>
      <c r="I6" s="219">
        <f t="shared" si="2"/>
        <v>0.55779999999999996</v>
      </c>
      <c r="J6" s="181">
        <f t="shared" ref="J6:J7" si="16">D6*G6</f>
        <v>4176</v>
      </c>
      <c r="K6" s="181">
        <f t="shared" ref="K6:K116" si="17">-ROUNDUP(J6+M6+N6+O6+P6+Q6,2)</f>
        <v>-4182.8900000000003</v>
      </c>
      <c r="L6" s="181">
        <f t="shared" ref="L6:L7" si="18">F6*D6</f>
        <v>21</v>
      </c>
      <c r="M6" s="181">
        <f t="shared" si="10"/>
        <v>2.1419999999999999</v>
      </c>
      <c r="N6" s="181">
        <f t="shared" ref="N6:N7" si="19">ROUND(J6*E$329,2)</f>
        <v>4.18</v>
      </c>
      <c r="O6" s="181">
        <f t="shared" si="11"/>
        <v>0.14615999999999998</v>
      </c>
      <c r="P6" s="181">
        <f t="shared" si="12"/>
        <v>0.41760000000000003</v>
      </c>
      <c r="Q6" s="98">
        <f t="shared" si="13"/>
        <v>0</v>
      </c>
      <c r="R6" s="181">
        <v>-4183</v>
      </c>
      <c r="S6" s="183">
        <f t="shared" si="9"/>
        <v>0.10999999999967258</v>
      </c>
      <c r="T6" s="180">
        <v>38518</v>
      </c>
      <c r="U6" s="355"/>
      <c r="V6" s="98"/>
      <c r="W6" s="98"/>
      <c r="X6" s="356"/>
      <c r="Y6" s="98"/>
      <c r="Z6" s="98"/>
    </row>
    <row r="7" spans="1:26" ht="12" customHeight="1">
      <c r="A7" s="180">
        <v>38541</v>
      </c>
      <c r="B7" s="354" t="s">
        <v>1007</v>
      </c>
      <c r="C7" s="98" t="s">
        <v>460</v>
      </c>
      <c r="D7" s="98">
        <v>50</v>
      </c>
      <c r="E7" s="181">
        <v>111.5</v>
      </c>
      <c r="F7" s="181">
        <f t="shared" si="14"/>
        <v>0.56000000000000005</v>
      </c>
      <c r="G7" s="181">
        <f t="shared" si="15"/>
        <v>112.06</v>
      </c>
      <c r="H7" s="181">
        <f t="shared" si="1"/>
        <v>112.24</v>
      </c>
      <c r="I7" s="219">
        <f t="shared" si="2"/>
        <v>0.74429999999999996</v>
      </c>
      <c r="J7" s="181">
        <f t="shared" si="16"/>
        <v>5603</v>
      </c>
      <c r="K7" s="181">
        <f t="shared" si="17"/>
        <v>-5612.22</v>
      </c>
      <c r="L7" s="181">
        <f t="shared" si="18"/>
        <v>28.000000000000004</v>
      </c>
      <c r="M7" s="181">
        <f t="shared" si="10"/>
        <v>2.8560000000000003</v>
      </c>
      <c r="N7" s="181">
        <f t="shared" si="19"/>
        <v>5.6</v>
      </c>
      <c r="O7" s="181">
        <f t="shared" si="11"/>
        <v>0.19610499999999997</v>
      </c>
      <c r="P7" s="181">
        <f t="shared" si="12"/>
        <v>0.56030000000000002</v>
      </c>
      <c r="Q7" s="98">
        <f t="shared" si="13"/>
        <v>0</v>
      </c>
      <c r="R7" s="181">
        <v>-5612.22</v>
      </c>
      <c r="S7" s="183">
        <f t="shared" si="9"/>
        <v>0</v>
      </c>
      <c r="T7" s="180">
        <v>38544</v>
      </c>
      <c r="U7" s="355"/>
      <c r="V7" s="98"/>
      <c r="W7" s="98"/>
      <c r="X7" s="356"/>
      <c r="Y7" s="98"/>
      <c r="Z7" s="98"/>
    </row>
    <row r="8" spans="1:26" ht="12" customHeight="1">
      <c r="A8" s="180">
        <v>38544</v>
      </c>
      <c r="B8" s="354" t="s">
        <v>1008</v>
      </c>
      <c r="C8" s="98" t="s">
        <v>460</v>
      </c>
      <c r="D8" s="98">
        <f>250-125</f>
        <v>125</v>
      </c>
      <c r="E8" s="181">
        <v>50</v>
      </c>
      <c r="F8" s="181"/>
      <c r="G8" s="181"/>
      <c r="H8" s="181">
        <f t="shared" si="1"/>
        <v>50</v>
      </c>
      <c r="I8" s="219">
        <f t="shared" si="2"/>
        <v>0</v>
      </c>
      <c r="J8" s="181">
        <f>D8*E8</f>
        <v>6250</v>
      </c>
      <c r="K8" s="181">
        <f t="shared" si="17"/>
        <v>-6250</v>
      </c>
      <c r="L8" s="181"/>
      <c r="M8" s="181"/>
      <c r="N8" s="181"/>
      <c r="O8" s="181"/>
      <c r="P8" s="181"/>
      <c r="Q8" s="98"/>
      <c r="R8" s="181">
        <f>-12500+6250</f>
        <v>-6250</v>
      </c>
      <c r="S8" s="183">
        <f t="shared" si="9"/>
        <v>0</v>
      </c>
      <c r="T8" s="180">
        <v>38548</v>
      </c>
      <c r="U8" s="355"/>
      <c r="V8" s="98"/>
      <c r="W8" s="181">
        <f>-ROUND(R8/D8,2)</f>
        <v>50</v>
      </c>
      <c r="X8" s="356"/>
      <c r="Y8" s="98"/>
      <c r="Z8" s="98"/>
    </row>
    <row r="9" spans="1:26" ht="12" customHeight="1">
      <c r="A9" s="180">
        <v>38547</v>
      </c>
      <c r="B9" s="354" t="s">
        <v>1007</v>
      </c>
      <c r="C9" s="98" t="s">
        <v>460</v>
      </c>
      <c r="D9" s="98">
        <v>50</v>
      </c>
      <c r="E9" s="181">
        <v>115</v>
      </c>
      <c r="F9" s="181">
        <f>IF(E9*D9*E$326&lt;10,10/D9,ROUND(E9*E$326,2))</f>
        <v>0.57999999999999996</v>
      </c>
      <c r="G9" s="181">
        <f>E9+F9</f>
        <v>115.58</v>
      </c>
      <c r="H9" s="181">
        <f t="shared" si="1"/>
        <v>115.77</v>
      </c>
      <c r="I9" s="219">
        <f t="shared" si="2"/>
        <v>0.77039999999999997</v>
      </c>
      <c r="J9" s="181">
        <f>D9*G9</f>
        <v>5779</v>
      </c>
      <c r="K9" s="181">
        <f t="shared" si="17"/>
        <v>-5788.52</v>
      </c>
      <c r="L9" s="181">
        <f>F9*D9</f>
        <v>28.999999999999996</v>
      </c>
      <c r="M9" s="181">
        <f>L9*E$328</f>
        <v>2.9579999999999993</v>
      </c>
      <c r="N9" s="181">
        <f>ROUND(J9*E$329,2)</f>
        <v>5.78</v>
      </c>
      <c r="O9" s="181">
        <f>J9*E$332</f>
        <v>0.20226499999999997</v>
      </c>
      <c r="P9" s="181">
        <f>J9*E$334</f>
        <v>0.57790000000000008</v>
      </c>
      <c r="Q9" s="98">
        <f>E$336</f>
        <v>0</v>
      </c>
      <c r="R9" s="181">
        <v>-5789.23</v>
      </c>
      <c r="S9" s="183">
        <f t="shared" si="9"/>
        <v>0.70999999999912689</v>
      </c>
      <c r="T9" s="180">
        <v>38548</v>
      </c>
      <c r="U9" s="355"/>
      <c r="V9" s="98"/>
      <c r="W9" s="98"/>
      <c r="X9" s="356"/>
      <c r="Y9" s="98"/>
      <c r="Z9" s="98"/>
    </row>
    <row r="10" spans="1:26" ht="12" customHeight="1">
      <c r="A10" s="180">
        <v>38551</v>
      </c>
      <c r="B10" s="354" t="s">
        <v>1009</v>
      </c>
      <c r="C10" s="98" t="s">
        <v>460</v>
      </c>
      <c r="D10" s="98">
        <v>200</v>
      </c>
      <c r="E10" s="181">
        <v>34</v>
      </c>
      <c r="F10" s="181"/>
      <c r="G10" s="181"/>
      <c r="H10" s="181">
        <f t="shared" si="1"/>
        <v>34</v>
      </c>
      <c r="I10" s="219">
        <f t="shared" si="2"/>
        <v>0</v>
      </c>
      <c r="J10" s="181">
        <f>D10*E10</f>
        <v>6800</v>
      </c>
      <c r="K10" s="181">
        <f t="shared" si="17"/>
        <v>-6800</v>
      </c>
      <c r="L10" s="181"/>
      <c r="M10" s="181"/>
      <c r="N10" s="181"/>
      <c r="O10" s="181"/>
      <c r="P10" s="181"/>
      <c r="Q10" s="98"/>
      <c r="R10" s="181">
        <v>-6800</v>
      </c>
      <c r="S10" s="183">
        <f t="shared" si="9"/>
        <v>0</v>
      </c>
      <c r="T10" s="180">
        <v>38556</v>
      </c>
      <c r="U10" s="355"/>
      <c r="V10" s="98"/>
      <c r="W10" s="98"/>
      <c r="X10" s="356"/>
      <c r="Y10" s="98"/>
      <c r="Z10" s="98"/>
    </row>
    <row r="11" spans="1:26" ht="12" customHeight="1">
      <c r="A11" s="180">
        <v>38552</v>
      </c>
      <c r="B11" s="354" t="s">
        <v>1010</v>
      </c>
      <c r="C11" s="98" t="s">
        <v>460</v>
      </c>
      <c r="D11" s="98">
        <v>10</v>
      </c>
      <c r="E11" s="181">
        <v>661</v>
      </c>
      <c r="F11" s="181">
        <f t="shared" ref="F11:F21" si="20">IF(E11*D11*E$326&lt;10,10/D11,ROUND(E11*E$326,2))</f>
        <v>3.31</v>
      </c>
      <c r="G11" s="181">
        <f t="shared" ref="G11:G21" si="21">E11+F11</f>
        <v>664.31</v>
      </c>
      <c r="H11" s="181">
        <f t="shared" si="1"/>
        <v>665.4</v>
      </c>
      <c r="I11" s="219">
        <f t="shared" si="2"/>
        <v>4.4013999999999998</v>
      </c>
      <c r="J11" s="181">
        <f t="shared" ref="J11:J21" si="22">D11*G11</f>
        <v>6643.0999999999995</v>
      </c>
      <c r="K11" s="181">
        <f t="shared" si="17"/>
        <v>-6654.02</v>
      </c>
      <c r="L11" s="181">
        <f t="shared" ref="L11:L21" si="23">F11*D11</f>
        <v>33.1</v>
      </c>
      <c r="M11" s="181">
        <f t="shared" ref="M11:M21" si="24">L11*E$328</f>
        <v>3.3761999999999999</v>
      </c>
      <c r="N11" s="181">
        <f t="shared" ref="N11:N21" si="25">ROUND(J11*E$329,2)</f>
        <v>6.64</v>
      </c>
      <c r="O11" s="181">
        <f t="shared" ref="O11:O21" si="26">J11*E$332</f>
        <v>0.23250849999999995</v>
      </c>
      <c r="P11" s="181">
        <f t="shared" ref="P11:P21" si="27">J11*E$334</f>
        <v>0.66430999999999996</v>
      </c>
      <c r="Q11" s="98">
        <f t="shared" ref="Q11:Q21" si="28">E$336</f>
        <v>0</v>
      </c>
      <c r="R11" s="181">
        <v>-6654</v>
      </c>
      <c r="S11" s="183">
        <f t="shared" si="9"/>
        <v>-2.0000000000436557E-2</v>
      </c>
      <c r="T11" s="180">
        <v>38554</v>
      </c>
      <c r="U11" s="355"/>
      <c r="V11" s="98"/>
      <c r="W11" s="98"/>
      <c r="X11" s="356"/>
      <c r="Y11" s="98"/>
      <c r="Z11" s="98"/>
    </row>
    <row r="12" spans="1:26" ht="12" customHeight="1">
      <c r="A12" s="180">
        <v>38552</v>
      </c>
      <c r="B12" s="354" t="s">
        <v>1011</v>
      </c>
      <c r="C12" s="98" t="s">
        <v>460</v>
      </c>
      <c r="D12" s="98">
        <v>50</v>
      </c>
      <c r="E12" s="181">
        <v>60.75</v>
      </c>
      <c r="F12" s="181">
        <f t="shared" si="20"/>
        <v>0.3</v>
      </c>
      <c r="G12" s="181">
        <f t="shared" si="21"/>
        <v>61.05</v>
      </c>
      <c r="H12" s="181">
        <f t="shared" si="1"/>
        <v>61.15</v>
      </c>
      <c r="I12" s="219">
        <f t="shared" si="2"/>
        <v>0.39989999999999998</v>
      </c>
      <c r="J12" s="181">
        <f t="shared" si="22"/>
        <v>3052.5</v>
      </c>
      <c r="K12" s="181">
        <f t="shared" si="17"/>
        <v>-3057.5</v>
      </c>
      <c r="L12" s="181">
        <f t="shared" si="23"/>
        <v>15</v>
      </c>
      <c r="M12" s="181">
        <f t="shared" si="24"/>
        <v>1.5299999999999998</v>
      </c>
      <c r="N12" s="181">
        <f t="shared" si="25"/>
        <v>3.05</v>
      </c>
      <c r="O12" s="181">
        <f t="shared" si="26"/>
        <v>0.10683749999999999</v>
      </c>
      <c r="P12" s="181">
        <f t="shared" si="27"/>
        <v>0.30525000000000002</v>
      </c>
      <c r="Q12" s="98">
        <f t="shared" si="28"/>
        <v>0</v>
      </c>
      <c r="R12" s="181">
        <v>-3057</v>
      </c>
      <c r="S12" s="183">
        <f t="shared" si="9"/>
        <v>-0.5</v>
      </c>
      <c r="T12" s="180">
        <v>38554</v>
      </c>
      <c r="U12" s="355"/>
      <c r="V12" s="98"/>
      <c r="W12" s="98"/>
      <c r="X12" s="356"/>
      <c r="Y12" s="98"/>
      <c r="Z12" s="98"/>
    </row>
    <row r="13" spans="1:26" ht="12" customHeight="1">
      <c r="A13" s="180">
        <v>38553</v>
      </c>
      <c r="B13" s="354" t="s">
        <v>1012</v>
      </c>
      <c r="C13" s="98" t="s">
        <v>460</v>
      </c>
      <c r="D13" s="98">
        <v>50</v>
      </c>
      <c r="E13" s="181">
        <v>106.35</v>
      </c>
      <c r="F13" s="181">
        <f t="shared" si="20"/>
        <v>0.53</v>
      </c>
      <c r="G13" s="181">
        <f t="shared" si="21"/>
        <v>106.88</v>
      </c>
      <c r="H13" s="181">
        <f t="shared" si="1"/>
        <v>107.06</v>
      </c>
      <c r="I13" s="219">
        <f t="shared" si="2"/>
        <v>0.70530000000000004</v>
      </c>
      <c r="J13" s="181">
        <f t="shared" si="22"/>
        <v>5344</v>
      </c>
      <c r="K13" s="181">
        <f t="shared" si="17"/>
        <v>-5352.77</v>
      </c>
      <c r="L13" s="181">
        <f t="shared" si="23"/>
        <v>26.5</v>
      </c>
      <c r="M13" s="181">
        <f t="shared" si="24"/>
        <v>2.7029999999999998</v>
      </c>
      <c r="N13" s="181">
        <f t="shared" si="25"/>
        <v>5.34</v>
      </c>
      <c r="O13" s="181">
        <f t="shared" si="26"/>
        <v>0.18703999999999998</v>
      </c>
      <c r="P13" s="181">
        <f t="shared" si="27"/>
        <v>0.53439999999999999</v>
      </c>
      <c r="Q13" s="98">
        <f t="shared" si="28"/>
        <v>0</v>
      </c>
      <c r="R13" s="181">
        <v>-5352</v>
      </c>
      <c r="S13" s="183">
        <f t="shared" si="9"/>
        <v>-0.77000000000043656</v>
      </c>
      <c r="T13" s="180">
        <v>38554</v>
      </c>
      <c r="U13" s="355"/>
      <c r="V13" s="98"/>
      <c r="W13" s="98"/>
      <c r="X13" s="356"/>
      <c r="Y13" s="98"/>
      <c r="Z13" s="98"/>
    </row>
    <row r="14" spans="1:26" ht="12" customHeight="1">
      <c r="A14" s="180">
        <v>38555</v>
      </c>
      <c r="B14" s="354" t="s">
        <v>1010</v>
      </c>
      <c r="C14" s="98" t="s">
        <v>460</v>
      </c>
      <c r="D14" s="98">
        <v>5</v>
      </c>
      <c r="E14" s="181">
        <v>641</v>
      </c>
      <c r="F14" s="181">
        <f t="shared" si="20"/>
        <v>3.21</v>
      </c>
      <c r="G14" s="181">
        <f t="shared" si="21"/>
        <v>644.21</v>
      </c>
      <c r="H14" s="181">
        <f t="shared" si="1"/>
        <v>645.27</v>
      </c>
      <c r="I14" s="219">
        <f t="shared" si="2"/>
        <v>4.2683999999999997</v>
      </c>
      <c r="J14" s="181">
        <f t="shared" si="22"/>
        <v>3221.05</v>
      </c>
      <c r="K14" s="181">
        <f t="shared" si="17"/>
        <v>-3226.3500000000004</v>
      </c>
      <c r="L14" s="181">
        <f t="shared" si="23"/>
        <v>16.05</v>
      </c>
      <c r="M14" s="181">
        <f t="shared" si="24"/>
        <v>1.6371</v>
      </c>
      <c r="N14" s="181">
        <f t="shared" si="25"/>
        <v>3.22</v>
      </c>
      <c r="O14" s="181">
        <f t="shared" si="26"/>
        <v>0.11273675</v>
      </c>
      <c r="P14" s="181">
        <f t="shared" si="27"/>
        <v>0.32210500000000003</v>
      </c>
      <c r="Q14" s="98">
        <f t="shared" si="28"/>
        <v>0</v>
      </c>
      <c r="R14" s="181">
        <v>-3226</v>
      </c>
      <c r="S14" s="183">
        <f t="shared" si="9"/>
        <v>-0.3500000000003638</v>
      </c>
      <c r="T14" s="180">
        <v>38556</v>
      </c>
      <c r="U14" s="357">
        <f>ROUND((K11*(T14-T11)+K14*1)/(K11+K14),0)</f>
        <v>2</v>
      </c>
      <c r="V14" s="180">
        <f>T11+U14</f>
        <v>38556</v>
      </c>
      <c r="W14" s="181">
        <f>-ROUND((R11+R14)/(D11+D14),2)</f>
        <v>658.67</v>
      </c>
      <c r="X14" s="356"/>
      <c r="Y14" s="180"/>
      <c r="Z14" s="98"/>
    </row>
    <row r="15" spans="1:26" ht="12" customHeight="1">
      <c r="A15" s="180">
        <v>38568</v>
      </c>
      <c r="B15" s="354" t="s">
        <v>1013</v>
      </c>
      <c r="C15" s="98" t="s">
        <v>460</v>
      </c>
      <c r="D15" s="98">
        <f>10+5</f>
        <v>15</v>
      </c>
      <c r="E15" s="181">
        <f>(739.7*10+730*5)/D15</f>
        <v>736.4666666666667</v>
      </c>
      <c r="F15" s="181">
        <f t="shared" si="20"/>
        <v>3.68</v>
      </c>
      <c r="G15" s="181">
        <f t="shared" si="21"/>
        <v>740.14666666666665</v>
      </c>
      <c r="H15" s="181">
        <f t="shared" si="1"/>
        <v>741.36</v>
      </c>
      <c r="I15" s="219">
        <f t="shared" si="2"/>
        <v>4.8952999999999998</v>
      </c>
      <c r="J15" s="181">
        <f t="shared" si="22"/>
        <v>11102.199999999999</v>
      </c>
      <c r="K15" s="181">
        <f t="shared" si="17"/>
        <v>-11120.43</v>
      </c>
      <c r="L15" s="181">
        <f t="shared" si="23"/>
        <v>55.2</v>
      </c>
      <c r="M15" s="181">
        <f t="shared" si="24"/>
        <v>5.6303999999999998</v>
      </c>
      <c r="N15" s="181">
        <f t="shared" si="25"/>
        <v>11.1</v>
      </c>
      <c r="O15" s="181">
        <f t="shared" si="26"/>
        <v>0.38857699999999995</v>
      </c>
      <c r="P15" s="181">
        <f t="shared" si="27"/>
        <v>1.11022</v>
      </c>
      <c r="Q15" s="98">
        <f t="shared" si="28"/>
        <v>0</v>
      </c>
      <c r="R15" s="181">
        <v>-11121</v>
      </c>
      <c r="S15" s="183">
        <f t="shared" si="9"/>
        <v>0.56999999999970896</v>
      </c>
      <c r="T15" s="180">
        <v>38569</v>
      </c>
      <c r="U15" s="355"/>
      <c r="V15" s="180"/>
      <c r="W15" s="181"/>
      <c r="X15" s="356"/>
      <c r="Y15" s="98"/>
      <c r="Z15" s="98"/>
    </row>
    <row r="16" spans="1:26" ht="12" customHeight="1">
      <c r="A16" s="180">
        <v>38581</v>
      </c>
      <c r="B16" s="354" t="s">
        <v>1014</v>
      </c>
      <c r="C16" s="98" t="s">
        <v>460</v>
      </c>
      <c r="D16" s="98">
        <v>100</v>
      </c>
      <c r="E16" s="181">
        <v>35.4</v>
      </c>
      <c r="F16" s="181">
        <f t="shared" si="20"/>
        <v>0.18</v>
      </c>
      <c r="G16" s="181">
        <f t="shared" si="21"/>
        <v>35.58</v>
      </c>
      <c r="H16" s="181">
        <f t="shared" si="1"/>
        <v>35.64</v>
      </c>
      <c r="I16" s="219">
        <f t="shared" si="2"/>
        <v>0.23879999999999998</v>
      </c>
      <c r="J16" s="181">
        <f t="shared" si="22"/>
        <v>3558</v>
      </c>
      <c r="K16" s="181">
        <f t="shared" si="17"/>
        <v>-3563.88</v>
      </c>
      <c r="L16" s="181">
        <f t="shared" si="23"/>
        <v>18</v>
      </c>
      <c r="M16" s="181">
        <f t="shared" si="24"/>
        <v>1.8359999999999999</v>
      </c>
      <c r="N16" s="181">
        <f t="shared" si="25"/>
        <v>3.56</v>
      </c>
      <c r="O16" s="181">
        <f t="shared" si="26"/>
        <v>0.12452999999999999</v>
      </c>
      <c r="P16" s="181">
        <f t="shared" si="27"/>
        <v>0.35580000000000001</v>
      </c>
      <c r="Q16" s="98">
        <f t="shared" si="28"/>
        <v>0</v>
      </c>
      <c r="R16" s="181">
        <v>-3564.31</v>
      </c>
      <c r="S16" s="183">
        <f t="shared" si="9"/>
        <v>0.42999999999983629</v>
      </c>
      <c r="T16" s="180">
        <v>38586</v>
      </c>
      <c r="U16" s="355"/>
      <c r="V16" s="181"/>
      <c r="W16" s="181"/>
      <c r="X16" s="356"/>
      <c r="Y16" s="98"/>
      <c r="Z16" s="98"/>
    </row>
    <row r="17" spans="1:26" ht="12" customHeight="1">
      <c r="A17" s="180">
        <v>38586</v>
      </c>
      <c r="B17" s="354" t="s">
        <v>1015</v>
      </c>
      <c r="C17" s="98" t="s">
        <v>460</v>
      </c>
      <c r="D17" s="98">
        <v>100</v>
      </c>
      <c r="E17" s="181">
        <v>33.75</v>
      </c>
      <c r="F17" s="181">
        <f t="shared" si="20"/>
        <v>0.17</v>
      </c>
      <c r="G17" s="181">
        <f t="shared" si="21"/>
        <v>33.92</v>
      </c>
      <c r="H17" s="181">
        <f t="shared" si="1"/>
        <v>33.979999999999997</v>
      </c>
      <c r="I17" s="219">
        <f t="shared" si="2"/>
        <v>0.22589999999999999</v>
      </c>
      <c r="J17" s="181">
        <f t="shared" si="22"/>
        <v>3392</v>
      </c>
      <c r="K17" s="181">
        <f t="shared" si="17"/>
        <v>-3397.59</v>
      </c>
      <c r="L17" s="181">
        <f t="shared" si="23"/>
        <v>17</v>
      </c>
      <c r="M17" s="181">
        <f t="shared" si="24"/>
        <v>1.734</v>
      </c>
      <c r="N17" s="181">
        <f t="shared" si="25"/>
        <v>3.39</v>
      </c>
      <c r="O17" s="181">
        <f t="shared" si="26"/>
        <v>0.11871999999999999</v>
      </c>
      <c r="P17" s="181">
        <f t="shared" si="27"/>
        <v>0.3392</v>
      </c>
      <c r="Q17" s="98">
        <f t="shared" si="28"/>
        <v>0</v>
      </c>
      <c r="R17" s="181">
        <v>-3397</v>
      </c>
      <c r="S17" s="183">
        <f t="shared" si="9"/>
        <v>-0.59000000000014552</v>
      </c>
      <c r="T17" s="180">
        <v>38588</v>
      </c>
      <c r="U17" s="355"/>
      <c r="V17" s="181"/>
      <c r="W17" s="181"/>
      <c r="X17" s="356"/>
      <c r="Y17" s="98"/>
      <c r="Z17" s="98"/>
    </row>
    <row r="18" spans="1:26" ht="12" customHeight="1">
      <c r="A18" s="180">
        <v>38587</v>
      </c>
      <c r="B18" s="354" t="s">
        <v>1008</v>
      </c>
      <c r="C18" s="98" t="s">
        <v>460</v>
      </c>
      <c r="D18" s="98">
        <v>50</v>
      </c>
      <c r="E18" s="181">
        <v>72</v>
      </c>
      <c r="F18" s="181">
        <f t="shared" si="20"/>
        <v>0.36</v>
      </c>
      <c r="G18" s="181">
        <f t="shared" si="21"/>
        <v>72.36</v>
      </c>
      <c r="H18" s="181">
        <f t="shared" si="1"/>
        <v>72.48</v>
      </c>
      <c r="I18" s="219">
        <f t="shared" si="2"/>
        <v>0.47889999999999999</v>
      </c>
      <c r="J18" s="181">
        <f t="shared" si="22"/>
        <v>3618</v>
      </c>
      <c r="K18" s="181">
        <f t="shared" si="17"/>
        <v>-3623.9500000000003</v>
      </c>
      <c r="L18" s="181">
        <f t="shared" si="23"/>
        <v>18</v>
      </c>
      <c r="M18" s="181">
        <f t="shared" si="24"/>
        <v>1.8359999999999999</v>
      </c>
      <c r="N18" s="181">
        <f t="shared" si="25"/>
        <v>3.62</v>
      </c>
      <c r="O18" s="181">
        <f t="shared" si="26"/>
        <v>0.12662999999999999</v>
      </c>
      <c r="P18" s="181">
        <f t="shared" si="27"/>
        <v>0.36180000000000001</v>
      </c>
      <c r="Q18" s="98">
        <f t="shared" si="28"/>
        <v>0</v>
      </c>
      <c r="R18" s="181">
        <v>-3623.93</v>
      </c>
      <c r="S18" s="183">
        <f t="shared" si="9"/>
        <v>-2.0000000000436557E-2</v>
      </c>
      <c r="T18" s="180">
        <v>38588</v>
      </c>
      <c r="U18" s="355"/>
      <c r="V18" s="181"/>
      <c r="W18" s="181"/>
      <c r="X18" s="356"/>
      <c r="Y18" s="98"/>
      <c r="Z18" s="98"/>
    </row>
    <row r="19" spans="1:26" ht="12" customHeight="1">
      <c r="A19" s="180">
        <v>38597</v>
      </c>
      <c r="B19" s="354" t="s">
        <v>1016</v>
      </c>
      <c r="C19" s="98" t="s">
        <v>460</v>
      </c>
      <c r="D19" s="98">
        <v>50</v>
      </c>
      <c r="E19" s="181">
        <v>142.4</v>
      </c>
      <c r="F19" s="181">
        <f t="shared" si="20"/>
        <v>0.71</v>
      </c>
      <c r="G19" s="181">
        <f t="shared" si="21"/>
        <v>143.11000000000001</v>
      </c>
      <c r="H19" s="181">
        <f t="shared" si="1"/>
        <v>143.35</v>
      </c>
      <c r="I19" s="219">
        <f t="shared" si="2"/>
        <v>0.94499999999999995</v>
      </c>
      <c r="J19" s="181">
        <f t="shared" si="22"/>
        <v>7155.5000000000009</v>
      </c>
      <c r="K19" s="181">
        <f t="shared" si="17"/>
        <v>-7167.25</v>
      </c>
      <c r="L19" s="181">
        <f t="shared" si="23"/>
        <v>35.5</v>
      </c>
      <c r="M19" s="181">
        <f t="shared" si="24"/>
        <v>3.6209999999999996</v>
      </c>
      <c r="N19" s="181">
        <f t="shared" si="25"/>
        <v>7.16</v>
      </c>
      <c r="O19" s="181">
        <f t="shared" si="26"/>
        <v>0.25044250000000001</v>
      </c>
      <c r="P19" s="181">
        <f t="shared" si="27"/>
        <v>0.71555000000000013</v>
      </c>
      <c r="Q19" s="98">
        <f t="shared" si="28"/>
        <v>0</v>
      </c>
      <c r="R19" s="181">
        <v>-7167.2</v>
      </c>
      <c r="S19" s="183">
        <f t="shared" si="9"/>
        <v>-5.0000000000181899E-2</v>
      </c>
      <c r="T19" s="180">
        <v>38598</v>
      </c>
      <c r="U19" s="355"/>
      <c r="V19" s="181"/>
      <c r="W19" s="181"/>
      <c r="X19" s="356"/>
      <c r="Y19" s="98"/>
      <c r="Z19" s="98"/>
    </row>
    <row r="20" spans="1:26" ht="12" customHeight="1">
      <c r="A20" s="180">
        <v>38597</v>
      </c>
      <c r="B20" s="354" t="s">
        <v>1017</v>
      </c>
      <c r="C20" s="98" t="s">
        <v>460</v>
      </c>
      <c r="D20" s="98">
        <v>50</v>
      </c>
      <c r="E20" s="181">
        <v>29.1</v>
      </c>
      <c r="F20" s="181">
        <f t="shared" si="20"/>
        <v>0.2</v>
      </c>
      <c r="G20" s="181">
        <f t="shared" si="21"/>
        <v>29.3</v>
      </c>
      <c r="H20" s="181">
        <f t="shared" si="1"/>
        <v>29.35</v>
      </c>
      <c r="I20" s="219">
        <f t="shared" si="2"/>
        <v>0.25379999999999997</v>
      </c>
      <c r="J20" s="181">
        <f t="shared" si="22"/>
        <v>1465</v>
      </c>
      <c r="K20" s="181">
        <f t="shared" si="17"/>
        <v>-1467.69</v>
      </c>
      <c r="L20" s="181">
        <f t="shared" si="23"/>
        <v>10</v>
      </c>
      <c r="M20" s="181">
        <f t="shared" si="24"/>
        <v>1.02</v>
      </c>
      <c r="N20" s="181">
        <f t="shared" si="25"/>
        <v>1.47</v>
      </c>
      <c r="O20" s="181">
        <f t="shared" si="26"/>
        <v>5.1274999999999994E-2</v>
      </c>
      <c r="P20" s="181">
        <f t="shared" si="27"/>
        <v>0.14650000000000002</v>
      </c>
      <c r="Q20" s="98">
        <f t="shared" si="28"/>
        <v>0</v>
      </c>
      <c r="R20" s="181">
        <v>-1467.6</v>
      </c>
      <c r="S20" s="183">
        <f t="shared" si="9"/>
        <v>-9.0000000000145519E-2</v>
      </c>
      <c r="T20" s="180">
        <v>38598</v>
      </c>
      <c r="U20" s="355"/>
      <c r="V20" s="181"/>
      <c r="W20" s="181"/>
      <c r="X20" s="356"/>
      <c r="Y20" s="98"/>
      <c r="Z20" s="98"/>
    </row>
    <row r="21" spans="1:26" ht="12" customHeight="1">
      <c r="A21" s="180">
        <v>38597</v>
      </c>
      <c r="B21" s="354" t="s">
        <v>1018</v>
      </c>
      <c r="C21" s="98" t="s">
        <v>460</v>
      </c>
      <c r="D21" s="98">
        <v>200</v>
      </c>
      <c r="E21" s="181">
        <v>17</v>
      </c>
      <c r="F21" s="181">
        <f t="shared" si="20"/>
        <v>0.09</v>
      </c>
      <c r="G21" s="181">
        <f t="shared" si="21"/>
        <v>17.09</v>
      </c>
      <c r="H21" s="181">
        <f t="shared" si="1"/>
        <v>17.12</v>
      </c>
      <c r="I21" s="219">
        <f t="shared" si="2"/>
        <v>0.1186</v>
      </c>
      <c r="J21" s="181">
        <f t="shared" si="22"/>
        <v>3418</v>
      </c>
      <c r="K21" s="181">
        <f t="shared" si="17"/>
        <v>-3423.7200000000003</v>
      </c>
      <c r="L21" s="181">
        <f t="shared" si="23"/>
        <v>18</v>
      </c>
      <c r="M21" s="181">
        <f t="shared" si="24"/>
        <v>1.8359999999999999</v>
      </c>
      <c r="N21" s="181">
        <f t="shared" si="25"/>
        <v>3.42</v>
      </c>
      <c r="O21" s="181">
        <f t="shared" si="26"/>
        <v>0.11962999999999999</v>
      </c>
      <c r="P21" s="181">
        <f t="shared" si="27"/>
        <v>0.34179999999999999</v>
      </c>
      <c r="Q21" s="98">
        <f t="shared" si="28"/>
        <v>0</v>
      </c>
      <c r="R21" s="181">
        <v>-3423.7</v>
      </c>
      <c r="S21" s="183">
        <f t="shared" si="9"/>
        <v>-2.0000000000436557E-2</v>
      </c>
      <c r="T21" s="180">
        <v>38598</v>
      </c>
      <c r="U21" s="355"/>
      <c r="V21" s="181"/>
      <c r="W21" s="181"/>
      <c r="X21" s="356"/>
      <c r="Y21" s="98"/>
      <c r="Z21" s="98"/>
    </row>
    <row r="22" spans="1:26" ht="12" customHeight="1">
      <c r="A22" s="180">
        <v>38601</v>
      </c>
      <c r="B22" s="354" t="s">
        <v>1019</v>
      </c>
      <c r="C22" s="98" t="s">
        <v>460</v>
      </c>
      <c r="D22" s="98">
        <v>60</v>
      </c>
      <c r="E22" s="181">
        <v>102</v>
      </c>
      <c r="F22" s="181"/>
      <c r="G22" s="181"/>
      <c r="H22" s="181">
        <f t="shared" si="1"/>
        <v>102</v>
      </c>
      <c r="I22" s="219">
        <f t="shared" si="2"/>
        <v>0</v>
      </c>
      <c r="J22" s="181">
        <f>D22*E22</f>
        <v>6120</v>
      </c>
      <c r="K22" s="181">
        <f t="shared" si="17"/>
        <v>-6120</v>
      </c>
      <c r="L22" s="181"/>
      <c r="M22" s="181"/>
      <c r="N22" s="181"/>
      <c r="O22" s="181"/>
      <c r="P22" s="181"/>
      <c r="Q22" s="98"/>
      <c r="R22" s="181">
        <v>-6120</v>
      </c>
      <c r="S22" s="183">
        <f t="shared" si="9"/>
        <v>0</v>
      </c>
      <c r="T22" s="180">
        <v>38607</v>
      </c>
      <c r="U22" s="355"/>
      <c r="V22" s="98"/>
      <c r="W22" s="98"/>
      <c r="X22" s="356"/>
      <c r="Y22" s="98"/>
      <c r="Z22" s="98"/>
    </row>
    <row r="23" spans="1:26" ht="12.75" customHeight="1">
      <c r="A23" s="180">
        <v>38611</v>
      </c>
      <c r="B23" s="354" t="s">
        <v>1020</v>
      </c>
      <c r="C23" s="98" t="s">
        <v>460</v>
      </c>
      <c r="D23" s="98">
        <v>10</v>
      </c>
      <c r="E23" s="181">
        <v>275</v>
      </c>
      <c r="F23" s="181">
        <f t="shared" ref="F23:F116" si="29">IF(E23*D23*E$326&lt;10,10/D23,ROUND(E23*E$326,2))</f>
        <v>1.38</v>
      </c>
      <c r="G23" s="181">
        <f t="shared" ref="G23:G116" si="30">E23+F23</f>
        <v>276.38</v>
      </c>
      <c r="H23" s="181">
        <f t="shared" si="1"/>
        <v>276.83</v>
      </c>
      <c r="I23" s="219">
        <f t="shared" si="2"/>
        <v>1.8341000000000001</v>
      </c>
      <c r="J23" s="181">
        <f t="shared" ref="J23:J116" si="31">D23*G23</f>
        <v>2763.8</v>
      </c>
      <c r="K23" s="181">
        <f t="shared" si="17"/>
        <v>-2768.3500000000004</v>
      </c>
      <c r="L23" s="181">
        <f t="shared" ref="L23:L116" si="32">F23*D23</f>
        <v>13.799999999999999</v>
      </c>
      <c r="M23" s="181">
        <f t="shared" ref="M23:M87" si="33">L23*E$328</f>
        <v>1.4075999999999997</v>
      </c>
      <c r="N23" s="181">
        <f t="shared" ref="N23:N116" si="34">ROUND(J23*E$329,2)</f>
        <v>2.76</v>
      </c>
      <c r="O23" s="181">
        <f t="shared" ref="O23:O116" si="35">J23*E$332</f>
        <v>9.6733E-2</v>
      </c>
      <c r="P23" s="181">
        <f t="shared" ref="P23:P116" si="36">J23*E$334</f>
        <v>0.27638000000000001</v>
      </c>
      <c r="Q23" s="98">
        <f t="shared" ref="Q23:Q116" si="37">E$336</f>
        <v>0</v>
      </c>
      <c r="R23" s="181">
        <v>-2769</v>
      </c>
      <c r="S23" s="183">
        <f t="shared" si="9"/>
        <v>0.6499999999996362</v>
      </c>
      <c r="T23" s="180">
        <v>38612</v>
      </c>
      <c r="U23" s="355"/>
      <c r="V23" s="181"/>
      <c r="W23" s="181"/>
      <c r="X23" s="356"/>
      <c r="Y23" s="98"/>
      <c r="Z23" s="98"/>
    </row>
    <row r="24" spans="1:26" ht="12" customHeight="1">
      <c r="A24" s="180">
        <v>38614</v>
      </c>
      <c r="B24" s="354" t="s">
        <v>1021</v>
      </c>
      <c r="C24" s="98" t="s">
        <v>460</v>
      </c>
      <c r="D24" s="98">
        <v>100</v>
      </c>
      <c r="E24" s="181">
        <v>20.399999999999999</v>
      </c>
      <c r="F24" s="181">
        <f t="shared" si="29"/>
        <v>0.1</v>
      </c>
      <c r="G24" s="181">
        <f t="shared" si="30"/>
        <v>20.5</v>
      </c>
      <c r="H24" s="181">
        <f t="shared" si="1"/>
        <v>20.53</v>
      </c>
      <c r="I24" s="219">
        <f t="shared" si="2"/>
        <v>0.13349999999999998</v>
      </c>
      <c r="J24" s="181">
        <f t="shared" si="31"/>
        <v>2050</v>
      </c>
      <c r="K24" s="181">
        <f t="shared" si="17"/>
        <v>-2053.3500000000004</v>
      </c>
      <c r="L24" s="181">
        <f t="shared" si="32"/>
        <v>10</v>
      </c>
      <c r="M24" s="181">
        <f t="shared" si="33"/>
        <v>1.02</v>
      </c>
      <c r="N24" s="181">
        <f t="shared" si="34"/>
        <v>2.0499999999999998</v>
      </c>
      <c r="O24" s="181">
        <f t="shared" si="35"/>
        <v>7.1749999999999994E-2</v>
      </c>
      <c r="P24" s="181">
        <f t="shared" si="36"/>
        <v>0.20500000000000002</v>
      </c>
      <c r="Q24" s="98">
        <f t="shared" si="37"/>
        <v>0</v>
      </c>
      <c r="R24" s="181">
        <v>-2053</v>
      </c>
      <c r="S24" s="183">
        <f t="shared" si="9"/>
        <v>-0.3500000000003638</v>
      </c>
      <c r="T24" s="180">
        <v>38616</v>
      </c>
      <c r="U24" s="355"/>
      <c r="V24" s="181"/>
      <c r="W24" s="181"/>
      <c r="X24" s="356"/>
      <c r="Y24" s="98"/>
      <c r="Z24" s="98"/>
    </row>
    <row r="25" spans="1:26" ht="12" customHeight="1">
      <c r="A25" s="180">
        <v>38615</v>
      </c>
      <c r="B25" s="354" t="s">
        <v>1012</v>
      </c>
      <c r="C25" s="98" t="s">
        <v>460</v>
      </c>
      <c r="D25" s="98">
        <v>50</v>
      </c>
      <c r="E25" s="181">
        <v>132</v>
      </c>
      <c r="F25" s="181">
        <f t="shared" si="29"/>
        <v>0.66</v>
      </c>
      <c r="G25" s="181">
        <f t="shared" si="30"/>
        <v>132.66</v>
      </c>
      <c r="H25" s="181">
        <f t="shared" si="1"/>
        <v>132.88</v>
      </c>
      <c r="I25" s="219">
        <f t="shared" si="2"/>
        <v>0.87790000000000001</v>
      </c>
      <c r="J25" s="181">
        <f t="shared" si="31"/>
        <v>6633</v>
      </c>
      <c r="K25" s="181">
        <f t="shared" si="17"/>
        <v>-6643.9000000000005</v>
      </c>
      <c r="L25" s="181">
        <f t="shared" si="32"/>
        <v>33</v>
      </c>
      <c r="M25" s="181">
        <f t="shared" si="33"/>
        <v>3.3659999999999997</v>
      </c>
      <c r="N25" s="181">
        <f t="shared" si="34"/>
        <v>6.63</v>
      </c>
      <c r="O25" s="181">
        <f t="shared" si="35"/>
        <v>0.23215499999999997</v>
      </c>
      <c r="P25" s="181">
        <f t="shared" si="36"/>
        <v>0.6633</v>
      </c>
      <c r="Q25" s="98">
        <f t="shared" si="37"/>
        <v>0</v>
      </c>
      <c r="R25" s="181">
        <v>-6644</v>
      </c>
      <c r="S25" s="183">
        <f t="shared" si="9"/>
        <v>9.9999999999454303E-2</v>
      </c>
      <c r="T25" s="180">
        <v>38617</v>
      </c>
      <c r="U25" s="355"/>
      <c r="V25" s="181"/>
      <c r="W25" s="181"/>
      <c r="X25" s="356"/>
      <c r="Y25" s="98"/>
      <c r="Z25" s="98"/>
    </row>
    <row r="26" spans="1:26" ht="12" customHeight="1">
      <c r="A26" s="180">
        <v>38615</v>
      </c>
      <c r="B26" s="354" t="s">
        <v>1022</v>
      </c>
      <c r="C26" s="98" t="s">
        <v>460</v>
      </c>
      <c r="D26" s="98">
        <v>100</v>
      </c>
      <c r="E26" s="181">
        <v>78.650000000000006</v>
      </c>
      <c r="F26" s="181">
        <f t="shared" si="29"/>
        <v>0.39</v>
      </c>
      <c r="G26" s="181">
        <f t="shared" si="30"/>
        <v>79.040000000000006</v>
      </c>
      <c r="H26" s="181">
        <f t="shared" si="1"/>
        <v>79.17</v>
      </c>
      <c r="I26" s="219">
        <f t="shared" si="2"/>
        <v>0.51949999999999996</v>
      </c>
      <c r="J26" s="181">
        <f t="shared" si="31"/>
        <v>7904.0000000000009</v>
      </c>
      <c r="K26" s="181">
        <f t="shared" si="17"/>
        <v>-7916.95</v>
      </c>
      <c r="L26" s="181">
        <f t="shared" si="32"/>
        <v>39</v>
      </c>
      <c r="M26" s="181">
        <f t="shared" si="33"/>
        <v>3.9779999999999998</v>
      </c>
      <c r="N26" s="181">
        <f t="shared" si="34"/>
        <v>7.9</v>
      </c>
      <c r="O26" s="181">
        <f t="shared" si="35"/>
        <v>0.27664</v>
      </c>
      <c r="P26" s="181">
        <f t="shared" si="36"/>
        <v>0.7904000000000001</v>
      </c>
      <c r="Q26" s="98">
        <f t="shared" si="37"/>
        <v>0</v>
      </c>
      <c r="R26" s="181">
        <v>-7917</v>
      </c>
      <c r="S26" s="183">
        <f t="shared" si="9"/>
        <v>5.0000000000181899E-2</v>
      </c>
      <c r="T26" s="180">
        <v>38616</v>
      </c>
      <c r="U26" s="355"/>
      <c r="V26" s="181"/>
      <c r="W26" s="181"/>
      <c r="X26" s="356"/>
      <c r="Y26" s="98"/>
      <c r="Z26" s="98"/>
    </row>
    <row r="27" spans="1:26" ht="12" customHeight="1">
      <c r="A27" s="180">
        <v>38615</v>
      </c>
      <c r="B27" s="354" t="s">
        <v>1023</v>
      </c>
      <c r="C27" s="98" t="s">
        <v>460</v>
      </c>
      <c r="D27" s="98">
        <v>50</v>
      </c>
      <c r="E27" s="181">
        <v>161</v>
      </c>
      <c r="F27" s="181">
        <f t="shared" si="29"/>
        <v>0.81</v>
      </c>
      <c r="G27" s="181">
        <f t="shared" si="30"/>
        <v>161.81</v>
      </c>
      <c r="H27" s="181">
        <f t="shared" si="1"/>
        <v>162.08000000000001</v>
      </c>
      <c r="I27" s="219">
        <f t="shared" si="2"/>
        <v>1.0763</v>
      </c>
      <c r="J27" s="181">
        <f t="shared" si="31"/>
        <v>8090.5</v>
      </c>
      <c r="K27" s="181">
        <f t="shared" si="17"/>
        <v>-8103.8200000000006</v>
      </c>
      <c r="L27" s="181">
        <f t="shared" si="32"/>
        <v>40.5</v>
      </c>
      <c r="M27" s="181">
        <f t="shared" si="33"/>
        <v>4.1309999999999993</v>
      </c>
      <c r="N27" s="181">
        <f t="shared" si="34"/>
        <v>8.09</v>
      </c>
      <c r="O27" s="181">
        <f t="shared" si="35"/>
        <v>0.28316749999999996</v>
      </c>
      <c r="P27" s="181">
        <f t="shared" si="36"/>
        <v>0.80905000000000005</v>
      </c>
      <c r="Q27" s="98">
        <f t="shared" si="37"/>
        <v>0</v>
      </c>
      <c r="R27" s="181">
        <v>-8103</v>
      </c>
      <c r="S27" s="183">
        <f t="shared" si="9"/>
        <v>-0.82000000000061846</v>
      </c>
      <c r="T27" s="180">
        <v>38616</v>
      </c>
      <c r="U27" s="355"/>
      <c r="V27" s="181"/>
      <c r="W27" s="181"/>
      <c r="X27" s="356"/>
      <c r="Y27" s="98"/>
      <c r="Z27" s="98"/>
    </row>
    <row r="28" spans="1:26" ht="12" customHeight="1">
      <c r="A28" s="180">
        <v>38615</v>
      </c>
      <c r="B28" s="354" t="s">
        <v>1024</v>
      </c>
      <c r="C28" s="98" t="s">
        <v>460</v>
      </c>
      <c r="D28" s="98">
        <v>50</v>
      </c>
      <c r="E28" s="181">
        <v>163</v>
      </c>
      <c r="F28" s="181">
        <f t="shared" si="29"/>
        <v>0.82</v>
      </c>
      <c r="G28" s="181">
        <f t="shared" si="30"/>
        <v>163.82</v>
      </c>
      <c r="H28" s="181">
        <f t="shared" si="1"/>
        <v>164.09</v>
      </c>
      <c r="I28" s="219">
        <f t="shared" si="2"/>
        <v>1.0895999999999999</v>
      </c>
      <c r="J28" s="181">
        <f t="shared" si="31"/>
        <v>8191</v>
      </c>
      <c r="K28" s="181">
        <f t="shared" si="17"/>
        <v>-8204.48</v>
      </c>
      <c r="L28" s="181">
        <f t="shared" si="32"/>
        <v>41</v>
      </c>
      <c r="M28" s="181">
        <f t="shared" si="33"/>
        <v>4.1819999999999995</v>
      </c>
      <c r="N28" s="181">
        <f t="shared" si="34"/>
        <v>8.19</v>
      </c>
      <c r="O28" s="181">
        <f t="shared" si="35"/>
        <v>0.28668499999999997</v>
      </c>
      <c r="P28" s="181">
        <f t="shared" si="36"/>
        <v>0.81910000000000005</v>
      </c>
      <c r="Q28" s="98">
        <f t="shared" si="37"/>
        <v>0</v>
      </c>
      <c r="R28" s="181">
        <v>-8204</v>
      </c>
      <c r="S28" s="183">
        <f t="shared" si="9"/>
        <v>-0.47999999999956344</v>
      </c>
      <c r="T28" s="180">
        <v>38616</v>
      </c>
      <c r="U28" s="355"/>
      <c r="V28" s="181"/>
      <c r="W28" s="181"/>
      <c r="X28" s="356"/>
      <c r="Y28" s="98"/>
      <c r="Z28" s="98"/>
    </row>
    <row r="29" spans="1:26" ht="12" customHeight="1">
      <c r="A29" s="180">
        <v>38615</v>
      </c>
      <c r="B29" s="354" t="s">
        <v>1025</v>
      </c>
      <c r="C29" s="98" t="s">
        <v>460</v>
      </c>
      <c r="D29" s="98">
        <v>100</v>
      </c>
      <c r="E29" s="181">
        <v>44.5</v>
      </c>
      <c r="F29" s="181">
        <f t="shared" si="29"/>
        <v>0.22</v>
      </c>
      <c r="G29" s="181">
        <f t="shared" si="30"/>
        <v>44.72</v>
      </c>
      <c r="H29" s="181">
        <f t="shared" si="1"/>
        <v>44.79</v>
      </c>
      <c r="I29" s="219">
        <f t="shared" si="2"/>
        <v>0.29320000000000002</v>
      </c>
      <c r="J29" s="181">
        <f t="shared" si="31"/>
        <v>4472</v>
      </c>
      <c r="K29" s="181">
        <f t="shared" si="17"/>
        <v>-4479.3200000000006</v>
      </c>
      <c r="L29" s="181">
        <f t="shared" si="32"/>
        <v>22</v>
      </c>
      <c r="M29" s="181">
        <f t="shared" si="33"/>
        <v>2.2439999999999998</v>
      </c>
      <c r="N29" s="181">
        <f t="shared" si="34"/>
        <v>4.47</v>
      </c>
      <c r="O29" s="181">
        <f t="shared" si="35"/>
        <v>0.15651999999999999</v>
      </c>
      <c r="P29" s="181">
        <f t="shared" si="36"/>
        <v>0.44720000000000004</v>
      </c>
      <c r="Q29" s="98">
        <f t="shared" si="37"/>
        <v>0</v>
      </c>
      <c r="R29" s="181">
        <v>-4479</v>
      </c>
      <c r="S29" s="183">
        <f t="shared" si="9"/>
        <v>-0.32000000000061846</v>
      </c>
      <c r="T29" s="180">
        <v>38617</v>
      </c>
      <c r="U29" s="355"/>
      <c r="V29" s="181"/>
      <c r="W29" s="181"/>
      <c r="X29" s="356"/>
      <c r="Y29" s="98"/>
      <c r="Z29" s="98"/>
    </row>
    <row r="30" spans="1:26" ht="12" customHeight="1">
      <c r="A30" s="180">
        <v>38615</v>
      </c>
      <c r="B30" s="354" t="s">
        <v>1008</v>
      </c>
      <c r="C30" s="98" t="s">
        <v>460</v>
      </c>
      <c r="D30" s="98">
        <v>50</v>
      </c>
      <c r="E30" s="181">
        <v>85.7</v>
      </c>
      <c r="F30" s="181">
        <f t="shared" si="29"/>
        <v>0.43</v>
      </c>
      <c r="G30" s="181">
        <f t="shared" si="30"/>
        <v>86.13000000000001</v>
      </c>
      <c r="H30" s="181">
        <f t="shared" si="1"/>
        <v>86.27</v>
      </c>
      <c r="I30" s="219">
        <f t="shared" si="2"/>
        <v>0.57169999999999999</v>
      </c>
      <c r="J30" s="181">
        <f t="shared" si="31"/>
        <v>4306.5000000000009</v>
      </c>
      <c r="K30" s="181">
        <f t="shared" si="17"/>
        <v>-4313.59</v>
      </c>
      <c r="L30" s="181">
        <f t="shared" si="32"/>
        <v>21.5</v>
      </c>
      <c r="M30" s="181">
        <f t="shared" si="33"/>
        <v>2.1930000000000001</v>
      </c>
      <c r="N30" s="181">
        <f t="shared" si="34"/>
        <v>4.3099999999999996</v>
      </c>
      <c r="O30" s="181">
        <f t="shared" si="35"/>
        <v>0.15072750000000001</v>
      </c>
      <c r="P30" s="181">
        <f t="shared" si="36"/>
        <v>0.43065000000000009</v>
      </c>
      <c r="Q30" s="98">
        <f t="shared" si="37"/>
        <v>0</v>
      </c>
      <c r="R30" s="181">
        <v>-4313</v>
      </c>
      <c r="S30" s="183">
        <f t="shared" si="9"/>
        <v>-0.59000000000014552</v>
      </c>
      <c r="T30" s="180">
        <v>38616</v>
      </c>
      <c r="U30" s="355"/>
      <c r="V30" s="181"/>
      <c r="W30" s="181"/>
      <c r="X30" s="356"/>
      <c r="Y30" s="98"/>
      <c r="Z30" s="98"/>
    </row>
    <row r="31" spans="1:26" ht="12" customHeight="1">
      <c r="A31" s="180">
        <v>38617</v>
      </c>
      <c r="B31" s="354" t="s">
        <v>1026</v>
      </c>
      <c r="C31" s="98" t="s">
        <v>460</v>
      </c>
      <c r="D31" s="98">
        <v>200</v>
      </c>
      <c r="E31" s="181">
        <v>30.2</v>
      </c>
      <c r="F31" s="181">
        <f t="shared" si="29"/>
        <v>0.15</v>
      </c>
      <c r="G31" s="181">
        <f t="shared" si="30"/>
        <v>30.349999999999998</v>
      </c>
      <c r="H31" s="181">
        <f t="shared" si="1"/>
        <v>30.4</v>
      </c>
      <c r="I31" s="219">
        <f t="shared" si="2"/>
        <v>0.19979999999999998</v>
      </c>
      <c r="J31" s="181">
        <f t="shared" si="31"/>
        <v>6070</v>
      </c>
      <c r="K31" s="181">
        <f t="shared" si="17"/>
        <v>-6079.95</v>
      </c>
      <c r="L31" s="181">
        <f t="shared" si="32"/>
        <v>30</v>
      </c>
      <c r="M31" s="181">
        <f t="shared" si="33"/>
        <v>3.0599999999999996</v>
      </c>
      <c r="N31" s="181">
        <f t="shared" si="34"/>
        <v>6.07</v>
      </c>
      <c r="O31" s="181">
        <f t="shared" si="35"/>
        <v>0.21244999999999997</v>
      </c>
      <c r="P31" s="181">
        <f t="shared" si="36"/>
        <v>0.60699999999999998</v>
      </c>
      <c r="Q31" s="98">
        <f t="shared" si="37"/>
        <v>0</v>
      </c>
      <c r="R31" s="181">
        <v>-6080</v>
      </c>
      <c r="S31" s="183">
        <f t="shared" si="9"/>
        <v>5.0000000000181899E-2</v>
      </c>
      <c r="T31" s="180">
        <v>38639</v>
      </c>
      <c r="U31" s="355"/>
      <c r="V31" s="181"/>
      <c r="W31" s="181"/>
      <c r="X31" s="356"/>
      <c r="Y31" s="98" t="s">
        <v>418</v>
      </c>
      <c r="Z31" s="98"/>
    </row>
    <row r="32" spans="1:26" ht="12" customHeight="1">
      <c r="A32" s="180">
        <v>38617</v>
      </c>
      <c r="B32" s="354" t="s">
        <v>1012</v>
      </c>
      <c r="C32" s="98" t="s">
        <v>460</v>
      </c>
      <c r="D32" s="98">
        <v>25</v>
      </c>
      <c r="E32" s="181">
        <v>123.5</v>
      </c>
      <c r="F32" s="181">
        <f t="shared" si="29"/>
        <v>0.62</v>
      </c>
      <c r="G32" s="181">
        <f t="shared" si="30"/>
        <v>124.12</v>
      </c>
      <c r="H32" s="181">
        <f t="shared" si="1"/>
        <v>124.32</v>
      </c>
      <c r="I32" s="219">
        <f t="shared" si="2"/>
        <v>0.82399999999999995</v>
      </c>
      <c r="J32" s="181">
        <f t="shared" si="31"/>
        <v>3103</v>
      </c>
      <c r="K32" s="181">
        <f t="shared" si="17"/>
        <v>-3108.1000000000004</v>
      </c>
      <c r="L32" s="181">
        <f t="shared" si="32"/>
        <v>15.5</v>
      </c>
      <c r="M32" s="181">
        <f t="shared" si="33"/>
        <v>1.581</v>
      </c>
      <c r="N32" s="181">
        <f t="shared" si="34"/>
        <v>3.1</v>
      </c>
      <c r="O32" s="181">
        <f t="shared" si="35"/>
        <v>0.10860499999999999</v>
      </c>
      <c r="P32" s="181">
        <f t="shared" si="36"/>
        <v>0.31030000000000002</v>
      </c>
      <c r="Q32" s="98">
        <f t="shared" si="37"/>
        <v>0</v>
      </c>
      <c r="R32" s="181">
        <v>-3108</v>
      </c>
      <c r="S32" s="183">
        <f t="shared" si="9"/>
        <v>-0.1000000000003638</v>
      </c>
      <c r="T32" s="180">
        <v>38639</v>
      </c>
      <c r="U32" s="355"/>
      <c r="V32" s="181"/>
      <c r="W32" s="181"/>
      <c r="X32" s="356"/>
      <c r="Y32" s="98" t="s">
        <v>418</v>
      </c>
      <c r="Z32" s="98"/>
    </row>
    <row r="33" spans="1:26" ht="12" customHeight="1">
      <c r="A33" s="180">
        <v>38617</v>
      </c>
      <c r="B33" s="354" t="s">
        <v>640</v>
      </c>
      <c r="C33" s="98" t="s">
        <v>460</v>
      </c>
      <c r="D33" s="98">
        <v>25</v>
      </c>
      <c r="E33" s="181">
        <v>105</v>
      </c>
      <c r="F33" s="181">
        <f t="shared" si="29"/>
        <v>0.53</v>
      </c>
      <c r="G33" s="181">
        <f t="shared" si="30"/>
        <v>105.53</v>
      </c>
      <c r="H33" s="181">
        <f t="shared" si="1"/>
        <v>105.7</v>
      </c>
      <c r="I33" s="219">
        <f t="shared" si="2"/>
        <v>0.70399999999999996</v>
      </c>
      <c r="J33" s="181">
        <f t="shared" si="31"/>
        <v>2638.25</v>
      </c>
      <c r="K33" s="181">
        <f t="shared" si="17"/>
        <v>-2642.6000000000004</v>
      </c>
      <c r="L33" s="181">
        <f t="shared" si="32"/>
        <v>13.25</v>
      </c>
      <c r="M33" s="181">
        <f t="shared" si="33"/>
        <v>1.3514999999999999</v>
      </c>
      <c r="N33" s="181">
        <f t="shared" si="34"/>
        <v>2.64</v>
      </c>
      <c r="O33" s="181">
        <f t="shared" si="35"/>
        <v>9.2338749999999997E-2</v>
      </c>
      <c r="P33" s="181">
        <f t="shared" si="36"/>
        <v>0.26382500000000003</v>
      </c>
      <c r="Q33" s="98">
        <f t="shared" si="37"/>
        <v>0</v>
      </c>
      <c r="R33" s="181">
        <v>-2642</v>
      </c>
      <c r="S33" s="183">
        <f t="shared" si="9"/>
        <v>-0.6000000000003638</v>
      </c>
      <c r="T33" s="180">
        <v>38639</v>
      </c>
      <c r="U33" s="355"/>
      <c r="V33" s="181"/>
      <c r="W33" s="181"/>
      <c r="X33" s="356"/>
      <c r="Y33" s="98" t="s">
        <v>418</v>
      </c>
      <c r="Z33" s="98"/>
    </row>
    <row r="34" spans="1:26" ht="12" customHeight="1">
      <c r="A34" s="180">
        <v>38622</v>
      </c>
      <c r="B34" s="354" t="s">
        <v>640</v>
      </c>
      <c r="C34" s="98" t="s">
        <v>460</v>
      </c>
      <c r="D34" s="98">
        <v>25</v>
      </c>
      <c r="E34" s="181">
        <v>107.1</v>
      </c>
      <c r="F34" s="181">
        <f t="shared" si="29"/>
        <v>0.54</v>
      </c>
      <c r="G34" s="181">
        <f t="shared" si="30"/>
        <v>107.64</v>
      </c>
      <c r="H34" s="181">
        <f t="shared" si="1"/>
        <v>107.82</v>
      </c>
      <c r="I34" s="219">
        <f t="shared" si="2"/>
        <v>0.71729999999999994</v>
      </c>
      <c r="J34" s="181">
        <f t="shared" si="31"/>
        <v>2691</v>
      </c>
      <c r="K34" s="181">
        <f t="shared" si="17"/>
        <v>-2695.44</v>
      </c>
      <c r="L34" s="181">
        <f t="shared" si="32"/>
        <v>13.5</v>
      </c>
      <c r="M34" s="181">
        <f t="shared" si="33"/>
        <v>1.377</v>
      </c>
      <c r="N34" s="181">
        <f t="shared" si="34"/>
        <v>2.69</v>
      </c>
      <c r="O34" s="181">
        <f t="shared" si="35"/>
        <v>9.4184999999999991E-2</v>
      </c>
      <c r="P34" s="181">
        <f t="shared" si="36"/>
        <v>0.26910000000000001</v>
      </c>
      <c r="Q34" s="98">
        <f t="shared" si="37"/>
        <v>0</v>
      </c>
      <c r="R34" s="181">
        <v>-2695</v>
      </c>
      <c r="S34" s="183">
        <f t="shared" si="9"/>
        <v>-0.44000000000005457</v>
      </c>
      <c r="T34" s="180">
        <v>38643</v>
      </c>
      <c r="U34" s="357">
        <f>ROUND((K33*(T34-T33)+K34*1)/(K33+K34),0)</f>
        <v>2</v>
      </c>
      <c r="V34" s="180">
        <f>T33+U34</f>
        <v>38641</v>
      </c>
      <c r="W34" s="181">
        <f>-ROUND((R33+R34)/(D33+D34),2)</f>
        <v>106.74</v>
      </c>
      <c r="X34" s="356"/>
      <c r="Y34" s="98" t="s">
        <v>418</v>
      </c>
      <c r="Z34" s="98"/>
    </row>
    <row r="35" spans="1:26" ht="12" customHeight="1">
      <c r="A35" s="180">
        <v>38623</v>
      </c>
      <c r="B35" s="354" t="s">
        <v>1008</v>
      </c>
      <c r="C35" s="98" t="s">
        <v>460</v>
      </c>
      <c r="D35" s="98">
        <v>50</v>
      </c>
      <c r="E35" s="181">
        <v>82.9</v>
      </c>
      <c r="F35" s="181">
        <f t="shared" si="29"/>
        <v>0.41</v>
      </c>
      <c r="G35" s="181">
        <f t="shared" si="30"/>
        <v>83.31</v>
      </c>
      <c r="H35" s="181">
        <f t="shared" si="1"/>
        <v>83.45</v>
      </c>
      <c r="I35" s="219">
        <f t="shared" si="2"/>
        <v>0.54649999999999999</v>
      </c>
      <c r="J35" s="181">
        <f t="shared" si="31"/>
        <v>4165.5</v>
      </c>
      <c r="K35" s="181">
        <f t="shared" si="17"/>
        <v>-4172.33</v>
      </c>
      <c r="L35" s="181">
        <f t="shared" si="32"/>
        <v>20.5</v>
      </c>
      <c r="M35" s="181">
        <f t="shared" si="33"/>
        <v>2.0909999999999997</v>
      </c>
      <c r="N35" s="181">
        <f t="shared" si="34"/>
        <v>4.17</v>
      </c>
      <c r="O35" s="181">
        <f t="shared" si="35"/>
        <v>0.14579249999999999</v>
      </c>
      <c r="P35" s="181">
        <f t="shared" si="36"/>
        <v>0.41655000000000003</v>
      </c>
      <c r="Q35" s="98">
        <f t="shared" si="37"/>
        <v>0</v>
      </c>
      <c r="R35" s="181">
        <v>-4172.17</v>
      </c>
      <c r="S35" s="183">
        <f t="shared" si="9"/>
        <v>-0.15999999999985448</v>
      </c>
      <c r="T35" s="180">
        <v>38628</v>
      </c>
      <c r="U35" s="355"/>
      <c r="V35" s="181"/>
      <c r="W35" s="181"/>
      <c r="X35" s="356"/>
      <c r="Y35" s="98"/>
      <c r="Z35" s="98"/>
    </row>
    <row r="36" spans="1:26" ht="12" customHeight="1">
      <c r="A36" s="180">
        <v>38623</v>
      </c>
      <c r="B36" s="354" t="s">
        <v>1027</v>
      </c>
      <c r="C36" s="98" t="s">
        <v>460</v>
      </c>
      <c r="D36" s="98">
        <v>25</v>
      </c>
      <c r="E36" s="181">
        <v>141.25</v>
      </c>
      <c r="F36" s="181">
        <f t="shared" si="29"/>
        <v>0.71</v>
      </c>
      <c r="G36" s="181">
        <f t="shared" si="30"/>
        <v>141.96</v>
      </c>
      <c r="H36" s="181">
        <f t="shared" si="1"/>
        <v>142.19</v>
      </c>
      <c r="I36" s="219">
        <f t="shared" si="2"/>
        <v>0.94359999999999999</v>
      </c>
      <c r="J36" s="181">
        <f t="shared" si="31"/>
        <v>3549</v>
      </c>
      <c r="K36" s="181">
        <f t="shared" si="17"/>
        <v>-3554.84</v>
      </c>
      <c r="L36" s="181">
        <f t="shared" si="32"/>
        <v>17.75</v>
      </c>
      <c r="M36" s="181">
        <f t="shared" si="33"/>
        <v>1.8104999999999998</v>
      </c>
      <c r="N36" s="181">
        <f t="shared" si="34"/>
        <v>3.55</v>
      </c>
      <c r="O36" s="181">
        <f t="shared" si="35"/>
        <v>0.12421499999999999</v>
      </c>
      <c r="P36" s="181">
        <f t="shared" si="36"/>
        <v>0.35489999999999999</v>
      </c>
      <c r="Q36" s="98">
        <f t="shared" si="37"/>
        <v>0</v>
      </c>
      <c r="R36" s="181">
        <v>-3554</v>
      </c>
      <c r="S36" s="183">
        <f t="shared" si="9"/>
        <v>-0.84000000000014552</v>
      </c>
      <c r="T36" s="180">
        <v>38639</v>
      </c>
      <c r="U36" s="355"/>
      <c r="V36" s="181"/>
      <c r="W36" s="181"/>
      <c r="X36" s="356"/>
      <c r="Y36" s="98" t="s">
        <v>418</v>
      </c>
      <c r="Z36" s="98"/>
    </row>
    <row r="37" spans="1:26" ht="12" customHeight="1">
      <c r="A37" s="180">
        <v>38623</v>
      </c>
      <c r="B37" s="354" t="s">
        <v>1028</v>
      </c>
      <c r="C37" s="98" t="s">
        <v>460</v>
      </c>
      <c r="D37" s="98">
        <v>50</v>
      </c>
      <c r="E37" s="181">
        <v>60</v>
      </c>
      <c r="F37" s="181">
        <f t="shared" si="29"/>
        <v>0.3</v>
      </c>
      <c r="G37" s="181">
        <f t="shared" si="30"/>
        <v>60.3</v>
      </c>
      <c r="H37" s="181">
        <f t="shared" si="1"/>
        <v>60.4</v>
      </c>
      <c r="I37" s="219">
        <f t="shared" si="2"/>
        <v>0.3992</v>
      </c>
      <c r="J37" s="181">
        <f t="shared" si="31"/>
        <v>3015</v>
      </c>
      <c r="K37" s="181">
        <f t="shared" si="17"/>
        <v>-3019.96</v>
      </c>
      <c r="L37" s="181">
        <f t="shared" si="32"/>
        <v>15</v>
      </c>
      <c r="M37" s="181">
        <f t="shared" si="33"/>
        <v>1.5299999999999998</v>
      </c>
      <c r="N37" s="181">
        <f t="shared" si="34"/>
        <v>3.02</v>
      </c>
      <c r="O37" s="181">
        <f t="shared" si="35"/>
        <v>0.10552499999999999</v>
      </c>
      <c r="P37" s="181">
        <f t="shared" si="36"/>
        <v>0.30149999999999999</v>
      </c>
      <c r="Q37" s="98">
        <f t="shared" si="37"/>
        <v>0</v>
      </c>
      <c r="R37" s="181">
        <v>-3020</v>
      </c>
      <c r="S37" s="183">
        <f t="shared" si="9"/>
        <v>3.999999999996362E-2</v>
      </c>
      <c r="T37" s="180">
        <v>38643</v>
      </c>
      <c r="U37" s="355"/>
      <c r="V37" s="181"/>
      <c r="W37" s="181"/>
      <c r="X37" s="356"/>
      <c r="Y37" s="98" t="s">
        <v>418</v>
      </c>
      <c r="Z37" s="98"/>
    </row>
    <row r="38" spans="1:26" ht="12" customHeight="1">
      <c r="A38" s="180">
        <v>38624</v>
      </c>
      <c r="B38" s="354" t="s">
        <v>1029</v>
      </c>
      <c r="C38" s="98" t="s">
        <v>460</v>
      </c>
      <c r="D38" s="98">
        <v>50</v>
      </c>
      <c r="E38" s="181">
        <v>92.2</v>
      </c>
      <c r="F38" s="181">
        <f t="shared" si="29"/>
        <v>0.46</v>
      </c>
      <c r="G38" s="181">
        <f t="shared" si="30"/>
        <v>92.66</v>
      </c>
      <c r="H38" s="181">
        <f t="shared" si="1"/>
        <v>92.81</v>
      </c>
      <c r="I38" s="219">
        <f t="shared" si="2"/>
        <v>0.61209999999999998</v>
      </c>
      <c r="J38" s="181">
        <f t="shared" si="31"/>
        <v>4633</v>
      </c>
      <c r="K38" s="181">
        <f t="shared" si="17"/>
        <v>-4640.6100000000006</v>
      </c>
      <c r="L38" s="181">
        <f t="shared" si="32"/>
        <v>23</v>
      </c>
      <c r="M38" s="181">
        <f t="shared" si="33"/>
        <v>2.3459999999999996</v>
      </c>
      <c r="N38" s="181">
        <f t="shared" si="34"/>
        <v>4.63</v>
      </c>
      <c r="O38" s="181">
        <f t="shared" si="35"/>
        <v>0.16215499999999999</v>
      </c>
      <c r="P38" s="181">
        <f t="shared" si="36"/>
        <v>0.46330000000000005</v>
      </c>
      <c r="Q38" s="98">
        <f t="shared" si="37"/>
        <v>0</v>
      </c>
      <c r="R38" s="181">
        <v>-4640</v>
      </c>
      <c r="S38" s="183">
        <f t="shared" si="9"/>
        <v>-0.61000000000058208</v>
      </c>
      <c r="T38" s="180">
        <v>38643</v>
      </c>
      <c r="U38" s="355"/>
      <c r="V38" s="181"/>
      <c r="W38" s="181"/>
      <c r="X38" s="356"/>
      <c r="Y38" s="98" t="s">
        <v>418</v>
      </c>
      <c r="Z38" s="98"/>
    </row>
    <row r="39" spans="1:26" ht="12" customHeight="1">
      <c r="A39" s="180">
        <v>38624</v>
      </c>
      <c r="B39" s="354" t="s">
        <v>1030</v>
      </c>
      <c r="C39" s="98" t="s">
        <v>460</v>
      </c>
      <c r="D39" s="98">
        <v>25</v>
      </c>
      <c r="E39" s="181">
        <v>100.9</v>
      </c>
      <c r="F39" s="181">
        <f t="shared" si="29"/>
        <v>0.5</v>
      </c>
      <c r="G39" s="181">
        <f t="shared" si="30"/>
        <v>101.4</v>
      </c>
      <c r="H39" s="181">
        <f t="shared" si="1"/>
        <v>101.57</v>
      </c>
      <c r="I39" s="219">
        <f t="shared" si="2"/>
        <v>0.6663</v>
      </c>
      <c r="J39" s="181">
        <f t="shared" si="31"/>
        <v>2535</v>
      </c>
      <c r="K39" s="181">
        <f t="shared" si="17"/>
        <v>-2539.1600000000003</v>
      </c>
      <c r="L39" s="181">
        <f t="shared" si="32"/>
        <v>12.5</v>
      </c>
      <c r="M39" s="181">
        <f t="shared" si="33"/>
        <v>1.2749999999999999</v>
      </c>
      <c r="N39" s="181">
        <f t="shared" si="34"/>
        <v>2.54</v>
      </c>
      <c r="O39" s="181">
        <f t="shared" si="35"/>
        <v>8.8724999999999998E-2</v>
      </c>
      <c r="P39" s="181">
        <f t="shared" si="36"/>
        <v>0.2535</v>
      </c>
      <c r="Q39" s="98">
        <f t="shared" si="37"/>
        <v>0</v>
      </c>
      <c r="R39" s="181">
        <v>-2539</v>
      </c>
      <c r="S39" s="183">
        <f t="shared" si="9"/>
        <v>-0.16000000000030923</v>
      </c>
      <c r="T39" s="180">
        <v>38639</v>
      </c>
      <c r="U39" s="355"/>
      <c r="V39" s="181"/>
      <c r="W39" s="181"/>
      <c r="X39" s="356"/>
      <c r="Y39" s="98" t="s">
        <v>418</v>
      </c>
      <c r="Z39" s="98"/>
    </row>
    <row r="40" spans="1:26" ht="12" customHeight="1">
      <c r="A40" s="180">
        <v>38624</v>
      </c>
      <c r="B40" s="354" t="s">
        <v>1012</v>
      </c>
      <c r="C40" s="98" t="s">
        <v>460</v>
      </c>
      <c r="D40" s="98">
        <f>25+25</f>
        <v>50</v>
      </c>
      <c r="E40" s="181">
        <f>(136.6*25+135.1*25)/D40</f>
        <v>135.85</v>
      </c>
      <c r="F40" s="181">
        <f t="shared" si="29"/>
        <v>0.68</v>
      </c>
      <c r="G40" s="181">
        <f t="shared" si="30"/>
        <v>136.53</v>
      </c>
      <c r="H40" s="181">
        <f t="shared" si="1"/>
        <v>136.75</v>
      </c>
      <c r="I40" s="219">
        <f t="shared" si="2"/>
        <v>0.90439999999999998</v>
      </c>
      <c r="J40" s="181">
        <f t="shared" si="31"/>
        <v>6826.5</v>
      </c>
      <c r="K40" s="181">
        <f t="shared" si="17"/>
        <v>-6837.72</v>
      </c>
      <c r="L40" s="181">
        <f t="shared" si="32"/>
        <v>34</v>
      </c>
      <c r="M40" s="181">
        <f t="shared" si="33"/>
        <v>3.468</v>
      </c>
      <c r="N40" s="181">
        <f t="shared" si="34"/>
        <v>6.83</v>
      </c>
      <c r="O40" s="181">
        <f t="shared" si="35"/>
        <v>0.23892749999999999</v>
      </c>
      <c r="P40" s="181">
        <f t="shared" si="36"/>
        <v>0.68264999999999998</v>
      </c>
      <c r="Q40" s="98">
        <f t="shared" si="37"/>
        <v>0</v>
      </c>
      <c r="R40" s="181">
        <v>-6837</v>
      </c>
      <c r="S40" s="183">
        <f t="shared" si="9"/>
        <v>-0.72000000000025466</v>
      </c>
      <c r="T40" s="180">
        <v>38628</v>
      </c>
      <c r="U40" s="355"/>
      <c r="V40" s="181"/>
      <c r="W40" s="181"/>
      <c r="X40" s="356"/>
      <c r="Y40" s="98" t="s">
        <v>418</v>
      </c>
      <c r="Z40" s="98"/>
    </row>
    <row r="41" spans="1:26" ht="12" customHeight="1">
      <c r="A41" s="180">
        <v>38624</v>
      </c>
      <c r="B41" s="354" t="s">
        <v>1022</v>
      </c>
      <c r="C41" s="98" t="s">
        <v>460</v>
      </c>
      <c r="D41" s="98">
        <v>25</v>
      </c>
      <c r="E41" s="181">
        <v>80.650000000000006</v>
      </c>
      <c r="F41" s="181">
        <f t="shared" si="29"/>
        <v>0.4</v>
      </c>
      <c r="G41" s="181">
        <f t="shared" si="30"/>
        <v>81.050000000000011</v>
      </c>
      <c r="H41" s="181">
        <f t="shared" si="1"/>
        <v>81.180000000000007</v>
      </c>
      <c r="I41" s="219">
        <f t="shared" si="2"/>
        <v>0.53300000000000003</v>
      </c>
      <c r="J41" s="181">
        <f t="shared" si="31"/>
        <v>2026.2500000000002</v>
      </c>
      <c r="K41" s="181">
        <f t="shared" si="17"/>
        <v>-2029.58</v>
      </c>
      <c r="L41" s="181">
        <f t="shared" si="32"/>
        <v>10</v>
      </c>
      <c r="M41" s="181">
        <f t="shared" si="33"/>
        <v>1.02</v>
      </c>
      <c r="N41" s="181">
        <f t="shared" si="34"/>
        <v>2.0299999999999998</v>
      </c>
      <c r="O41" s="181">
        <f t="shared" si="35"/>
        <v>7.0918750000000003E-2</v>
      </c>
      <c r="P41" s="181">
        <f t="shared" si="36"/>
        <v>0.20262500000000003</v>
      </c>
      <c r="Q41" s="98">
        <f t="shared" si="37"/>
        <v>0</v>
      </c>
      <c r="R41" s="181">
        <v>-2030</v>
      </c>
      <c r="S41" s="183">
        <f t="shared" si="9"/>
        <v>0.42000000000007276</v>
      </c>
      <c r="T41" s="180">
        <v>38643</v>
      </c>
      <c r="U41" s="355"/>
      <c r="V41" s="181"/>
      <c r="W41" s="181"/>
      <c r="X41" s="356"/>
      <c r="Y41" s="98" t="s">
        <v>418</v>
      </c>
      <c r="Z41" s="98"/>
    </row>
    <row r="42" spans="1:26" ht="12" customHeight="1">
      <c r="A42" s="180">
        <v>38630</v>
      </c>
      <c r="B42" s="354" t="s">
        <v>1027</v>
      </c>
      <c r="C42" s="98" t="s">
        <v>460</v>
      </c>
      <c r="D42" s="98">
        <v>25</v>
      </c>
      <c r="E42" s="181">
        <v>132.5</v>
      </c>
      <c r="F42" s="181">
        <f t="shared" si="29"/>
        <v>0.66</v>
      </c>
      <c r="G42" s="181">
        <f t="shared" si="30"/>
        <v>133.16</v>
      </c>
      <c r="H42" s="181">
        <f t="shared" si="1"/>
        <v>133.38</v>
      </c>
      <c r="I42" s="219">
        <f t="shared" si="2"/>
        <v>0.87849999999999995</v>
      </c>
      <c r="J42" s="181">
        <f t="shared" si="31"/>
        <v>3329</v>
      </c>
      <c r="K42" s="181">
        <f t="shared" si="17"/>
        <v>-3334.4700000000003</v>
      </c>
      <c r="L42" s="181">
        <f t="shared" si="32"/>
        <v>16.5</v>
      </c>
      <c r="M42" s="181">
        <f t="shared" si="33"/>
        <v>1.6829999999999998</v>
      </c>
      <c r="N42" s="181">
        <f t="shared" si="34"/>
        <v>3.33</v>
      </c>
      <c r="O42" s="181">
        <f t="shared" si="35"/>
        <v>0.11651499999999999</v>
      </c>
      <c r="P42" s="181">
        <f t="shared" si="36"/>
        <v>0.33290000000000003</v>
      </c>
      <c r="Q42" s="98">
        <f t="shared" si="37"/>
        <v>0</v>
      </c>
      <c r="R42" s="181">
        <v>-3334</v>
      </c>
      <c r="S42" s="183">
        <f t="shared" si="9"/>
        <v>-0.47000000000025466</v>
      </c>
      <c r="T42" s="180">
        <v>38643</v>
      </c>
      <c r="U42" s="355"/>
      <c r="V42" s="181"/>
      <c r="W42" s="181"/>
      <c r="X42" s="356"/>
      <c r="Y42" s="98" t="s">
        <v>418</v>
      </c>
      <c r="Z42" s="98"/>
    </row>
    <row r="43" spans="1:26" ht="12" customHeight="1">
      <c r="A43" s="180">
        <v>38631</v>
      </c>
      <c r="B43" s="354" t="s">
        <v>1031</v>
      </c>
      <c r="C43" s="98" t="s">
        <v>460</v>
      </c>
      <c r="D43" s="98">
        <f>10+5</f>
        <v>15</v>
      </c>
      <c r="E43" s="181">
        <f>(10*553.35+5*535.5)/D43</f>
        <v>547.4</v>
      </c>
      <c r="F43" s="181">
        <f t="shared" si="29"/>
        <v>2.74</v>
      </c>
      <c r="G43" s="181">
        <f t="shared" si="30"/>
        <v>550.14</v>
      </c>
      <c r="H43" s="181">
        <f t="shared" si="1"/>
        <v>551.04</v>
      </c>
      <c r="I43" s="219">
        <f t="shared" si="2"/>
        <v>3.6438000000000001</v>
      </c>
      <c r="J43" s="181">
        <f t="shared" si="31"/>
        <v>8252.1</v>
      </c>
      <c r="K43" s="181">
        <f t="shared" si="17"/>
        <v>-8265.66</v>
      </c>
      <c r="L43" s="181">
        <f t="shared" si="32"/>
        <v>41.1</v>
      </c>
      <c r="M43" s="181">
        <f t="shared" si="33"/>
        <v>4.1921999999999997</v>
      </c>
      <c r="N43" s="181">
        <f t="shared" si="34"/>
        <v>8.25</v>
      </c>
      <c r="O43" s="181">
        <f t="shared" si="35"/>
        <v>0.28882350000000001</v>
      </c>
      <c r="P43" s="181">
        <f t="shared" si="36"/>
        <v>0.82521000000000011</v>
      </c>
      <c r="Q43" s="98">
        <f t="shared" si="37"/>
        <v>0</v>
      </c>
      <c r="R43" s="181">
        <v>-8265</v>
      </c>
      <c r="S43" s="183">
        <f t="shared" si="9"/>
        <v>-0.65999999999985448</v>
      </c>
      <c r="T43" s="180">
        <v>38643</v>
      </c>
      <c r="U43" s="355"/>
      <c r="V43" s="181"/>
      <c r="W43" s="181"/>
      <c r="X43" s="356"/>
      <c r="Y43" s="98" t="s">
        <v>418</v>
      </c>
      <c r="Z43" s="98"/>
    </row>
    <row r="44" spans="1:26" ht="12" customHeight="1">
      <c r="A44" s="180">
        <v>38631</v>
      </c>
      <c r="B44" s="354" t="s">
        <v>1011</v>
      </c>
      <c r="C44" s="98" t="s">
        <v>460</v>
      </c>
      <c r="D44" s="98">
        <v>50</v>
      </c>
      <c r="E44" s="181">
        <v>75.5</v>
      </c>
      <c r="F44" s="181">
        <f t="shared" si="29"/>
        <v>0.38</v>
      </c>
      <c r="G44" s="181">
        <f t="shared" si="30"/>
        <v>75.88</v>
      </c>
      <c r="H44" s="181">
        <f t="shared" si="1"/>
        <v>76</v>
      </c>
      <c r="I44" s="219">
        <f t="shared" si="2"/>
        <v>0.50490000000000002</v>
      </c>
      <c r="J44" s="181">
        <f t="shared" si="31"/>
        <v>3794</v>
      </c>
      <c r="K44" s="181">
        <f t="shared" si="17"/>
        <v>-3800.25</v>
      </c>
      <c r="L44" s="181">
        <f t="shared" si="32"/>
        <v>19</v>
      </c>
      <c r="M44" s="181">
        <f t="shared" si="33"/>
        <v>1.9379999999999999</v>
      </c>
      <c r="N44" s="181">
        <f t="shared" si="34"/>
        <v>3.79</v>
      </c>
      <c r="O44" s="181">
        <f t="shared" si="35"/>
        <v>0.13278999999999999</v>
      </c>
      <c r="P44" s="181">
        <f t="shared" si="36"/>
        <v>0.37940000000000002</v>
      </c>
      <c r="Q44" s="98">
        <f t="shared" si="37"/>
        <v>0</v>
      </c>
      <c r="R44" s="181">
        <v>-3800</v>
      </c>
      <c r="S44" s="183">
        <f t="shared" si="9"/>
        <v>-0.25</v>
      </c>
      <c r="T44" s="180">
        <v>38643</v>
      </c>
      <c r="U44" s="355"/>
      <c r="V44" s="181"/>
      <c r="W44" s="181"/>
      <c r="X44" s="356"/>
      <c r="Y44" s="98" t="s">
        <v>418</v>
      </c>
      <c r="Z44" s="98"/>
    </row>
    <row r="45" spans="1:26" ht="12" customHeight="1">
      <c r="A45" s="180">
        <v>38631</v>
      </c>
      <c r="B45" s="354" t="s">
        <v>1023</v>
      </c>
      <c r="C45" s="98" t="s">
        <v>460</v>
      </c>
      <c r="D45" s="98">
        <v>25</v>
      </c>
      <c r="E45" s="181">
        <v>130.5</v>
      </c>
      <c r="F45" s="181">
        <f t="shared" si="29"/>
        <v>0.65</v>
      </c>
      <c r="G45" s="181">
        <f t="shared" si="30"/>
        <v>131.15</v>
      </c>
      <c r="H45" s="181">
        <f t="shared" si="1"/>
        <v>131.37</v>
      </c>
      <c r="I45" s="219">
        <f t="shared" si="2"/>
        <v>0.86529999999999996</v>
      </c>
      <c r="J45" s="181">
        <f t="shared" si="31"/>
        <v>3278.75</v>
      </c>
      <c r="K45" s="181">
        <f t="shared" si="17"/>
        <v>-3284.1400000000003</v>
      </c>
      <c r="L45" s="181">
        <f t="shared" si="32"/>
        <v>16.25</v>
      </c>
      <c r="M45" s="181">
        <f t="shared" si="33"/>
        <v>1.6575</v>
      </c>
      <c r="N45" s="181">
        <f t="shared" si="34"/>
        <v>3.28</v>
      </c>
      <c r="O45" s="181">
        <f t="shared" si="35"/>
        <v>0.11475624999999999</v>
      </c>
      <c r="P45" s="181">
        <f t="shared" si="36"/>
        <v>0.32787500000000003</v>
      </c>
      <c r="Q45" s="98">
        <f t="shared" si="37"/>
        <v>0</v>
      </c>
      <c r="R45" s="181">
        <v>-3284</v>
      </c>
      <c r="S45" s="183">
        <f t="shared" si="9"/>
        <v>-0.14000000000032742</v>
      </c>
      <c r="T45" s="180">
        <v>38643</v>
      </c>
      <c r="U45" s="355"/>
      <c r="V45" s="355"/>
      <c r="W45" s="355"/>
      <c r="X45" s="356"/>
      <c r="Y45" s="98" t="s">
        <v>418</v>
      </c>
      <c r="Z45" s="98"/>
    </row>
    <row r="46" spans="1:26" ht="12" customHeight="1">
      <c r="A46" s="180">
        <v>38631</v>
      </c>
      <c r="B46" s="354" t="s">
        <v>1026</v>
      </c>
      <c r="C46" s="98" t="s">
        <v>460</v>
      </c>
      <c r="D46" s="98">
        <v>100</v>
      </c>
      <c r="E46" s="181">
        <v>29.9</v>
      </c>
      <c r="F46" s="181">
        <f t="shared" si="29"/>
        <v>0.15</v>
      </c>
      <c r="G46" s="181">
        <f t="shared" si="30"/>
        <v>30.049999999999997</v>
      </c>
      <c r="H46" s="181">
        <f t="shared" si="1"/>
        <v>30.1</v>
      </c>
      <c r="I46" s="219">
        <f t="shared" si="2"/>
        <v>0.19949999999999998</v>
      </c>
      <c r="J46" s="181">
        <f t="shared" si="31"/>
        <v>3004.9999999999995</v>
      </c>
      <c r="K46" s="181">
        <f t="shared" si="17"/>
        <v>-3009.9500000000003</v>
      </c>
      <c r="L46" s="181">
        <f t="shared" si="32"/>
        <v>15</v>
      </c>
      <c r="M46" s="181">
        <f t="shared" si="33"/>
        <v>1.5299999999999998</v>
      </c>
      <c r="N46" s="181">
        <f t="shared" si="34"/>
        <v>3.01</v>
      </c>
      <c r="O46" s="181">
        <f t="shared" si="35"/>
        <v>0.10517499999999998</v>
      </c>
      <c r="P46" s="181">
        <f t="shared" si="36"/>
        <v>0.30049999999999999</v>
      </c>
      <c r="Q46" s="98">
        <f t="shared" si="37"/>
        <v>0</v>
      </c>
      <c r="R46" s="181">
        <v>-3010</v>
      </c>
      <c r="S46" s="183">
        <f t="shared" si="9"/>
        <v>4.9999999999727152E-2</v>
      </c>
      <c r="T46" s="180">
        <v>38643</v>
      </c>
      <c r="U46" s="355"/>
      <c r="V46" s="181"/>
      <c r="W46" s="181"/>
      <c r="X46" s="356" t="str">
        <f>IF(X171="Not Sold","Not Sold","")</f>
        <v/>
      </c>
      <c r="Y46" s="98" t="s">
        <v>418</v>
      </c>
      <c r="Z46" s="98"/>
    </row>
    <row r="47" spans="1:26" ht="12" customHeight="1">
      <c r="A47" s="180">
        <v>38632</v>
      </c>
      <c r="B47" s="354" t="s">
        <v>1008</v>
      </c>
      <c r="C47" s="98" t="s">
        <v>460</v>
      </c>
      <c r="D47" s="98">
        <f>25+25</f>
        <v>50</v>
      </c>
      <c r="E47" s="181">
        <f>(86.7*25+85.9*25)/D47</f>
        <v>86.3</v>
      </c>
      <c r="F47" s="181">
        <f t="shared" si="29"/>
        <v>0.43</v>
      </c>
      <c r="G47" s="181">
        <f t="shared" si="30"/>
        <v>86.73</v>
      </c>
      <c r="H47" s="181">
        <f t="shared" si="1"/>
        <v>86.87</v>
      </c>
      <c r="I47" s="219">
        <f t="shared" si="2"/>
        <v>0.57240000000000002</v>
      </c>
      <c r="J47" s="181">
        <f t="shared" si="31"/>
        <v>4336.5</v>
      </c>
      <c r="K47" s="181">
        <f t="shared" si="17"/>
        <v>-4343.62</v>
      </c>
      <c r="L47" s="181">
        <f t="shared" si="32"/>
        <v>21.5</v>
      </c>
      <c r="M47" s="181">
        <f t="shared" si="33"/>
        <v>2.1930000000000001</v>
      </c>
      <c r="N47" s="181">
        <f t="shared" si="34"/>
        <v>4.34</v>
      </c>
      <c r="O47" s="181">
        <f t="shared" si="35"/>
        <v>0.15177749999999998</v>
      </c>
      <c r="P47" s="181">
        <f t="shared" si="36"/>
        <v>0.43365000000000004</v>
      </c>
      <c r="Q47" s="98">
        <f t="shared" si="37"/>
        <v>0</v>
      </c>
      <c r="R47" s="181">
        <v>-4343</v>
      </c>
      <c r="S47" s="183">
        <f t="shared" si="9"/>
        <v>-0.61999999999989086</v>
      </c>
      <c r="T47" s="180">
        <v>38643</v>
      </c>
      <c r="U47" s="355"/>
      <c r="V47" s="181"/>
      <c r="W47" s="181"/>
      <c r="X47" s="356"/>
      <c r="Y47" s="98" t="s">
        <v>418</v>
      </c>
      <c r="Z47" s="98"/>
    </row>
    <row r="48" spans="1:26" ht="12" customHeight="1">
      <c r="A48" s="180">
        <v>38632</v>
      </c>
      <c r="B48" s="354" t="s">
        <v>1027</v>
      </c>
      <c r="C48" s="98" t="s">
        <v>460</v>
      </c>
      <c r="D48" s="98">
        <v>25</v>
      </c>
      <c r="E48" s="181">
        <v>126.5</v>
      </c>
      <c r="F48" s="181">
        <f t="shared" si="29"/>
        <v>0.63</v>
      </c>
      <c r="G48" s="181">
        <f t="shared" si="30"/>
        <v>127.13</v>
      </c>
      <c r="H48" s="181">
        <f t="shared" si="1"/>
        <v>127.34</v>
      </c>
      <c r="I48" s="219">
        <f t="shared" si="2"/>
        <v>0.8387</v>
      </c>
      <c r="J48" s="181">
        <f t="shared" si="31"/>
        <v>3178.25</v>
      </c>
      <c r="K48" s="181">
        <f t="shared" si="17"/>
        <v>-3183.4700000000003</v>
      </c>
      <c r="L48" s="181">
        <f t="shared" si="32"/>
        <v>15.75</v>
      </c>
      <c r="M48" s="181">
        <f t="shared" si="33"/>
        <v>1.6064999999999998</v>
      </c>
      <c r="N48" s="181">
        <f t="shared" si="34"/>
        <v>3.18</v>
      </c>
      <c r="O48" s="181">
        <f t="shared" si="35"/>
        <v>0.11123874999999998</v>
      </c>
      <c r="P48" s="181">
        <f t="shared" si="36"/>
        <v>0.31782500000000002</v>
      </c>
      <c r="Q48" s="98">
        <f t="shared" si="37"/>
        <v>0</v>
      </c>
      <c r="R48" s="181">
        <v>-3183</v>
      </c>
      <c r="S48" s="183">
        <f t="shared" si="9"/>
        <v>-0.47000000000025466</v>
      </c>
      <c r="T48" s="180">
        <v>38628</v>
      </c>
      <c r="U48" s="357"/>
      <c r="V48" s="180"/>
      <c r="W48" s="181"/>
      <c r="X48" s="356"/>
      <c r="Y48" s="98" t="s">
        <v>418</v>
      </c>
      <c r="Z48" s="98"/>
    </row>
    <row r="49" spans="1:26" ht="12" customHeight="1">
      <c r="A49" s="180">
        <v>38635</v>
      </c>
      <c r="B49" s="354" t="s">
        <v>1008</v>
      </c>
      <c r="C49" s="98" t="s">
        <v>460</v>
      </c>
      <c r="D49" s="98">
        <v>25</v>
      </c>
      <c r="E49" s="181">
        <v>84.6</v>
      </c>
      <c r="F49" s="181">
        <f t="shared" si="29"/>
        <v>0.42</v>
      </c>
      <c r="G49" s="181">
        <f t="shared" si="30"/>
        <v>85.02</v>
      </c>
      <c r="H49" s="181">
        <f t="shared" si="1"/>
        <v>85.16</v>
      </c>
      <c r="I49" s="219">
        <f t="shared" si="2"/>
        <v>0.55959999999999999</v>
      </c>
      <c r="J49" s="181">
        <f t="shared" si="31"/>
        <v>2125.5</v>
      </c>
      <c r="K49" s="181">
        <f t="shared" si="17"/>
        <v>-2128.9900000000002</v>
      </c>
      <c r="L49" s="181">
        <f t="shared" si="32"/>
        <v>10.5</v>
      </c>
      <c r="M49" s="181">
        <f t="shared" si="33"/>
        <v>1.071</v>
      </c>
      <c r="N49" s="181">
        <f t="shared" si="34"/>
        <v>2.13</v>
      </c>
      <c r="O49" s="181">
        <f t="shared" si="35"/>
        <v>7.43925E-2</v>
      </c>
      <c r="P49" s="181">
        <f t="shared" si="36"/>
        <v>0.21255000000000002</v>
      </c>
      <c r="Q49" s="98">
        <f t="shared" si="37"/>
        <v>0</v>
      </c>
      <c r="R49" s="181">
        <v>-2128</v>
      </c>
      <c r="S49" s="183">
        <f t="shared" si="9"/>
        <v>-0.99000000000023647</v>
      </c>
      <c r="T49" s="180">
        <v>38643</v>
      </c>
      <c r="U49" s="357"/>
      <c r="V49" s="180"/>
      <c r="W49" s="181"/>
      <c r="X49" s="356"/>
      <c r="Y49" s="98" t="s">
        <v>418</v>
      </c>
      <c r="Z49" s="98"/>
    </row>
    <row r="50" spans="1:26" ht="12" customHeight="1">
      <c r="A50" s="180">
        <v>38639</v>
      </c>
      <c r="B50" s="354" t="s">
        <v>1031</v>
      </c>
      <c r="C50" s="98" t="s">
        <v>460</v>
      </c>
      <c r="D50" s="98">
        <v>5</v>
      </c>
      <c r="E50" s="181">
        <v>508.9</v>
      </c>
      <c r="F50" s="181">
        <f t="shared" si="29"/>
        <v>2.54</v>
      </c>
      <c r="G50" s="181">
        <f t="shared" si="30"/>
        <v>511.44</v>
      </c>
      <c r="H50" s="181">
        <f t="shared" si="1"/>
        <v>512.28</v>
      </c>
      <c r="I50" s="219">
        <f t="shared" si="2"/>
        <v>3.3802000000000003</v>
      </c>
      <c r="J50" s="181">
        <f t="shared" si="31"/>
        <v>2557.1999999999998</v>
      </c>
      <c r="K50" s="181">
        <f t="shared" si="17"/>
        <v>-2561.4100000000003</v>
      </c>
      <c r="L50" s="181">
        <f t="shared" si="32"/>
        <v>12.7</v>
      </c>
      <c r="M50" s="181">
        <f t="shared" si="33"/>
        <v>1.2953999999999999</v>
      </c>
      <c r="N50" s="181">
        <f t="shared" si="34"/>
        <v>2.56</v>
      </c>
      <c r="O50" s="181">
        <f t="shared" si="35"/>
        <v>8.9501999999999984E-2</v>
      </c>
      <c r="P50" s="181">
        <f t="shared" si="36"/>
        <v>0.25572</v>
      </c>
      <c r="Q50" s="98">
        <f t="shared" si="37"/>
        <v>0</v>
      </c>
      <c r="R50" s="181">
        <v>-2562.02</v>
      </c>
      <c r="S50" s="183">
        <f t="shared" si="9"/>
        <v>0.60999999999967258</v>
      </c>
      <c r="T50" s="180">
        <v>38644</v>
      </c>
      <c r="U50" s="357"/>
      <c r="V50" s="180"/>
      <c r="W50" s="181"/>
      <c r="X50" s="356"/>
      <c r="Y50" s="98" t="s">
        <v>418</v>
      </c>
      <c r="Z50" s="98"/>
    </row>
    <row r="51" spans="1:26" ht="12" customHeight="1">
      <c r="A51" s="180">
        <v>38663</v>
      </c>
      <c r="B51" s="354" t="s">
        <v>1032</v>
      </c>
      <c r="C51" s="98" t="s">
        <v>460</v>
      </c>
      <c r="D51" s="98">
        <v>50</v>
      </c>
      <c r="E51" s="181">
        <v>75.75</v>
      </c>
      <c r="F51" s="181">
        <f t="shared" si="29"/>
        <v>0.38</v>
      </c>
      <c r="G51" s="181">
        <f t="shared" si="30"/>
        <v>76.13</v>
      </c>
      <c r="H51" s="181">
        <f t="shared" si="1"/>
        <v>76.260000000000005</v>
      </c>
      <c r="I51" s="219">
        <f t="shared" si="2"/>
        <v>0.50529999999999997</v>
      </c>
      <c r="J51" s="181">
        <f t="shared" si="31"/>
        <v>3806.5</v>
      </c>
      <c r="K51" s="181">
        <f t="shared" si="17"/>
        <v>-3812.7700000000004</v>
      </c>
      <c r="L51" s="181">
        <f t="shared" si="32"/>
        <v>19</v>
      </c>
      <c r="M51" s="181">
        <f t="shared" si="33"/>
        <v>1.9379999999999999</v>
      </c>
      <c r="N51" s="181">
        <f t="shared" si="34"/>
        <v>3.81</v>
      </c>
      <c r="O51" s="181">
        <f t="shared" si="35"/>
        <v>0.1332275</v>
      </c>
      <c r="P51" s="181">
        <f t="shared" si="36"/>
        <v>0.38065000000000004</v>
      </c>
      <c r="Q51" s="98">
        <f t="shared" si="37"/>
        <v>0</v>
      </c>
      <c r="R51" s="181">
        <v>-3812.78</v>
      </c>
      <c r="S51" s="183">
        <f t="shared" si="9"/>
        <v>9.9999999997635314E-3</v>
      </c>
      <c r="T51" s="180">
        <v>38670</v>
      </c>
      <c r="U51" s="357"/>
      <c r="V51" s="180"/>
      <c r="W51" s="181"/>
      <c r="X51" s="356"/>
      <c r="Y51" s="98" t="s">
        <v>418</v>
      </c>
      <c r="Z51" s="98"/>
    </row>
    <row r="52" spans="1:26" ht="12" customHeight="1">
      <c r="A52" s="180">
        <v>38663</v>
      </c>
      <c r="B52" s="354" t="s">
        <v>1011</v>
      </c>
      <c r="C52" s="98" t="s">
        <v>460</v>
      </c>
      <c r="D52" s="98">
        <v>50</v>
      </c>
      <c r="E52" s="181">
        <v>72.849999999999994</v>
      </c>
      <c r="F52" s="181">
        <f t="shared" si="29"/>
        <v>0.36</v>
      </c>
      <c r="G52" s="181">
        <f t="shared" si="30"/>
        <v>73.209999999999994</v>
      </c>
      <c r="H52" s="181">
        <f t="shared" si="1"/>
        <v>73.33</v>
      </c>
      <c r="I52" s="219">
        <f t="shared" si="2"/>
        <v>0.47989999999999999</v>
      </c>
      <c r="J52" s="181">
        <f t="shared" si="31"/>
        <v>3660.4999999999995</v>
      </c>
      <c r="K52" s="181">
        <f t="shared" si="17"/>
        <v>-3666.5</v>
      </c>
      <c r="L52" s="181">
        <f t="shared" si="32"/>
        <v>18</v>
      </c>
      <c r="M52" s="181">
        <f t="shared" si="33"/>
        <v>1.8359999999999999</v>
      </c>
      <c r="N52" s="181">
        <f t="shared" si="34"/>
        <v>3.66</v>
      </c>
      <c r="O52" s="181">
        <f t="shared" si="35"/>
        <v>0.12811749999999997</v>
      </c>
      <c r="P52" s="181">
        <f t="shared" si="36"/>
        <v>0.36604999999999999</v>
      </c>
      <c r="Q52" s="98">
        <f t="shared" si="37"/>
        <v>0</v>
      </c>
      <c r="R52" s="181">
        <v>-3666.5</v>
      </c>
      <c r="S52" s="183">
        <f t="shared" si="9"/>
        <v>0</v>
      </c>
      <c r="T52" s="180">
        <v>38669</v>
      </c>
      <c r="U52" s="357">
        <f>ROUND((K44*(T52-T44)+K52*1)/(K44+K52),0)</f>
        <v>14</v>
      </c>
      <c r="V52" s="180">
        <f>T45+U52</f>
        <v>38657</v>
      </c>
      <c r="W52" s="181">
        <f>-ROUND((R44+R52)/(D44+D52),2)</f>
        <v>74.67</v>
      </c>
      <c r="X52" s="356"/>
      <c r="Y52" s="98" t="s">
        <v>418</v>
      </c>
      <c r="Z52" s="98"/>
    </row>
    <row r="53" spans="1:26" ht="12" customHeight="1">
      <c r="A53" s="180">
        <v>38664</v>
      </c>
      <c r="B53" s="354" t="s">
        <v>1033</v>
      </c>
      <c r="C53" s="98" t="s">
        <v>460</v>
      </c>
      <c r="D53" s="98">
        <v>100</v>
      </c>
      <c r="E53" s="181">
        <v>23.35</v>
      </c>
      <c r="F53" s="181">
        <f t="shared" si="29"/>
        <v>0.12</v>
      </c>
      <c r="G53" s="181">
        <f t="shared" si="30"/>
        <v>23.470000000000002</v>
      </c>
      <c r="H53" s="181">
        <f t="shared" si="1"/>
        <v>23.51</v>
      </c>
      <c r="I53" s="219">
        <f t="shared" si="2"/>
        <v>0.159</v>
      </c>
      <c r="J53" s="181">
        <f t="shared" si="31"/>
        <v>2347.0000000000005</v>
      </c>
      <c r="K53" s="181">
        <f t="shared" si="17"/>
        <v>-2350.9</v>
      </c>
      <c r="L53" s="181">
        <f t="shared" si="32"/>
        <v>12</v>
      </c>
      <c r="M53" s="181">
        <f t="shared" si="33"/>
        <v>1.224</v>
      </c>
      <c r="N53" s="181">
        <f t="shared" si="34"/>
        <v>2.35</v>
      </c>
      <c r="O53" s="181">
        <f t="shared" si="35"/>
        <v>8.214500000000001E-2</v>
      </c>
      <c r="P53" s="181">
        <f t="shared" si="36"/>
        <v>0.23470000000000005</v>
      </c>
      <c r="Q53" s="98">
        <f t="shared" si="37"/>
        <v>0</v>
      </c>
      <c r="R53" s="181">
        <v>-2350.6799999999998</v>
      </c>
      <c r="S53" s="183">
        <f t="shared" si="9"/>
        <v>-0.22000000000025466</v>
      </c>
      <c r="T53" s="180">
        <v>38670</v>
      </c>
      <c r="U53" s="357"/>
      <c r="V53" s="180"/>
      <c r="W53" s="181">
        <f>-ROUND(R53/D53,2)</f>
        <v>23.51</v>
      </c>
      <c r="X53" s="356"/>
      <c r="Y53" s="98" t="s">
        <v>418</v>
      </c>
      <c r="Z53" s="98"/>
    </row>
    <row r="54" spans="1:26" ht="12" customHeight="1">
      <c r="A54" s="180">
        <v>38677</v>
      </c>
      <c r="B54" s="354" t="s">
        <v>1031</v>
      </c>
      <c r="C54" s="98" t="s">
        <v>460</v>
      </c>
      <c r="D54" s="98">
        <v>10</v>
      </c>
      <c r="E54" s="181">
        <v>535</v>
      </c>
      <c r="F54" s="181">
        <f t="shared" si="29"/>
        <v>2.68</v>
      </c>
      <c r="G54" s="181">
        <f t="shared" si="30"/>
        <v>537.67999999999995</v>
      </c>
      <c r="H54" s="181">
        <f t="shared" si="1"/>
        <v>538.55999999999995</v>
      </c>
      <c r="I54" s="219">
        <f t="shared" si="2"/>
        <v>3.5640000000000001</v>
      </c>
      <c r="J54" s="181">
        <f t="shared" si="31"/>
        <v>5376.7999999999993</v>
      </c>
      <c r="K54" s="181">
        <f t="shared" si="17"/>
        <v>-5385.64</v>
      </c>
      <c r="L54" s="181">
        <f t="shared" si="32"/>
        <v>26.8</v>
      </c>
      <c r="M54" s="181">
        <f t="shared" si="33"/>
        <v>2.7336</v>
      </c>
      <c r="N54" s="181">
        <f t="shared" si="34"/>
        <v>5.38</v>
      </c>
      <c r="O54" s="181">
        <f t="shared" si="35"/>
        <v>0.18818799999999997</v>
      </c>
      <c r="P54" s="181">
        <f t="shared" si="36"/>
        <v>0.53767999999999994</v>
      </c>
      <c r="Q54" s="98">
        <f t="shared" si="37"/>
        <v>0</v>
      </c>
      <c r="R54" s="181">
        <v>-5385.89</v>
      </c>
      <c r="S54" s="183">
        <f t="shared" si="9"/>
        <v>0.25</v>
      </c>
      <c r="T54" s="180">
        <v>38679</v>
      </c>
      <c r="U54" s="357">
        <f>ROUND((K50*(T54-T50)+K54*1)/(K50+K54),0)</f>
        <v>12</v>
      </c>
      <c r="V54" s="180">
        <f>T50+U54</f>
        <v>38656</v>
      </c>
      <c r="W54" s="181">
        <f>-ROUND((R50+R54)/(D50+D54),2)</f>
        <v>529.86</v>
      </c>
      <c r="X54" s="356"/>
      <c r="Y54" s="98" t="s">
        <v>418</v>
      </c>
      <c r="Z54" s="98"/>
    </row>
    <row r="55" spans="1:26" ht="12" customHeight="1">
      <c r="A55" s="180">
        <v>38677</v>
      </c>
      <c r="B55" s="354" t="s">
        <v>1034</v>
      </c>
      <c r="C55" s="98" t="s">
        <v>460</v>
      </c>
      <c r="D55" s="98">
        <v>50</v>
      </c>
      <c r="E55" s="181">
        <v>125</v>
      </c>
      <c r="F55" s="181">
        <f t="shared" si="29"/>
        <v>0.63</v>
      </c>
      <c r="G55" s="181">
        <f t="shared" si="30"/>
        <v>125.63</v>
      </c>
      <c r="H55" s="181">
        <f t="shared" si="1"/>
        <v>125.84</v>
      </c>
      <c r="I55" s="219">
        <f t="shared" si="2"/>
        <v>0.83689999999999998</v>
      </c>
      <c r="J55" s="181">
        <f t="shared" si="31"/>
        <v>6281.5</v>
      </c>
      <c r="K55" s="181">
        <f t="shared" si="17"/>
        <v>-6291.85</v>
      </c>
      <c r="L55" s="181">
        <f t="shared" si="32"/>
        <v>31.5</v>
      </c>
      <c r="M55" s="181">
        <f t="shared" si="33"/>
        <v>3.2129999999999996</v>
      </c>
      <c r="N55" s="181">
        <f t="shared" si="34"/>
        <v>6.28</v>
      </c>
      <c r="O55" s="181">
        <f t="shared" si="35"/>
        <v>0.21985249999999998</v>
      </c>
      <c r="P55" s="181">
        <f t="shared" si="36"/>
        <v>0.62814999999999999</v>
      </c>
      <c r="Q55" s="98">
        <f t="shared" si="37"/>
        <v>0</v>
      </c>
      <c r="R55" s="181">
        <v>-6292.13</v>
      </c>
      <c r="S55" s="183">
        <f t="shared" si="9"/>
        <v>0.27999999999974534</v>
      </c>
      <c r="T55" s="180">
        <v>38679</v>
      </c>
      <c r="U55" s="357"/>
      <c r="V55" s="180"/>
      <c r="W55" s="181"/>
      <c r="X55" s="356"/>
      <c r="Y55" s="98" t="s">
        <v>418</v>
      </c>
      <c r="Z55" s="98"/>
    </row>
    <row r="56" spans="1:26" ht="12" customHeight="1">
      <c r="A56" s="180">
        <v>38678</v>
      </c>
      <c r="B56" s="354" t="s">
        <v>1035</v>
      </c>
      <c r="C56" s="98" t="s">
        <v>460</v>
      </c>
      <c r="D56" s="98">
        <v>50</v>
      </c>
      <c r="E56" s="181">
        <v>95.1</v>
      </c>
      <c r="F56" s="181">
        <f t="shared" si="29"/>
        <v>0.48</v>
      </c>
      <c r="G56" s="181">
        <f t="shared" si="30"/>
        <v>95.58</v>
      </c>
      <c r="H56" s="181">
        <f t="shared" si="1"/>
        <v>95.74</v>
      </c>
      <c r="I56" s="219">
        <f t="shared" si="2"/>
        <v>0.63749999999999996</v>
      </c>
      <c r="J56" s="181">
        <f t="shared" si="31"/>
        <v>4779</v>
      </c>
      <c r="K56" s="181">
        <f t="shared" si="17"/>
        <v>-4786.88</v>
      </c>
      <c r="L56" s="181">
        <f t="shared" si="32"/>
        <v>24</v>
      </c>
      <c r="M56" s="181">
        <f t="shared" si="33"/>
        <v>2.448</v>
      </c>
      <c r="N56" s="181">
        <f t="shared" si="34"/>
        <v>4.78</v>
      </c>
      <c r="O56" s="181">
        <f t="shared" si="35"/>
        <v>0.167265</v>
      </c>
      <c r="P56" s="181">
        <f t="shared" si="36"/>
        <v>0.47790000000000005</v>
      </c>
      <c r="Q56" s="98">
        <f t="shared" si="37"/>
        <v>0</v>
      </c>
      <c r="R56" s="181">
        <v>-4787.41</v>
      </c>
      <c r="S56" s="183">
        <f t="shared" si="9"/>
        <v>0.52999999999974534</v>
      </c>
      <c r="T56" s="180">
        <v>38680</v>
      </c>
      <c r="U56" s="357"/>
      <c r="V56" s="180"/>
      <c r="W56" s="181"/>
      <c r="X56" s="356"/>
      <c r="Y56" s="98" t="s">
        <v>418</v>
      </c>
      <c r="Z56" s="98"/>
    </row>
    <row r="57" spans="1:26" ht="12" customHeight="1">
      <c r="A57" s="180">
        <v>38679</v>
      </c>
      <c r="B57" s="354" t="s">
        <v>1036</v>
      </c>
      <c r="C57" s="98" t="s">
        <v>460</v>
      </c>
      <c r="D57" s="98">
        <v>10</v>
      </c>
      <c r="E57" s="181">
        <v>365.75</v>
      </c>
      <c r="F57" s="181">
        <f t="shared" si="29"/>
        <v>1.83</v>
      </c>
      <c r="G57" s="181">
        <f t="shared" si="30"/>
        <v>367.58</v>
      </c>
      <c r="H57" s="181">
        <f t="shared" si="1"/>
        <v>368.18</v>
      </c>
      <c r="I57" s="219">
        <f t="shared" si="2"/>
        <v>2.4343000000000004</v>
      </c>
      <c r="J57" s="181">
        <f t="shared" si="31"/>
        <v>3675.7999999999997</v>
      </c>
      <c r="K57" s="181">
        <f t="shared" si="17"/>
        <v>-3681.8500000000004</v>
      </c>
      <c r="L57" s="181">
        <f t="shared" si="32"/>
        <v>18.3</v>
      </c>
      <c r="M57" s="181">
        <f t="shared" si="33"/>
        <v>1.8666</v>
      </c>
      <c r="N57" s="181">
        <f t="shared" si="34"/>
        <v>3.68</v>
      </c>
      <c r="O57" s="181">
        <f t="shared" si="35"/>
        <v>0.12865299999999999</v>
      </c>
      <c r="P57" s="181">
        <f t="shared" si="36"/>
        <v>0.36758000000000002</v>
      </c>
      <c r="Q57" s="98">
        <f t="shared" si="37"/>
        <v>0</v>
      </c>
      <c r="R57" s="181">
        <v>-3682.13</v>
      </c>
      <c r="S57" s="183">
        <f t="shared" si="9"/>
        <v>0.27999999999974534</v>
      </c>
      <c r="T57" s="180">
        <v>38681</v>
      </c>
      <c r="U57" s="357"/>
      <c r="V57" s="180"/>
      <c r="W57" s="181"/>
      <c r="X57" s="356"/>
      <c r="Y57" s="98" t="s">
        <v>418</v>
      </c>
      <c r="Z57" s="98"/>
    </row>
    <row r="58" spans="1:26" ht="12" customHeight="1">
      <c r="A58" s="180">
        <v>38680</v>
      </c>
      <c r="B58" s="354" t="s">
        <v>1037</v>
      </c>
      <c r="C58" s="98" t="s">
        <v>460</v>
      </c>
      <c r="D58" s="98">
        <v>50</v>
      </c>
      <c r="E58" s="181">
        <v>188.75</v>
      </c>
      <c r="F58" s="181">
        <f t="shared" si="29"/>
        <v>0.94</v>
      </c>
      <c r="G58" s="181">
        <f t="shared" si="30"/>
        <v>189.69</v>
      </c>
      <c r="H58" s="181">
        <f t="shared" si="1"/>
        <v>190</v>
      </c>
      <c r="I58" s="219">
        <f t="shared" si="2"/>
        <v>1.2510999999999999</v>
      </c>
      <c r="J58" s="181">
        <f t="shared" si="31"/>
        <v>9484.5</v>
      </c>
      <c r="K58" s="181">
        <f t="shared" si="17"/>
        <v>-9500.06</v>
      </c>
      <c r="L58" s="181">
        <f t="shared" si="32"/>
        <v>47</v>
      </c>
      <c r="M58" s="181">
        <f t="shared" si="33"/>
        <v>4.7939999999999996</v>
      </c>
      <c r="N58" s="181">
        <f t="shared" si="34"/>
        <v>9.48</v>
      </c>
      <c r="O58" s="181">
        <f t="shared" si="35"/>
        <v>0.33195749999999996</v>
      </c>
      <c r="P58" s="181">
        <f t="shared" si="36"/>
        <v>0.94845000000000002</v>
      </c>
      <c r="Q58" s="98">
        <f t="shared" si="37"/>
        <v>0</v>
      </c>
      <c r="R58" s="181">
        <v>-9501</v>
      </c>
      <c r="S58" s="183">
        <f t="shared" si="9"/>
        <v>0.94000000000050932</v>
      </c>
      <c r="T58" s="180">
        <v>38684</v>
      </c>
      <c r="U58" s="357"/>
      <c r="V58" s="180"/>
      <c r="W58" s="181"/>
      <c r="X58" s="356"/>
      <c r="Y58" s="98" t="s">
        <v>418</v>
      </c>
      <c r="Z58" s="98"/>
    </row>
    <row r="59" spans="1:26" ht="12" customHeight="1">
      <c r="A59" s="180">
        <v>38681</v>
      </c>
      <c r="B59" s="354" t="s">
        <v>1038</v>
      </c>
      <c r="C59" s="98" t="s">
        <v>460</v>
      </c>
      <c r="D59" s="98">
        <v>5</v>
      </c>
      <c r="E59" s="181">
        <v>409.35</v>
      </c>
      <c r="F59" s="181">
        <f t="shared" si="29"/>
        <v>2.0499999999999998</v>
      </c>
      <c r="G59" s="181">
        <f t="shared" si="30"/>
        <v>411.40000000000003</v>
      </c>
      <c r="H59" s="181">
        <f t="shared" si="1"/>
        <v>412.08</v>
      </c>
      <c r="I59" s="219">
        <f t="shared" si="2"/>
        <v>2.7267000000000001</v>
      </c>
      <c r="J59" s="181">
        <f t="shared" si="31"/>
        <v>2057</v>
      </c>
      <c r="K59" s="181">
        <f t="shared" si="17"/>
        <v>-2060.3900000000003</v>
      </c>
      <c r="L59" s="181">
        <f t="shared" si="32"/>
        <v>10.25</v>
      </c>
      <c r="M59" s="181">
        <f t="shared" si="33"/>
        <v>1.0454999999999999</v>
      </c>
      <c r="N59" s="181">
        <f t="shared" si="34"/>
        <v>2.06</v>
      </c>
      <c r="O59" s="181">
        <f t="shared" si="35"/>
        <v>7.199499999999999E-2</v>
      </c>
      <c r="P59" s="181">
        <f t="shared" si="36"/>
        <v>0.20570000000000002</v>
      </c>
      <c r="Q59" s="98">
        <f t="shared" si="37"/>
        <v>0</v>
      </c>
      <c r="R59" s="181">
        <v>-2060.4699999999998</v>
      </c>
      <c r="S59" s="183">
        <f t="shared" si="9"/>
        <v>7.9999999999472493E-2</v>
      </c>
      <c r="T59" s="180">
        <v>38685</v>
      </c>
      <c r="U59" s="357"/>
      <c r="V59" s="180"/>
      <c r="W59" s="181"/>
      <c r="X59" s="356"/>
      <c r="Y59" s="98" t="s">
        <v>418</v>
      </c>
      <c r="Z59" s="98"/>
    </row>
    <row r="60" spans="1:26" ht="12" customHeight="1">
      <c r="A60" s="180">
        <v>38684</v>
      </c>
      <c r="B60" s="354" t="s">
        <v>1039</v>
      </c>
      <c r="C60" s="98" t="s">
        <v>460</v>
      </c>
      <c r="D60" s="98">
        <v>10</v>
      </c>
      <c r="E60" s="181">
        <v>519.70000000000005</v>
      </c>
      <c r="F60" s="181">
        <f t="shared" si="29"/>
        <v>2.6</v>
      </c>
      <c r="G60" s="181">
        <f t="shared" si="30"/>
        <v>522.30000000000007</v>
      </c>
      <c r="H60" s="181">
        <f t="shared" si="1"/>
        <v>523.16</v>
      </c>
      <c r="I60" s="219">
        <f t="shared" si="2"/>
        <v>3.4578000000000002</v>
      </c>
      <c r="J60" s="181">
        <f t="shared" si="31"/>
        <v>5223.0000000000009</v>
      </c>
      <c r="K60" s="181">
        <f t="shared" si="17"/>
        <v>-5231.58</v>
      </c>
      <c r="L60" s="181">
        <f t="shared" si="32"/>
        <v>26</v>
      </c>
      <c r="M60" s="181">
        <f t="shared" si="33"/>
        <v>2.6519999999999997</v>
      </c>
      <c r="N60" s="181">
        <f t="shared" si="34"/>
        <v>5.22</v>
      </c>
      <c r="O60" s="181">
        <f t="shared" si="35"/>
        <v>0.18280500000000002</v>
      </c>
      <c r="P60" s="181">
        <f t="shared" si="36"/>
        <v>0.5223000000000001</v>
      </c>
      <c r="Q60" s="98">
        <f t="shared" si="37"/>
        <v>0</v>
      </c>
      <c r="R60" s="181">
        <v>-5232.47</v>
      </c>
      <c r="S60" s="183">
        <f t="shared" si="9"/>
        <v>0.89000000000032742</v>
      </c>
      <c r="T60" s="180">
        <v>38686</v>
      </c>
      <c r="U60" s="357"/>
      <c r="V60" s="180"/>
      <c r="W60" s="181"/>
      <c r="X60" s="356"/>
      <c r="Y60" s="98" t="s">
        <v>418</v>
      </c>
      <c r="Z60" s="98"/>
    </row>
    <row r="61" spans="1:26" ht="12" customHeight="1">
      <c r="A61" s="180">
        <v>38684</v>
      </c>
      <c r="B61" s="354" t="s">
        <v>1032</v>
      </c>
      <c r="C61" s="98" t="s">
        <v>460</v>
      </c>
      <c r="D61" s="98">
        <v>50</v>
      </c>
      <c r="E61" s="181">
        <v>87.1</v>
      </c>
      <c r="F61" s="181">
        <f t="shared" si="29"/>
        <v>0.44</v>
      </c>
      <c r="G61" s="181">
        <f t="shared" si="30"/>
        <v>87.539999999999992</v>
      </c>
      <c r="H61" s="181">
        <f t="shared" si="1"/>
        <v>87.68</v>
      </c>
      <c r="I61" s="219">
        <f t="shared" si="2"/>
        <v>0.58430000000000004</v>
      </c>
      <c r="J61" s="181">
        <f t="shared" si="31"/>
        <v>4377</v>
      </c>
      <c r="K61" s="181">
        <f t="shared" si="17"/>
        <v>-4384.22</v>
      </c>
      <c r="L61" s="181">
        <f t="shared" si="32"/>
        <v>22</v>
      </c>
      <c r="M61" s="181">
        <f t="shared" si="33"/>
        <v>2.2439999999999998</v>
      </c>
      <c r="N61" s="181">
        <f t="shared" si="34"/>
        <v>4.38</v>
      </c>
      <c r="O61" s="181">
        <f t="shared" si="35"/>
        <v>0.153195</v>
      </c>
      <c r="P61" s="181">
        <f t="shared" si="36"/>
        <v>0.43770000000000003</v>
      </c>
      <c r="Q61" s="98">
        <f t="shared" si="37"/>
        <v>0</v>
      </c>
      <c r="R61" s="181">
        <v>-4385</v>
      </c>
      <c r="S61" s="183">
        <f t="shared" si="9"/>
        <v>0.77999999999974534</v>
      </c>
      <c r="T61" s="180">
        <v>38686</v>
      </c>
      <c r="U61" s="357"/>
      <c r="V61" s="180"/>
      <c r="W61" s="181"/>
      <c r="X61" s="356"/>
      <c r="Y61" s="98" t="s">
        <v>418</v>
      </c>
      <c r="Z61" s="98"/>
    </row>
    <row r="62" spans="1:26" ht="12" customHeight="1">
      <c r="A62" s="180">
        <v>38684</v>
      </c>
      <c r="B62" s="354" t="s">
        <v>1040</v>
      </c>
      <c r="C62" s="98" t="s">
        <v>460</v>
      </c>
      <c r="D62" s="98">
        <v>10</v>
      </c>
      <c r="E62" s="181">
        <v>272.5</v>
      </c>
      <c r="F62" s="181">
        <f t="shared" si="29"/>
        <v>1.36</v>
      </c>
      <c r="G62" s="181">
        <f t="shared" si="30"/>
        <v>273.86</v>
      </c>
      <c r="H62" s="181">
        <f t="shared" si="1"/>
        <v>274.31</v>
      </c>
      <c r="I62" s="219">
        <f t="shared" si="2"/>
        <v>1.8097000000000001</v>
      </c>
      <c r="J62" s="181">
        <f t="shared" si="31"/>
        <v>2738.6000000000004</v>
      </c>
      <c r="K62" s="181">
        <f t="shared" si="17"/>
        <v>-2743.1000000000004</v>
      </c>
      <c r="L62" s="181">
        <f t="shared" si="32"/>
        <v>13.600000000000001</v>
      </c>
      <c r="M62" s="181">
        <f t="shared" si="33"/>
        <v>1.3872</v>
      </c>
      <c r="N62" s="181">
        <f t="shared" si="34"/>
        <v>2.74</v>
      </c>
      <c r="O62" s="181">
        <f t="shared" si="35"/>
        <v>9.5851000000000006E-2</v>
      </c>
      <c r="P62" s="181">
        <f t="shared" si="36"/>
        <v>0.27386000000000005</v>
      </c>
      <c r="Q62" s="98">
        <f t="shared" si="37"/>
        <v>0</v>
      </c>
      <c r="R62" s="181">
        <v>-2743.53</v>
      </c>
      <c r="S62" s="183">
        <f t="shared" si="9"/>
        <v>0.42999999999983629</v>
      </c>
      <c r="T62" s="180">
        <v>38686</v>
      </c>
      <c r="U62" s="357"/>
      <c r="V62" s="180"/>
      <c r="W62" s="181"/>
      <c r="X62" s="356"/>
      <c r="Y62" s="98" t="s">
        <v>418</v>
      </c>
      <c r="Z62" s="98"/>
    </row>
    <row r="63" spans="1:26" ht="12" customHeight="1">
      <c r="A63" s="180">
        <v>38693</v>
      </c>
      <c r="B63" s="354" t="s">
        <v>1004</v>
      </c>
      <c r="C63" s="98" t="s">
        <v>460</v>
      </c>
      <c r="D63" s="98">
        <v>50</v>
      </c>
      <c r="E63" s="181">
        <v>77.8</v>
      </c>
      <c r="F63" s="181">
        <f t="shared" si="29"/>
        <v>0.39</v>
      </c>
      <c r="G63" s="181">
        <f t="shared" si="30"/>
        <v>78.19</v>
      </c>
      <c r="H63" s="181">
        <f t="shared" si="1"/>
        <v>78.319999999999993</v>
      </c>
      <c r="I63" s="219">
        <f t="shared" si="2"/>
        <v>0.51859999999999995</v>
      </c>
      <c r="J63" s="181">
        <f t="shared" si="31"/>
        <v>3909.5</v>
      </c>
      <c r="K63" s="181">
        <f t="shared" si="17"/>
        <v>-3915.9300000000003</v>
      </c>
      <c r="L63" s="181">
        <f t="shared" si="32"/>
        <v>19.5</v>
      </c>
      <c r="M63" s="181">
        <f t="shared" si="33"/>
        <v>1.9889999999999999</v>
      </c>
      <c r="N63" s="181">
        <f t="shared" si="34"/>
        <v>3.91</v>
      </c>
      <c r="O63" s="181">
        <f t="shared" si="35"/>
        <v>0.1368325</v>
      </c>
      <c r="P63" s="181">
        <f t="shared" si="36"/>
        <v>0.39095000000000002</v>
      </c>
      <c r="Q63" s="98">
        <f t="shared" si="37"/>
        <v>0</v>
      </c>
      <c r="R63" s="181">
        <v>-3916.22</v>
      </c>
      <c r="S63" s="183">
        <f t="shared" si="9"/>
        <v>0.28999999999950887</v>
      </c>
      <c r="T63" s="180">
        <v>38695</v>
      </c>
      <c r="U63" s="357"/>
      <c r="V63" s="180"/>
      <c r="W63" s="181"/>
      <c r="X63" s="356"/>
      <c r="Y63" s="98" t="s">
        <v>418</v>
      </c>
      <c r="Z63" s="98"/>
    </row>
    <row r="64" spans="1:26" ht="12" customHeight="1">
      <c r="A64" s="180">
        <v>38693</v>
      </c>
      <c r="B64" s="354" t="s">
        <v>1041</v>
      </c>
      <c r="C64" s="98" t="s">
        <v>460</v>
      </c>
      <c r="D64" s="98">
        <v>25</v>
      </c>
      <c r="E64" s="181">
        <v>81.45</v>
      </c>
      <c r="F64" s="181">
        <f t="shared" si="29"/>
        <v>0.41</v>
      </c>
      <c r="G64" s="181">
        <f t="shared" si="30"/>
        <v>81.86</v>
      </c>
      <c r="H64" s="181">
        <f t="shared" si="1"/>
        <v>81.99</v>
      </c>
      <c r="I64" s="219">
        <f t="shared" si="2"/>
        <v>0.54489999999999994</v>
      </c>
      <c r="J64" s="181">
        <f t="shared" si="31"/>
        <v>2046.5</v>
      </c>
      <c r="K64" s="181">
        <f t="shared" si="17"/>
        <v>-2049.88</v>
      </c>
      <c r="L64" s="181">
        <f t="shared" si="32"/>
        <v>10.25</v>
      </c>
      <c r="M64" s="181">
        <f t="shared" si="33"/>
        <v>1.0454999999999999</v>
      </c>
      <c r="N64" s="181">
        <f t="shared" si="34"/>
        <v>2.0499999999999998</v>
      </c>
      <c r="O64" s="181">
        <f t="shared" si="35"/>
        <v>7.1627499999999997E-2</v>
      </c>
      <c r="P64" s="181">
        <f t="shared" si="36"/>
        <v>0.20465</v>
      </c>
      <c r="Q64" s="98">
        <f t="shared" si="37"/>
        <v>0</v>
      </c>
      <c r="R64" s="181">
        <v>-2050</v>
      </c>
      <c r="S64" s="183">
        <f t="shared" si="9"/>
        <v>0.11999999999989086</v>
      </c>
      <c r="T64" s="180">
        <v>38695</v>
      </c>
      <c r="U64" s="357"/>
      <c r="V64" s="180"/>
      <c r="W64" s="181"/>
      <c r="X64" s="356"/>
      <c r="Y64" s="98" t="s">
        <v>418</v>
      </c>
      <c r="Z64" s="98"/>
    </row>
    <row r="65" spans="1:26" ht="12" customHeight="1">
      <c r="A65" s="180">
        <v>38693</v>
      </c>
      <c r="B65" s="354" t="s">
        <v>1042</v>
      </c>
      <c r="C65" s="98" t="s">
        <v>460</v>
      </c>
      <c r="D65" s="98">
        <v>50</v>
      </c>
      <c r="E65" s="181">
        <v>70.2</v>
      </c>
      <c r="F65" s="181">
        <f t="shared" si="29"/>
        <v>0.35</v>
      </c>
      <c r="G65" s="181">
        <f t="shared" si="30"/>
        <v>70.55</v>
      </c>
      <c r="H65" s="181">
        <f t="shared" si="1"/>
        <v>70.67</v>
      </c>
      <c r="I65" s="219">
        <f t="shared" si="2"/>
        <v>0.46589999999999998</v>
      </c>
      <c r="J65" s="181">
        <f t="shared" si="31"/>
        <v>3527.5</v>
      </c>
      <c r="K65" s="181">
        <f t="shared" si="17"/>
        <v>-3533.3</v>
      </c>
      <c r="L65" s="181">
        <f t="shared" si="32"/>
        <v>17.5</v>
      </c>
      <c r="M65" s="181">
        <f t="shared" si="33"/>
        <v>1.7849999999999999</v>
      </c>
      <c r="N65" s="181">
        <f t="shared" si="34"/>
        <v>3.53</v>
      </c>
      <c r="O65" s="181">
        <f t="shared" si="35"/>
        <v>0.12346249999999999</v>
      </c>
      <c r="P65" s="181">
        <f t="shared" si="36"/>
        <v>0.35275000000000001</v>
      </c>
      <c r="Q65" s="98">
        <f t="shared" si="37"/>
        <v>0</v>
      </c>
      <c r="R65" s="181">
        <v>-3533.98</v>
      </c>
      <c r="S65" s="183">
        <f t="shared" si="9"/>
        <v>0.67999999999983629</v>
      </c>
      <c r="T65" s="180">
        <v>38695</v>
      </c>
      <c r="U65" s="357"/>
      <c r="V65" s="180"/>
      <c r="W65" s="181"/>
      <c r="X65" s="356"/>
      <c r="Y65" s="98" t="s">
        <v>418</v>
      </c>
      <c r="Z65" s="98"/>
    </row>
    <row r="66" spans="1:26" ht="12" customHeight="1">
      <c r="A66" s="180">
        <v>38695</v>
      </c>
      <c r="B66" s="354" t="s">
        <v>1043</v>
      </c>
      <c r="C66" s="98" t="s">
        <v>460</v>
      </c>
      <c r="D66" s="98">
        <v>10</v>
      </c>
      <c r="E66" s="181">
        <v>441.6</v>
      </c>
      <c r="F66" s="181">
        <f t="shared" si="29"/>
        <v>2.21</v>
      </c>
      <c r="G66" s="181">
        <f t="shared" si="30"/>
        <v>443.81</v>
      </c>
      <c r="H66" s="181">
        <f t="shared" si="1"/>
        <v>444.54</v>
      </c>
      <c r="I66" s="219">
        <f t="shared" si="2"/>
        <v>2.9394</v>
      </c>
      <c r="J66" s="181">
        <f t="shared" si="31"/>
        <v>4438.1000000000004</v>
      </c>
      <c r="K66" s="181">
        <f t="shared" si="17"/>
        <v>-4445.4000000000005</v>
      </c>
      <c r="L66" s="181">
        <f t="shared" si="32"/>
        <v>22.1</v>
      </c>
      <c r="M66" s="181">
        <f t="shared" si="33"/>
        <v>2.2542</v>
      </c>
      <c r="N66" s="181">
        <f t="shared" si="34"/>
        <v>4.4400000000000004</v>
      </c>
      <c r="O66" s="181">
        <f t="shared" si="35"/>
        <v>0.15533349999999999</v>
      </c>
      <c r="P66" s="181">
        <f t="shared" si="36"/>
        <v>0.44381000000000004</v>
      </c>
      <c r="Q66" s="98">
        <f t="shared" si="37"/>
        <v>0</v>
      </c>
      <c r="R66" s="181">
        <v>-4445</v>
      </c>
      <c r="S66" s="183">
        <f t="shared" si="9"/>
        <v>-0.4000000000005457</v>
      </c>
      <c r="T66" s="180">
        <v>38699</v>
      </c>
      <c r="U66" s="357"/>
      <c r="V66" s="180"/>
      <c r="W66" s="181"/>
      <c r="X66" s="356"/>
      <c r="Y66" s="98" t="s">
        <v>418</v>
      </c>
      <c r="Z66" s="98"/>
    </row>
    <row r="67" spans="1:26" ht="12" customHeight="1">
      <c r="A67" s="180">
        <v>38699</v>
      </c>
      <c r="B67" s="354" t="s">
        <v>1012</v>
      </c>
      <c r="C67" s="98" t="s">
        <v>460</v>
      </c>
      <c r="D67" s="98">
        <v>25</v>
      </c>
      <c r="E67" s="181">
        <v>151.65</v>
      </c>
      <c r="F67" s="181">
        <f t="shared" si="29"/>
        <v>0.76</v>
      </c>
      <c r="G67" s="181">
        <f t="shared" si="30"/>
        <v>152.41</v>
      </c>
      <c r="H67" s="181">
        <f t="shared" si="1"/>
        <v>152.66</v>
      </c>
      <c r="I67" s="219">
        <f t="shared" si="2"/>
        <v>1.0105</v>
      </c>
      <c r="J67" s="181">
        <f t="shared" si="31"/>
        <v>3810.25</v>
      </c>
      <c r="K67" s="181">
        <f t="shared" si="17"/>
        <v>-3816.5200000000004</v>
      </c>
      <c r="L67" s="181">
        <f t="shared" si="32"/>
        <v>19</v>
      </c>
      <c r="M67" s="181">
        <f t="shared" si="33"/>
        <v>1.9379999999999999</v>
      </c>
      <c r="N67" s="181">
        <f t="shared" si="34"/>
        <v>3.81</v>
      </c>
      <c r="O67" s="181">
        <f t="shared" si="35"/>
        <v>0.13335875</v>
      </c>
      <c r="P67" s="181">
        <f t="shared" si="36"/>
        <v>0.381025</v>
      </c>
      <c r="Q67" s="98">
        <f t="shared" si="37"/>
        <v>0</v>
      </c>
      <c r="R67" s="181">
        <v>-3816</v>
      </c>
      <c r="S67" s="183">
        <f t="shared" si="9"/>
        <v>-0.52000000000043656</v>
      </c>
      <c r="T67" s="180">
        <v>38701</v>
      </c>
      <c r="U67" s="357"/>
      <c r="V67" s="180"/>
      <c r="W67" s="181"/>
      <c r="X67" s="356"/>
      <c r="Y67" s="98" t="s">
        <v>418</v>
      </c>
      <c r="Z67" s="98"/>
    </row>
    <row r="68" spans="1:26" ht="12" customHeight="1">
      <c r="A68" s="180">
        <v>38700</v>
      </c>
      <c r="B68" s="354" t="s">
        <v>1044</v>
      </c>
      <c r="C68" s="98" t="s">
        <v>460</v>
      </c>
      <c r="D68" s="98">
        <v>10</v>
      </c>
      <c r="E68" s="181">
        <v>1102</v>
      </c>
      <c r="F68" s="181">
        <f t="shared" si="29"/>
        <v>5.51</v>
      </c>
      <c r="G68" s="181">
        <f t="shared" si="30"/>
        <v>1107.51</v>
      </c>
      <c r="H68" s="181">
        <f t="shared" si="1"/>
        <v>1109.33</v>
      </c>
      <c r="I68" s="219">
        <f t="shared" si="2"/>
        <v>7.3296000000000001</v>
      </c>
      <c r="J68" s="181">
        <f t="shared" si="31"/>
        <v>11075.1</v>
      </c>
      <c r="K68" s="181">
        <f t="shared" si="17"/>
        <v>-11093.300000000001</v>
      </c>
      <c r="L68" s="181">
        <f t="shared" si="32"/>
        <v>55.099999999999994</v>
      </c>
      <c r="M68" s="181">
        <f t="shared" si="33"/>
        <v>5.6201999999999988</v>
      </c>
      <c r="N68" s="181">
        <f t="shared" si="34"/>
        <v>11.08</v>
      </c>
      <c r="O68" s="181">
        <f t="shared" si="35"/>
        <v>0.38762849999999999</v>
      </c>
      <c r="P68" s="181">
        <f t="shared" si="36"/>
        <v>1.10751</v>
      </c>
      <c r="Q68" s="98">
        <f t="shared" si="37"/>
        <v>0</v>
      </c>
      <c r="R68" s="181">
        <v>-11095</v>
      </c>
      <c r="S68" s="183">
        <f t="shared" si="9"/>
        <v>1.6999999999989086</v>
      </c>
      <c r="T68" s="180">
        <v>38702</v>
      </c>
      <c r="U68" s="357"/>
      <c r="V68" s="180"/>
      <c r="W68" s="181"/>
      <c r="X68" s="356"/>
      <c r="Y68" s="98" t="s">
        <v>418</v>
      </c>
      <c r="Z68" s="98"/>
    </row>
    <row r="69" spans="1:26" ht="12" customHeight="1">
      <c r="A69" s="180">
        <v>38700</v>
      </c>
      <c r="B69" s="354" t="s">
        <v>1045</v>
      </c>
      <c r="C69" s="98" t="s">
        <v>460</v>
      </c>
      <c r="D69" s="98">
        <v>25</v>
      </c>
      <c r="E69" s="181">
        <v>121.7</v>
      </c>
      <c r="F69" s="181">
        <f t="shared" si="29"/>
        <v>0.61</v>
      </c>
      <c r="G69" s="181">
        <f t="shared" si="30"/>
        <v>122.31</v>
      </c>
      <c r="H69" s="181">
        <f t="shared" si="1"/>
        <v>122.51</v>
      </c>
      <c r="I69" s="219">
        <f t="shared" si="2"/>
        <v>0.81120000000000003</v>
      </c>
      <c r="J69" s="181">
        <f t="shared" si="31"/>
        <v>3057.75</v>
      </c>
      <c r="K69" s="181">
        <f t="shared" si="17"/>
        <v>-3062.78</v>
      </c>
      <c r="L69" s="181">
        <f t="shared" si="32"/>
        <v>15.25</v>
      </c>
      <c r="M69" s="181">
        <f t="shared" si="33"/>
        <v>1.5554999999999999</v>
      </c>
      <c r="N69" s="181">
        <f t="shared" si="34"/>
        <v>3.06</v>
      </c>
      <c r="O69" s="181">
        <f t="shared" si="35"/>
        <v>0.10702124999999998</v>
      </c>
      <c r="P69" s="181">
        <f t="shared" si="36"/>
        <v>0.30577500000000002</v>
      </c>
      <c r="Q69" s="98">
        <f t="shared" si="37"/>
        <v>0</v>
      </c>
      <c r="R69" s="181">
        <v>-3064</v>
      </c>
      <c r="S69" s="183">
        <f t="shared" si="9"/>
        <v>1.2199999999997999</v>
      </c>
      <c r="T69" s="180">
        <v>38702</v>
      </c>
      <c r="U69" s="357"/>
      <c r="V69" s="180"/>
      <c r="W69" s="181"/>
      <c r="X69" s="356"/>
      <c r="Y69" s="98" t="s">
        <v>418</v>
      </c>
      <c r="Z69" s="98"/>
    </row>
    <row r="70" spans="1:26" ht="12" customHeight="1">
      <c r="A70" s="180">
        <v>38705</v>
      </c>
      <c r="B70" s="354" t="s">
        <v>1027</v>
      </c>
      <c r="C70" s="98" t="s">
        <v>460</v>
      </c>
      <c r="D70" s="98">
        <v>25</v>
      </c>
      <c r="E70" s="181">
        <v>143.1</v>
      </c>
      <c r="F70" s="181">
        <f t="shared" si="29"/>
        <v>0.72</v>
      </c>
      <c r="G70" s="181">
        <f t="shared" si="30"/>
        <v>143.82</v>
      </c>
      <c r="H70" s="181">
        <f t="shared" si="1"/>
        <v>144.06</v>
      </c>
      <c r="I70" s="219">
        <f t="shared" si="2"/>
        <v>0.95689999999999997</v>
      </c>
      <c r="J70" s="181">
        <f t="shared" si="31"/>
        <v>3595.5</v>
      </c>
      <c r="K70" s="181">
        <f t="shared" si="17"/>
        <v>-3601.4300000000003</v>
      </c>
      <c r="L70" s="181">
        <f t="shared" si="32"/>
        <v>18</v>
      </c>
      <c r="M70" s="181">
        <f t="shared" si="33"/>
        <v>1.8359999999999999</v>
      </c>
      <c r="N70" s="181">
        <f t="shared" si="34"/>
        <v>3.6</v>
      </c>
      <c r="O70" s="181">
        <f t="shared" si="35"/>
        <v>0.1258425</v>
      </c>
      <c r="P70" s="181">
        <f t="shared" si="36"/>
        <v>0.35955000000000004</v>
      </c>
      <c r="Q70" s="98">
        <f t="shared" si="37"/>
        <v>0</v>
      </c>
      <c r="R70" s="181">
        <v>-3601.25</v>
      </c>
      <c r="S70" s="183">
        <f t="shared" si="9"/>
        <v>-0.18000000000029104</v>
      </c>
      <c r="T70" s="180">
        <v>38707</v>
      </c>
      <c r="U70" s="357"/>
      <c r="V70" s="180"/>
      <c r="W70" s="181"/>
      <c r="X70" s="356"/>
      <c r="Y70" s="98" t="s">
        <v>418</v>
      </c>
      <c r="Z70" s="98"/>
    </row>
    <row r="71" spans="1:26" ht="12" customHeight="1">
      <c r="A71" s="180">
        <v>38705</v>
      </c>
      <c r="B71" s="354" t="s">
        <v>1023</v>
      </c>
      <c r="C71" s="98" t="s">
        <v>460</v>
      </c>
      <c r="D71" s="98">
        <v>50</v>
      </c>
      <c r="E71" s="181">
        <v>107.98</v>
      </c>
      <c r="F71" s="181">
        <f t="shared" si="29"/>
        <v>0.54</v>
      </c>
      <c r="G71" s="181">
        <f t="shared" si="30"/>
        <v>108.52000000000001</v>
      </c>
      <c r="H71" s="181">
        <f t="shared" si="1"/>
        <v>108.7</v>
      </c>
      <c r="I71" s="219">
        <f t="shared" si="2"/>
        <v>0.71840000000000004</v>
      </c>
      <c r="J71" s="181">
        <f t="shared" si="31"/>
        <v>5426.0000000000009</v>
      </c>
      <c r="K71" s="181">
        <f t="shared" si="17"/>
        <v>-5434.92</v>
      </c>
      <c r="L71" s="181">
        <f t="shared" si="32"/>
        <v>27</v>
      </c>
      <c r="M71" s="181">
        <f t="shared" si="33"/>
        <v>2.754</v>
      </c>
      <c r="N71" s="181">
        <f t="shared" si="34"/>
        <v>5.43</v>
      </c>
      <c r="O71" s="181">
        <f t="shared" si="35"/>
        <v>0.18991000000000002</v>
      </c>
      <c r="P71" s="181">
        <f t="shared" si="36"/>
        <v>0.54260000000000008</v>
      </c>
      <c r="Q71" s="98">
        <f t="shared" si="37"/>
        <v>0</v>
      </c>
      <c r="R71" s="181">
        <v>-5435</v>
      </c>
      <c r="S71" s="183">
        <f t="shared" si="9"/>
        <v>7.999999999992724E-2</v>
      </c>
      <c r="T71" s="180">
        <v>38702</v>
      </c>
      <c r="U71" s="357">
        <f>ROUND(((K27*(T45-T27))+(K45*(T71-T45))+K71*1)/(K27+K45+K71),0)</f>
        <v>25</v>
      </c>
      <c r="V71" s="180">
        <f>T27+U71</f>
        <v>38641</v>
      </c>
      <c r="W71" s="181">
        <f>-ROUND((R27+R45+R71)/(D27+D45+D71),2)</f>
        <v>134.58000000000001</v>
      </c>
      <c r="X71" s="356"/>
      <c r="Y71" s="98" t="s">
        <v>418</v>
      </c>
      <c r="Z71" s="98"/>
    </row>
    <row r="72" spans="1:26" ht="12" customHeight="1">
      <c r="A72" s="180">
        <v>38706</v>
      </c>
      <c r="B72" s="354" t="s">
        <v>1036</v>
      </c>
      <c r="C72" s="98" t="s">
        <v>460</v>
      </c>
      <c r="D72" s="98">
        <v>10</v>
      </c>
      <c r="E72" s="181">
        <v>361.3</v>
      </c>
      <c r="F72" s="181">
        <f t="shared" si="29"/>
        <v>1.81</v>
      </c>
      <c r="G72" s="181">
        <f t="shared" si="30"/>
        <v>363.11</v>
      </c>
      <c r="H72" s="181">
        <f t="shared" si="1"/>
        <v>363.71</v>
      </c>
      <c r="I72" s="219">
        <f t="shared" si="2"/>
        <v>2.4067000000000003</v>
      </c>
      <c r="J72" s="181">
        <f t="shared" si="31"/>
        <v>3631.1000000000004</v>
      </c>
      <c r="K72" s="181">
        <f t="shared" si="17"/>
        <v>-3637.07</v>
      </c>
      <c r="L72" s="181">
        <f t="shared" si="32"/>
        <v>18.100000000000001</v>
      </c>
      <c r="M72" s="181">
        <f t="shared" si="33"/>
        <v>1.8462000000000001</v>
      </c>
      <c r="N72" s="181">
        <f t="shared" si="34"/>
        <v>3.63</v>
      </c>
      <c r="O72" s="181">
        <f t="shared" si="35"/>
        <v>0.12708849999999999</v>
      </c>
      <c r="P72" s="181">
        <f t="shared" si="36"/>
        <v>0.36311000000000004</v>
      </c>
      <c r="Q72" s="98">
        <f t="shared" si="37"/>
        <v>0</v>
      </c>
      <c r="R72" s="181">
        <v>-3638.16</v>
      </c>
      <c r="S72" s="183">
        <f t="shared" si="9"/>
        <v>1.0899999999996908</v>
      </c>
      <c r="T72" s="180">
        <v>38708</v>
      </c>
      <c r="U72" s="357"/>
      <c r="V72" s="180"/>
      <c r="W72" s="181"/>
      <c r="X72" s="356"/>
      <c r="Y72" s="98" t="s">
        <v>418</v>
      </c>
      <c r="Z72" s="98"/>
    </row>
    <row r="73" spans="1:26" ht="12" customHeight="1">
      <c r="A73" s="180">
        <v>38709</v>
      </c>
      <c r="B73" s="354" t="s">
        <v>1046</v>
      </c>
      <c r="C73" s="98" t="s">
        <v>460</v>
      </c>
      <c r="D73" s="98">
        <v>25</v>
      </c>
      <c r="E73" s="181">
        <v>162</v>
      </c>
      <c r="F73" s="181">
        <f t="shared" si="29"/>
        <v>0.81</v>
      </c>
      <c r="G73" s="181">
        <f t="shared" si="30"/>
        <v>162.81</v>
      </c>
      <c r="H73" s="181">
        <f t="shared" si="1"/>
        <v>163.08000000000001</v>
      </c>
      <c r="I73" s="219">
        <f t="shared" si="2"/>
        <v>1.0773999999999999</v>
      </c>
      <c r="J73" s="181">
        <f t="shared" si="31"/>
        <v>4070.25</v>
      </c>
      <c r="K73" s="181">
        <f t="shared" si="17"/>
        <v>-4076.94</v>
      </c>
      <c r="L73" s="181">
        <f t="shared" si="32"/>
        <v>20.25</v>
      </c>
      <c r="M73" s="181">
        <f t="shared" si="33"/>
        <v>2.0654999999999997</v>
      </c>
      <c r="N73" s="181">
        <f t="shared" si="34"/>
        <v>4.07</v>
      </c>
      <c r="O73" s="181">
        <f t="shared" si="35"/>
        <v>0.14245875</v>
      </c>
      <c r="P73" s="181">
        <f t="shared" si="36"/>
        <v>0.40702500000000003</v>
      </c>
      <c r="Q73" s="98">
        <f t="shared" si="37"/>
        <v>0</v>
      </c>
      <c r="R73" s="181">
        <v>-4077.5</v>
      </c>
      <c r="S73" s="183">
        <f t="shared" si="9"/>
        <v>0.55999999999994543</v>
      </c>
      <c r="T73" s="180">
        <v>38708</v>
      </c>
      <c r="U73" s="357"/>
      <c r="V73" s="180"/>
      <c r="W73" s="181"/>
      <c r="X73" s="356"/>
      <c r="Y73" s="98" t="s">
        <v>418</v>
      </c>
      <c r="Z73" s="98"/>
    </row>
    <row r="74" spans="1:26" ht="12" customHeight="1">
      <c r="A74" s="180">
        <v>38709</v>
      </c>
      <c r="B74" s="354" t="s">
        <v>1028</v>
      </c>
      <c r="C74" s="98" t="s">
        <v>460</v>
      </c>
      <c r="D74" s="98">
        <v>50</v>
      </c>
      <c r="E74" s="181">
        <v>64.3</v>
      </c>
      <c r="F74" s="181">
        <f t="shared" si="29"/>
        <v>0.32</v>
      </c>
      <c r="G74" s="181">
        <f t="shared" si="30"/>
        <v>64.61999999999999</v>
      </c>
      <c r="H74" s="181">
        <f t="shared" si="1"/>
        <v>64.73</v>
      </c>
      <c r="I74" s="219">
        <f t="shared" si="2"/>
        <v>0.42599999999999999</v>
      </c>
      <c r="J74" s="181">
        <f t="shared" si="31"/>
        <v>3230.9999999999995</v>
      </c>
      <c r="K74" s="181">
        <f t="shared" si="17"/>
        <v>-3236.3</v>
      </c>
      <c r="L74" s="181">
        <f t="shared" si="32"/>
        <v>16</v>
      </c>
      <c r="M74" s="181">
        <f t="shared" si="33"/>
        <v>1.6319999999999999</v>
      </c>
      <c r="N74" s="181">
        <f t="shared" si="34"/>
        <v>3.23</v>
      </c>
      <c r="O74" s="181">
        <f t="shared" si="35"/>
        <v>0.11308499999999998</v>
      </c>
      <c r="P74" s="181">
        <f t="shared" si="36"/>
        <v>0.32309999999999994</v>
      </c>
      <c r="Q74" s="98">
        <f t="shared" si="37"/>
        <v>0</v>
      </c>
      <c r="R74" s="181">
        <v>-3236.5</v>
      </c>
      <c r="S74" s="183">
        <f t="shared" si="9"/>
        <v>0.1999999999998181</v>
      </c>
      <c r="T74" s="180">
        <v>38713</v>
      </c>
      <c r="U74" s="357"/>
      <c r="V74" s="180"/>
      <c r="W74" s="181"/>
      <c r="X74" s="356"/>
      <c r="Y74" s="98" t="s">
        <v>418</v>
      </c>
      <c r="Z74" s="98"/>
    </row>
    <row r="75" spans="1:26" ht="12" customHeight="1">
      <c r="A75" s="180">
        <v>38709</v>
      </c>
      <c r="B75" s="354" t="s">
        <v>1047</v>
      </c>
      <c r="C75" s="98" t="s">
        <v>460</v>
      </c>
      <c r="D75" s="98">
        <v>25</v>
      </c>
      <c r="E75" s="181">
        <v>112.8</v>
      </c>
      <c r="F75" s="181">
        <f t="shared" si="29"/>
        <v>0.56000000000000005</v>
      </c>
      <c r="G75" s="181">
        <f t="shared" si="30"/>
        <v>113.36</v>
      </c>
      <c r="H75" s="181">
        <f t="shared" si="1"/>
        <v>113.55</v>
      </c>
      <c r="I75" s="219">
        <f t="shared" si="2"/>
        <v>0.74570000000000003</v>
      </c>
      <c r="J75" s="181">
        <f t="shared" si="31"/>
        <v>2834</v>
      </c>
      <c r="K75" s="181">
        <f t="shared" si="17"/>
        <v>-2838.65</v>
      </c>
      <c r="L75" s="181">
        <f t="shared" si="32"/>
        <v>14.000000000000002</v>
      </c>
      <c r="M75" s="181">
        <f t="shared" si="33"/>
        <v>1.4280000000000002</v>
      </c>
      <c r="N75" s="181">
        <f t="shared" si="34"/>
        <v>2.83</v>
      </c>
      <c r="O75" s="181">
        <f t="shared" si="35"/>
        <v>9.9189999999999987E-2</v>
      </c>
      <c r="P75" s="181">
        <f t="shared" si="36"/>
        <v>0.28340000000000004</v>
      </c>
      <c r="Q75" s="98">
        <f t="shared" si="37"/>
        <v>0</v>
      </c>
      <c r="R75" s="181">
        <v>-2839</v>
      </c>
      <c r="S75" s="183">
        <f t="shared" si="9"/>
        <v>0.34999999999990905</v>
      </c>
      <c r="T75" s="180">
        <v>38713</v>
      </c>
      <c r="U75" s="357"/>
      <c r="V75" s="180"/>
      <c r="W75" s="181"/>
      <c r="X75" s="356"/>
      <c r="Y75" s="98" t="s">
        <v>418</v>
      </c>
      <c r="Z75" s="98"/>
    </row>
    <row r="76" spans="1:26" ht="12" customHeight="1">
      <c r="A76" s="180">
        <v>38715</v>
      </c>
      <c r="B76" s="354" t="s">
        <v>1018</v>
      </c>
      <c r="C76" s="98" t="s">
        <v>460</v>
      </c>
      <c r="D76" s="98">
        <v>200</v>
      </c>
      <c r="E76" s="181">
        <v>9.82</v>
      </c>
      <c r="F76" s="181">
        <f t="shared" si="29"/>
        <v>0.05</v>
      </c>
      <c r="G76" s="181">
        <f t="shared" si="30"/>
        <v>9.870000000000001</v>
      </c>
      <c r="H76" s="181">
        <f t="shared" si="1"/>
        <v>9.89</v>
      </c>
      <c r="I76" s="219">
        <f t="shared" si="2"/>
        <v>6.6299999999999998E-2</v>
      </c>
      <c r="J76" s="181">
        <f t="shared" si="31"/>
        <v>1974.0000000000002</v>
      </c>
      <c r="K76" s="181">
        <f t="shared" si="17"/>
        <v>-1977.26</v>
      </c>
      <c r="L76" s="181">
        <f t="shared" si="32"/>
        <v>10</v>
      </c>
      <c r="M76" s="181">
        <f t="shared" si="33"/>
        <v>1.02</v>
      </c>
      <c r="N76" s="181">
        <f t="shared" si="34"/>
        <v>1.97</v>
      </c>
      <c r="O76" s="181">
        <f t="shared" si="35"/>
        <v>6.9089999999999999E-2</v>
      </c>
      <c r="P76" s="181">
        <f t="shared" si="36"/>
        <v>0.19740000000000002</v>
      </c>
      <c r="Q76" s="98">
        <f t="shared" si="37"/>
        <v>0</v>
      </c>
      <c r="R76" s="181">
        <v>-1977</v>
      </c>
      <c r="S76" s="183">
        <f t="shared" si="9"/>
        <v>-0.25999999999999091</v>
      </c>
      <c r="T76" s="180">
        <v>38719</v>
      </c>
      <c r="U76" s="357">
        <f>ROUND((K21*(T76-T21)+K76*1)/(K21+K76),0)</f>
        <v>77</v>
      </c>
      <c r="V76" s="180">
        <f>T21+U76</f>
        <v>38675</v>
      </c>
      <c r="W76" s="181">
        <f>-ROUND((R21+R76)/(D21+D76),2)</f>
        <v>13.5</v>
      </c>
      <c r="X76" s="356"/>
      <c r="Y76" s="98" t="s">
        <v>418</v>
      </c>
      <c r="Z76" s="98"/>
    </row>
    <row r="77" spans="1:26" ht="12" customHeight="1">
      <c r="A77" s="180">
        <v>38716</v>
      </c>
      <c r="B77" s="354" t="s">
        <v>1009</v>
      </c>
      <c r="C77" s="98" t="s">
        <v>460</v>
      </c>
      <c r="D77" s="98">
        <v>100</v>
      </c>
      <c r="E77" s="181">
        <v>73.2</v>
      </c>
      <c r="F77" s="181">
        <f t="shared" si="29"/>
        <v>0.37</v>
      </c>
      <c r="G77" s="181">
        <f t="shared" si="30"/>
        <v>73.570000000000007</v>
      </c>
      <c r="H77" s="181">
        <f t="shared" si="1"/>
        <v>73.69</v>
      </c>
      <c r="I77" s="219">
        <f t="shared" si="2"/>
        <v>0.49130000000000001</v>
      </c>
      <c r="J77" s="181">
        <f t="shared" si="31"/>
        <v>7357.0000000000009</v>
      </c>
      <c r="K77" s="181">
        <f t="shared" si="17"/>
        <v>-7369.13</v>
      </c>
      <c r="L77" s="181">
        <f t="shared" si="32"/>
        <v>37</v>
      </c>
      <c r="M77" s="181">
        <f t="shared" si="33"/>
        <v>3.7739999999999996</v>
      </c>
      <c r="N77" s="181">
        <f t="shared" si="34"/>
        <v>7.36</v>
      </c>
      <c r="O77" s="181">
        <f t="shared" si="35"/>
        <v>0.25749500000000003</v>
      </c>
      <c r="P77" s="181">
        <f t="shared" si="36"/>
        <v>0.73570000000000013</v>
      </c>
      <c r="Q77" s="98">
        <f t="shared" si="37"/>
        <v>0</v>
      </c>
      <c r="R77" s="181">
        <v>-7366</v>
      </c>
      <c r="S77" s="183">
        <f t="shared" si="9"/>
        <v>-3.1300000000001091</v>
      </c>
      <c r="T77" s="180">
        <v>38720</v>
      </c>
      <c r="U77" s="357"/>
      <c r="V77" s="180"/>
      <c r="W77" s="181"/>
      <c r="X77" s="356"/>
      <c r="Y77" s="98" t="s">
        <v>418</v>
      </c>
      <c r="Z77" s="98"/>
    </row>
    <row r="78" spans="1:26" ht="12" customHeight="1">
      <c r="A78" s="180">
        <v>38721</v>
      </c>
      <c r="B78" s="354" t="s">
        <v>1048</v>
      </c>
      <c r="C78" s="98" t="s">
        <v>460</v>
      </c>
      <c r="D78" s="98">
        <v>100</v>
      </c>
      <c r="E78" s="181">
        <v>78.099999999999994</v>
      </c>
      <c r="F78" s="181">
        <f t="shared" si="29"/>
        <v>0.39</v>
      </c>
      <c r="G78" s="181">
        <f t="shared" si="30"/>
        <v>78.489999999999995</v>
      </c>
      <c r="H78" s="181">
        <f t="shared" si="1"/>
        <v>78.62</v>
      </c>
      <c r="I78" s="219">
        <f t="shared" si="2"/>
        <v>0.51890000000000003</v>
      </c>
      <c r="J78" s="181">
        <f t="shared" si="31"/>
        <v>7848.9999999999991</v>
      </c>
      <c r="K78" s="181">
        <f t="shared" si="17"/>
        <v>-7861.89</v>
      </c>
      <c r="L78" s="181">
        <f t="shared" si="32"/>
        <v>39</v>
      </c>
      <c r="M78" s="181">
        <f t="shared" si="33"/>
        <v>3.9779999999999998</v>
      </c>
      <c r="N78" s="181">
        <f t="shared" si="34"/>
        <v>7.85</v>
      </c>
      <c r="O78" s="181">
        <f t="shared" si="35"/>
        <v>0.27471499999999993</v>
      </c>
      <c r="P78" s="181">
        <f t="shared" si="36"/>
        <v>0.78489999999999993</v>
      </c>
      <c r="Q78" s="98">
        <f t="shared" si="37"/>
        <v>0</v>
      </c>
      <c r="R78" s="181">
        <v>-7862</v>
      </c>
      <c r="S78" s="183">
        <f t="shared" si="9"/>
        <v>0.10999999999967258</v>
      </c>
      <c r="T78" s="180">
        <v>38723</v>
      </c>
      <c r="U78" s="357"/>
      <c r="V78" s="180"/>
      <c r="W78" s="181"/>
      <c r="X78" s="356"/>
      <c r="Y78" s="98" t="s">
        <v>418</v>
      </c>
      <c r="Z78" s="98"/>
    </row>
    <row r="79" spans="1:26" ht="12" customHeight="1">
      <c r="A79" s="180">
        <v>38721</v>
      </c>
      <c r="B79" s="354" t="s">
        <v>1022</v>
      </c>
      <c r="C79" s="98" t="s">
        <v>460</v>
      </c>
      <c r="D79" s="98">
        <v>50</v>
      </c>
      <c r="E79" s="181">
        <v>81.400000000000006</v>
      </c>
      <c r="F79" s="181">
        <f t="shared" si="29"/>
        <v>0.41</v>
      </c>
      <c r="G79" s="181">
        <f t="shared" si="30"/>
        <v>81.81</v>
      </c>
      <c r="H79" s="181">
        <f t="shared" si="1"/>
        <v>81.94</v>
      </c>
      <c r="I79" s="219">
        <f t="shared" si="2"/>
        <v>0.54469999999999996</v>
      </c>
      <c r="J79" s="181">
        <f t="shared" si="31"/>
        <v>4090.5</v>
      </c>
      <c r="K79" s="181">
        <f t="shared" si="17"/>
        <v>-4097.24</v>
      </c>
      <c r="L79" s="181">
        <f t="shared" si="32"/>
        <v>20.5</v>
      </c>
      <c r="M79" s="181">
        <f t="shared" si="33"/>
        <v>2.0909999999999997</v>
      </c>
      <c r="N79" s="181">
        <f t="shared" si="34"/>
        <v>4.09</v>
      </c>
      <c r="O79" s="181">
        <f t="shared" si="35"/>
        <v>0.14316749999999998</v>
      </c>
      <c r="P79" s="181">
        <f t="shared" si="36"/>
        <v>0.40905000000000002</v>
      </c>
      <c r="Q79" s="98">
        <f t="shared" si="37"/>
        <v>0</v>
      </c>
      <c r="R79" s="181">
        <v>-4100</v>
      </c>
      <c r="S79" s="183">
        <f t="shared" si="9"/>
        <v>2.7600000000002183</v>
      </c>
      <c r="T79" s="180">
        <v>38723</v>
      </c>
      <c r="U79" s="357"/>
      <c r="V79" s="180"/>
      <c r="W79" s="181"/>
      <c r="X79" s="356"/>
      <c r="Y79" s="98" t="s">
        <v>418</v>
      </c>
      <c r="Z79" s="98"/>
    </row>
    <row r="80" spans="1:26" ht="12" customHeight="1">
      <c r="A80" s="180">
        <v>38721</v>
      </c>
      <c r="B80" s="354" t="s">
        <v>1049</v>
      </c>
      <c r="C80" s="98" t="s">
        <v>460</v>
      </c>
      <c r="D80" s="98">
        <v>100</v>
      </c>
      <c r="E80" s="181">
        <v>61.2</v>
      </c>
      <c r="F80" s="181">
        <f t="shared" si="29"/>
        <v>0.31</v>
      </c>
      <c r="G80" s="181">
        <f t="shared" si="30"/>
        <v>61.510000000000005</v>
      </c>
      <c r="H80" s="181">
        <f t="shared" si="1"/>
        <v>61.61</v>
      </c>
      <c r="I80" s="219">
        <f t="shared" si="2"/>
        <v>0.41149999999999998</v>
      </c>
      <c r="J80" s="181">
        <f t="shared" si="31"/>
        <v>6151.0000000000009</v>
      </c>
      <c r="K80" s="181">
        <f t="shared" si="17"/>
        <v>-6161.1500000000005</v>
      </c>
      <c r="L80" s="181">
        <f t="shared" si="32"/>
        <v>31</v>
      </c>
      <c r="M80" s="181">
        <f t="shared" si="33"/>
        <v>3.1619999999999999</v>
      </c>
      <c r="N80" s="181">
        <f t="shared" si="34"/>
        <v>6.15</v>
      </c>
      <c r="O80" s="181">
        <f t="shared" si="35"/>
        <v>0.215285</v>
      </c>
      <c r="P80" s="181">
        <f t="shared" si="36"/>
        <v>0.61510000000000009</v>
      </c>
      <c r="Q80" s="98">
        <f t="shared" si="37"/>
        <v>0</v>
      </c>
      <c r="R80" s="181">
        <v>-6163.66</v>
      </c>
      <c r="S80" s="183">
        <f t="shared" si="9"/>
        <v>2.5099999999993088</v>
      </c>
      <c r="T80" s="180">
        <v>38723</v>
      </c>
      <c r="U80" s="357"/>
      <c r="V80" s="180"/>
      <c r="W80" s="181"/>
      <c r="X80" s="356"/>
      <c r="Y80" s="98" t="s">
        <v>418</v>
      </c>
      <c r="Z80" s="98"/>
    </row>
    <row r="81" spans="1:26" ht="12" customHeight="1">
      <c r="A81" s="180">
        <v>38721</v>
      </c>
      <c r="B81" s="354" t="s">
        <v>1050</v>
      </c>
      <c r="C81" s="98" t="s">
        <v>460</v>
      </c>
      <c r="D81" s="98">
        <v>50</v>
      </c>
      <c r="E81" s="181">
        <v>80.5</v>
      </c>
      <c r="F81" s="181">
        <f t="shared" si="29"/>
        <v>0.4</v>
      </c>
      <c r="G81" s="181">
        <f t="shared" si="30"/>
        <v>80.900000000000006</v>
      </c>
      <c r="H81" s="181">
        <f t="shared" si="1"/>
        <v>81.03</v>
      </c>
      <c r="I81" s="219">
        <f t="shared" si="2"/>
        <v>0.53279999999999994</v>
      </c>
      <c r="J81" s="181">
        <f t="shared" si="31"/>
        <v>4045.0000000000005</v>
      </c>
      <c r="K81" s="181">
        <f t="shared" si="17"/>
        <v>-4051.6400000000003</v>
      </c>
      <c r="L81" s="181">
        <f t="shared" si="32"/>
        <v>20</v>
      </c>
      <c r="M81" s="181">
        <f t="shared" si="33"/>
        <v>2.04</v>
      </c>
      <c r="N81" s="181">
        <f t="shared" si="34"/>
        <v>4.05</v>
      </c>
      <c r="O81" s="181">
        <f t="shared" si="35"/>
        <v>0.14157500000000001</v>
      </c>
      <c r="P81" s="181">
        <f t="shared" si="36"/>
        <v>0.40450000000000008</v>
      </c>
      <c r="Q81" s="98">
        <f t="shared" si="37"/>
        <v>0</v>
      </c>
      <c r="R81" s="181">
        <v>-4053</v>
      </c>
      <c r="S81" s="183">
        <f t="shared" si="9"/>
        <v>1.3599999999996726</v>
      </c>
      <c r="T81" s="180">
        <v>38723</v>
      </c>
      <c r="U81" s="357"/>
      <c r="V81" s="180"/>
      <c r="W81" s="181"/>
      <c r="X81" s="356"/>
      <c r="Y81" s="98" t="s">
        <v>418</v>
      </c>
      <c r="Z81" s="98"/>
    </row>
    <row r="82" spans="1:26" ht="12" customHeight="1">
      <c r="A82" s="180">
        <v>38721</v>
      </c>
      <c r="B82" s="354" t="s">
        <v>1051</v>
      </c>
      <c r="C82" s="98" t="s">
        <v>460</v>
      </c>
      <c r="D82" s="98">
        <v>50</v>
      </c>
      <c r="E82" s="181">
        <v>111</v>
      </c>
      <c r="F82" s="181">
        <f t="shared" si="29"/>
        <v>0.56000000000000005</v>
      </c>
      <c r="G82" s="181">
        <f t="shared" si="30"/>
        <v>111.56</v>
      </c>
      <c r="H82" s="181">
        <f t="shared" si="1"/>
        <v>111.74</v>
      </c>
      <c r="I82" s="219">
        <f t="shared" si="2"/>
        <v>0.74380000000000002</v>
      </c>
      <c r="J82" s="181">
        <f t="shared" si="31"/>
        <v>5578</v>
      </c>
      <c r="K82" s="181">
        <f t="shared" si="17"/>
        <v>-5587.1900000000005</v>
      </c>
      <c r="L82" s="181">
        <f t="shared" si="32"/>
        <v>28.000000000000004</v>
      </c>
      <c r="M82" s="181">
        <f t="shared" si="33"/>
        <v>2.8560000000000003</v>
      </c>
      <c r="N82" s="181">
        <f t="shared" si="34"/>
        <v>5.58</v>
      </c>
      <c r="O82" s="181">
        <f t="shared" si="35"/>
        <v>0.19522999999999999</v>
      </c>
      <c r="P82" s="181">
        <f t="shared" si="36"/>
        <v>0.55780000000000007</v>
      </c>
      <c r="Q82" s="98">
        <f t="shared" si="37"/>
        <v>0</v>
      </c>
      <c r="R82" s="181">
        <v>-5589.5</v>
      </c>
      <c r="S82" s="183">
        <f t="shared" si="9"/>
        <v>2.3099999999994907</v>
      </c>
      <c r="T82" s="180">
        <v>38723</v>
      </c>
      <c r="U82" s="357"/>
      <c r="V82" s="180"/>
      <c r="W82" s="181"/>
      <c r="X82" s="356"/>
      <c r="Y82" s="98" t="s">
        <v>418</v>
      </c>
      <c r="Z82" s="98"/>
    </row>
    <row r="83" spans="1:26" ht="12" customHeight="1">
      <c r="A83" s="180">
        <v>38721</v>
      </c>
      <c r="B83" s="354" t="s">
        <v>1025</v>
      </c>
      <c r="C83" s="98" t="s">
        <v>460</v>
      </c>
      <c r="D83" s="98">
        <v>100</v>
      </c>
      <c r="E83" s="181">
        <v>51.15</v>
      </c>
      <c r="F83" s="181">
        <f t="shared" si="29"/>
        <v>0.26</v>
      </c>
      <c r="G83" s="181">
        <f t="shared" si="30"/>
        <v>51.41</v>
      </c>
      <c r="H83" s="181">
        <f t="shared" si="1"/>
        <v>51.49</v>
      </c>
      <c r="I83" s="219">
        <f t="shared" si="2"/>
        <v>0.34489999999999998</v>
      </c>
      <c r="J83" s="181">
        <f t="shared" si="31"/>
        <v>5141</v>
      </c>
      <c r="K83" s="181">
        <f t="shared" si="17"/>
        <v>-5149.49</v>
      </c>
      <c r="L83" s="181">
        <f t="shared" si="32"/>
        <v>26</v>
      </c>
      <c r="M83" s="181">
        <f t="shared" si="33"/>
        <v>2.6519999999999997</v>
      </c>
      <c r="N83" s="181">
        <f t="shared" si="34"/>
        <v>5.14</v>
      </c>
      <c r="O83" s="181">
        <f t="shared" si="35"/>
        <v>0.17993499999999998</v>
      </c>
      <c r="P83" s="181">
        <f t="shared" si="36"/>
        <v>0.5141</v>
      </c>
      <c r="Q83" s="98">
        <f t="shared" si="37"/>
        <v>0</v>
      </c>
      <c r="R83" s="181">
        <v>-5152</v>
      </c>
      <c r="S83" s="183">
        <f t="shared" si="9"/>
        <v>2.5100000000002183</v>
      </c>
      <c r="T83" s="180">
        <v>38723</v>
      </c>
      <c r="U83" s="357"/>
      <c r="V83" s="180"/>
      <c r="W83" s="181"/>
      <c r="X83" s="356"/>
      <c r="Y83" s="98" t="s">
        <v>418</v>
      </c>
      <c r="Z83" s="98"/>
    </row>
    <row r="84" spans="1:26" ht="12" customHeight="1">
      <c r="A84" s="180">
        <v>38723</v>
      </c>
      <c r="B84" s="354" t="s">
        <v>1052</v>
      </c>
      <c r="C84" s="98" t="s">
        <v>460</v>
      </c>
      <c r="D84" s="98">
        <v>50</v>
      </c>
      <c r="E84" s="181">
        <v>116.7</v>
      </c>
      <c r="F84" s="181">
        <f t="shared" si="29"/>
        <v>0.57999999999999996</v>
      </c>
      <c r="G84" s="181">
        <f t="shared" si="30"/>
        <v>117.28</v>
      </c>
      <c r="H84" s="181">
        <f t="shared" si="1"/>
        <v>117.47</v>
      </c>
      <c r="I84" s="219">
        <f t="shared" si="2"/>
        <v>0.7722</v>
      </c>
      <c r="J84" s="181">
        <f t="shared" si="31"/>
        <v>5864</v>
      </c>
      <c r="K84" s="181">
        <f t="shared" si="17"/>
        <v>-5873.6100000000006</v>
      </c>
      <c r="L84" s="181">
        <f t="shared" si="32"/>
        <v>28.999999999999996</v>
      </c>
      <c r="M84" s="181">
        <f t="shared" si="33"/>
        <v>2.9579999999999993</v>
      </c>
      <c r="N84" s="181">
        <f t="shared" si="34"/>
        <v>5.86</v>
      </c>
      <c r="O84" s="181">
        <f t="shared" si="35"/>
        <v>0.20523999999999998</v>
      </c>
      <c r="P84" s="181">
        <f t="shared" si="36"/>
        <v>0.58640000000000003</v>
      </c>
      <c r="Q84" s="98">
        <f t="shared" si="37"/>
        <v>0</v>
      </c>
      <c r="R84" s="181">
        <v>-5873.97</v>
      </c>
      <c r="S84" s="183">
        <f t="shared" si="9"/>
        <v>0.35999999999967258</v>
      </c>
      <c r="T84" s="180">
        <v>38727</v>
      </c>
      <c r="U84" s="357"/>
      <c r="V84" s="180"/>
      <c r="W84" s="181"/>
      <c r="X84" s="356" t="str">
        <f>IF(X207="Not Sold","Not Sold","")</f>
        <v>Not Sold</v>
      </c>
      <c r="Y84" s="98" t="s">
        <v>418</v>
      </c>
      <c r="Z84" s="98"/>
    </row>
    <row r="85" spans="1:26" ht="12" customHeight="1">
      <c r="A85" s="180">
        <v>38723</v>
      </c>
      <c r="B85" s="354" t="s">
        <v>1053</v>
      </c>
      <c r="C85" s="98" t="s">
        <v>460</v>
      </c>
      <c r="D85" s="98">
        <v>50</v>
      </c>
      <c r="E85" s="181">
        <v>108</v>
      </c>
      <c r="F85" s="181">
        <f t="shared" si="29"/>
        <v>0.54</v>
      </c>
      <c r="G85" s="181">
        <f t="shared" si="30"/>
        <v>108.54</v>
      </c>
      <c r="H85" s="181">
        <f t="shared" si="1"/>
        <v>108.72</v>
      </c>
      <c r="I85" s="219">
        <f t="shared" si="2"/>
        <v>0.71840000000000004</v>
      </c>
      <c r="J85" s="181">
        <f t="shared" si="31"/>
        <v>5427</v>
      </c>
      <c r="K85" s="181">
        <f t="shared" si="17"/>
        <v>-5435.92</v>
      </c>
      <c r="L85" s="181">
        <f t="shared" si="32"/>
        <v>27</v>
      </c>
      <c r="M85" s="181">
        <f t="shared" si="33"/>
        <v>2.754</v>
      </c>
      <c r="N85" s="181">
        <f t="shared" si="34"/>
        <v>5.43</v>
      </c>
      <c r="O85" s="181">
        <f t="shared" si="35"/>
        <v>0.18994499999999997</v>
      </c>
      <c r="P85" s="181">
        <f t="shared" si="36"/>
        <v>0.54270000000000007</v>
      </c>
      <c r="Q85" s="98">
        <f t="shared" si="37"/>
        <v>0</v>
      </c>
      <c r="R85" s="181">
        <v>-5436</v>
      </c>
      <c r="S85" s="183">
        <f t="shared" si="9"/>
        <v>7.999999999992724E-2</v>
      </c>
      <c r="T85" s="180">
        <v>38727</v>
      </c>
      <c r="U85" s="357"/>
      <c r="V85" s="180"/>
      <c r="W85" s="181"/>
      <c r="X85" s="356"/>
      <c r="Y85" s="98" t="s">
        <v>418</v>
      </c>
      <c r="Z85" s="98"/>
    </row>
    <row r="86" spans="1:26" ht="12" customHeight="1">
      <c r="A86" s="180">
        <v>38727</v>
      </c>
      <c r="B86" s="354" t="s">
        <v>1054</v>
      </c>
      <c r="C86" s="98" t="s">
        <v>460</v>
      </c>
      <c r="D86" s="98">
        <v>50</v>
      </c>
      <c r="E86" s="181">
        <v>40.9</v>
      </c>
      <c r="F86" s="181">
        <f t="shared" si="29"/>
        <v>0.2</v>
      </c>
      <c r="G86" s="181">
        <f t="shared" si="30"/>
        <v>41.1</v>
      </c>
      <c r="H86" s="181">
        <f t="shared" si="1"/>
        <v>41.17</v>
      </c>
      <c r="I86" s="219">
        <f t="shared" si="2"/>
        <v>0.26719999999999999</v>
      </c>
      <c r="J86" s="181">
        <f t="shared" si="31"/>
        <v>2055</v>
      </c>
      <c r="K86" s="181">
        <f t="shared" si="17"/>
        <v>-2058.36</v>
      </c>
      <c r="L86" s="181">
        <f t="shared" si="32"/>
        <v>10</v>
      </c>
      <c r="M86" s="181">
        <f t="shared" si="33"/>
        <v>1.02</v>
      </c>
      <c r="N86" s="181">
        <f t="shared" si="34"/>
        <v>2.06</v>
      </c>
      <c r="O86" s="181">
        <f t="shared" si="35"/>
        <v>7.1924999999999989E-2</v>
      </c>
      <c r="P86" s="181">
        <f t="shared" si="36"/>
        <v>0.20550000000000002</v>
      </c>
      <c r="Q86" s="98">
        <f t="shared" si="37"/>
        <v>0</v>
      </c>
      <c r="R86" s="181">
        <v>-2058</v>
      </c>
      <c r="S86" s="183">
        <f t="shared" si="9"/>
        <v>-0.36000000000012733</v>
      </c>
      <c r="T86" s="180">
        <v>38731</v>
      </c>
      <c r="U86" s="357"/>
      <c r="V86" s="180"/>
      <c r="W86" s="181"/>
      <c r="X86" s="356"/>
      <c r="Y86" s="98" t="s">
        <v>418</v>
      </c>
      <c r="Z86" s="98"/>
    </row>
    <row r="87" spans="1:26" ht="12" customHeight="1">
      <c r="A87" s="180">
        <v>38793</v>
      </c>
      <c r="B87" s="354" t="s">
        <v>1055</v>
      </c>
      <c r="C87" s="98" t="s">
        <v>460</v>
      </c>
      <c r="D87" s="98">
        <v>100</v>
      </c>
      <c r="E87" s="181">
        <v>46</v>
      </c>
      <c r="F87" s="181">
        <f t="shared" si="29"/>
        <v>0.23</v>
      </c>
      <c r="G87" s="181">
        <f t="shared" si="30"/>
        <v>46.23</v>
      </c>
      <c r="H87" s="181">
        <f t="shared" si="1"/>
        <v>46.31</v>
      </c>
      <c r="I87" s="219">
        <f t="shared" si="2"/>
        <v>0.30599999999999999</v>
      </c>
      <c r="J87" s="181">
        <f t="shared" si="31"/>
        <v>4623</v>
      </c>
      <c r="K87" s="181">
        <f t="shared" si="17"/>
        <v>-4630.6000000000004</v>
      </c>
      <c r="L87" s="181">
        <f t="shared" si="32"/>
        <v>23</v>
      </c>
      <c r="M87" s="181">
        <f t="shared" si="33"/>
        <v>2.3459999999999996</v>
      </c>
      <c r="N87" s="181">
        <f t="shared" si="34"/>
        <v>4.62</v>
      </c>
      <c r="O87" s="181">
        <f t="shared" si="35"/>
        <v>0.16180499999999998</v>
      </c>
      <c r="P87" s="181">
        <f t="shared" si="36"/>
        <v>0.46230000000000004</v>
      </c>
      <c r="Q87" s="98">
        <f t="shared" si="37"/>
        <v>0</v>
      </c>
      <c r="R87" s="181">
        <v>-4631.2700000000004</v>
      </c>
      <c r="S87" s="183">
        <f t="shared" si="9"/>
        <v>0.67000000000007276</v>
      </c>
      <c r="T87" s="180">
        <v>38797</v>
      </c>
      <c r="U87" s="357"/>
      <c r="V87" s="180"/>
      <c r="W87" s="181"/>
      <c r="X87" s="356"/>
      <c r="Y87" s="98" t="s">
        <v>418</v>
      </c>
      <c r="Z87" s="98"/>
    </row>
    <row r="88" spans="1:26" ht="12" customHeight="1">
      <c r="A88" s="180">
        <v>38812</v>
      </c>
      <c r="B88" s="354" t="s">
        <v>1056</v>
      </c>
      <c r="C88" s="98" t="s">
        <v>460</v>
      </c>
      <c r="D88" s="98">
        <v>5</v>
      </c>
      <c r="E88" s="181">
        <v>1008.7</v>
      </c>
      <c r="F88" s="181">
        <f t="shared" si="29"/>
        <v>5.04</v>
      </c>
      <c r="G88" s="181">
        <f t="shared" si="30"/>
        <v>1013.74</v>
      </c>
      <c r="H88" s="181">
        <f t="shared" si="1"/>
        <v>1015.51</v>
      </c>
      <c r="I88" s="219">
        <f t="shared" si="2"/>
        <v>6.8077999999999994</v>
      </c>
      <c r="J88" s="181">
        <f t="shared" si="31"/>
        <v>5068.7</v>
      </c>
      <c r="K88" s="181">
        <f t="shared" si="17"/>
        <v>-5077.54</v>
      </c>
      <c r="L88" s="181">
        <f t="shared" si="32"/>
        <v>25.2</v>
      </c>
      <c r="M88" s="181">
        <f t="shared" ref="M88:M116" si="38">L88*F$328</f>
        <v>3.0844799999999997</v>
      </c>
      <c r="N88" s="181">
        <f t="shared" si="34"/>
        <v>5.07</v>
      </c>
      <c r="O88" s="181">
        <f t="shared" si="35"/>
        <v>0.17740449999999996</v>
      </c>
      <c r="P88" s="181">
        <f t="shared" si="36"/>
        <v>0.50687000000000004</v>
      </c>
      <c r="Q88" s="98">
        <f t="shared" si="37"/>
        <v>0</v>
      </c>
      <c r="R88" s="181">
        <v>-5077.29</v>
      </c>
      <c r="S88" s="183">
        <f t="shared" si="9"/>
        <v>-0.25</v>
      </c>
      <c r="T88" s="180">
        <v>38814</v>
      </c>
      <c r="U88" s="357"/>
      <c r="V88" s="180"/>
      <c r="W88" s="181"/>
      <c r="X88" s="356" t="str">
        <f>IF(X211="Not Sold","Not Sold","")</f>
        <v/>
      </c>
      <c r="Y88" s="98" t="s">
        <v>418</v>
      </c>
      <c r="Z88" s="98"/>
    </row>
    <row r="89" spans="1:26" ht="12" customHeight="1">
      <c r="A89" s="180">
        <v>38814</v>
      </c>
      <c r="B89" s="354" t="s">
        <v>1057</v>
      </c>
      <c r="C89" s="98" t="s">
        <v>460</v>
      </c>
      <c r="D89" s="98">
        <v>50</v>
      </c>
      <c r="E89" s="181">
        <v>81</v>
      </c>
      <c r="F89" s="181">
        <f t="shared" si="29"/>
        <v>0.41</v>
      </c>
      <c r="G89" s="181">
        <f t="shared" si="30"/>
        <v>81.41</v>
      </c>
      <c r="H89" s="181">
        <f t="shared" si="1"/>
        <v>81.55</v>
      </c>
      <c r="I89" s="219">
        <f t="shared" si="2"/>
        <v>0.55259999999999998</v>
      </c>
      <c r="J89" s="181">
        <f t="shared" si="31"/>
        <v>4070.5</v>
      </c>
      <c r="K89" s="181">
        <f t="shared" si="17"/>
        <v>-4077.63</v>
      </c>
      <c r="L89" s="181">
        <f t="shared" si="32"/>
        <v>20.5</v>
      </c>
      <c r="M89" s="181">
        <f t="shared" si="38"/>
        <v>2.5091999999999999</v>
      </c>
      <c r="N89" s="181">
        <f t="shared" si="34"/>
        <v>4.07</v>
      </c>
      <c r="O89" s="181">
        <f t="shared" si="35"/>
        <v>0.1424675</v>
      </c>
      <c r="P89" s="181">
        <f t="shared" si="36"/>
        <v>0.40705000000000002</v>
      </c>
      <c r="Q89" s="98">
        <f t="shared" si="37"/>
        <v>0</v>
      </c>
      <c r="R89" s="181">
        <v>-4076.86</v>
      </c>
      <c r="S89" s="183">
        <f t="shared" si="9"/>
        <v>-0.76999999999998181</v>
      </c>
      <c r="T89" s="180">
        <v>38818</v>
      </c>
      <c r="U89" s="357"/>
      <c r="V89" s="180"/>
      <c r="W89" s="181"/>
      <c r="X89" s="356"/>
      <c r="Y89" s="98" t="s">
        <v>418</v>
      </c>
      <c r="Z89" s="98"/>
    </row>
    <row r="90" spans="1:26" ht="12" customHeight="1">
      <c r="A90" s="180">
        <v>38820</v>
      </c>
      <c r="B90" s="354" t="s">
        <v>1055</v>
      </c>
      <c r="C90" s="98" t="s">
        <v>460</v>
      </c>
      <c r="D90" s="98">
        <v>50</v>
      </c>
      <c r="E90" s="181">
        <v>44.3</v>
      </c>
      <c r="F90" s="181">
        <f t="shared" si="29"/>
        <v>0.22</v>
      </c>
      <c r="G90" s="181">
        <f t="shared" si="30"/>
        <v>44.519999999999996</v>
      </c>
      <c r="H90" s="181">
        <f t="shared" si="1"/>
        <v>44.6</v>
      </c>
      <c r="I90" s="219">
        <f t="shared" si="2"/>
        <v>0.29759999999999998</v>
      </c>
      <c r="J90" s="181">
        <f t="shared" si="31"/>
        <v>2226</v>
      </c>
      <c r="K90" s="181">
        <f t="shared" si="17"/>
        <v>-2229.88</v>
      </c>
      <c r="L90" s="181">
        <f t="shared" si="32"/>
        <v>11</v>
      </c>
      <c r="M90" s="181">
        <f t="shared" si="38"/>
        <v>1.3464</v>
      </c>
      <c r="N90" s="181">
        <f t="shared" si="34"/>
        <v>2.23</v>
      </c>
      <c r="O90" s="181">
        <f t="shared" si="35"/>
        <v>7.7909999999999993E-2</v>
      </c>
      <c r="P90" s="181">
        <f t="shared" si="36"/>
        <v>0.22260000000000002</v>
      </c>
      <c r="Q90" s="98">
        <f t="shared" si="37"/>
        <v>0</v>
      </c>
      <c r="R90" s="181">
        <v>-2229.56</v>
      </c>
      <c r="S90" s="183">
        <f t="shared" si="9"/>
        <v>-0.32000000000016371</v>
      </c>
      <c r="T90" s="180">
        <v>38824</v>
      </c>
      <c r="U90" s="357"/>
      <c r="V90" s="180"/>
      <c r="W90" s="181"/>
      <c r="X90" s="356"/>
      <c r="Y90" s="98" t="s">
        <v>418</v>
      </c>
      <c r="Z90" s="98"/>
    </row>
    <row r="91" spans="1:26" ht="12" customHeight="1">
      <c r="A91" s="180">
        <v>38825</v>
      </c>
      <c r="B91" s="354" t="s">
        <v>640</v>
      </c>
      <c r="C91" s="98" t="s">
        <v>460</v>
      </c>
      <c r="D91" s="98">
        <v>50</v>
      </c>
      <c r="E91" s="181">
        <v>139.69999999999999</v>
      </c>
      <c r="F91" s="181">
        <f t="shared" si="29"/>
        <v>0.7</v>
      </c>
      <c r="G91" s="181">
        <f t="shared" si="30"/>
        <v>140.39999999999998</v>
      </c>
      <c r="H91" s="181">
        <f t="shared" si="1"/>
        <v>140.65</v>
      </c>
      <c r="I91" s="219">
        <f t="shared" si="2"/>
        <v>0.94509999999999994</v>
      </c>
      <c r="J91" s="181">
        <f t="shared" si="31"/>
        <v>7019.9999999999991</v>
      </c>
      <c r="K91" s="181">
        <f t="shared" si="17"/>
        <v>-7032.26</v>
      </c>
      <c r="L91" s="181">
        <f t="shared" si="32"/>
        <v>35</v>
      </c>
      <c r="M91" s="181">
        <f t="shared" si="38"/>
        <v>4.2839999999999998</v>
      </c>
      <c r="N91" s="181">
        <f t="shared" si="34"/>
        <v>7.02</v>
      </c>
      <c r="O91" s="181">
        <f t="shared" si="35"/>
        <v>0.24569999999999995</v>
      </c>
      <c r="P91" s="181">
        <f t="shared" si="36"/>
        <v>0.70199999999999996</v>
      </c>
      <c r="Q91" s="98">
        <f t="shared" si="37"/>
        <v>0</v>
      </c>
      <c r="R91" s="181">
        <v>-7031.97</v>
      </c>
      <c r="S91" s="183">
        <f t="shared" si="9"/>
        <v>-0.28999999999996362</v>
      </c>
      <c r="T91" s="180">
        <v>38827</v>
      </c>
      <c r="U91" s="357"/>
      <c r="V91" s="180"/>
      <c r="W91" s="181"/>
      <c r="X91" s="356"/>
      <c r="Y91" s="98" t="s">
        <v>418</v>
      </c>
      <c r="Z91" s="98"/>
    </row>
    <row r="92" spans="1:26" ht="12" customHeight="1">
      <c r="A92" s="180">
        <v>38828</v>
      </c>
      <c r="B92" s="354" t="s">
        <v>640</v>
      </c>
      <c r="C92" s="98" t="s">
        <v>1058</v>
      </c>
      <c r="D92" s="98">
        <v>50</v>
      </c>
      <c r="E92" s="181">
        <v>138</v>
      </c>
      <c r="F92" s="181">
        <f t="shared" si="29"/>
        <v>0.69</v>
      </c>
      <c r="G92" s="181">
        <f t="shared" si="30"/>
        <v>138.69</v>
      </c>
      <c r="H92" s="181">
        <f t="shared" si="1"/>
        <v>138.93</v>
      </c>
      <c r="I92" s="219">
        <f t="shared" si="2"/>
        <v>0.93179999999999996</v>
      </c>
      <c r="J92" s="181">
        <f t="shared" si="31"/>
        <v>6934.5</v>
      </c>
      <c r="K92" s="181">
        <f t="shared" si="17"/>
        <v>-6946.59</v>
      </c>
      <c r="L92" s="181">
        <f t="shared" si="32"/>
        <v>34.5</v>
      </c>
      <c r="M92" s="181">
        <f t="shared" si="38"/>
        <v>4.2227999999999994</v>
      </c>
      <c r="N92" s="181">
        <f t="shared" si="34"/>
        <v>6.93</v>
      </c>
      <c r="O92" s="181">
        <f t="shared" si="35"/>
        <v>0.24270749999999996</v>
      </c>
      <c r="P92" s="181">
        <f t="shared" si="36"/>
        <v>0.69345000000000001</v>
      </c>
      <c r="Q92" s="98">
        <f t="shared" si="37"/>
        <v>0</v>
      </c>
      <c r="R92" s="181">
        <v>-6947</v>
      </c>
      <c r="S92" s="183">
        <f t="shared" si="9"/>
        <v>0.40999999999985448</v>
      </c>
      <c r="T92" s="180">
        <v>38832</v>
      </c>
      <c r="U92" s="357"/>
      <c r="V92" s="180"/>
      <c r="W92" s="181"/>
      <c r="X92" s="356" t="str">
        <f t="shared" ref="X92:X94" si="39">IF(X215="Not Sold","Not Sold","")</f>
        <v>Not Sold</v>
      </c>
      <c r="Y92" s="41" t="s">
        <v>483</v>
      </c>
      <c r="Z92" s="98"/>
    </row>
    <row r="93" spans="1:26" ht="12" customHeight="1">
      <c r="A93" s="180">
        <v>38828</v>
      </c>
      <c r="B93" s="354" t="s">
        <v>1059</v>
      </c>
      <c r="C93" s="98" t="s">
        <v>1058</v>
      </c>
      <c r="D93" s="98">
        <v>15</v>
      </c>
      <c r="E93" s="181">
        <v>822.1</v>
      </c>
      <c r="F93" s="181">
        <f t="shared" si="29"/>
        <v>4.1100000000000003</v>
      </c>
      <c r="G93" s="181">
        <f t="shared" si="30"/>
        <v>826.21</v>
      </c>
      <c r="H93" s="181">
        <f t="shared" si="1"/>
        <v>827.65</v>
      </c>
      <c r="I93" s="219">
        <f t="shared" si="2"/>
        <v>5.5507</v>
      </c>
      <c r="J93" s="181">
        <f t="shared" si="31"/>
        <v>12393.150000000001</v>
      </c>
      <c r="K93" s="181">
        <f t="shared" si="17"/>
        <v>-12414.76</v>
      </c>
      <c r="L93" s="181">
        <f t="shared" si="32"/>
        <v>61.650000000000006</v>
      </c>
      <c r="M93" s="181">
        <f t="shared" si="38"/>
        <v>7.54596</v>
      </c>
      <c r="N93" s="181">
        <f t="shared" si="34"/>
        <v>12.39</v>
      </c>
      <c r="O93" s="181">
        <f t="shared" si="35"/>
        <v>0.43376025000000001</v>
      </c>
      <c r="P93" s="181">
        <f t="shared" si="36"/>
        <v>1.2393150000000002</v>
      </c>
      <c r="Q93" s="98">
        <f t="shared" si="37"/>
        <v>0</v>
      </c>
      <c r="R93" s="181">
        <v>-12415.28</v>
      </c>
      <c r="S93" s="183">
        <f t="shared" si="9"/>
        <v>0.52000000000043656</v>
      </c>
      <c r="T93" s="180">
        <v>38832</v>
      </c>
      <c r="U93" s="357"/>
      <c r="V93" s="180"/>
      <c r="W93" s="181"/>
      <c r="X93" s="356" t="str">
        <f t="shared" si="39"/>
        <v/>
      </c>
      <c r="Y93" s="41" t="s">
        <v>483</v>
      </c>
      <c r="Z93" s="98"/>
    </row>
    <row r="94" spans="1:26" ht="12" customHeight="1">
      <c r="A94" s="180">
        <v>38831</v>
      </c>
      <c r="B94" s="354" t="s">
        <v>1060</v>
      </c>
      <c r="C94" s="98" t="s">
        <v>1058</v>
      </c>
      <c r="D94" s="98">
        <v>2</v>
      </c>
      <c r="E94" s="181">
        <v>3230</v>
      </c>
      <c r="F94" s="181">
        <f t="shared" si="29"/>
        <v>16.149999999999999</v>
      </c>
      <c r="G94" s="181">
        <f t="shared" si="30"/>
        <v>3246.15</v>
      </c>
      <c r="H94" s="181">
        <f t="shared" si="1"/>
        <v>3251.81</v>
      </c>
      <c r="I94" s="219">
        <f t="shared" si="2"/>
        <v>21.81</v>
      </c>
      <c r="J94" s="181">
        <f t="shared" si="31"/>
        <v>6492.3</v>
      </c>
      <c r="K94" s="181">
        <f t="shared" si="17"/>
        <v>-6503.62</v>
      </c>
      <c r="L94" s="181">
        <f t="shared" si="32"/>
        <v>32.299999999999997</v>
      </c>
      <c r="M94" s="181">
        <f t="shared" si="38"/>
        <v>3.9535199999999997</v>
      </c>
      <c r="N94" s="181">
        <f t="shared" si="34"/>
        <v>6.49</v>
      </c>
      <c r="O94" s="181">
        <f t="shared" si="35"/>
        <v>0.22723049999999997</v>
      </c>
      <c r="P94" s="181">
        <f t="shared" si="36"/>
        <v>0.64923000000000008</v>
      </c>
      <c r="Q94" s="98">
        <f t="shared" si="37"/>
        <v>0</v>
      </c>
      <c r="R94" s="181">
        <v>-6504.54</v>
      </c>
      <c r="S94" s="183">
        <f t="shared" si="9"/>
        <v>0.92000000000007276</v>
      </c>
      <c r="T94" s="180">
        <v>38833</v>
      </c>
      <c r="U94" s="357"/>
      <c r="V94" s="180"/>
      <c r="W94" s="181"/>
      <c r="X94" s="356" t="str">
        <f t="shared" si="39"/>
        <v/>
      </c>
      <c r="Y94" s="98" t="s">
        <v>418</v>
      </c>
      <c r="Z94" s="98"/>
    </row>
    <row r="95" spans="1:26" ht="12" customHeight="1">
      <c r="A95" s="180">
        <v>38832</v>
      </c>
      <c r="B95" s="354" t="s">
        <v>640</v>
      </c>
      <c r="C95" s="98" t="s">
        <v>1058</v>
      </c>
      <c r="D95" s="98">
        <v>50</v>
      </c>
      <c r="E95" s="181">
        <v>130.6</v>
      </c>
      <c r="F95" s="181">
        <f t="shared" si="29"/>
        <v>0.65</v>
      </c>
      <c r="G95" s="181">
        <f t="shared" si="30"/>
        <v>131.25</v>
      </c>
      <c r="H95" s="181">
        <f t="shared" si="1"/>
        <v>131.47999999999999</v>
      </c>
      <c r="I95" s="219">
        <f t="shared" si="2"/>
        <v>0.87849999999999995</v>
      </c>
      <c r="J95" s="181">
        <f t="shared" si="31"/>
        <v>6562.5</v>
      </c>
      <c r="K95" s="181">
        <f t="shared" si="17"/>
        <v>-6573.93</v>
      </c>
      <c r="L95" s="181">
        <f t="shared" si="32"/>
        <v>32.5</v>
      </c>
      <c r="M95" s="181">
        <f t="shared" si="38"/>
        <v>3.9779999999999998</v>
      </c>
      <c r="N95" s="181">
        <f t="shared" si="34"/>
        <v>6.56</v>
      </c>
      <c r="O95" s="181">
        <f t="shared" si="35"/>
        <v>0.22968749999999999</v>
      </c>
      <c r="P95" s="181">
        <f t="shared" si="36"/>
        <v>0.65625</v>
      </c>
      <c r="Q95" s="98">
        <f t="shared" si="37"/>
        <v>0</v>
      </c>
      <c r="R95" s="181">
        <v>-6574</v>
      </c>
      <c r="S95" s="183">
        <f t="shared" si="9"/>
        <v>6.9999999999708962E-2</v>
      </c>
      <c r="T95" s="180">
        <v>38834</v>
      </c>
      <c r="U95" s="357"/>
      <c r="V95" s="180"/>
      <c r="W95" s="181"/>
      <c r="X95" s="356"/>
      <c r="Y95" s="98" t="s">
        <v>418</v>
      </c>
      <c r="Z95" s="98"/>
    </row>
    <row r="96" spans="1:26" ht="12" customHeight="1">
      <c r="A96" s="180">
        <v>38839</v>
      </c>
      <c r="B96" s="354" t="s">
        <v>1060</v>
      </c>
      <c r="C96" s="98" t="s">
        <v>460</v>
      </c>
      <c r="D96" s="98">
        <v>4</v>
      </c>
      <c r="E96" s="181">
        <v>3170</v>
      </c>
      <c r="F96" s="181">
        <f t="shared" si="29"/>
        <v>15.85</v>
      </c>
      <c r="G96" s="181">
        <f t="shared" si="30"/>
        <v>3185.85</v>
      </c>
      <c r="H96" s="181">
        <f t="shared" si="1"/>
        <v>3191.41</v>
      </c>
      <c r="I96" s="219">
        <f t="shared" si="2"/>
        <v>21.405200000000001</v>
      </c>
      <c r="J96" s="181">
        <f t="shared" si="31"/>
        <v>12743.4</v>
      </c>
      <c r="K96" s="181">
        <f t="shared" si="17"/>
        <v>-12765.630000000001</v>
      </c>
      <c r="L96" s="181">
        <f t="shared" si="32"/>
        <v>63.4</v>
      </c>
      <c r="M96" s="181">
        <f t="shared" si="38"/>
        <v>7.7601599999999999</v>
      </c>
      <c r="N96" s="181">
        <f t="shared" si="34"/>
        <v>12.74</v>
      </c>
      <c r="O96" s="181">
        <f t="shared" si="35"/>
        <v>0.44601899999999994</v>
      </c>
      <c r="P96" s="181">
        <f t="shared" si="36"/>
        <v>1.27434</v>
      </c>
      <c r="Q96" s="98">
        <f t="shared" si="37"/>
        <v>0</v>
      </c>
      <c r="R96" s="181">
        <v>-12766</v>
      </c>
      <c r="S96" s="183">
        <f t="shared" si="9"/>
        <v>0.36999999999898137</v>
      </c>
      <c r="T96" s="180">
        <v>38841</v>
      </c>
      <c r="U96" s="357"/>
      <c r="V96" s="180"/>
      <c r="W96" s="181"/>
      <c r="X96" s="356"/>
      <c r="Y96" s="41" t="s">
        <v>483</v>
      </c>
      <c r="Z96" s="98"/>
    </row>
    <row r="97" spans="1:26" ht="12" customHeight="1">
      <c r="A97" s="180">
        <v>38840</v>
      </c>
      <c r="B97" s="354" t="s">
        <v>516</v>
      </c>
      <c r="C97" s="98" t="s">
        <v>460</v>
      </c>
      <c r="D97" s="98">
        <v>50</v>
      </c>
      <c r="E97" s="181">
        <v>214.75</v>
      </c>
      <c r="F97" s="181">
        <f t="shared" si="29"/>
        <v>1.07</v>
      </c>
      <c r="G97" s="181">
        <f t="shared" si="30"/>
        <v>215.82</v>
      </c>
      <c r="H97" s="181">
        <f t="shared" si="1"/>
        <v>216.2</v>
      </c>
      <c r="I97" s="219">
        <f t="shared" si="2"/>
        <v>1.446</v>
      </c>
      <c r="J97" s="181">
        <f t="shared" si="31"/>
        <v>10791</v>
      </c>
      <c r="K97" s="181">
        <f t="shared" si="17"/>
        <v>-10809.800000000001</v>
      </c>
      <c r="L97" s="181">
        <f t="shared" si="32"/>
        <v>53.5</v>
      </c>
      <c r="M97" s="181">
        <f t="shared" si="38"/>
        <v>6.5484</v>
      </c>
      <c r="N97" s="181">
        <f t="shared" si="34"/>
        <v>10.79</v>
      </c>
      <c r="O97" s="181">
        <f t="shared" si="35"/>
        <v>0.37768499999999999</v>
      </c>
      <c r="P97" s="181">
        <f t="shared" si="36"/>
        <v>1.0790999999999999</v>
      </c>
      <c r="Q97" s="98">
        <f t="shared" si="37"/>
        <v>0</v>
      </c>
      <c r="R97" s="181">
        <v>-10812.01</v>
      </c>
      <c r="S97" s="183">
        <f t="shared" si="9"/>
        <v>2.2099999999991269</v>
      </c>
      <c r="T97" s="180">
        <v>38842</v>
      </c>
      <c r="U97" s="357"/>
      <c r="V97" s="180"/>
      <c r="W97" s="181"/>
      <c r="X97" s="356"/>
      <c r="Y97" s="41" t="s">
        <v>483</v>
      </c>
      <c r="Z97" s="98"/>
    </row>
    <row r="98" spans="1:26" ht="12" customHeight="1">
      <c r="A98" s="180">
        <v>38841</v>
      </c>
      <c r="B98" s="354" t="s">
        <v>1061</v>
      </c>
      <c r="C98" s="98" t="s">
        <v>460</v>
      </c>
      <c r="D98" s="98">
        <v>100</v>
      </c>
      <c r="E98" s="181">
        <v>65.8</v>
      </c>
      <c r="F98" s="181">
        <f t="shared" si="29"/>
        <v>0.33</v>
      </c>
      <c r="G98" s="181">
        <f t="shared" si="30"/>
        <v>66.13</v>
      </c>
      <c r="H98" s="181">
        <f t="shared" si="1"/>
        <v>66.25</v>
      </c>
      <c r="I98" s="219">
        <f t="shared" si="2"/>
        <v>0.44550000000000001</v>
      </c>
      <c r="J98" s="181">
        <f t="shared" si="31"/>
        <v>6613</v>
      </c>
      <c r="K98" s="181">
        <f t="shared" si="17"/>
        <v>-6624.55</v>
      </c>
      <c r="L98" s="181">
        <f t="shared" si="32"/>
        <v>33</v>
      </c>
      <c r="M98" s="181">
        <f t="shared" si="38"/>
        <v>4.0392000000000001</v>
      </c>
      <c r="N98" s="181">
        <f t="shared" si="34"/>
        <v>6.61</v>
      </c>
      <c r="O98" s="181">
        <f t="shared" si="35"/>
        <v>0.23145499999999997</v>
      </c>
      <c r="P98" s="181">
        <f t="shared" si="36"/>
        <v>0.6613</v>
      </c>
      <c r="Q98" s="98">
        <f t="shared" si="37"/>
        <v>0</v>
      </c>
      <c r="R98" s="181">
        <v>-6625</v>
      </c>
      <c r="S98" s="183">
        <f t="shared" si="9"/>
        <v>0.4499999999998181</v>
      </c>
      <c r="T98" s="180">
        <v>38845</v>
      </c>
      <c r="U98" s="357"/>
      <c r="V98" s="180"/>
      <c r="W98" s="181"/>
      <c r="X98" s="356"/>
      <c r="Y98" s="41" t="s">
        <v>483</v>
      </c>
      <c r="Z98" s="98"/>
    </row>
    <row r="99" spans="1:26" ht="12" customHeight="1">
      <c r="A99" s="180">
        <v>38841</v>
      </c>
      <c r="B99" s="354" t="s">
        <v>1059</v>
      </c>
      <c r="C99" s="98" t="s">
        <v>460</v>
      </c>
      <c r="D99" s="98">
        <v>10</v>
      </c>
      <c r="E99" s="181">
        <v>775.9</v>
      </c>
      <c r="F99" s="181">
        <f t="shared" si="29"/>
        <v>3.88</v>
      </c>
      <c r="G99" s="181">
        <f t="shared" si="30"/>
        <v>779.78</v>
      </c>
      <c r="H99" s="181">
        <f t="shared" si="1"/>
        <v>781.14</v>
      </c>
      <c r="I99" s="219">
        <f t="shared" si="2"/>
        <v>5.2401999999999997</v>
      </c>
      <c r="J99" s="181">
        <f t="shared" si="31"/>
        <v>7797.7999999999993</v>
      </c>
      <c r="K99" s="181">
        <f t="shared" si="17"/>
        <v>-7811.41</v>
      </c>
      <c r="L99" s="181">
        <f t="shared" si="32"/>
        <v>38.799999999999997</v>
      </c>
      <c r="M99" s="181">
        <f t="shared" si="38"/>
        <v>4.7491199999999996</v>
      </c>
      <c r="N99" s="181">
        <f t="shared" si="34"/>
        <v>7.8</v>
      </c>
      <c r="O99" s="181">
        <f t="shared" si="35"/>
        <v>0.27292299999999997</v>
      </c>
      <c r="P99" s="181">
        <f t="shared" si="36"/>
        <v>0.77977999999999992</v>
      </c>
      <c r="Q99" s="98">
        <f t="shared" si="37"/>
        <v>0</v>
      </c>
      <c r="R99" s="181">
        <v>-7812</v>
      </c>
      <c r="S99" s="183">
        <f t="shared" si="9"/>
        <v>0.59000000000014552</v>
      </c>
      <c r="T99" s="180">
        <v>38845</v>
      </c>
      <c r="U99" s="357"/>
      <c r="V99" s="180"/>
      <c r="W99" s="181"/>
      <c r="X99" s="356"/>
      <c r="Y99" s="41" t="s">
        <v>483</v>
      </c>
      <c r="Z99" s="98"/>
    </row>
    <row r="100" spans="1:26" ht="12" customHeight="1">
      <c r="A100" s="180">
        <v>38842</v>
      </c>
      <c r="B100" s="354" t="s">
        <v>1011</v>
      </c>
      <c r="C100" s="98" t="s">
        <v>460</v>
      </c>
      <c r="D100" s="98">
        <v>50</v>
      </c>
      <c r="E100" s="181">
        <v>120.95</v>
      </c>
      <c r="F100" s="181">
        <f t="shared" si="29"/>
        <v>0.6</v>
      </c>
      <c r="G100" s="181">
        <f t="shared" si="30"/>
        <v>121.55</v>
      </c>
      <c r="H100" s="181">
        <f t="shared" si="1"/>
        <v>121.76</v>
      </c>
      <c r="I100" s="219">
        <f t="shared" si="2"/>
        <v>0.8115</v>
      </c>
      <c r="J100" s="181">
        <f t="shared" si="31"/>
        <v>6077.5</v>
      </c>
      <c r="K100" s="181">
        <f t="shared" si="17"/>
        <v>-6088.08</v>
      </c>
      <c r="L100" s="181">
        <f t="shared" si="32"/>
        <v>30</v>
      </c>
      <c r="M100" s="181">
        <f t="shared" si="38"/>
        <v>3.6719999999999997</v>
      </c>
      <c r="N100" s="181">
        <f t="shared" si="34"/>
        <v>6.08</v>
      </c>
      <c r="O100" s="181">
        <f t="shared" si="35"/>
        <v>0.21271249999999997</v>
      </c>
      <c r="P100" s="181">
        <f t="shared" si="36"/>
        <v>0.60775000000000001</v>
      </c>
      <c r="Q100" s="98">
        <f t="shared" si="37"/>
        <v>0</v>
      </c>
      <c r="R100" s="181">
        <v>-6091</v>
      </c>
      <c r="S100" s="183">
        <f t="shared" si="9"/>
        <v>2.9200000000000728</v>
      </c>
      <c r="T100" s="180">
        <v>38846</v>
      </c>
      <c r="U100" s="357"/>
      <c r="V100" s="180"/>
      <c r="W100" s="181"/>
      <c r="X100" s="356" t="str">
        <f t="shared" ref="X100:X102" si="40">IF(X224="Not Sold","Not Sold","")</f>
        <v/>
      </c>
      <c r="Y100" s="41" t="s">
        <v>418</v>
      </c>
      <c r="Z100" s="98"/>
    </row>
    <row r="101" spans="1:26" ht="12" customHeight="1">
      <c r="A101" s="180">
        <v>38845</v>
      </c>
      <c r="B101" s="354" t="s">
        <v>1062</v>
      </c>
      <c r="C101" s="98" t="s">
        <v>460</v>
      </c>
      <c r="D101" s="98">
        <v>50</v>
      </c>
      <c r="E101" s="181">
        <v>208.8</v>
      </c>
      <c r="F101" s="181">
        <f t="shared" si="29"/>
        <v>1.04</v>
      </c>
      <c r="G101" s="181">
        <f t="shared" si="30"/>
        <v>209.84</v>
      </c>
      <c r="H101" s="181">
        <f t="shared" si="1"/>
        <v>210.21</v>
      </c>
      <c r="I101" s="219">
        <f t="shared" si="2"/>
        <v>1.4055</v>
      </c>
      <c r="J101" s="181">
        <f t="shared" si="31"/>
        <v>10492</v>
      </c>
      <c r="K101" s="181">
        <f t="shared" si="17"/>
        <v>-10510.28</v>
      </c>
      <c r="L101" s="181">
        <f t="shared" si="32"/>
        <v>52</v>
      </c>
      <c r="M101" s="181">
        <f t="shared" si="38"/>
        <v>6.3647999999999998</v>
      </c>
      <c r="N101" s="181">
        <f t="shared" si="34"/>
        <v>10.49</v>
      </c>
      <c r="O101" s="181">
        <f t="shared" si="35"/>
        <v>0.36721999999999999</v>
      </c>
      <c r="P101" s="181">
        <f t="shared" si="36"/>
        <v>1.0492000000000001</v>
      </c>
      <c r="Q101" s="98">
        <f t="shared" si="37"/>
        <v>0</v>
      </c>
      <c r="R101" s="181">
        <v>-10510.41</v>
      </c>
      <c r="S101" s="183">
        <f t="shared" si="9"/>
        <v>0.12999999999919964</v>
      </c>
      <c r="T101" s="180">
        <v>38847</v>
      </c>
      <c r="U101" s="357"/>
      <c r="V101" s="180"/>
      <c r="W101" s="181"/>
      <c r="X101" s="356" t="str">
        <f t="shared" si="40"/>
        <v>Not Sold</v>
      </c>
      <c r="Y101" s="41" t="s">
        <v>418</v>
      </c>
      <c r="Z101" s="98"/>
    </row>
    <row r="102" spans="1:26" ht="12" customHeight="1">
      <c r="A102" s="180">
        <v>38845</v>
      </c>
      <c r="B102" s="354" t="s">
        <v>1036</v>
      </c>
      <c r="C102" s="98" t="s">
        <v>460</v>
      </c>
      <c r="D102" s="98">
        <v>25</v>
      </c>
      <c r="E102" s="181">
        <v>515.15</v>
      </c>
      <c r="F102" s="181">
        <f t="shared" si="29"/>
        <v>2.58</v>
      </c>
      <c r="G102" s="181">
        <f t="shared" si="30"/>
        <v>517.73</v>
      </c>
      <c r="H102" s="181">
        <f t="shared" si="1"/>
        <v>518.63</v>
      </c>
      <c r="I102" s="219">
        <f t="shared" si="2"/>
        <v>3.4833000000000003</v>
      </c>
      <c r="J102" s="181">
        <f t="shared" si="31"/>
        <v>12943.25</v>
      </c>
      <c r="K102" s="181">
        <f t="shared" si="17"/>
        <v>-12965.84</v>
      </c>
      <c r="L102" s="181">
        <f t="shared" si="32"/>
        <v>64.5</v>
      </c>
      <c r="M102" s="181">
        <f t="shared" si="38"/>
        <v>7.8948</v>
      </c>
      <c r="N102" s="181">
        <f t="shared" si="34"/>
        <v>12.94</v>
      </c>
      <c r="O102" s="181">
        <f t="shared" si="35"/>
        <v>0.45301374999999994</v>
      </c>
      <c r="P102" s="181">
        <f t="shared" si="36"/>
        <v>1.2943250000000002</v>
      </c>
      <c r="Q102" s="98">
        <f t="shared" si="37"/>
        <v>0</v>
      </c>
      <c r="R102" s="181">
        <v>-12965.8</v>
      </c>
      <c r="S102" s="183">
        <f t="shared" si="9"/>
        <v>-4.0000000000873115E-2</v>
      </c>
      <c r="T102" s="180">
        <v>38847</v>
      </c>
      <c r="U102" s="357"/>
      <c r="V102" s="180"/>
      <c r="W102" s="181"/>
      <c r="X102" s="356" t="str">
        <f t="shared" si="40"/>
        <v>Not Sold</v>
      </c>
      <c r="Y102" s="41" t="s">
        <v>418</v>
      </c>
      <c r="Z102" s="98"/>
    </row>
    <row r="103" spans="1:26" ht="12" customHeight="1">
      <c r="A103" s="180">
        <v>38846</v>
      </c>
      <c r="B103" s="354" t="s">
        <v>1053</v>
      </c>
      <c r="C103" s="98" t="s">
        <v>460</v>
      </c>
      <c r="D103" s="98">
        <v>50</v>
      </c>
      <c r="E103" s="181">
        <v>94.1</v>
      </c>
      <c r="F103" s="181">
        <f t="shared" si="29"/>
        <v>0.47</v>
      </c>
      <c r="G103" s="181">
        <f t="shared" si="30"/>
        <v>94.57</v>
      </c>
      <c r="H103" s="181">
        <f t="shared" si="1"/>
        <v>94.73</v>
      </c>
      <c r="I103" s="219">
        <f t="shared" si="2"/>
        <v>0.63490000000000002</v>
      </c>
      <c r="J103" s="181">
        <f t="shared" si="31"/>
        <v>4728.5</v>
      </c>
      <c r="K103" s="181">
        <f t="shared" si="17"/>
        <v>-4736.75</v>
      </c>
      <c r="L103" s="181">
        <f t="shared" si="32"/>
        <v>23.5</v>
      </c>
      <c r="M103" s="181">
        <f t="shared" si="38"/>
        <v>2.8763999999999998</v>
      </c>
      <c r="N103" s="181">
        <f t="shared" si="34"/>
        <v>4.7300000000000004</v>
      </c>
      <c r="O103" s="181">
        <f t="shared" si="35"/>
        <v>0.16549749999999999</v>
      </c>
      <c r="P103" s="181">
        <f t="shared" si="36"/>
        <v>0.47285000000000005</v>
      </c>
      <c r="Q103" s="98">
        <f t="shared" si="37"/>
        <v>0</v>
      </c>
      <c r="R103" s="181">
        <v>-4737.8999999999996</v>
      </c>
      <c r="S103" s="183">
        <f t="shared" si="9"/>
        <v>1.1499999999996362</v>
      </c>
      <c r="T103" s="180">
        <v>38848</v>
      </c>
      <c r="U103" s="357"/>
      <c r="V103" s="180"/>
      <c r="W103" s="181"/>
      <c r="X103" s="356"/>
      <c r="Y103" s="41" t="s">
        <v>418</v>
      </c>
      <c r="Z103" s="98"/>
    </row>
    <row r="104" spans="1:26" ht="12" customHeight="1">
      <c r="A104" s="180">
        <v>38846</v>
      </c>
      <c r="B104" s="354" t="s">
        <v>1063</v>
      </c>
      <c r="C104" s="98" t="s">
        <v>460</v>
      </c>
      <c r="D104" s="98">
        <v>116</v>
      </c>
      <c r="E104" s="181">
        <v>60</v>
      </c>
      <c r="F104" s="181">
        <f t="shared" si="29"/>
        <v>0.3</v>
      </c>
      <c r="G104" s="181">
        <f t="shared" si="30"/>
        <v>60.3</v>
      </c>
      <c r="H104" s="181">
        <f t="shared" si="1"/>
        <v>60.41</v>
      </c>
      <c r="I104" s="219">
        <f t="shared" si="2"/>
        <v>0.4052</v>
      </c>
      <c r="J104" s="181">
        <f t="shared" si="31"/>
        <v>6994.7999999999993</v>
      </c>
      <c r="K104" s="181">
        <f t="shared" si="17"/>
        <v>-7007</v>
      </c>
      <c r="L104" s="181">
        <f t="shared" si="32"/>
        <v>34.799999999999997</v>
      </c>
      <c r="M104" s="181">
        <f t="shared" si="38"/>
        <v>4.2595199999999993</v>
      </c>
      <c r="N104" s="181">
        <f t="shared" si="34"/>
        <v>6.99</v>
      </c>
      <c r="O104" s="181">
        <f t="shared" si="35"/>
        <v>0.24481799999999995</v>
      </c>
      <c r="P104" s="181">
        <f t="shared" si="36"/>
        <v>0.69947999999999999</v>
      </c>
      <c r="Q104" s="98">
        <f t="shared" si="37"/>
        <v>0</v>
      </c>
      <c r="R104" s="181">
        <v>-6960</v>
      </c>
      <c r="S104" s="183"/>
      <c r="T104" s="180">
        <v>38833</v>
      </c>
      <c r="U104" s="357"/>
      <c r="V104" s="180"/>
      <c r="W104" s="181">
        <f t="shared" ref="W104:W105" si="41">-ROUND(R104/D104,2)</f>
        <v>60</v>
      </c>
      <c r="X104" s="356" t="str">
        <f>IF(X228="Not Sold","Not Sold","")</f>
        <v>Not Sold</v>
      </c>
      <c r="Y104" s="41"/>
      <c r="Z104" s="98"/>
    </row>
    <row r="105" spans="1:26" ht="12" customHeight="1">
      <c r="A105" s="180">
        <v>38846</v>
      </c>
      <c r="B105" s="354" t="s">
        <v>1063</v>
      </c>
      <c r="C105" s="98" t="s">
        <v>1058</v>
      </c>
      <c r="D105" s="98">
        <v>116</v>
      </c>
      <c r="E105" s="181">
        <v>60</v>
      </c>
      <c r="F105" s="181">
        <f t="shared" si="29"/>
        <v>0.3</v>
      </c>
      <c r="G105" s="181">
        <f t="shared" si="30"/>
        <v>60.3</v>
      </c>
      <c r="H105" s="181">
        <f t="shared" si="1"/>
        <v>60.41</v>
      </c>
      <c r="I105" s="219">
        <f t="shared" si="2"/>
        <v>0.4052</v>
      </c>
      <c r="J105" s="181">
        <f t="shared" si="31"/>
        <v>6994.7999999999993</v>
      </c>
      <c r="K105" s="181">
        <f t="shared" si="17"/>
        <v>-7007</v>
      </c>
      <c r="L105" s="181">
        <f t="shared" si="32"/>
        <v>34.799999999999997</v>
      </c>
      <c r="M105" s="181">
        <f t="shared" si="38"/>
        <v>4.2595199999999993</v>
      </c>
      <c r="N105" s="181">
        <f t="shared" si="34"/>
        <v>6.99</v>
      </c>
      <c r="O105" s="181">
        <f t="shared" si="35"/>
        <v>0.24481799999999995</v>
      </c>
      <c r="P105" s="181">
        <f t="shared" si="36"/>
        <v>0.69947999999999999</v>
      </c>
      <c r="Q105" s="98">
        <f t="shared" si="37"/>
        <v>0</v>
      </c>
      <c r="R105" s="181">
        <v>-6960</v>
      </c>
      <c r="S105" s="183"/>
      <c r="T105" s="180">
        <v>38833</v>
      </c>
      <c r="U105" s="357"/>
      <c r="V105" s="180"/>
      <c r="W105" s="181">
        <f t="shared" si="41"/>
        <v>60</v>
      </c>
      <c r="X105" s="356" t="str">
        <f>IF(X230="Not Sold","Not Sold","")</f>
        <v>Not Sold</v>
      </c>
      <c r="Y105" s="41"/>
      <c r="Z105" s="98"/>
    </row>
    <row r="106" spans="1:26" ht="12" customHeight="1">
      <c r="A106" s="180">
        <v>38847</v>
      </c>
      <c r="B106" s="354" t="s">
        <v>516</v>
      </c>
      <c r="C106" s="98" t="s">
        <v>460</v>
      </c>
      <c r="D106" s="98">
        <v>50</v>
      </c>
      <c r="E106" s="181">
        <v>219.75</v>
      </c>
      <c r="F106" s="181">
        <f t="shared" si="29"/>
        <v>1.1000000000000001</v>
      </c>
      <c r="G106" s="181">
        <f t="shared" si="30"/>
        <v>220.85</v>
      </c>
      <c r="H106" s="181">
        <f t="shared" si="1"/>
        <v>221.24</v>
      </c>
      <c r="I106" s="219">
        <f t="shared" si="2"/>
        <v>1.4853000000000001</v>
      </c>
      <c r="J106" s="181">
        <f t="shared" si="31"/>
        <v>11042.5</v>
      </c>
      <c r="K106" s="181">
        <f t="shared" si="17"/>
        <v>-11061.77</v>
      </c>
      <c r="L106" s="181">
        <f t="shared" si="32"/>
        <v>55.000000000000007</v>
      </c>
      <c r="M106" s="181">
        <f t="shared" si="38"/>
        <v>6.7320000000000002</v>
      </c>
      <c r="N106" s="181">
        <f t="shared" si="34"/>
        <v>11.04</v>
      </c>
      <c r="O106" s="181">
        <f t="shared" si="35"/>
        <v>0.38648749999999998</v>
      </c>
      <c r="P106" s="181">
        <f t="shared" si="36"/>
        <v>1.10425</v>
      </c>
      <c r="Q106" s="98">
        <f t="shared" si="37"/>
        <v>0</v>
      </c>
      <c r="R106" s="181">
        <v>-11062.29</v>
      </c>
      <c r="S106" s="183">
        <f t="shared" ref="S106:S127" si="42">IF(R106=K106,0,IF(R106&lt;0,K106-R106))</f>
        <v>0.52000000000043656</v>
      </c>
      <c r="T106" s="180">
        <v>38849</v>
      </c>
      <c r="U106" s="357"/>
      <c r="V106" s="180"/>
      <c r="W106" s="181"/>
      <c r="X106" s="356" t="str">
        <f t="shared" ref="X106:X107" si="43">IF(X232="Not Sold","Not Sold","")</f>
        <v>Not Sold</v>
      </c>
      <c r="Y106" s="41" t="s">
        <v>418</v>
      </c>
      <c r="Z106" s="98"/>
    </row>
    <row r="107" spans="1:26" ht="12" customHeight="1">
      <c r="A107" s="180">
        <v>38847</v>
      </c>
      <c r="B107" s="354" t="s">
        <v>1064</v>
      </c>
      <c r="C107" s="98" t="s">
        <v>460</v>
      </c>
      <c r="D107" s="98">
        <v>50</v>
      </c>
      <c r="E107" s="181">
        <v>225.5</v>
      </c>
      <c r="F107" s="181">
        <f t="shared" si="29"/>
        <v>1.1299999999999999</v>
      </c>
      <c r="G107" s="181">
        <f t="shared" si="30"/>
        <v>226.63</v>
      </c>
      <c r="H107" s="181">
        <f t="shared" si="1"/>
        <v>227.03</v>
      </c>
      <c r="I107" s="219">
        <f t="shared" si="2"/>
        <v>1.5256000000000001</v>
      </c>
      <c r="J107" s="181">
        <f t="shared" si="31"/>
        <v>11331.5</v>
      </c>
      <c r="K107" s="181">
        <f t="shared" si="17"/>
        <v>-11351.28</v>
      </c>
      <c r="L107" s="181">
        <f t="shared" si="32"/>
        <v>56.499999999999993</v>
      </c>
      <c r="M107" s="181">
        <f t="shared" si="38"/>
        <v>6.9155999999999986</v>
      </c>
      <c r="N107" s="181">
        <f t="shared" si="34"/>
        <v>11.33</v>
      </c>
      <c r="O107" s="181">
        <f t="shared" si="35"/>
        <v>0.39660249999999997</v>
      </c>
      <c r="P107" s="181">
        <f t="shared" si="36"/>
        <v>1.1331500000000001</v>
      </c>
      <c r="Q107" s="98">
        <f t="shared" si="37"/>
        <v>0</v>
      </c>
      <c r="R107" s="181">
        <v>-11352</v>
      </c>
      <c r="S107" s="183">
        <f t="shared" si="42"/>
        <v>0.71999999999934516</v>
      </c>
      <c r="T107" s="180">
        <v>38849</v>
      </c>
      <c r="U107" s="357"/>
      <c r="V107" s="180"/>
      <c r="W107" s="181"/>
      <c r="X107" s="356" t="str">
        <f t="shared" si="43"/>
        <v>Not Sold</v>
      </c>
      <c r="Y107" s="41" t="s">
        <v>418</v>
      </c>
      <c r="Z107" s="98"/>
    </row>
    <row r="108" spans="1:26" ht="12" customHeight="1">
      <c r="A108" s="180">
        <v>38847</v>
      </c>
      <c r="B108" s="354" t="s">
        <v>1062</v>
      </c>
      <c r="C108" s="98" t="s">
        <v>460</v>
      </c>
      <c r="D108" s="98">
        <v>50</v>
      </c>
      <c r="E108" s="181">
        <v>207</v>
      </c>
      <c r="F108" s="181">
        <f t="shared" si="29"/>
        <v>1.04</v>
      </c>
      <c r="G108" s="181">
        <f t="shared" si="30"/>
        <v>208.04</v>
      </c>
      <c r="H108" s="181">
        <f t="shared" si="1"/>
        <v>208.4</v>
      </c>
      <c r="I108" s="219">
        <f t="shared" si="2"/>
        <v>1.4034</v>
      </c>
      <c r="J108" s="181">
        <f t="shared" si="31"/>
        <v>10402</v>
      </c>
      <c r="K108" s="181">
        <f t="shared" si="17"/>
        <v>-10420.17</v>
      </c>
      <c r="L108" s="181">
        <f t="shared" si="32"/>
        <v>52</v>
      </c>
      <c r="M108" s="181">
        <f t="shared" si="38"/>
        <v>6.3647999999999998</v>
      </c>
      <c r="N108" s="181">
        <f t="shared" si="34"/>
        <v>10.4</v>
      </c>
      <c r="O108" s="181">
        <f t="shared" si="35"/>
        <v>0.36406999999999995</v>
      </c>
      <c r="P108" s="181">
        <f t="shared" si="36"/>
        <v>1.0402</v>
      </c>
      <c r="Q108" s="98">
        <f t="shared" si="37"/>
        <v>0</v>
      </c>
      <c r="R108" s="181">
        <v>-10421</v>
      </c>
      <c r="S108" s="183">
        <f t="shared" si="42"/>
        <v>0.82999999999992724</v>
      </c>
      <c r="T108" s="180">
        <v>38849</v>
      </c>
      <c r="U108" s="357">
        <f>ROUND((K53*(T108-T101)+K108*1)/(K108+K101),0)</f>
        <v>1</v>
      </c>
      <c r="V108" s="180">
        <f>U108+T101</f>
        <v>38848</v>
      </c>
      <c r="W108" s="181">
        <f>-ROUND((R108+R101)/(D108+D101),2)</f>
        <v>209.31</v>
      </c>
      <c r="X108" s="356" t="str">
        <f>IF(X225="Not Sold","Not Sold","")</f>
        <v>Not Sold</v>
      </c>
      <c r="Y108" s="41" t="s">
        <v>418</v>
      </c>
      <c r="Z108" s="98"/>
    </row>
    <row r="109" spans="1:26" ht="12" customHeight="1">
      <c r="A109" s="180">
        <v>38848</v>
      </c>
      <c r="B109" s="354" t="s">
        <v>1013</v>
      </c>
      <c r="C109" s="98" t="s">
        <v>460</v>
      </c>
      <c r="D109" s="98">
        <v>5</v>
      </c>
      <c r="E109" s="181">
        <v>1144</v>
      </c>
      <c r="F109" s="181">
        <f t="shared" si="29"/>
        <v>5.72</v>
      </c>
      <c r="G109" s="181">
        <f t="shared" si="30"/>
        <v>1149.72</v>
      </c>
      <c r="H109" s="181">
        <f t="shared" si="1"/>
        <v>1151.73</v>
      </c>
      <c r="I109" s="219">
        <f t="shared" si="2"/>
        <v>7.7253999999999996</v>
      </c>
      <c r="J109" s="181">
        <f t="shared" si="31"/>
        <v>5748.6</v>
      </c>
      <c r="K109" s="181">
        <f t="shared" si="17"/>
        <v>-5758.63</v>
      </c>
      <c r="L109" s="181">
        <f t="shared" si="32"/>
        <v>28.599999999999998</v>
      </c>
      <c r="M109" s="181">
        <f t="shared" si="38"/>
        <v>3.5006399999999998</v>
      </c>
      <c r="N109" s="181">
        <f t="shared" si="34"/>
        <v>5.75</v>
      </c>
      <c r="O109" s="181">
        <f t="shared" si="35"/>
        <v>0.20120099999999999</v>
      </c>
      <c r="P109" s="181">
        <f t="shared" si="36"/>
        <v>0.57486000000000004</v>
      </c>
      <c r="Q109" s="98">
        <f t="shared" si="37"/>
        <v>0</v>
      </c>
      <c r="R109" s="181">
        <v>-5761.61</v>
      </c>
      <c r="S109" s="183">
        <f t="shared" si="42"/>
        <v>2.9799999999995634</v>
      </c>
      <c r="T109" s="180">
        <v>38850</v>
      </c>
      <c r="U109" s="357"/>
      <c r="V109" s="180"/>
      <c r="W109" s="181"/>
      <c r="X109" s="356" t="str">
        <f t="shared" ref="X109:X113" si="44">IF(X234="Not Sold","Not Sold","")</f>
        <v/>
      </c>
      <c r="Y109" s="41" t="s">
        <v>418</v>
      </c>
      <c r="Z109" s="98"/>
    </row>
    <row r="110" spans="1:26" ht="12" customHeight="1">
      <c r="A110" s="180">
        <v>38848</v>
      </c>
      <c r="B110" s="354" t="s">
        <v>1038</v>
      </c>
      <c r="C110" s="98" t="s">
        <v>460</v>
      </c>
      <c r="D110" s="98">
        <v>50</v>
      </c>
      <c r="E110" s="181">
        <v>274.89</v>
      </c>
      <c r="F110" s="181">
        <f t="shared" si="29"/>
        <v>1.37</v>
      </c>
      <c r="G110" s="181">
        <f t="shared" si="30"/>
        <v>276.26</v>
      </c>
      <c r="H110" s="181">
        <f t="shared" si="1"/>
        <v>276.74</v>
      </c>
      <c r="I110" s="219">
        <f t="shared" si="2"/>
        <v>1.8512</v>
      </c>
      <c r="J110" s="181">
        <f t="shared" si="31"/>
        <v>13813</v>
      </c>
      <c r="K110" s="181">
        <f t="shared" si="17"/>
        <v>-13837.06</v>
      </c>
      <c r="L110" s="181">
        <f t="shared" si="32"/>
        <v>68.5</v>
      </c>
      <c r="M110" s="181">
        <f t="shared" si="38"/>
        <v>8.3843999999999994</v>
      </c>
      <c r="N110" s="181">
        <f t="shared" si="34"/>
        <v>13.81</v>
      </c>
      <c r="O110" s="181">
        <f t="shared" si="35"/>
        <v>0.48345499999999997</v>
      </c>
      <c r="P110" s="181">
        <f t="shared" si="36"/>
        <v>1.3813</v>
      </c>
      <c r="Q110" s="98">
        <f t="shared" si="37"/>
        <v>0</v>
      </c>
      <c r="R110" s="181">
        <v>-13840</v>
      </c>
      <c r="S110" s="183">
        <f t="shared" si="42"/>
        <v>2.9400000000005093</v>
      </c>
      <c r="T110" s="180">
        <v>38850</v>
      </c>
      <c r="U110" s="357"/>
      <c r="V110" s="180"/>
      <c r="W110" s="181"/>
      <c r="X110" s="356" t="str">
        <f t="shared" si="44"/>
        <v>Not Sold</v>
      </c>
      <c r="Y110" s="41" t="s">
        <v>418</v>
      </c>
      <c r="Z110" s="98"/>
    </row>
    <row r="111" spans="1:26" ht="12" customHeight="1">
      <c r="A111" s="180">
        <v>38853</v>
      </c>
      <c r="B111" s="354" t="s">
        <v>1063</v>
      </c>
      <c r="C111" s="98" t="s">
        <v>460</v>
      </c>
      <c r="D111" s="98">
        <v>200</v>
      </c>
      <c r="E111" s="181">
        <v>77.400000000000006</v>
      </c>
      <c r="F111" s="181">
        <f t="shared" si="29"/>
        <v>0.39</v>
      </c>
      <c r="G111" s="181">
        <f t="shared" si="30"/>
        <v>77.790000000000006</v>
      </c>
      <c r="H111" s="181">
        <f t="shared" si="1"/>
        <v>77.930000000000007</v>
      </c>
      <c r="I111" s="219">
        <f t="shared" si="2"/>
        <v>0.52610000000000001</v>
      </c>
      <c r="J111" s="181">
        <f t="shared" si="31"/>
        <v>15558.000000000002</v>
      </c>
      <c r="K111" s="181">
        <f t="shared" si="17"/>
        <v>-15585.210000000001</v>
      </c>
      <c r="L111" s="181">
        <f t="shared" si="32"/>
        <v>78</v>
      </c>
      <c r="M111" s="181">
        <f t="shared" si="38"/>
        <v>9.5472000000000001</v>
      </c>
      <c r="N111" s="181">
        <f t="shared" si="34"/>
        <v>15.56</v>
      </c>
      <c r="O111" s="181">
        <f t="shared" si="35"/>
        <v>0.54453000000000007</v>
      </c>
      <c r="P111" s="181">
        <f t="shared" si="36"/>
        <v>1.5558000000000003</v>
      </c>
      <c r="Q111" s="98">
        <f t="shared" si="37"/>
        <v>0</v>
      </c>
      <c r="R111" s="181">
        <v>-15584.71</v>
      </c>
      <c r="S111" s="183">
        <f t="shared" si="42"/>
        <v>-0.50000000000181899</v>
      </c>
      <c r="T111" s="180">
        <v>38855</v>
      </c>
      <c r="U111" s="357"/>
      <c r="V111" s="180"/>
      <c r="W111" s="181"/>
      <c r="X111" s="356" t="str">
        <f t="shared" si="44"/>
        <v>Not Sold</v>
      </c>
      <c r="Y111" s="41" t="s">
        <v>418</v>
      </c>
      <c r="Z111" s="98"/>
    </row>
    <row r="112" spans="1:26" ht="12" customHeight="1">
      <c r="A112" s="180">
        <v>38855</v>
      </c>
      <c r="B112" s="354" t="s">
        <v>1034</v>
      </c>
      <c r="C112" s="98" t="s">
        <v>460</v>
      </c>
      <c r="D112" s="98">
        <v>100</v>
      </c>
      <c r="E112" s="181">
        <v>201.8</v>
      </c>
      <c r="F112" s="181">
        <f t="shared" si="29"/>
        <v>1.01</v>
      </c>
      <c r="G112" s="181">
        <f t="shared" si="30"/>
        <v>202.81</v>
      </c>
      <c r="H112" s="181">
        <f t="shared" si="1"/>
        <v>203.16</v>
      </c>
      <c r="I112" s="219">
        <f t="shared" si="2"/>
        <v>1.3638999999999999</v>
      </c>
      <c r="J112" s="181">
        <f t="shared" si="31"/>
        <v>20281</v>
      </c>
      <c r="K112" s="181">
        <f t="shared" si="17"/>
        <v>-20316.39</v>
      </c>
      <c r="L112" s="181">
        <f t="shared" si="32"/>
        <v>101</v>
      </c>
      <c r="M112" s="181">
        <f t="shared" si="38"/>
        <v>12.362399999999999</v>
      </c>
      <c r="N112" s="181">
        <f t="shared" si="34"/>
        <v>20.28</v>
      </c>
      <c r="O112" s="181">
        <f t="shared" si="35"/>
        <v>0.70983499999999988</v>
      </c>
      <c r="P112" s="181">
        <f t="shared" si="36"/>
        <v>2.0281000000000002</v>
      </c>
      <c r="Q112" s="98">
        <f t="shared" si="37"/>
        <v>0</v>
      </c>
      <c r="R112" s="181">
        <f t="shared" ref="R112:R116" si="45">K112</f>
        <v>-20316.39</v>
      </c>
      <c r="S112" s="183">
        <f t="shared" si="42"/>
        <v>0</v>
      </c>
      <c r="T112" s="180">
        <v>38859</v>
      </c>
      <c r="U112" s="357"/>
      <c r="V112" s="180"/>
      <c r="W112" s="181"/>
      <c r="X112" s="356" t="str">
        <f t="shared" si="44"/>
        <v>Not Sold</v>
      </c>
      <c r="Y112" s="41" t="s">
        <v>418</v>
      </c>
      <c r="Z112" s="98"/>
    </row>
    <row r="113" spans="1:26" ht="12" customHeight="1">
      <c r="A113" s="180">
        <v>38855</v>
      </c>
      <c r="B113" s="354" t="s">
        <v>1034</v>
      </c>
      <c r="C113" s="98" t="s">
        <v>460</v>
      </c>
      <c r="D113" s="98">
        <v>100</v>
      </c>
      <c r="E113" s="181">
        <v>191.5</v>
      </c>
      <c r="F113" s="181">
        <f t="shared" si="29"/>
        <v>0.96</v>
      </c>
      <c r="G113" s="181">
        <f t="shared" si="30"/>
        <v>192.46</v>
      </c>
      <c r="H113" s="181">
        <f t="shared" si="1"/>
        <v>192.8</v>
      </c>
      <c r="I113" s="219">
        <f t="shared" si="2"/>
        <v>1.296</v>
      </c>
      <c r="J113" s="181">
        <f t="shared" si="31"/>
        <v>19246</v>
      </c>
      <c r="K113" s="181">
        <f t="shared" si="17"/>
        <v>-19279.599999999999</v>
      </c>
      <c r="L113" s="181">
        <f t="shared" si="32"/>
        <v>96</v>
      </c>
      <c r="M113" s="181">
        <f t="shared" si="38"/>
        <v>11.750399999999999</v>
      </c>
      <c r="N113" s="181">
        <f t="shared" si="34"/>
        <v>19.25</v>
      </c>
      <c r="O113" s="181">
        <f t="shared" si="35"/>
        <v>0.67360999999999993</v>
      </c>
      <c r="P113" s="181">
        <f t="shared" si="36"/>
        <v>1.9246000000000001</v>
      </c>
      <c r="Q113" s="98">
        <f t="shared" si="37"/>
        <v>0</v>
      </c>
      <c r="R113" s="181">
        <f t="shared" si="45"/>
        <v>-19279.599999999999</v>
      </c>
      <c r="S113" s="183">
        <f t="shared" si="42"/>
        <v>0</v>
      </c>
      <c r="T113" s="180">
        <v>38859</v>
      </c>
      <c r="U113" s="357"/>
      <c r="V113" s="180"/>
      <c r="W113" s="181"/>
      <c r="X113" s="356" t="str">
        <f t="shared" si="44"/>
        <v/>
      </c>
      <c r="Y113" s="41" t="s">
        <v>418</v>
      </c>
      <c r="Z113" s="98"/>
    </row>
    <row r="114" spans="1:26" ht="12" customHeight="1">
      <c r="A114" s="180">
        <v>38855</v>
      </c>
      <c r="B114" s="354" t="s">
        <v>297</v>
      </c>
      <c r="C114" s="98" t="s">
        <v>460</v>
      </c>
      <c r="D114" s="98">
        <v>30</v>
      </c>
      <c r="E114" s="181">
        <v>1364.97</v>
      </c>
      <c r="F114" s="181">
        <f t="shared" si="29"/>
        <v>6.82</v>
      </c>
      <c r="G114" s="181">
        <f t="shared" si="30"/>
        <v>1371.79</v>
      </c>
      <c r="H114" s="181">
        <f t="shared" si="1"/>
        <v>1374.18</v>
      </c>
      <c r="I114" s="219">
        <f t="shared" si="2"/>
        <v>9.2117000000000004</v>
      </c>
      <c r="J114" s="181">
        <f t="shared" si="31"/>
        <v>41153.699999999997</v>
      </c>
      <c r="K114" s="181">
        <f t="shared" si="17"/>
        <v>-41225.450000000004</v>
      </c>
      <c r="L114" s="181">
        <f t="shared" si="32"/>
        <v>204.60000000000002</v>
      </c>
      <c r="M114" s="181">
        <f t="shared" si="38"/>
        <v>25.043040000000001</v>
      </c>
      <c r="N114" s="181">
        <f t="shared" si="34"/>
        <v>41.15</v>
      </c>
      <c r="O114" s="181">
        <f t="shared" si="35"/>
        <v>1.4403794999999997</v>
      </c>
      <c r="P114" s="181">
        <f t="shared" si="36"/>
        <v>4.1153699999999995</v>
      </c>
      <c r="Q114" s="98">
        <f t="shared" si="37"/>
        <v>0</v>
      </c>
      <c r="R114" s="181">
        <f t="shared" si="45"/>
        <v>-41225.450000000004</v>
      </c>
      <c r="S114" s="183">
        <f t="shared" si="42"/>
        <v>0</v>
      </c>
      <c r="T114" s="180">
        <v>38859</v>
      </c>
      <c r="U114" s="357"/>
      <c r="V114" s="180"/>
      <c r="W114" s="181"/>
      <c r="X114" s="356"/>
      <c r="Y114" s="41" t="s">
        <v>418</v>
      </c>
      <c r="Z114" s="98"/>
    </row>
    <row r="115" spans="1:26" ht="12" customHeight="1">
      <c r="A115" s="180">
        <v>38855</v>
      </c>
      <c r="B115" s="354" t="s">
        <v>1026</v>
      </c>
      <c r="C115" s="98" t="s">
        <v>460</v>
      </c>
      <c r="D115" s="98">
        <v>200</v>
      </c>
      <c r="E115" s="181">
        <v>23.85</v>
      </c>
      <c r="F115" s="181">
        <f t="shared" si="29"/>
        <v>0.12</v>
      </c>
      <c r="G115" s="181">
        <f t="shared" si="30"/>
        <v>23.970000000000002</v>
      </c>
      <c r="H115" s="181">
        <f t="shared" si="1"/>
        <v>24.01</v>
      </c>
      <c r="I115" s="219">
        <f t="shared" si="2"/>
        <v>0.16189999999999999</v>
      </c>
      <c r="J115" s="181">
        <f t="shared" si="31"/>
        <v>4794.0000000000009</v>
      </c>
      <c r="K115" s="181">
        <f t="shared" si="17"/>
        <v>-4802.38</v>
      </c>
      <c r="L115" s="181">
        <f t="shared" si="32"/>
        <v>24</v>
      </c>
      <c r="M115" s="181">
        <f t="shared" si="38"/>
        <v>2.9375999999999998</v>
      </c>
      <c r="N115" s="181">
        <f t="shared" si="34"/>
        <v>4.79</v>
      </c>
      <c r="O115" s="181">
        <f t="shared" si="35"/>
        <v>0.16779000000000002</v>
      </c>
      <c r="P115" s="181">
        <f t="shared" si="36"/>
        <v>0.4794000000000001</v>
      </c>
      <c r="Q115" s="98">
        <f t="shared" si="37"/>
        <v>0</v>
      </c>
      <c r="R115" s="181">
        <f t="shared" si="45"/>
        <v>-4802.38</v>
      </c>
      <c r="S115" s="183">
        <f t="shared" si="42"/>
        <v>0</v>
      </c>
      <c r="T115" s="180">
        <v>38859</v>
      </c>
      <c r="U115" s="357"/>
      <c r="V115" s="180"/>
      <c r="W115" s="181"/>
      <c r="X115" s="356" t="str">
        <f>IF(X171="Not Sold","Not Sold","")</f>
        <v/>
      </c>
      <c r="Y115" s="41" t="s">
        <v>418</v>
      </c>
      <c r="Z115" s="98"/>
    </row>
    <row r="116" spans="1:26" ht="12" customHeight="1">
      <c r="A116" s="180">
        <v>38904</v>
      </c>
      <c r="B116" s="354" t="s">
        <v>1026</v>
      </c>
      <c r="C116" s="98" t="s">
        <v>460</v>
      </c>
      <c r="D116" s="98">
        <v>200</v>
      </c>
      <c r="E116" s="181">
        <v>20.5</v>
      </c>
      <c r="F116" s="181">
        <f t="shared" si="29"/>
        <v>0.1</v>
      </c>
      <c r="G116" s="181">
        <f t="shared" si="30"/>
        <v>20.6</v>
      </c>
      <c r="H116" s="181">
        <f t="shared" si="1"/>
        <v>20.64</v>
      </c>
      <c r="I116" s="219">
        <f t="shared" si="2"/>
        <v>0.13569999999999999</v>
      </c>
      <c r="J116" s="181">
        <f t="shared" si="31"/>
        <v>4120</v>
      </c>
      <c r="K116" s="181">
        <f t="shared" si="17"/>
        <v>-4127.13</v>
      </c>
      <c r="L116" s="181">
        <f t="shared" si="32"/>
        <v>20</v>
      </c>
      <c r="M116" s="181">
        <f t="shared" si="38"/>
        <v>2.448</v>
      </c>
      <c r="N116" s="181">
        <f t="shared" si="34"/>
        <v>4.12</v>
      </c>
      <c r="O116" s="181">
        <f t="shared" si="35"/>
        <v>0.14419999999999999</v>
      </c>
      <c r="P116" s="181">
        <f t="shared" si="36"/>
        <v>0.41200000000000003</v>
      </c>
      <c r="Q116" s="98">
        <f t="shared" si="37"/>
        <v>0</v>
      </c>
      <c r="R116" s="181">
        <f t="shared" si="45"/>
        <v>-4127.13</v>
      </c>
      <c r="S116" s="183">
        <f t="shared" si="42"/>
        <v>0</v>
      </c>
      <c r="T116" s="180">
        <v>38908</v>
      </c>
      <c r="U116" s="357">
        <f>ROUND(((K46*(T115-T46))+(K115*(T116-T115))+K116*1)/(K46+K115+K116),0)</f>
        <v>75</v>
      </c>
      <c r="V116" s="180">
        <f>T46+U116</f>
        <v>38718</v>
      </c>
      <c r="W116" s="181">
        <f>-ROUND((R46+R115+R116)/(D46+D115+D116),2)</f>
        <v>23.88</v>
      </c>
      <c r="X116" s="356" t="str">
        <f>IF(X171="Not Sold","Not Sold","")</f>
        <v/>
      </c>
      <c r="Y116" s="41" t="s">
        <v>418</v>
      </c>
      <c r="Z116" s="98"/>
    </row>
    <row r="117" spans="1:26" ht="12" customHeight="1">
      <c r="A117" s="180">
        <v>38910</v>
      </c>
      <c r="B117" s="354" t="s">
        <v>1060</v>
      </c>
      <c r="C117" s="98" t="s">
        <v>1058</v>
      </c>
      <c r="D117" s="98">
        <v>2</v>
      </c>
      <c r="E117" s="181"/>
      <c r="F117" s="181"/>
      <c r="G117" s="181"/>
      <c r="H117" s="181"/>
      <c r="I117" s="219"/>
      <c r="J117" s="181"/>
      <c r="K117" s="181"/>
      <c r="L117" s="181"/>
      <c r="M117" s="181"/>
      <c r="N117" s="181"/>
      <c r="O117" s="181"/>
      <c r="P117" s="181"/>
      <c r="Q117" s="98"/>
      <c r="R117" s="181"/>
      <c r="S117" s="183">
        <f t="shared" si="42"/>
        <v>0</v>
      </c>
      <c r="T117" s="180"/>
      <c r="U117" s="357"/>
      <c r="V117" s="180"/>
      <c r="W117" s="181">
        <f>-ROUND((R117+R94)/(D117+D94),2)</f>
        <v>1626.14</v>
      </c>
      <c r="X117" s="356" t="str">
        <f>IF(X218="Not Sold","Not Sold","")</f>
        <v/>
      </c>
      <c r="Y117" s="41"/>
      <c r="Z117" s="98"/>
    </row>
    <row r="118" spans="1:26" ht="12" customHeight="1">
      <c r="A118" s="180">
        <v>38911</v>
      </c>
      <c r="B118" s="354" t="s">
        <v>1065</v>
      </c>
      <c r="C118" s="98" t="s">
        <v>460</v>
      </c>
      <c r="D118" s="98">
        <v>2</v>
      </c>
      <c r="E118" s="181">
        <v>1881.9</v>
      </c>
      <c r="F118" s="181">
        <f>IF(E118*D118*E$326&lt;10,10/D118,ROUND(E118*E$326,2))</f>
        <v>9.41</v>
      </c>
      <c r="G118" s="181">
        <f>E118+F118</f>
        <v>1891.3100000000002</v>
      </c>
      <c r="H118" s="181">
        <f>ROUND(E118+I118,2)</f>
        <v>1894.61</v>
      </c>
      <c r="I118" s="219">
        <f>ROUNDUP(SUM(L118:Q118)/D118,4)</f>
        <v>12.7072</v>
      </c>
      <c r="J118" s="181">
        <f>D118*G118</f>
        <v>3782.6200000000003</v>
      </c>
      <c r="K118" s="181">
        <f>-ROUNDUP(J118+M118+N118+O118+P118+Q118,2)</f>
        <v>-3789.2200000000003</v>
      </c>
      <c r="L118" s="181">
        <f>F118*D118</f>
        <v>18.82</v>
      </c>
      <c r="M118" s="181">
        <f>L118*F$328</f>
        <v>2.3035679999999998</v>
      </c>
      <c r="N118" s="181">
        <f>ROUND(J118*E$329,2)</f>
        <v>3.78</v>
      </c>
      <c r="O118" s="181">
        <f>J118*E$332</f>
        <v>0.1323917</v>
      </c>
      <c r="P118" s="181">
        <f>J118*E$334</f>
        <v>0.37826200000000004</v>
      </c>
      <c r="Q118" s="98">
        <f>E$336</f>
        <v>0</v>
      </c>
      <c r="R118" s="181">
        <f>K118</f>
        <v>-3789.2200000000003</v>
      </c>
      <c r="S118" s="183">
        <f t="shared" si="42"/>
        <v>0</v>
      </c>
      <c r="T118" s="180">
        <v>38915</v>
      </c>
      <c r="U118" s="357"/>
      <c r="V118" s="180"/>
      <c r="W118" s="181"/>
      <c r="X118" s="356" t="str">
        <f>IF(X240="Not Sold","Not Sold","")</f>
        <v/>
      </c>
      <c r="Y118" s="41"/>
      <c r="Z118" s="98"/>
    </row>
    <row r="119" spans="1:26" ht="12" customHeight="1">
      <c r="A119" s="180">
        <v>38940</v>
      </c>
      <c r="B119" s="354" t="s">
        <v>1065</v>
      </c>
      <c r="C119" s="98" t="s">
        <v>460</v>
      </c>
      <c r="D119" s="98">
        <v>2</v>
      </c>
      <c r="E119" s="181"/>
      <c r="F119" s="181"/>
      <c r="G119" s="181"/>
      <c r="H119" s="181"/>
      <c r="I119" s="219"/>
      <c r="J119" s="181"/>
      <c r="K119" s="181"/>
      <c r="L119" s="181"/>
      <c r="M119" s="181"/>
      <c r="N119" s="181"/>
      <c r="O119" s="181"/>
      <c r="P119" s="181"/>
      <c r="Q119" s="98"/>
      <c r="R119" s="181"/>
      <c r="S119" s="183">
        <f t="shared" si="42"/>
        <v>0</v>
      </c>
      <c r="T119" s="180"/>
      <c r="U119" s="357"/>
      <c r="V119" s="180"/>
      <c r="W119" s="181">
        <f>-ROUND((R119+R118)/(D119+D118),2)</f>
        <v>947.31</v>
      </c>
      <c r="X119" s="356" t="str">
        <f>IF(X220="Not Sold","Not Sold","")</f>
        <v/>
      </c>
      <c r="Y119" s="41"/>
      <c r="Z119" s="98"/>
    </row>
    <row r="120" spans="1:26" ht="12" customHeight="1">
      <c r="A120" s="180">
        <v>39003</v>
      </c>
      <c r="B120" s="354" t="s">
        <v>1059</v>
      </c>
      <c r="C120" s="98" t="s">
        <v>1058</v>
      </c>
      <c r="D120" s="98">
        <v>15</v>
      </c>
      <c r="E120" s="181"/>
      <c r="F120" s="181"/>
      <c r="G120" s="181"/>
      <c r="H120" s="181"/>
      <c r="I120" s="219"/>
      <c r="J120" s="181"/>
      <c r="K120" s="181"/>
      <c r="L120" s="181"/>
      <c r="M120" s="181"/>
      <c r="N120" s="181"/>
      <c r="O120" s="181"/>
      <c r="P120" s="181"/>
      <c r="Q120" s="98"/>
      <c r="R120" s="181"/>
      <c r="S120" s="183">
        <f t="shared" si="42"/>
        <v>0</v>
      </c>
      <c r="T120" s="180">
        <v>39003</v>
      </c>
      <c r="U120" s="357">
        <f>ROUND((K93*(T120-T93)+K120*1)/(K120+K93),0)</f>
        <v>171</v>
      </c>
      <c r="V120" s="180">
        <f>T93+U120</f>
        <v>39003</v>
      </c>
      <c r="W120" s="181">
        <f>-ROUND((R120+R93)/(D120+D93),2)</f>
        <v>413.84</v>
      </c>
      <c r="X120" s="356" t="str">
        <f>IF(X241="Not Sold","Not Sold","")</f>
        <v/>
      </c>
      <c r="Y120" s="41" t="s">
        <v>418</v>
      </c>
      <c r="Z120" s="98"/>
    </row>
    <row r="121" spans="1:26" ht="12" customHeight="1">
      <c r="A121" s="180">
        <v>39003</v>
      </c>
      <c r="B121" s="354" t="s">
        <v>297</v>
      </c>
      <c r="C121" s="98" t="s">
        <v>460</v>
      </c>
      <c r="D121" s="98">
        <v>15</v>
      </c>
      <c r="E121" s="181"/>
      <c r="F121" s="181"/>
      <c r="G121" s="181"/>
      <c r="H121" s="181"/>
      <c r="I121" s="219"/>
      <c r="J121" s="181"/>
      <c r="K121" s="181"/>
      <c r="L121" s="181"/>
      <c r="M121" s="181"/>
      <c r="N121" s="181"/>
      <c r="O121" s="181"/>
      <c r="P121" s="181"/>
      <c r="Q121" s="98"/>
      <c r="R121" s="181"/>
      <c r="S121" s="183">
        <f t="shared" si="42"/>
        <v>0</v>
      </c>
      <c r="T121" s="180">
        <v>39036</v>
      </c>
      <c r="U121" s="357">
        <f>ROUND((K114*(T121-T114)+K121*1)/(K121+K114),0)</f>
        <v>177</v>
      </c>
      <c r="V121" s="180">
        <f>T114+U121</f>
        <v>39036</v>
      </c>
      <c r="W121" s="181">
        <f>-ROUND((R121+R114)/(D121+D114),2)</f>
        <v>916.12</v>
      </c>
      <c r="X121" s="356" t="str">
        <f>IF(X239="Not Sold","Not Sold","")</f>
        <v>Not Sold</v>
      </c>
      <c r="Y121" s="41" t="s">
        <v>418</v>
      </c>
      <c r="Z121" s="98"/>
    </row>
    <row r="122" spans="1:26" ht="12" customHeight="1">
      <c r="A122" s="180">
        <v>39143</v>
      </c>
      <c r="B122" s="354" t="s">
        <v>1060</v>
      </c>
      <c r="C122" s="98" t="s">
        <v>460</v>
      </c>
      <c r="D122" s="98">
        <v>2</v>
      </c>
      <c r="E122" s="181">
        <v>2093.21</v>
      </c>
      <c r="F122" s="181">
        <f t="shared" ref="F122:F127" si="46">IF(E122*D122*E$326&lt;10,10/D122,ROUND(E122*E$326,2))</f>
        <v>10.47</v>
      </c>
      <c r="G122" s="181">
        <f t="shared" ref="G122:G127" si="47">E122+F122</f>
        <v>2103.6799999999998</v>
      </c>
      <c r="H122" s="181">
        <f t="shared" ref="H122:H127" si="48">ROUND(E122+I122,2)</f>
        <v>2107.35</v>
      </c>
      <c r="I122" s="219">
        <f t="shared" ref="I122:I127" si="49">ROUNDUP(SUM(L122:Q122)/D122,4)</f>
        <v>14.140599999999999</v>
      </c>
      <c r="J122" s="181">
        <f t="shared" ref="J122:J127" si="50">D122*G122</f>
        <v>4207.3599999999997</v>
      </c>
      <c r="K122" s="181">
        <f t="shared" ref="K122:K127" si="51">-ROUNDUP(J122+M122+N122+O122+P122+Q122,2)</f>
        <v>-4214.71</v>
      </c>
      <c r="L122" s="181">
        <f t="shared" ref="L122:L127" si="52">F122*D122</f>
        <v>20.94</v>
      </c>
      <c r="M122" s="181">
        <f t="shared" ref="M122:M127" si="53">L122*F$328</f>
        <v>2.563056</v>
      </c>
      <c r="N122" s="181">
        <f t="shared" ref="N122:N127" si="54">ROUND(J122*E$329,2)</f>
        <v>4.21</v>
      </c>
      <c r="O122" s="181">
        <f t="shared" ref="O122:O127" si="55">J122*E$332</f>
        <v>0.14725759999999999</v>
      </c>
      <c r="P122" s="181">
        <f t="shared" ref="P122:P127" si="56">J122*E$334</f>
        <v>0.420736</v>
      </c>
      <c r="Q122" s="98">
        <f t="shared" ref="Q122:Q127" si="57">E$336</f>
        <v>0</v>
      </c>
      <c r="R122" s="181">
        <f t="shared" ref="R122:R127" si="58">K122</f>
        <v>-4214.71</v>
      </c>
      <c r="S122" s="183">
        <f t="shared" si="42"/>
        <v>0</v>
      </c>
      <c r="T122" s="180">
        <v>39147</v>
      </c>
      <c r="U122" s="357"/>
      <c r="V122" s="180"/>
      <c r="W122" s="181"/>
      <c r="X122" s="356" t="str">
        <f t="shared" ref="X122:X123" si="59">IF(X243="Not Sold","Not Sold","")</f>
        <v>Not Sold</v>
      </c>
      <c r="Y122" s="41" t="s">
        <v>1066</v>
      </c>
      <c r="Z122" s="98"/>
    </row>
    <row r="123" spans="1:26" ht="12" customHeight="1">
      <c r="A123" s="180">
        <v>39143</v>
      </c>
      <c r="B123" s="354" t="s">
        <v>1065</v>
      </c>
      <c r="C123" s="98" t="s">
        <v>460</v>
      </c>
      <c r="D123" s="98">
        <v>2</v>
      </c>
      <c r="E123" s="181">
        <v>1186.229914911665</v>
      </c>
      <c r="F123" s="181">
        <f t="shared" si="46"/>
        <v>5.93</v>
      </c>
      <c r="G123" s="181">
        <f t="shared" si="47"/>
        <v>1192.1599149116651</v>
      </c>
      <c r="H123" s="181">
        <f t="shared" si="48"/>
        <v>1194.24</v>
      </c>
      <c r="I123" s="219">
        <f t="shared" si="49"/>
        <v>8.0068000000000001</v>
      </c>
      <c r="J123" s="181">
        <f t="shared" si="50"/>
        <v>2384.3198298233301</v>
      </c>
      <c r="K123" s="181">
        <f t="shared" si="51"/>
        <v>-2388.48</v>
      </c>
      <c r="L123" s="181">
        <f t="shared" si="52"/>
        <v>11.86</v>
      </c>
      <c r="M123" s="181">
        <f t="shared" si="53"/>
        <v>1.4516639999999998</v>
      </c>
      <c r="N123" s="181">
        <f t="shared" si="54"/>
        <v>2.38</v>
      </c>
      <c r="O123" s="181">
        <f t="shared" si="55"/>
        <v>8.345119404381654E-2</v>
      </c>
      <c r="P123" s="181">
        <f t="shared" si="56"/>
        <v>0.23843198298233304</v>
      </c>
      <c r="Q123" s="98">
        <f t="shared" si="57"/>
        <v>0</v>
      </c>
      <c r="R123" s="181">
        <f t="shared" si="58"/>
        <v>-2388.48</v>
      </c>
      <c r="S123" s="183">
        <f t="shared" si="42"/>
        <v>0</v>
      </c>
      <c r="T123" s="180">
        <v>39147</v>
      </c>
      <c r="U123" s="357"/>
      <c r="V123" s="180"/>
      <c r="W123" s="181"/>
      <c r="X123" s="356" t="str">
        <f t="shared" si="59"/>
        <v>Not Sold</v>
      </c>
      <c r="Y123" s="41" t="s">
        <v>418</v>
      </c>
      <c r="Z123" s="98"/>
    </row>
    <row r="124" spans="1:26" ht="12" customHeight="1">
      <c r="A124" s="180">
        <v>39155</v>
      </c>
      <c r="B124" s="354" t="s">
        <v>1027</v>
      </c>
      <c r="C124" s="98" t="s">
        <v>1058</v>
      </c>
      <c r="D124" s="98">
        <v>25</v>
      </c>
      <c r="E124" s="181">
        <v>144.5</v>
      </c>
      <c r="F124" s="181">
        <f t="shared" si="46"/>
        <v>0.72</v>
      </c>
      <c r="G124" s="181">
        <f t="shared" si="47"/>
        <v>145.22</v>
      </c>
      <c r="H124" s="181">
        <f t="shared" si="48"/>
        <v>145.47</v>
      </c>
      <c r="I124" s="219">
        <f t="shared" si="49"/>
        <v>0.97299999999999998</v>
      </c>
      <c r="J124" s="181">
        <f t="shared" si="50"/>
        <v>3630.5</v>
      </c>
      <c r="K124" s="181">
        <f t="shared" si="51"/>
        <v>-3636.8300000000004</v>
      </c>
      <c r="L124" s="181">
        <f t="shared" si="52"/>
        <v>18</v>
      </c>
      <c r="M124" s="181">
        <f t="shared" si="53"/>
        <v>2.2031999999999998</v>
      </c>
      <c r="N124" s="181">
        <f t="shared" si="54"/>
        <v>3.63</v>
      </c>
      <c r="O124" s="181">
        <f t="shared" si="55"/>
        <v>0.1270675</v>
      </c>
      <c r="P124" s="181">
        <f t="shared" si="56"/>
        <v>0.36305000000000004</v>
      </c>
      <c r="Q124" s="98">
        <f t="shared" si="57"/>
        <v>0</v>
      </c>
      <c r="R124" s="181">
        <f t="shared" si="58"/>
        <v>-3636.8300000000004</v>
      </c>
      <c r="S124" s="183">
        <f t="shared" si="42"/>
        <v>0</v>
      </c>
      <c r="T124" s="180">
        <v>39157</v>
      </c>
      <c r="U124" s="357"/>
      <c r="V124" s="180"/>
      <c r="W124" s="181"/>
      <c r="X124" s="356" t="str">
        <f>IF(X247="Not Sold","Not Sold","")</f>
        <v>Not Sold</v>
      </c>
      <c r="Y124" s="41" t="s">
        <v>418</v>
      </c>
      <c r="Z124" s="98"/>
    </row>
    <row r="125" spans="1:26" ht="12" customHeight="1">
      <c r="A125" s="180">
        <v>39157</v>
      </c>
      <c r="B125" s="354" t="s">
        <v>1067</v>
      </c>
      <c r="C125" s="98" t="s">
        <v>1058</v>
      </c>
      <c r="D125" s="98">
        <v>5</v>
      </c>
      <c r="E125" s="181">
        <v>718.8</v>
      </c>
      <c r="F125" s="181">
        <f t="shared" si="46"/>
        <v>3.59</v>
      </c>
      <c r="G125" s="181">
        <f t="shared" si="47"/>
        <v>722.39</v>
      </c>
      <c r="H125" s="181">
        <f t="shared" si="48"/>
        <v>723.65</v>
      </c>
      <c r="I125" s="219">
        <f t="shared" si="49"/>
        <v>4.8490000000000002</v>
      </c>
      <c r="J125" s="181">
        <f t="shared" si="50"/>
        <v>3611.95</v>
      </c>
      <c r="K125" s="181">
        <f t="shared" si="51"/>
        <v>-3618.25</v>
      </c>
      <c r="L125" s="181">
        <f t="shared" si="52"/>
        <v>17.95</v>
      </c>
      <c r="M125" s="181">
        <f t="shared" si="53"/>
        <v>2.1970799999999997</v>
      </c>
      <c r="N125" s="181">
        <f t="shared" si="54"/>
        <v>3.61</v>
      </c>
      <c r="O125" s="181">
        <f t="shared" si="55"/>
        <v>0.12641824999999998</v>
      </c>
      <c r="P125" s="181">
        <f t="shared" si="56"/>
        <v>0.36119499999999999</v>
      </c>
      <c r="Q125" s="98">
        <f t="shared" si="57"/>
        <v>0</v>
      </c>
      <c r="R125" s="181">
        <f t="shared" si="58"/>
        <v>-3618.25</v>
      </c>
      <c r="S125" s="183">
        <f t="shared" si="42"/>
        <v>0</v>
      </c>
      <c r="T125" s="180">
        <v>39161</v>
      </c>
      <c r="U125" s="357"/>
      <c r="V125" s="180"/>
      <c r="W125" s="181"/>
      <c r="X125" s="356" t="str">
        <f t="shared" ref="X125:X127" si="60">IF(X245="Not Sold","Not Sold","")</f>
        <v>Not Sold</v>
      </c>
      <c r="Y125" s="41" t="s">
        <v>418</v>
      </c>
      <c r="Z125" s="98"/>
    </row>
    <row r="126" spans="1:26" ht="12" customHeight="1">
      <c r="A126" s="180">
        <v>39157</v>
      </c>
      <c r="B126" s="354" t="s">
        <v>1011</v>
      </c>
      <c r="C126" s="98" t="s">
        <v>1058</v>
      </c>
      <c r="D126" s="98">
        <v>25</v>
      </c>
      <c r="E126" s="181">
        <v>102.65</v>
      </c>
      <c r="F126" s="181">
        <f t="shared" si="46"/>
        <v>0.51</v>
      </c>
      <c r="G126" s="181">
        <f t="shared" si="47"/>
        <v>103.16000000000001</v>
      </c>
      <c r="H126" s="181">
        <f t="shared" si="48"/>
        <v>103.34</v>
      </c>
      <c r="I126" s="219">
        <f t="shared" si="49"/>
        <v>0.68959999999999999</v>
      </c>
      <c r="J126" s="181">
        <f t="shared" si="50"/>
        <v>2579.0000000000005</v>
      </c>
      <c r="K126" s="181">
        <f t="shared" si="51"/>
        <v>-2583.4900000000002</v>
      </c>
      <c r="L126" s="181">
        <f t="shared" si="52"/>
        <v>12.75</v>
      </c>
      <c r="M126" s="181">
        <f t="shared" si="53"/>
        <v>1.5606</v>
      </c>
      <c r="N126" s="181">
        <f t="shared" si="54"/>
        <v>2.58</v>
      </c>
      <c r="O126" s="181">
        <f t="shared" si="55"/>
        <v>9.0265000000000012E-2</v>
      </c>
      <c r="P126" s="181">
        <f t="shared" si="56"/>
        <v>0.25790000000000007</v>
      </c>
      <c r="Q126" s="98">
        <f t="shared" si="57"/>
        <v>0</v>
      </c>
      <c r="R126" s="181">
        <f t="shared" si="58"/>
        <v>-2583.4900000000002</v>
      </c>
      <c r="S126" s="183">
        <f t="shared" si="42"/>
        <v>0</v>
      </c>
      <c r="T126" s="180">
        <v>39161</v>
      </c>
      <c r="U126" s="357"/>
      <c r="V126" s="180"/>
      <c r="W126" s="181"/>
      <c r="X126" s="356" t="str">
        <f t="shared" si="60"/>
        <v/>
      </c>
      <c r="Y126" s="41" t="s">
        <v>418</v>
      </c>
      <c r="Z126" s="98"/>
    </row>
    <row r="127" spans="1:26" ht="12" customHeight="1">
      <c r="A127" s="180">
        <v>39161</v>
      </c>
      <c r="B127" s="354" t="s">
        <v>1027</v>
      </c>
      <c r="C127" s="98" t="s">
        <v>1058</v>
      </c>
      <c r="D127" s="98">
        <v>25</v>
      </c>
      <c r="E127" s="181">
        <v>140.1</v>
      </c>
      <c r="F127" s="181">
        <f t="shared" si="46"/>
        <v>0.7</v>
      </c>
      <c r="G127" s="181">
        <f t="shared" si="47"/>
        <v>140.79999999999998</v>
      </c>
      <c r="H127" s="181">
        <f t="shared" si="48"/>
        <v>141.05000000000001</v>
      </c>
      <c r="I127" s="219">
        <f t="shared" si="49"/>
        <v>0.94550000000000001</v>
      </c>
      <c r="J127" s="181">
        <f t="shared" si="50"/>
        <v>3519.9999999999995</v>
      </c>
      <c r="K127" s="181">
        <f t="shared" si="51"/>
        <v>-3526.1400000000003</v>
      </c>
      <c r="L127" s="181">
        <f t="shared" si="52"/>
        <v>17.5</v>
      </c>
      <c r="M127" s="181">
        <f t="shared" si="53"/>
        <v>2.1419999999999999</v>
      </c>
      <c r="N127" s="181">
        <f t="shared" si="54"/>
        <v>3.52</v>
      </c>
      <c r="O127" s="181">
        <f t="shared" si="55"/>
        <v>0.12319999999999998</v>
      </c>
      <c r="P127" s="181">
        <f t="shared" si="56"/>
        <v>0.35199999999999998</v>
      </c>
      <c r="Q127" s="98">
        <f t="shared" si="57"/>
        <v>0</v>
      </c>
      <c r="R127" s="181">
        <f t="shared" si="58"/>
        <v>-3526.1400000000003</v>
      </c>
      <c r="S127" s="183">
        <f t="shared" si="42"/>
        <v>0</v>
      </c>
      <c r="T127" s="180">
        <v>39163</v>
      </c>
      <c r="U127" s="357">
        <f>ROUND((K124*(T127-T124)+K127*1)/(K127+K124),0)</f>
        <v>4</v>
      </c>
      <c r="V127" s="180">
        <f>T124+U127</f>
        <v>39161</v>
      </c>
      <c r="W127" s="181">
        <f>-ROUND((R127+R124)/(D127+D124),2)</f>
        <v>143.26</v>
      </c>
      <c r="X127" s="356" t="str">
        <f t="shared" si="60"/>
        <v>Not Sold</v>
      </c>
      <c r="Y127" s="41" t="s">
        <v>418</v>
      </c>
      <c r="Z127" s="98"/>
    </row>
    <row r="128" spans="1:26" ht="12" customHeight="1">
      <c r="A128" s="180"/>
      <c r="B128" s="354"/>
      <c r="C128" s="354"/>
      <c r="D128" s="98"/>
      <c r="E128" s="181"/>
      <c r="F128" s="181"/>
      <c r="G128" s="181"/>
      <c r="H128" s="181"/>
      <c r="I128" s="219"/>
      <c r="J128" s="181"/>
      <c r="K128" s="181"/>
      <c r="L128" s="181"/>
      <c r="M128" s="181"/>
      <c r="N128" s="181"/>
      <c r="O128" s="181"/>
      <c r="P128" s="181"/>
      <c r="Q128" s="98"/>
      <c r="R128" s="181"/>
      <c r="S128" s="183"/>
      <c r="T128" s="180"/>
      <c r="U128" s="357"/>
      <c r="V128" s="180"/>
      <c r="W128" s="181"/>
      <c r="X128" s="356"/>
      <c r="Y128" s="98"/>
      <c r="Z128" s="98"/>
    </row>
    <row r="129" spans="1:26" ht="12" customHeight="1">
      <c r="A129" s="180"/>
      <c r="B129" s="354"/>
      <c r="C129" s="98"/>
      <c r="D129" s="98">
        <v>20</v>
      </c>
      <c r="E129" s="181">
        <v>100</v>
      </c>
      <c r="F129" s="181">
        <f>IF(E129*D129*E$326&lt;10,10/D129,ROUND(E129*E$326,2))</f>
        <v>0.5</v>
      </c>
      <c r="G129" s="181">
        <f>E129+F129</f>
        <v>100.5</v>
      </c>
      <c r="H129" s="181">
        <f>ROUND(E129+I129,2)</f>
        <v>100.68</v>
      </c>
      <c r="I129" s="219">
        <f>ROUNDUP(SUM(L129:Q129)/D129,4)</f>
        <v>0.67530000000000001</v>
      </c>
      <c r="J129" s="181">
        <f>D129*G129</f>
        <v>2010</v>
      </c>
      <c r="K129" s="181">
        <f>-ROUNDUP(J129+M129+N129+O129+P129+Q129,2)</f>
        <v>-2013.51</v>
      </c>
      <c r="L129" s="181">
        <f>F129*D129</f>
        <v>10</v>
      </c>
      <c r="M129" s="181">
        <f>L129*F$328</f>
        <v>1.224</v>
      </c>
      <c r="N129" s="181">
        <f>ROUND(J129*E$329,2)</f>
        <v>2.0099999999999998</v>
      </c>
      <c r="O129" s="181">
        <f>J129*E$332</f>
        <v>7.0349999999999996E-2</v>
      </c>
      <c r="P129" s="181">
        <f>J129*E$334</f>
        <v>0.20100000000000001</v>
      </c>
      <c r="Q129" s="98">
        <f>E$336</f>
        <v>0</v>
      </c>
      <c r="R129" s="181">
        <f>K129</f>
        <v>-2013.51</v>
      </c>
      <c r="S129" s="183">
        <f>IF(R129=K129,0,IF(R129&lt;0,K129-R129))</f>
        <v>0</v>
      </c>
      <c r="T129" s="180"/>
      <c r="U129" s="357"/>
      <c r="V129" s="180"/>
      <c r="W129" s="181"/>
      <c r="X129" s="356" t="str">
        <f>IF(X249="Not Sold","Not Sold","")</f>
        <v>Not Sold</v>
      </c>
      <c r="Y129" s="41" t="s">
        <v>418</v>
      </c>
      <c r="Z129" s="98"/>
    </row>
    <row r="130" spans="1:26" ht="12" customHeight="1">
      <c r="A130" s="180"/>
      <c r="B130" s="354"/>
      <c r="C130" s="354"/>
      <c r="D130" s="98"/>
      <c r="E130" s="181"/>
      <c r="F130" s="181"/>
      <c r="G130" s="181"/>
      <c r="H130" s="181"/>
      <c r="I130" s="219"/>
      <c r="J130" s="181"/>
      <c r="K130" s="181"/>
      <c r="L130" s="181"/>
      <c r="M130" s="181"/>
      <c r="N130" s="181"/>
      <c r="O130" s="181"/>
      <c r="P130" s="181"/>
      <c r="Q130" s="98"/>
      <c r="R130" s="181"/>
      <c r="S130" s="183"/>
      <c r="T130" s="180"/>
      <c r="U130" s="357"/>
      <c r="V130" s="180"/>
      <c r="W130" s="181"/>
      <c r="X130" s="356"/>
      <c r="Y130" s="98"/>
      <c r="Z130" s="98"/>
    </row>
    <row r="131" spans="1:26" ht="12" customHeight="1">
      <c r="A131" s="98"/>
      <c r="B131" s="98"/>
      <c r="C131" s="358"/>
      <c r="D131" s="359" t="s">
        <v>988</v>
      </c>
      <c r="E131" s="359" t="s">
        <v>441</v>
      </c>
      <c r="F131" s="359" t="s">
        <v>442</v>
      </c>
      <c r="G131" s="359" t="s">
        <v>443</v>
      </c>
      <c r="H131" s="359" t="s">
        <v>1068</v>
      </c>
      <c r="I131" s="359" t="s">
        <v>990</v>
      </c>
      <c r="J131" s="359" t="s">
        <v>991</v>
      </c>
      <c r="K131" s="359" t="s">
        <v>1069</v>
      </c>
      <c r="L131" s="359" t="s">
        <v>442</v>
      </c>
      <c r="M131" s="359" t="s">
        <v>993</v>
      </c>
      <c r="N131" s="359" t="s">
        <v>994</v>
      </c>
      <c r="O131" s="359" t="s">
        <v>995</v>
      </c>
      <c r="P131" s="359" t="s">
        <v>996</v>
      </c>
      <c r="Q131" s="359" t="s">
        <v>450</v>
      </c>
      <c r="R131" s="359" t="s">
        <v>1070</v>
      </c>
      <c r="S131" s="359" t="s">
        <v>998</v>
      </c>
      <c r="T131" s="359" t="s">
        <v>1071</v>
      </c>
      <c r="U131" s="359" t="s">
        <v>9</v>
      </c>
      <c r="V131" s="359" t="s">
        <v>1072</v>
      </c>
      <c r="W131" s="359" t="s">
        <v>1073</v>
      </c>
      <c r="X131" s="359" t="s">
        <v>1002</v>
      </c>
      <c r="Y131" s="359" t="s">
        <v>1003</v>
      </c>
      <c r="Z131" s="98"/>
    </row>
    <row r="132" spans="1:26" ht="12" customHeight="1">
      <c r="A132" s="180">
        <v>38489</v>
      </c>
      <c r="B132" s="360" t="s">
        <v>1004</v>
      </c>
      <c r="C132" s="98" t="s">
        <v>460</v>
      </c>
      <c r="D132" s="98">
        <v>100</v>
      </c>
      <c r="E132" s="181">
        <v>82.75</v>
      </c>
      <c r="F132" s="181">
        <f>ROUND(L132/D132,2)</f>
        <v>0.41</v>
      </c>
      <c r="G132" s="181"/>
      <c r="H132" s="181">
        <f t="shared" ref="H132:H247" si="61">ROUND(E132-I132,2)</f>
        <v>82.22</v>
      </c>
      <c r="I132" s="219">
        <f t="shared" ref="I132:I247" si="62">ROUNDUP(SUM(L132:Q132)/D132,4)</f>
        <v>0.52510000000000001</v>
      </c>
      <c r="J132" s="181">
        <f>ROUNDUP(D132*E132,2)</f>
        <v>8275</v>
      </c>
      <c r="K132" s="181">
        <f>ROUNDUP(J132-L132-M132-N132-O132-P132-Q132,2)</f>
        <v>8222.5</v>
      </c>
      <c r="L132" s="181">
        <f>ROUND(J132*E$326,0)</f>
        <v>41</v>
      </c>
      <c r="M132" s="181">
        <f t="shared" ref="M132:M154" si="63">L132*E$328</f>
        <v>4.1819999999999995</v>
      </c>
      <c r="N132" s="181">
        <f>ROUND(J132*D$329,2)</f>
        <v>6.21</v>
      </c>
      <c r="O132" s="181">
        <f t="shared" ref="O132:O247" si="64">J132*E$332</f>
        <v>0.28962499999999997</v>
      </c>
      <c r="P132" s="181">
        <f t="shared" ref="P132:P247" si="65">J132*E$334</f>
        <v>0.82750000000000001</v>
      </c>
      <c r="Q132" s="98">
        <f t="shared" ref="Q132:Q247" si="66">E$336</f>
        <v>0</v>
      </c>
      <c r="R132" s="361">
        <v>8222.7000000000007</v>
      </c>
      <c r="S132" s="183">
        <f t="shared" ref="S132:S247" si="67">IF(R132=K132,0,IF(R132&gt;0,K132-R132))</f>
        <v>-0.2000000000007276</v>
      </c>
      <c r="T132" s="180">
        <v>38492</v>
      </c>
      <c r="U132" s="362">
        <f>(R132+R2)-D$337</f>
        <v>1106.4300000000003</v>
      </c>
      <c r="V132" s="363">
        <f t="shared" ref="V132:V137" si="68">-(U132/R2)/W132*365</f>
        <v>0.39774607803006734</v>
      </c>
      <c r="W132" s="338">
        <f t="shared" ref="W132:W139" si="69">T132-T2</f>
        <v>143</v>
      </c>
      <c r="X132" s="364"/>
      <c r="Y132" s="98"/>
      <c r="Z132" s="98"/>
    </row>
    <row r="133" spans="1:26" ht="12" customHeight="1">
      <c r="A133" s="180">
        <v>38539</v>
      </c>
      <c r="B133" s="360" t="s">
        <v>1005</v>
      </c>
      <c r="C133" s="98" t="s">
        <v>460</v>
      </c>
      <c r="D133" s="98">
        <v>4</v>
      </c>
      <c r="E133" s="181">
        <v>263.14999999999998</v>
      </c>
      <c r="F133" s="181">
        <f>IF(E133*D133*E$326&lt;10,ROUND(10/D133,2),ROUND(E133*E$326,2))</f>
        <v>2.5</v>
      </c>
      <c r="G133" s="181">
        <f>E133-F133</f>
        <v>260.64999999999998</v>
      </c>
      <c r="H133" s="181">
        <f t="shared" si="61"/>
        <v>260.10000000000002</v>
      </c>
      <c r="I133" s="219">
        <f t="shared" si="62"/>
        <v>3.0502000000000002</v>
      </c>
      <c r="J133" s="181">
        <f>ROUNDUP(D133*G133,2)</f>
        <v>1042.5999999999999</v>
      </c>
      <c r="K133" s="181">
        <f>ROUNDUP(J133-M133-N133-O133-P133-Q133,2)</f>
        <v>1040.4000000000001</v>
      </c>
      <c r="L133" s="181">
        <f>F133*D133</f>
        <v>10</v>
      </c>
      <c r="M133" s="181">
        <f t="shared" si="63"/>
        <v>1.02</v>
      </c>
      <c r="N133" s="181">
        <f t="shared" ref="N133:N247" si="70">ROUND(J133*E$329,2)</f>
        <v>1.04</v>
      </c>
      <c r="O133" s="181">
        <f t="shared" si="64"/>
        <v>3.6490999999999996E-2</v>
      </c>
      <c r="P133" s="181">
        <f t="shared" si="65"/>
        <v>0.10425999999999999</v>
      </c>
      <c r="Q133" s="98">
        <f t="shared" si="66"/>
        <v>0</v>
      </c>
      <c r="R133" s="361">
        <v>1040.3900000000001</v>
      </c>
      <c r="S133" s="183">
        <f t="shared" si="67"/>
        <v>9.9999999999909051E-3</v>
      </c>
      <c r="T133" s="180">
        <v>38544</v>
      </c>
      <c r="U133" s="362">
        <f>(R133+R3)-E$337</f>
        <v>-617.93999999999983</v>
      </c>
      <c r="V133" s="363">
        <f t="shared" si="68"/>
        <v>-0.75003511610528317</v>
      </c>
      <c r="W133" s="338">
        <f t="shared" si="69"/>
        <v>184</v>
      </c>
      <c r="X133" s="364"/>
      <c r="Y133" s="98"/>
      <c r="Z133" s="98"/>
    </row>
    <row r="134" spans="1:26" ht="12" customHeight="1">
      <c r="A134" s="180">
        <v>38512</v>
      </c>
      <c r="B134" s="360" t="s">
        <v>1004</v>
      </c>
      <c r="C134" s="98" t="s">
        <v>460</v>
      </c>
      <c r="D134" s="98">
        <v>75</v>
      </c>
      <c r="E134" s="181">
        <v>90.3</v>
      </c>
      <c r="F134" s="181">
        <f>ROUND(L134/D134,2)</f>
        <v>0.45</v>
      </c>
      <c r="G134" s="181"/>
      <c r="H134" s="181">
        <f t="shared" si="61"/>
        <v>89.7</v>
      </c>
      <c r="I134" s="219">
        <f t="shared" si="62"/>
        <v>0.6</v>
      </c>
      <c r="J134" s="181">
        <f>ROUNDUP(D134*E134,2)</f>
        <v>6772.5</v>
      </c>
      <c r="K134" s="181">
        <f>ROUNDUP(J134-L134-M134-N134-O134-P134-Q134,2)</f>
        <v>6727.51</v>
      </c>
      <c r="L134" s="181">
        <f>ROUND(J134*E$326,2)</f>
        <v>33.86</v>
      </c>
      <c r="M134" s="181">
        <f t="shared" si="63"/>
        <v>3.4537199999999997</v>
      </c>
      <c r="N134" s="181">
        <f t="shared" si="70"/>
        <v>6.77</v>
      </c>
      <c r="O134" s="181">
        <f t="shared" si="64"/>
        <v>0.23703749999999998</v>
      </c>
      <c r="P134" s="181">
        <f t="shared" si="65"/>
        <v>0.67725000000000002</v>
      </c>
      <c r="Q134" s="98">
        <f t="shared" si="66"/>
        <v>0</v>
      </c>
      <c r="R134" s="361">
        <v>6727.94</v>
      </c>
      <c r="S134" s="183">
        <f t="shared" si="67"/>
        <v>-0.42999999999938154</v>
      </c>
      <c r="T134" s="180">
        <v>38516</v>
      </c>
      <c r="U134" s="362">
        <f>(R134+R4)-D$337</f>
        <v>561.9399999999996</v>
      </c>
      <c r="V134" s="363">
        <f t="shared" si="68"/>
        <v>0.56526967066280798</v>
      </c>
      <c r="W134" s="338">
        <f t="shared" si="69"/>
        <v>59</v>
      </c>
      <c r="X134" s="364"/>
      <c r="Y134" s="98"/>
      <c r="Z134" s="98"/>
    </row>
    <row r="135" spans="1:26" ht="12" customHeight="1">
      <c r="A135" s="180">
        <v>38541</v>
      </c>
      <c r="B135" s="360" t="s">
        <v>1006</v>
      </c>
      <c r="C135" s="98" t="s">
        <v>460</v>
      </c>
      <c r="D135" s="98">
        <v>5</v>
      </c>
      <c r="E135" s="181">
        <v>1471</v>
      </c>
      <c r="F135" s="181">
        <f t="shared" ref="F135:F247" si="71">IF(E135*D135*E$326&lt;10,ROUND(10/D135,2),ROUND(E135*E$326,2))</f>
        <v>7.36</v>
      </c>
      <c r="G135" s="181">
        <f t="shared" ref="G135:G247" si="72">E135-F135</f>
        <v>1463.64</v>
      </c>
      <c r="H135" s="181">
        <f t="shared" si="61"/>
        <v>1461.23</v>
      </c>
      <c r="I135" s="219">
        <f t="shared" si="62"/>
        <v>9.7723999999999993</v>
      </c>
      <c r="J135" s="181">
        <f t="shared" ref="J135:J247" si="73">ROUNDUP(D135*G135,2)</f>
        <v>7318.2</v>
      </c>
      <c r="K135" s="181">
        <f t="shared" ref="K135:K247" si="74">ROUNDUP(J135-M135-N135-O135-P135-Q135,2)</f>
        <v>7306.14</v>
      </c>
      <c r="L135" s="181">
        <f t="shared" ref="L135:L247" si="75">F135*D135</f>
        <v>36.800000000000004</v>
      </c>
      <c r="M135" s="181">
        <f t="shared" si="63"/>
        <v>3.7536</v>
      </c>
      <c r="N135" s="181">
        <f t="shared" si="70"/>
        <v>7.32</v>
      </c>
      <c r="O135" s="181">
        <f t="shared" si="64"/>
        <v>0.25613699999999995</v>
      </c>
      <c r="P135" s="181">
        <f t="shared" si="65"/>
        <v>0.73182000000000003</v>
      </c>
      <c r="Q135" s="98">
        <f t="shared" si="66"/>
        <v>0</v>
      </c>
      <c r="R135" s="361">
        <v>7306.13</v>
      </c>
      <c r="S135" s="183">
        <f t="shared" si="67"/>
        <v>1.0000000000218279E-2</v>
      </c>
      <c r="T135" s="180">
        <v>38544</v>
      </c>
      <c r="U135" s="362">
        <f t="shared" ref="U135:U137" si="76">(R135+R5)-E$337</f>
        <v>247.13000000000011</v>
      </c>
      <c r="V135" s="363">
        <f t="shared" si="68"/>
        <v>0.27280754283294784</v>
      </c>
      <c r="W135" s="338">
        <f t="shared" si="69"/>
        <v>47</v>
      </c>
      <c r="X135" s="364"/>
      <c r="Y135" s="98"/>
      <c r="Z135" s="98"/>
    </row>
    <row r="136" spans="1:26" ht="12" customHeight="1">
      <c r="A136" s="180">
        <v>38545</v>
      </c>
      <c r="B136" s="360" t="s">
        <v>640</v>
      </c>
      <c r="C136" s="98" t="s">
        <v>460</v>
      </c>
      <c r="D136" s="98">
        <v>50</v>
      </c>
      <c r="E136" s="181">
        <v>89.75</v>
      </c>
      <c r="F136" s="181">
        <f t="shared" si="71"/>
        <v>0.45</v>
      </c>
      <c r="G136" s="181">
        <f t="shared" si="72"/>
        <v>89.3</v>
      </c>
      <c r="H136" s="181">
        <f t="shared" si="61"/>
        <v>89.15</v>
      </c>
      <c r="I136" s="219">
        <f t="shared" si="62"/>
        <v>0.59740000000000004</v>
      </c>
      <c r="J136" s="181">
        <f t="shared" si="73"/>
        <v>4465</v>
      </c>
      <c r="K136" s="181">
        <f t="shared" si="74"/>
        <v>4457.6400000000003</v>
      </c>
      <c r="L136" s="181">
        <f t="shared" si="75"/>
        <v>22.5</v>
      </c>
      <c r="M136" s="181">
        <f t="shared" si="63"/>
        <v>2.2949999999999999</v>
      </c>
      <c r="N136" s="181">
        <f t="shared" si="70"/>
        <v>4.47</v>
      </c>
      <c r="O136" s="181">
        <f t="shared" si="64"/>
        <v>0.156275</v>
      </c>
      <c r="P136" s="181">
        <f t="shared" si="65"/>
        <v>0.44650000000000001</v>
      </c>
      <c r="Q136" s="98">
        <f t="shared" si="66"/>
        <v>0</v>
      </c>
      <c r="R136" s="361">
        <v>4458</v>
      </c>
      <c r="S136" s="183">
        <f t="shared" si="67"/>
        <v>-0.35999999999967258</v>
      </c>
      <c r="T136" s="180">
        <v>38547</v>
      </c>
      <c r="U136" s="362">
        <f t="shared" si="76"/>
        <v>251</v>
      </c>
      <c r="V136" s="363">
        <f t="shared" si="68"/>
        <v>0.75523259168885548</v>
      </c>
      <c r="W136" s="338">
        <f t="shared" si="69"/>
        <v>29</v>
      </c>
      <c r="X136" s="364"/>
      <c r="Y136" s="98"/>
      <c r="Z136" s="98"/>
    </row>
    <row r="137" spans="1:26" ht="12" customHeight="1">
      <c r="A137" s="180">
        <v>38545</v>
      </c>
      <c r="B137" s="360" t="s">
        <v>1007</v>
      </c>
      <c r="C137" s="98" t="s">
        <v>460</v>
      </c>
      <c r="D137" s="98">
        <v>50</v>
      </c>
      <c r="E137" s="181">
        <v>117.25</v>
      </c>
      <c r="F137" s="181">
        <f t="shared" si="71"/>
        <v>0.59</v>
      </c>
      <c r="G137" s="181">
        <f t="shared" si="72"/>
        <v>116.66</v>
      </c>
      <c r="H137" s="181">
        <f t="shared" si="61"/>
        <v>116.47</v>
      </c>
      <c r="I137" s="219">
        <f t="shared" si="62"/>
        <v>0.78259999999999996</v>
      </c>
      <c r="J137" s="181">
        <f t="shared" si="73"/>
        <v>5833</v>
      </c>
      <c r="K137" s="181">
        <f t="shared" si="74"/>
        <v>5823.38</v>
      </c>
      <c r="L137" s="181">
        <f t="shared" si="75"/>
        <v>29.5</v>
      </c>
      <c r="M137" s="181">
        <f t="shared" si="63"/>
        <v>3.0089999999999999</v>
      </c>
      <c r="N137" s="181">
        <f t="shared" si="70"/>
        <v>5.83</v>
      </c>
      <c r="O137" s="181">
        <f t="shared" si="64"/>
        <v>0.20415499999999998</v>
      </c>
      <c r="P137" s="181">
        <f t="shared" si="65"/>
        <v>0.58330000000000004</v>
      </c>
      <c r="Q137" s="98">
        <f t="shared" si="66"/>
        <v>0</v>
      </c>
      <c r="R137" s="361">
        <v>5823</v>
      </c>
      <c r="S137" s="183">
        <f t="shared" si="67"/>
        <v>0.38000000000010914</v>
      </c>
      <c r="T137" s="180">
        <v>38547</v>
      </c>
      <c r="U137" s="362">
        <f t="shared" si="76"/>
        <v>186.77999999999975</v>
      </c>
      <c r="V137" s="363">
        <f t="shared" si="68"/>
        <v>4.0491819636436146</v>
      </c>
      <c r="W137" s="338">
        <f t="shared" si="69"/>
        <v>3</v>
      </c>
      <c r="X137" s="364"/>
      <c r="Y137" s="98"/>
      <c r="Z137" s="98"/>
    </row>
    <row r="138" spans="1:26" ht="12" customHeight="1">
      <c r="A138" s="180">
        <v>38565</v>
      </c>
      <c r="B138" s="360" t="s">
        <v>1008</v>
      </c>
      <c r="C138" s="98" t="s">
        <v>460</v>
      </c>
      <c r="D138" s="98">
        <v>100</v>
      </c>
      <c r="E138" s="181">
        <v>71.05</v>
      </c>
      <c r="F138" s="181">
        <f t="shared" si="71"/>
        <v>0.36</v>
      </c>
      <c r="G138" s="181">
        <f t="shared" si="72"/>
        <v>70.69</v>
      </c>
      <c r="H138" s="181">
        <f t="shared" si="61"/>
        <v>70.569999999999993</v>
      </c>
      <c r="I138" s="219">
        <f t="shared" si="62"/>
        <v>0.47699999999999998</v>
      </c>
      <c r="J138" s="181">
        <f t="shared" si="73"/>
        <v>7069</v>
      </c>
      <c r="K138" s="181">
        <f t="shared" si="74"/>
        <v>7057.31</v>
      </c>
      <c r="L138" s="181">
        <f t="shared" si="75"/>
        <v>36</v>
      </c>
      <c r="M138" s="181">
        <f t="shared" si="63"/>
        <v>3.6719999999999997</v>
      </c>
      <c r="N138" s="181">
        <f t="shared" si="70"/>
        <v>7.07</v>
      </c>
      <c r="O138" s="181">
        <f t="shared" si="64"/>
        <v>0.24741499999999997</v>
      </c>
      <c r="P138" s="181">
        <f t="shared" si="65"/>
        <v>0.70690000000000008</v>
      </c>
      <c r="Q138" s="98">
        <f t="shared" si="66"/>
        <v>0</v>
      </c>
      <c r="R138" s="361">
        <v>7057.25</v>
      </c>
      <c r="S138" s="183">
        <f t="shared" si="67"/>
        <v>6.0000000000400178E-2</v>
      </c>
      <c r="T138" s="180">
        <v>38567</v>
      </c>
      <c r="U138" s="362">
        <f>R138-(W$8*D138)-E$337</f>
        <v>2033.25</v>
      </c>
      <c r="V138" s="363">
        <f>(U138/(W$8*D138))/W138*365</f>
        <v>7.8119605263157892</v>
      </c>
      <c r="W138" s="338">
        <f t="shared" si="69"/>
        <v>19</v>
      </c>
      <c r="X138" s="364"/>
      <c r="Y138" s="98"/>
      <c r="Z138" s="98"/>
    </row>
    <row r="139" spans="1:26" ht="12" customHeight="1">
      <c r="A139" s="180">
        <v>38552</v>
      </c>
      <c r="B139" s="360" t="s">
        <v>1007</v>
      </c>
      <c r="C139" s="98" t="s">
        <v>460</v>
      </c>
      <c r="D139" s="98">
        <v>50</v>
      </c>
      <c r="E139" s="181">
        <v>118</v>
      </c>
      <c r="F139" s="181">
        <f t="shared" si="71"/>
        <v>0.59</v>
      </c>
      <c r="G139" s="181">
        <f t="shared" si="72"/>
        <v>117.41</v>
      </c>
      <c r="H139" s="181">
        <f t="shared" si="61"/>
        <v>117.22</v>
      </c>
      <c r="I139" s="219">
        <f t="shared" si="62"/>
        <v>0.78349999999999997</v>
      </c>
      <c r="J139" s="181">
        <f t="shared" si="73"/>
        <v>5870.5</v>
      </c>
      <c r="K139" s="181">
        <f t="shared" si="74"/>
        <v>5860.83</v>
      </c>
      <c r="L139" s="181">
        <f t="shared" si="75"/>
        <v>29.5</v>
      </c>
      <c r="M139" s="181">
        <f t="shared" si="63"/>
        <v>3.0089999999999999</v>
      </c>
      <c r="N139" s="181">
        <f t="shared" si="70"/>
        <v>5.87</v>
      </c>
      <c r="O139" s="181">
        <f t="shared" si="64"/>
        <v>0.20546749999999997</v>
      </c>
      <c r="P139" s="181">
        <f t="shared" si="65"/>
        <v>0.58705000000000007</v>
      </c>
      <c r="Q139" s="98">
        <f t="shared" si="66"/>
        <v>0</v>
      </c>
      <c r="R139" s="361">
        <v>5860</v>
      </c>
      <c r="S139" s="183">
        <f t="shared" si="67"/>
        <v>0.82999999999992724</v>
      </c>
      <c r="T139" s="180">
        <v>38554</v>
      </c>
      <c r="U139" s="362">
        <f>(R139+R9)-E$337</f>
        <v>46.770000000000437</v>
      </c>
      <c r="V139" s="363">
        <f>-(U139/R9)/W139*365</f>
        <v>0.4914600041801806</v>
      </c>
      <c r="W139" s="338">
        <f t="shared" si="69"/>
        <v>6</v>
      </c>
      <c r="X139" s="364"/>
      <c r="Y139" s="98"/>
      <c r="Z139" s="98"/>
    </row>
    <row r="140" spans="1:26" ht="12" customHeight="1">
      <c r="A140" s="180">
        <v>38580</v>
      </c>
      <c r="B140" s="360" t="s">
        <v>1008</v>
      </c>
      <c r="C140" s="98" t="s">
        <v>460</v>
      </c>
      <c r="D140" s="98">
        <v>25</v>
      </c>
      <c r="E140" s="181">
        <v>77.400000000000006</v>
      </c>
      <c r="F140" s="181">
        <f t="shared" si="71"/>
        <v>0.4</v>
      </c>
      <c r="G140" s="181">
        <f t="shared" si="72"/>
        <v>77</v>
      </c>
      <c r="H140" s="181">
        <f t="shared" si="61"/>
        <v>76.87</v>
      </c>
      <c r="I140" s="219">
        <f t="shared" si="62"/>
        <v>0.52839999999999998</v>
      </c>
      <c r="J140" s="181">
        <f t="shared" si="73"/>
        <v>1925</v>
      </c>
      <c r="K140" s="181">
        <f t="shared" si="74"/>
        <v>1921.8</v>
      </c>
      <c r="L140" s="181">
        <f t="shared" si="75"/>
        <v>10</v>
      </c>
      <c r="M140" s="181">
        <f t="shared" si="63"/>
        <v>1.02</v>
      </c>
      <c r="N140" s="181">
        <f t="shared" si="70"/>
        <v>1.93</v>
      </c>
      <c r="O140" s="181">
        <f t="shared" si="64"/>
        <v>6.737499999999999E-2</v>
      </c>
      <c r="P140" s="181">
        <f t="shared" si="65"/>
        <v>0.1925</v>
      </c>
      <c r="Q140" s="98">
        <f t="shared" si="66"/>
        <v>0</v>
      </c>
      <c r="R140" s="361">
        <v>1921.5</v>
      </c>
      <c r="S140" s="183">
        <f t="shared" si="67"/>
        <v>0.29999999999995453</v>
      </c>
      <c r="T140" s="180">
        <v>38586</v>
      </c>
      <c r="U140" s="362">
        <f>R140-(W$8*D140)-E$337</f>
        <v>647.5</v>
      </c>
      <c r="V140" s="363">
        <f>(U140/(W$8*D140))/W140*365</f>
        <v>4.975526315789474</v>
      </c>
      <c r="W140" s="338">
        <f>T140-T8</f>
        <v>38</v>
      </c>
      <c r="X140" s="364"/>
      <c r="Y140" s="98"/>
      <c r="Z140" s="98"/>
    </row>
    <row r="141" spans="1:26" ht="12" customHeight="1">
      <c r="A141" s="180">
        <v>38719</v>
      </c>
      <c r="B141" s="360" t="s">
        <v>1010</v>
      </c>
      <c r="C141" s="98" t="s">
        <v>460</v>
      </c>
      <c r="D141" s="98">
        <v>15</v>
      </c>
      <c r="E141" s="181">
        <v>613</v>
      </c>
      <c r="F141" s="181">
        <f t="shared" si="71"/>
        <v>3.07</v>
      </c>
      <c r="G141" s="181">
        <f t="shared" si="72"/>
        <v>609.92999999999995</v>
      </c>
      <c r="H141" s="181">
        <f t="shared" si="61"/>
        <v>608.91999999999996</v>
      </c>
      <c r="I141" s="219">
        <f t="shared" si="62"/>
        <v>4.0754999999999999</v>
      </c>
      <c r="J141" s="181">
        <f t="shared" si="73"/>
        <v>9148.9500000000007</v>
      </c>
      <c r="K141" s="181">
        <f t="shared" si="74"/>
        <v>9133.8700000000008</v>
      </c>
      <c r="L141" s="181">
        <f t="shared" si="75"/>
        <v>46.05</v>
      </c>
      <c r="M141" s="181">
        <f t="shared" si="63"/>
        <v>4.6970999999999998</v>
      </c>
      <c r="N141" s="181">
        <f t="shared" si="70"/>
        <v>9.15</v>
      </c>
      <c r="O141" s="181">
        <f t="shared" si="64"/>
        <v>0.32021325</v>
      </c>
      <c r="P141" s="181">
        <f t="shared" si="65"/>
        <v>0.91489500000000012</v>
      </c>
      <c r="Q141" s="98">
        <f t="shared" si="66"/>
        <v>0</v>
      </c>
      <c r="R141" s="361">
        <v>9132</v>
      </c>
      <c r="S141" s="183">
        <f t="shared" si="67"/>
        <v>1.8700000000008004</v>
      </c>
      <c r="T141" s="180">
        <v>38721</v>
      </c>
      <c r="U141" s="362">
        <f>R141-(W$14*D141)-E$337</f>
        <v>-772.04999999999927</v>
      </c>
      <c r="V141" s="363">
        <f>(U141/(W$14*D141))/W141*365</f>
        <v>-0.17286027720691496</v>
      </c>
      <c r="W141" s="338">
        <f>T141-V14</f>
        <v>165</v>
      </c>
      <c r="X141" s="364"/>
      <c r="Y141" s="98" t="s">
        <v>418</v>
      </c>
      <c r="Z141" s="98"/>
    </row>
    <row r="142" spans="1:26" ht="12" customHeight="1">
      <c r="A142" s="180">
        <v>38580</v>
      </c>
      <c r="B142" s="360" t="s">
        <v>1011</v>
      </c>
      <c r="C142" s="98" t="s">
        <v>460</v>
      </c>
      <c r="D142" s="98">
        <v>50</v>
      </c>
      <c r="E142" s="181">
        <v>65.3</v>
      </c>
      <c r="F142" s="181">
        <f t="shared" si="71"/>
        <v>0.33</v>
      </c>
      <c r="G142" s="181">
        <f t="shared" si="72"/>
        <v>64.97</v>
      </c>
      <c r="H142" s="181">
        <f t="shared" si="61"/>
        <v>64.86</v>
      </c>
      <c r="I142" s="219">
        <f t="shared" si="62"/>
        <v>0.4375</v>
      </c>
      <c r="J142" s="181">
        <f t="shared" si="73"/>
        <v>3248.5</v>
      </c>
      <c r="K142" s="181">
        <f t="shared" si="74"/>
        <v>3243.13</v>
      </c>
      <c r="L142" s="181">
        <f t="shared" si="75"/>
        <v>16.5</v>
      </c>
      <c r="M142" s="181">
        <f t="shared" si="63"/>
        <v>1.6829999999999998</v>
      </c>
      <c r="N142" s="181">
        <f t="shared" si="70"/>
        <v>3.25</v>
      </c>
      <c r="O142" s="181">
        <f t="shared" si="64"/>
        <v>0.11369749999999999</v>
      </c>
      <c r="P142" s="181">
        <f t="shared" si="65"/>
        <v>0.32485000000000003</v>
      </c>
      <c r="Q142" s="98">
        <f t="shared" si="66"/>
        <v>0</v>
      </c>
      <c r="R142" s="361">
        <v>3243</v>
      </c>
      <c r="S142" s="183">
        <f t="shared" si="67"/>
        <v>0.13000000000010914</v>
      </c>
      <c r="T142" s="180">
        <v>38586</v>
      </c>
      <c r="U142" s="362">
        <f t="shared" ref="U142:U143" si="77">(R142+R12)-E$337</f>
        <v>162</v>
      </c>
      <c r="V142" s="363">
        <f t="shared" ref="V142:V143" si="78">-(U142/R12)/W142*365</f>
        <v>0.60445289499509325</v>
      </c>
      <c r="W142" s="338">
        <f t="shared" ref="W142:W143" si="79">T142-T12</f>
        <v>32</v>
      </c>
      <c r="X142" s="364"/>
      <c r="Y142" s="98"/>
      <c r="Z142" s="98"/>
    </row>
    <row r="143" spans="1:26" ht="12" customHeight="1">
      <c r="A143" s="180">
        <v>38580</v>
      </c>
      <c r="B143" s="360" t="s">
        <v>1012</v>
      </c>
      <c r="C143" s="98" t="s">
        <v>460</v>
      </c>
      <c r="D143" s="98">
        <v>50</v>
      </c>
      <c r="E143" s="181">
        <v>128</v>
      </c>
      <c r="F143" s="181">
        <f t="shared" si="71"/>
        <v>0.64</v>
      </c>
      <c r="G143" s="181">
        <f t="shared" si="72"/>
        <v>127.36</v>
      </c>
      <c r="H143" s="181">
        <f t="shared" si="61"/>
        <v>127.15</v>
      </c>
      <c r="I143" s="219">
        <f t="shared" si="62"/>
        <v>0.84989999999999999</v>
      </c>
      <c r="J143" s="181">
        <f t="shared" si="73"/>
        <v>6368</v>
      </c>
      <c r="K143" s="181">
        <f t="shared" si="74"/>
        <v>6357.51</v>
      </c>
      <c r="L143" s="181">
        <f t="shared" si="75"/>
        <v>32</v>
      </c>
      <c r="M143" s="181">
        <f t="shared" si="63"/>
        <v>3.2639999999999998</v>
      </c>
      <c r="N143" s="181">
        <f t="shared" si="70"/>
        <v>6.37</v>
      </c>
      <c r="O143" s="181">
        <f t="shared" si="64"/>
        <v>0.22287999999999997</v>
      </c>
      <c r="P143" s="181">
        <f t="shared" si="65"/>
        <v>0.63680000000000003</v>
      </c>
      <c r="Q143" s="98">
        <f t="shared" si="66"/>
        <v>0</v>
      </c>
      <c r="R143" s="361">
        <v>6357.5</v>
      </c>
      <c r="S143" s="183">
        <f t="shared" si="67"/>
        <v>1.0000000000218279E-2</v>
      </c>
      <c r="T143" s="180">
        <v>38586</v>
      </c>
      <c r="U143" s="362">
        <f t="shared" si="77"/>
        <v>981.5</v>
      </c>
      <c r="V143" s="363">
        <f t="shared" si="78"/>
        <v>2.0917851971225709</v>
      </c>
      <c r="W143" s="338">
        <f t="shared" si="79"/>
        <v>32</v>
      </c>
      <c r="X143" s="364"/>
      <c r="Y143" s="98"/>
      <c r="Z143" s="98"/>
    </row>
    <row r="144" spans="1:26" ht="12" customHeight="1">
      <c r="A144" s="180">
        <v>38615</v>
      </c>
      <c r="B144" s="360" t="s">
        <v>1013</v>
      </c>
      <c r="C144" s="98" t="s">
        <v>460</v>
      </c>
      <c r="D144" s="98">
        <v>15</v>
      </c>
      <c r="E144" s="181">
        <v>763</v>
      </c>
      <c r="F144" s="181">
        <f t="shared" si="71"/>
        <v>3.82</v>
      </c>
      <c r="G144" s="181">
        <f t="shared" si="72"/>
        <v>759.18</v>
      </c>
      <c r="H144" s="181">
        <f t="shared" si="61"/>
        <v>757.93</v>
      </c>
      <c r="I144" s="219">
        <f t="shared" si="62"/>
        <v>5.0714999999999995</v>
      </c>
      <c r="J144" s="181">
        <f t="shared" si="73"/>
        <v>11387.7</v>
      </c>
      <c r="K144" s="181">
        <f t="shared" si="74"/>
        <v>11368.93</v>
      </c>
      <c r="L144" s="181">
        <f t="shared" si="75"/>
        <v>57.3</v>
      </c>
      <c r="M144" s="181">
        <f t="shared" si="63"/>
        <v>5.8445999999999989</v>
      </c>
      <c r="N144" s="181">
        <f t="shared" si="70"/>
        <v>11.39</v>
      </c>
      <c r="O144" s="181">
        <f t="shared" si="64"/>
        <v>0.39856949999999997</v>
      </c>
      <c r="P144" s="181">
        <f t="shared" si="65"/>
        <v>1.1387700000000001</v>
      </c>
      <c r="Q144" s="98">
        <f t="shared" si="66"/>
        <v>0</v>
      </c>
      <c r="R144" s="361">
        <v>11369</v>
      </c>
      <c r="S144" s="183">
        <f t="shared" si="67"/>
        <v>-6.9999999999708962E-2</v>
      </c>
      <c r="T144" s="180">
        <v>38616</v>
      </c>
      <c r="U144" s="362">
        <f t="shared" ref="U144:U149" si="80">(R144+R15)-E$337</f>
        <v>224</v>
      </c>
      <c r="V144" s="363">
        <f t="shared" ref="V144:V149" si="81">-(U144/R15)/W144*365</f>
        <v>0.15642248611501722</v>
      </c>
      <c r="W144" s="338">
        <f t="shared" ref="W144:W149" si="82">T144-T15</f>
        <v>47</v>
      </c>
      <c r="X144" s="364"/>
      <c r="Y144" s="98"/>
      <c r="Z144" s="98"/>
    </row>
    <row r="145" spans="1:26" ht="12" customHeight="1">
      <c r="A145" s="180">
        <v>38630</v>
      </c>
      <c r="B145" s="360" t="s">
        <v>1014</v>
      </c>
      <c r="C145" s="98" t="s">
        <v>460</v>
      </c>
      <c r="D145" s="98">
        <v>100</v>
      </c>
      <c r="E145" s="181">
        <v>37.75</v>
      </c>
      <c r="F145" s="181">
        <f t="shared" si="71"/>
        <v>0.19</v>
      </c>
      <c r="G145" s="181">
        <f t="shared" si="72"/>
        <v>37.56</v>
      </c>
      <c r="H145" s="181">
        <f t="shared" si="61"/>
        <v>37.5</v>
      </c>
      <c r="I145" s="219">
        <f t="shared" si="62"/>
        <v>0.25209999999999999</v>
      </c>
      <c r="J145" s="181">
        <f t="shared" si="73"/>
        <v>3756</v>
      </c>
      <c r="K145" s="181">
        <f t="shared" si="74"/>
        <v>3749.8</v>
      </c>
      <c r="L145" s="181">
        <f t="shared" si="75"/>
        <v>19</v>
      </c>
      <c r="M145" s="181">
        <f t="shared" si="63"/>
        <v>1.9379999999999999</v>
      </c>
      <c r="N145" s="181">
        <f t="shared" si="70"/>
        <v>3.76</v>
      </c>
      <c r="O145" s="181">
        <f t="shared" si="64"/>
        <v>0.13145999999999999</v>
      </c>
      <c r="P145" s="181">
        <f t="shared" si="65"/>
        <v>0.37560000000000004</v>
      </c>
      <c r="Q145" s="98">
        <f t="shared" si="66"/>
        <v>0</v>
      </c>
      <c r="R145" s="361">
        <v>3750</v>
      </c>
      <c r="S145" s="183">
        <f t="shared" si="67"/>
        <v>-0.1999999999998181</v>
      </c>
      <c r="T145" s="180">
        <v>38643</v>
      </c>
      <c r="U145" s="362">
        <f t="shared" si="80"/>
        <v>161.69000000000005</v>
      </c>
      <c r="V145" s="363">
        <f t="shared" si="81"/>
        <v>0.29048633068766005</v>
      </c>
      <c r="W145" s="338">
        <f t="shared" si="82"/>
        <v>57</v>
      </c>
      <c r="X145" s="364"/>
      <c r="Y145" s="98" t="s">
        <v>418</v>
      </c>
      <c r="Z145" s="98"/>
    </row>
    <row r="146" spans="1:26" ht="12" customHeight="1">
      <c r="A146" s="180">
        <v>38784</v>
      </c>
      <c r="B146" s="360" t="s">
        <v>1015</v>
      </c>
      <c r="C146" s="98" t="s">
        <v>460</v>
      </c>
      <c r="D146" s="98">
        <v>100</v>
      </c>
      <c r="E146" s="181">
        <v>35.549999999999997</v>
      </c>
      <c r="F146" s="181">
        <f t="shared" si="71"/>
        <v>0.18</v>
      </c>
      <c r="G146" s="181">
        <f t="shared" si="72"/>
        <v>35.369999999999997</v>
      </c>
      <c r="H146" s="181">
        <f t="shared" si="61"/>
        <v>35.31</v>
      </c>
      <c r="I146" s="219">
        <f t="shared" si="62"/>
        <v>0.23859999999999998</v>
      </c>
      <c r="J146" s="181">
        <f t="shared" si="73"/>
        <v>3537</v>
      </c>
      <c r="K146" s="181">
        <f t="shared" si="74"/>
        <v>3531.15</v>
      </c>
      <c r="L146" s="181">
        <f t="shared" si="75"/>
        <v>18</v>
      </c>
      <c r="M146" s="181">
        <f t="shared" si="63"/>
        <v>1.8359999999999999</v>
      </c>
      <c r="N146" s="181">
        <f t="shared" si="70"/>
        <v>3.54</v>
      </c>
      <c r="O146" s="181">
        <f t="shared" si="64"/>
        <v>0.12379499999999999</v>
      </c>
      <c r="P146" s="181">
        <f t="shared" si="65"/>
        <v>0.35370000000000001</v>
      </c>
      <c r="Q146" s="98">
        <f t="shared" si="66"/>
        <v>0</v>
      </c>
      <c r="R146" s="361">
        <v>3530.46</v>
      </c>
      <c r="S146" s="183">
        <f t="shared" si="67"/>
        <v>0.69000000000005457</v>
      </c>
      <c r="T146" s="180">
        <v>38786</v>
      </c>
      <c r="U146" s="362">
        <f t="shared" si="80"/>
        <v>109.46000000000004</v>
      </c>
      <c r="V146" s="363">
        <f t="shared" si="81"/>
        <v>5.9400154027766647E-2</v>
      </c>
      <c r="W146" s="338">
        <f t="shared" si="82"/>
        <v>198</v>
      </c>
      <c r="X146" s="364"/>
      <c r="Y146" s="98" t="s">
        <v>418</v>
      </c>
      <c r="Z146" s="98"/>
    </row>
    <row r="147" spans="1:26" ht="12" customHeight="1">
      <c r="A147" s="180">
        <v>38597</v>
      </c>
      <c r="B147" s="360" t="s">
        <v>1008</v>
      </c>
      <c r="C147" s="98" t="s">
        <v>460</v>
      </c>
      <c r="D147" s="98">
        <v>50</v>
      </c>
      <c r="E147" s="181">
        <v>79</v>
      </c>
      <c r="F147" s="181">
        <f t="shared" si="71"/>
        <v>0.4</v>
      </c>
      <c r="G147" s="181">
        <f t="shared" si="72"/>
        <v>78.599999999999994</v>
      </c>
      <c r="H147" s="181">
        <f t="shared" si="61"/>
        <v>78.47</v>
      </c>
      <c r="I147" s="219">
        <f t="shared" si="62"/>
        <v>0.53010000000000002</v>
      </c>
      <c r="J147" s="181">
        <f t="shared" si="73"/>
        <v>3930</v>
      </c>
      <c r="K147" s="181">
        <f t="shared" si="74"/>
        <v>3923.5</v>
      </c>
      <c r="L147" s="181">
        <f t="shared" si="75"/>
        <v>20</v>
      </c>
      <c r="M147" s="181">
        <f t="shared" si="63"/>
        <v>2.04</v>
      </c>
      <c r="N147" s="181">
        <f t="shared" si="70"/>
        <v>3.93</v>
      </c>
      <c r="O147" s="181">
        <f t="shared" si="64"/>
        <v>0.13754999999999998</v>
      </c>
      <c r="P147" s="181">
        <f t="shared" si="65"/>
        <v>0.39300000000000002</v>
      </c>
      <c r="Q147" s="98">
        <f t="shared" si="66"/>
        <v>0</v>
      </c>
      <c r="R147" s="361">
        <v>3923</v>
      </c>
      <c r="S147" s="183">
        <f t="shared" si="67"/>
        <v>0.5</v>
      </c>
      <c r="T147" s="180">
        <v>38598</v>
      </c>
      <c r="U147" s="362">
        <f t="shared" si="80"/>
        <v>275.07000000000016</v>
      </c>
      <c r="V147" s="363">
        <f t="shared" si="81"/>
        <v>2.7704881164923183</v>
      </c>
      <c r="W147" s="338">
        <f t="shared" si="82"/>
        <v>10</v>
      </c>
      <c r="X147" s="364"/>
      <c r="Y147" s="98"/>
      <c r="Z147" s="98"/>
    </row>
    <row r="148" spans="1:26" ht="12" customHeight="1">
      <c r="A148" s="180">
        <v>38705</v>
      </c>
      <c r="B148" s="360" t="s">
        <v>1016</v>
      </c>
      <c r="C148" s="98" t="s">
        <v>460</v>
      </c>
      <c r="D148" s="98">
        <v>50</v>
      </c>
      <c r="E148" s="181">
        <v>150</v>
      </c>
      <c r="F148" s="181">
        <f t="shared" si="71"/>
        <v>0.75</v>
      </c>
      <c r="G148" s="181">
        <f t="shared" si="72"/>
        <v>149.25</v>
      </c>
      <c r="H148" s="181">
        <f t="shared" si="61"/>
        <v>149</v>
      </c>
      <c r="I148" s="219">
        <f t="shared" si="62"/>
        <v>0.99590000000000001</v>
      </c>
      <c r="J148" s="181">
        <f t="shared" si="73"/>
        <v>7462.5</v>
      </c>
      <c r="K148" s="181">
        <f t="shared" si="74"/>
        <v>7450.21</v>
      </c>
      <c r="L148" s="181">
        <f t="shared" si="75"/>
        <v>37.5</v>
      </c>
      <c r="M148" s="181">
        <f t="shared" si="63"/>
        <v>3.8249999999999997</v>
      </c>
      <c r="N148" s="181">
        <f t="shared" si="70"/>
        <v>7.46</v>
      </c>
      <c r="O148" s="181">
        <f t="shared" si="64"/>
        <v>0.26118749999999996</v>
      </c>
      <c r="P148" s="181">
        <f t="shared" si="65"/>
        <v>0.74625000000000008</v>
      </c>
      <c r="Q148" s="98">
        <f t="shared" si="66"/>
        <v>0</v>
      </c>
      <c r="R148" s="181">
        <v>7450</v>
      </c>
      <c r="S148" s="183">
        <f t="shared" si="67"/>
        <v>0.21000000000003638</v>
      </c>
      <c r="T148" s="180">
        <v>38707</v>
      </c>
      <c r="U148" s="362">
        <f t="shared" si="80"/>
        <v>258.80000000000018</v>
      </c>
      <c r="V148" s="363">
        <f t="shared" si="81"/>
        <v>0.12091526024263446</v>
      </c>
      <c r="W148" s="338">
        <f t="shared" si="82"/>
        <v>109</v>
      </c>
      <c r="X148" s="364"/>
      <c r="Y148" s="98" t="s">
        <v>418</v>
      </c>
      <c r="Z148" s="98"/>
    </row>
    <row r="149" spans="1:26" ht="12" customHeight="1">
      <c r="A149" s="180">
        <v>38673</v>
      </c>
      <c r="B149" s="360" t="s">
        <v>1017</v>
      </c>
      <c r="C149" s="98" t="s">
        <v>460</v>
      </c>
      <c r="D149" s="98">
        <v>50</v>
      </c>
      <c r="E149" s="181">
        <v>30.55</v>
      </c>
      <c r="F149" s="181">
        <f t="shared" si="71"/>
        <v>0.2</v>
      </c>
      <c r="G149" s="181">
        <f t="shared" si="72"/>
        <v>30.35</v>
      </c>
      <c r="H149" s="181">
        <f t="shared" si="61"/>
        <v>30.3</v>
      </c>
      <c r="I149" s="219">
        <f t="shared" si="62"/>
        <v>0.25490000000000002</v>
      </c>
      <c r="J149" s="181">
        <f t="shared" si="73"/>
        <v>1517.5</v>
      </c>
      <c r="K149" s="181">
        <f t="shared" si="74"/>
        <v>1514.76</v>
      </c>
      <c r="L149" s="181">
        <f t="shared" si="75"/>
        <v>10</v>
      </c>
      <c r="M149" s="181">
        <f t="shared" si="63"/>
        <v>1.02</v>
      </c>
      <c r="N149" s="181">
        <f t="shared" si="70"/>
        <v>1.52</v>
      </c>
      <c r="O149" s="181">
        <f t="shared" si="64"/>
        <v>5.3112499999999993E-2</v>
      </c>
      <c r="P149" s="181">
        <f t="shared" si="65"/>
        <v>0.15175</v>
      </c>
      <c r="Q149" s="98">
        <f t="shared" si="66"/>
        <v>0</v>
      </c>
      <c r="R149" s="361">
        <v>1514.28</v>
      </c>
      <c r="S149" s="183">
        <f t="shared" si="67"/>
        <v>0.48000000000001819</v>
      </c>
      <c r="T149" s="180">
        <v>38678</v>
      </c>
      <c r="U149" s="362">
        <f t="shared" si="80"/>
        <v>22.680000000000064</v>
      </c>
      <c r="V149" s="363">
        <f t="shared" si="81"/>
        <v>7.0507972199509605E-2</v>
      </c>
      <c r="W149" s="338">
        <f t="shared" si="82"/>
        <v>80</v>
      </c>
      <c r="X149" s="364"/>
      <c r="Y149" s="98"/>
      <c r="Z149" s="98"/>
    </row>
    <row r="150" spans="1:26" ht="12" customHeight="1">
      <c r="A150" s="180">
        <v>38719</v>
      </c>
      <c r="B150" s="360" t="s">
        <v>1018</v>
      </c>
      <c r="C150" s="98" t="s">
        <v>460</v>
      </c>
      <c r="D150" s="98">
        <v>400</v>
      </c>
      <c r="E150" s="181">
        <v>10.18</v>
      </c>
      <c r="F150" s="181">
        <f t="shared" si="71"/>
        <v>0.05</v>
      </c>
      <c r="G150" s="181">
        <f t="shared" si="72"/>
        <v>10.129999999999999</v>
      </c>
      <c r="H150" s="181">
        <f t="shared" si="61"/>
        <v>10.11</v>
      </c>
      <c r="I150" s="219">
        <f t="shared" si="62"/>
        <v>6.6600000000000006E-2</v>
      </c>
      <c r="J150" s="181">
        <f t="shared" si="73"/>
        <v>4052</v>
      </c>
      <c r="K150" s="181">
        <f t="shared" si="74"/>
        <v>4045.3700000000003</v>
      </c>
      <c r="L150" s="181">
        <f t="shared" si="75"/>
        <v>20</v>
      </c>
      <c r="M150" s="181">
        <f t="shared" si="63"/>
        <v>2.04</v>
      </c>
      <c r="N150" s="181">
        <f t="shared" si="70"/>
        <v>4.05</v>
      </c>
      <c r="O150" s="181">
        <f t="shared" si="64"/>
        <v>0.14181999999999997</v>
      </c>
      <c r="P150" s="181">
        <f t="shared" si="65"/>
        <v>0.4052</v>
      </c>
      <c r="Q150" s="98">
        <f t="shared" si="66"/>
        <v>0</v>
      </c>
      <c r="R150" s="361">
        <v>4045</v>
      </c>
      <c r="S150" s="183">
        <f t="shared" si="67"/>
        <v>0.37000000000034561</v>
      </c>
      <c r="T150" s="180">
        <v>38721</v>
      </c>
      <c r="U150" s="362">
        <f>R150-(W$76*D150)-E$337</f>
        <v>-1379</v>
      </c>
      <c r="V150" s="363">
        <f>(U150/(W$76*D150))/W150*365</f>
        <v>-2.0263083735909824</v>
      </c>
      <c r="W150" s="338">
        <f>T150-V76</f>
        <v>46</v>
      </c>
      <c r="X150" s="364"/>
      <c r="Y150" s="98" t="s">
        <v>418</v>
      </c>
      <c r="Z150" s="98"/>
    </row>
    <row r="151" spans="1:26" ht="12" customHeight="1">
      <c r="A151" s="180">
        <v>38716</v>
      </c>
      <c r="B151" s="360" t="s">
        <v>1020</v>
      </c>
      <c r="C151" s="98" t="s">
        <v>460</v>
      </c>
      <c r="D151" s="98">
        <v>10</v>
      </c>
      <c r="E151" s="181">
        <v>133.4</v>
      </c>
      <c r="F151" s="181">
        <f t="shared" si="71"/>
        <v>1</v>
      </c>
      <c r="G151" s="181">
        <f t="shared" si="72"/>
        <v>132.4</v>
      </c>
      <c r="H151" s="181">
        <f t="shared" si="61"/>
        <v>132.15</v>
      </c>
      <c r="I151" s="219">
        <f t="shared" si="62"/>
        <v>1.2519</v>
      </c>
      <c r="J151" s="181">
        <f t="shared" si="73"/>
        <v>1324</v>
      </c>
      <c r="K151" s="181">
        <f t="shared" si="74"/>
        <v>1321.49</v>
      </c>
      <c r="L151" s="181">
        <f t="shared" si="75"/>
        <v>10</v>
      </c>
      <c r="M151" s="181">
        <f t="shared" si="63"/>
        <v>1.02</v>
      </c>
      <c r="N151" s="181">
        <f t="shared" si="70"/>
        <v>1.32</v>
      </c>
      <c r="O151" s="181">
        <f t="shared" si="64"/>
        <v>4.6339999999999999E-2</v>
      </c>
      <c r="P151" s="181">
        <f t="shared" si="65"/>
        <v>0.13240000000000002</v>
      </c>
      <c r="Q151" s="98">
        <f t="shared" si="66"/>
        <v>0</v>
      </c>
      <c r="R151" s="361">
        <v>1322.21</v>
      </c>
      <c r="S151" s="183">
        <f t="shared" si="67"/>
        <v>-0.72000000000002728</v>
      </c>
      <c r="T151" s="180">
        <v>38720</v>
      </c>
      <c r="U151" s="362">
        <f t="shared" ref="U151:U154" si="83">(R151+R23)-E$337</f>
        <v>-1470.79</v>
      </c>
      <c r="V151" s="363">
        <f t="shared" ref="V151:V154" si="84">-(U151/R23)/W151*365</f>
        <v>-1.7951337894413015</v>
      </c>
      <c r="W151" s="338">
        <f t="shared" ref="W151:W154" si="85">T151-T23</f>
        <v>108</v>
      </c>
      <c r="X151" s="364"/>
      <c r="Y151" s="98" t="s">
        <v>418</v>
      </c>
      <c r="Z151" s="98"/>
    </row>
    <row r="152" spans="1:26" ht="12" customHeight="1">
      <c r="A152" s="180">
        <v>38686</v>
      </c>
      <c r="B152" s="360" t="s">
        <v>1021</v>
      </c>
      <c r="C152" s="98" t="s">
        <v>460</v>
      </c>
      <c r="D152" s="98">
        <v>100</v>
      </c>
      <c r="E152" s="181">
        <v>21.5</v>
      </c>
      <c r="F152" s="181">
        <f t="shared" si="71"/>
        <v>0.11</v>
      </c>
      <c r="G152" s="181">
        <f t="shared" si="72"/>
        <v>21.39</v>
      </c>
      <c r="H152" s="181">
        <f t="shared" si="61"/>
        <v>21.35</v>
      </c>
      <c r="I152" s="219">
        <f t="shared" si="62"/>
        <v>0.14559999999999998</v>
      </c>
      <c r="J152" s="181">
        <f t="shared" si="73"/>
        <v>2139</v>
      </c>
      <c r="K152" s="181">
        <f t="shared" si="74"/>
        <v>2135.4500000000003</v>
      </c>
      <c r="L152" s="181">
        <f t="shared" si="75"/>
        <v>11</v>
      </c>
      <c r="M152" s="181">
        <f t="shared" si="63"/>
        <v>1.1219999999999999</v>
      </c>
      <c r="N152" s="181">
        <f t="shared" si="70"/>
        <v>2.14</v>
      </c>
      <c r="O152" s="181">
        <f t="shared" si="64"/>
        <v>7.4864999999999987E-2</v>
      </c>
      <c r="P152" s="181">
        <f t="shared" si="65"/>
        <v>0.21390000000000001</v>
      </c>
      <c r="Q152" s="98">
        <f t="shared" si="66"/>
        <v>0</v>
      </c>
      <c r="R152" s="361">
        <v>2135.46</v>
      </c>
      <c r="S152" s="183">
        <f t="shared" si="67"/>
        <v>-9.9999999997635314E-3</v>
      </c>
      <c r="T152" s="180">
        <v>38692</v>
      </c>
      <c r="U152" s="362">
        <f t="shared" si="83"/>
        <v>58.460000000000036</v>
      </c>
      <c r="V152" s="363">
        <f t="shared" si="84"/>
        <v>0.13675686415258809</v>
      </c>
      <c r="W152" s="338">
        <f t="shared" si="85"/>
        <v>76</v>
      </c>
      <c r="X152" s="364"/>
      <c r="Y152" s="98" t="s">
        <v>418</v>
      </c>
      <c r="Z152" s="98"/>
    </row>
    <row r="153" spans="1:26" ht="12" customHeight="1">
      <c r="A153" s="180">
        <v>38623</v>
      </c>
      <c r="B153" s="360" t="s">
        <v>1012</v>
      </c>
      <c r="C153" s="98" t="s">
        <v>460</v>
      </c>
      <c r="D153" s="98">
        <v>50</v>
      </c>
      <c r="E153" s="181">
        <v>140.75</v>
      </c>
      <c r="F153" s="181">
        <f t="shared" si="71"/>
        <v>0.7</v>
      </c>
      <c r="G153" s="181">
        <f t="shared" si="72"/>
        <v>140.05000000000001</v>
      </c>
      <c r="H153" s="181">
        <f t="shared" si="61"/>
        <v>139.82</v>
      </c>
      <c r="I153" s="219">
        <f t="shared" si="62"/>
        <v>0.9304</v>
      </c>
      <c r="J153" s="181">
        <f t="shared" si="73"/>
        <v>7002.5</v>
      </c>
      <c r="K153" s="181">
        <f t="shared" si="74"/>
        <v>6990.99</v>
      </c>
      <c r="L153" s="181">
        <f t="shared" si="75"/>
        <v>35</v>
      </c>
      <c r="M153" s="181">
        <f t="shared" si="63"/>
        <v>3.57</v>
      </c>
      <c r="N153" s="181">
        <f t="shared" si="70"/>
        <v>7</v>
      </c>
      <c r="O153" s="181">
        <f t="shared" si="64"/>
        <v>0.24508749999999999</v>
      </c>
      <c r="P153" s="181">
        <f t="shared" si="65"/>
        <v>0.70025000000000004</v>
      </c>
      <c r="Q153" s="98">
        <f t="shared" si="66"/>
        <v>0</v>
      </c>
      <c r="R153" s="361">
        <v>6991</v>
      </c>
      <c r="S153" s="183">
        <f t="shared" si="67"/>
        <v>-1.0000000000218279E-2</v>
      </c>
      <c r="T153" s="180">
        <v>38628</v>
      </c>
      <c r="U153" s="362">
        <f t="shared" si="83"/>
        <v>323</v>
      </c>
      <c r="V153" s="363">
        <f t="shared" si="84"/>
        <v>1.6131437797602759</v>
      </c>
      <c r="W153" s="338">
        <f t="shared" si="85"/>
        <v>11</v>
      </c>
      <c r="X153" s="364"/>
      <c r="Y153" s="98" t="s">
        <v>418</v>
      </c>
      <c r="Z153" s="98"/>
    </row>
    <row r="154" spans="1:26" ht="12" customHeight="1">
      <c r="A154" s="180">
        <v>38622</v>
      </c>
      <c r="B154" s="360" t="s">
        <v>1022</v>
      </c>
      <c r="C154" s="98" t="s">
        <v>460</v>
      </c>
      <c r="D154" s="98">
        <v>100</v>
      </c>
      <c r="E154" s="181">
        <v>82.55</v>
      </c>
      <c r="F154" s="181">
        <f t="shared" si="71"/>
        <v>0.41</v>
      </c>
      <c r="G154" s="181">
        <f t="shared" si="72"/>
        <v>82.14</v>
      </c>
      <c r="H154" s="181">
        <f t="shared" si="61"/>
        <v>82</v>
      </c>
      <c r="I154" s="219">
        <f t="shared" si="62"/>
        <v>0.54510000000000003</v>
      </c>
      <c r="J154" s="181">
        <f t="shared" si="73"/>
        <v>8214</v>
      </c>
      <c r="K154" s="181">
        <f t="shared" si="74"/>
        <v>8200.5</v>
      </c>
      <c r="L154" s="181">
        <f t="shared" si="75"/>
        <v>41</v>
      </c>
      <c r="M154" s="181">
        <f t="shared" si="63"/>
        <v>4.1819999999999995</v>
      </c>
      <c r="N154" s="181">
        <f t="shared" si="70"/>
        <v>8.2100000000000009</v>
      </c>
      <c r="O154" s="181">
        <f t="shared" si="64"/>
        <v>0.28748999999999997</v>
      </c>
      <c r="P154" s="181">
        <f t="shared" si="65"/>
        <v>0.82140000000000002</v>
      </c>
      <c r="Q154" s="98">
        <f t="shared" si="66"/>
        <v>0</v>
      </c>
      <c r="R154" s="361">
        <v>8201.18</v>
      </c>
      <c r="S154" s="183">
        <f t="shared" si="67"/>
        <v>-0.68000000000029104</v>
      </c>
      <c r="T154" s="180">
        <v>38624</v>
      </c>
      <c r="U154" s="362">
        <f t="shared" si="83"/>
        <v>260.18000000000029</v>
      </c>
      <c r="V154" s="363">
        <f t="shared" si="84"/>
        <v>1.4993952886194282</v>
      </c>
      <c r="W154" s="338">
        <f t="shared" si="85"/>
        <v>8</v>
      </c>
      <c r="X154" s="364"/>
      <c r="Y154" s="98" t="s">
        <v>418</v>
      </c>
      <c r="Z154" s="98"/>
    </row>
    <row r="155" spans="1:26" ht="12" customHeight="1">
      <c r="A155" s="180">
        <v>38839</v>
      </c>
      <c r="B155" s="360" t="s">
        <v>1023</v>
      </c>
      <c r="C155" s="98" t="s">
        <v>460</v>
      </c>
      <c r="D155" s="98">
        <v>125</v>
      </c>
      <c r="E155" s="181">
        <v>92</v>
      </c>
      <c r="F155" s="181">
        <f t="shared" si="71"/>
        <v>0.46</v>
      </c>
      <c r="G155" s="181">
        <f t="shared" si="72"/>
        <v>91.54</v>
      </c>
      <c r="H155" s="181">
        <f t="shared" si="61"/>
        <v>91.38</v>
      </c>
      <c r="I155" s="219">
        <f t="shared" si="62"/>
        <v>0.62019999999999997</v>
      </c>
      <c r="J155" s="181">
        <f t="shared" si="73"/>
        <v>11442.5</v>
      </c>
      <c r="K155" s="181">
        <f t="shared" si="74"/>
        <v>11422.48</v>
      </c>
      <c r="L155" s="181">
        <f t="shared" si="75"/>
        <v>57.5</v>
      </c>
      <c r="M155" s="181">
        <f>L155*F$328</f>
        <v>7.0379999999999994</v>
      </c>
      <c r="N155" s="181">
        <f t="shared" si="70"/>
        <v>11.44</v>
      </c>
      <c r="O155" s="181">
        <f t="shared" si="64"/>
        <v>0.40048749999999994</v>
      </c>
      <c r="P155" s="181">
        <f t="shared" si="65"/>
        <v>1.14425</v>
      </c>
      <c r="Q155" s="98">
        <f t="shared" si="66"/>
        <v>0</v>
      </c>
      <c r="R155" s="361">
        <v>11422.11</v>
      </c>
      <c r="S155" s="183">
        <f t="shared" si="67"/>
        <v>0.36999999999898137</v>
      </c>
      <c r="T155" s="180">
        <v>38841</v>
      </c>
      <c r="U155" s="362">
        <f>R155-(W$71*D155)-E$337</f>
        <v>-5424.3899999999994</v>
      </c>
      <c r="V155" s="363">
        <f>(U155/(W$71*D155))/W155*365</f>
        <v>-0.58846852429781538</v>
      </c>
      <c r="W155" s="338">
        <f>T155-V71</f>
        <v>200</v>
      </c>
      <c r="X155" s="364"/>
      <c r="Y155" s="98" t="s">
        <v>418</v>
      </c>
      <c r="Z155" s="98"/>
    </row>
    <row r="156" spans="1:26" ht="12" customHeight="1">
      <c r="A156" s="180">
        <v>38730</v>
      </c>
      <c r="B156" s="360" t="s">
        <v>1024</v>
      </c>
      <c r="C156" s="98" t="s">
        <v>460</v>
      </c>
      <c r="D156" s="98">
        <v>50</v>
      </c>
      <c r="E156" s="181">
        <v>167</v>
      </c>
      <c r="F156" s="181">
        <f t="shared" si="71"/>
        <v>0.84</v>
      </c>
      <c r="G156" s="181">
        <f t="shared" si="72"/>
        <v>166.16</v>
      </c>
      <c r="H156" s="181">
        <f t="shared" si="61"/>
        <v>165.89</v>
      </c>
      <c r="I156" s="219">
        <f t="shared" si="62"/>
        <v>1.1144000000000001</v>
      </c>
      <c r="J156" s="181">
        <f t="shared" si="73"/>
        <v>8308</v>
      </c>
      <c r="K156" s="181">
        <f t="shared" si="74"/>
        <v>8294.2900000000009</v>
      </c>
      <c r="L156" s="181">
        <f t="shared" si="75"/>
        <v>42</v>
      </c>
      <c r="M156" s="181">
        <f t="shared" ref="M156:M170" si="86">L156*E$328</f>
        <v>4.2839999999999998</v>
      </c>
      <c r="N156" s="181">
        <f t="shared" si="70"/>
        <v>8.31</v>
      </c>
      <c r="O156" s="181">
        <f t="shared" si="64"/>
        <v>0.29077999999999998</v>
      </c>
      <c r="P156" s="181">
        <f t="shared" si="65"/>
        <v>0.83080000000000009</v>
      </c>
      <c r="Q156" s="98">
        <f t="shared" si="66"/>
        <v>0</v>
      </c>
      <c r="R156" s="361">
        <v>8294.06</v>
      </c>
      <c r="S156" s="183">
        <f t="shared" si="67"/>
        <v>0.23000000000138243</v>
      </c>
      <c r="T156" s="180">
        <v>38734</v>
      </c>
      <c r="U156" s="362">
        <f t="shared" ref="U156:U160" si="87">(R156+R28)-E$337</f>
        <v>66.059999999999491</v>
      </c>
      <c r="V156" s="363">
        <f t="shared" ref="V156:V160" si="88">-(U156/R28)/W156*365</f>
        <v>2.4907135006486929E-2</v>
      </c>
      <c r="W156" s="338">
        <f t="shared" ref="W156:W160" si="89">T156-T28</f>
        <v>118</v>
      </c>
      <c r="X156" s="364"/>
      <c r="Y156" s="98" t="s">
        <v>418</v>
      </c>
      <c r="Z156" s="98"/>
    </row>
    <row r="157" spans="1:26" ht="12" customHeight="1">
      <c r="A157" s="180">
        <v>38713</v>
      </c>
      <c r="B157" s="360" t="s">
        <v>1025</v>
      </c>
      <c r="C157" s="98" t="s">
        <v>460</v>
      </c>
      <c r="D157" s="98">
        <v>100</v>
      </c>
      <c r="E157" s="181">
        <v>45.5</v>
      </c>
      <c r="F157" s="181">
        <f t="shared" si="71"/>
        <v>0.23</v>
      </c>
      <c r="G157" s="181">
        <f t="shared" si="72"/>
        <v>45.27</v>
      </c>
      <c r="H157" s="181">
        <f t="shared" si="61"/>
        <v>45.2</v>
      </c>
      <c r="I157" s="219">
        <f t="shared" si="62"/>
        <v>0.3049</v>
      </c>
      <c r="J157" s="181">
        <f t="shared" si="73"/>
        <v>4527</v>
      </c>
      <c r="K157" s="181">
        <f t="shared" si="74"/>
        <v>4519.5200000000004</v>
      </c>
      <c r="L157" s="181">
        <f t="shared" si="75"/>
        <v>23</v>
      </c>
      <c r="M157" s="181">
        <f t="shared" si="86"/>
        <v>2.3459999999999996</v>
      </c>
      <c r="N157" s="181">
        <f t="shared" si="70"/>
        <v>4.53</v>
      </c>
      <c r="O157" s="181">
        <f t="shared" si="64"/>
        <v>0.15844499999999997</v>
      </c>
      <c r="P157" s="181">
        <f t="shared" si="65"/>
        <v>0.45270000000000005</v>
      </c>
      <c r="Q157" s="98">
        <f t="shared" si="66"/>
        <v>0</v>
      </c>
      <c r="R157" s="361">
        <v>4519</v>
      </c>
      <c r="S157" s="183">
        <f t="shared" si="67"/>
        <v>0.52000000000043656</v>
      </c>
      <c r="T157" s="180">
        <v>38715</v>
      </c>
      <c r="U157" s="362">
        <f t="shared" si="87"/>
        <v>16</v>
      </c>
      <c r="V157" s="363">
        <f t="shared" si="88"/>
        <v>1.330471907450187E-2</v>
      </c>
      <c r="W157" s="338">
        <f t="shared" si="89"/>
        <v>98</v>
      </c>
      <c r="X157" s="364"/>
      <c r="Y157" s="98" t="s">
        <v>418</v>
      </c>
      <c r="Z157" s="98"/>
    </row>
    <row r="158" spans="1:26" ht="12" customHeight="1">
      <c r="A158" s="180">
        <v>38630</v>
      </c>
      <c r="B158" s="360" t="s">
        <v>1008</v>
      </c>
      <c r="C158" s="98" t="s">
        <v>460</v>
      </c>
      <c r="D158" s="98">
        <v>50</v>
      </c>
      <c r="E158" s="181">
        <v>90.5</v>
      </c>
      <c r="F158" s="181">
        <f t="shared" si="71"/>
        <v>0.45</v>
      </c>
      <c r="G158" s="181">
        <f t="shared" si="72"/>
        <v>90.05</v>
      </c>
      <c r="H158" s="181">
        <f t="shared" si="61"/>
        <v>89.9</v>
      </c>
      <c r="I158" s="219">
        <f t="shared" si="62"/>
        <v>0.59809999999999997</v>
      </c>
      <c r="J158" s="181">
        <f t="shared" si="73"/>
        <v>4502.5</v>
      </c>
      <c r="K158" s="181">
        <f t="shared" si="74"/>
        <v>4495.1000000000004</v>
      </c>
      <c r="L158" s="181">
        <f t="shared" si="75"/>
        <v>22.5</v>
      </c>
      <c r="M158" s="181">
        <f t="shared" si="86"/>
        <v>2.2949999999999999</v>
      </c>
      <c r="N158" s="181">
        <f t="shared" si="70"/>
        <v>4.5</v>
      </c>
      <c r="O158" s="181">
        <f t="shared" si="64"/>
        <v>0.15758749999999999</v>
      </c>
      <c r="P158" s="181">
        <f t="shared" si="65"/>
        <v>0.45025000000000004</v>
      </c>
      <c r="Q158" s="98">
        <f t="shared" si="66"/>
        <v>0</v>
      </c>
      <c r="R158" s="361">
        <v>4495</v>
      </c>
      <c r="S158" s="183">
        <f t="shared" si="67"/>
        <v>0.1000000000003638</v>
      </c>
      <c r="T158" s="180">
        <v>38643</v>
      </c>
      <c r="U158" s="362">
        <f t="shared" si="87"/>
        <v>158</v>
      </c>
      <c r="V158" s="363">
        <f t="shared" si="88"/>
        <v>0.4952297532867902</v>
      </c>
      <c r="W158" s="338">
        <f t="shared" si="89"/>
        <v>27</v>
      </c>
      <c r="X158" s="364"/>
      <c r="Y158" s="98" t="s">
        <v>418</v>
      </c>
      <c r="Z158" s="98"/>
    </row>
    <row r="159" spans="1:26" ht="12" customHeight="1">
      <c r="A159" s="180">
        <v>38624</v>
      </c>
      <c r="B159" s="360" t="s">
        <v>1026</v>
      </c>
      <c r="C159" s="98" t="s">
        <v>460</v>
      </c>
      <c r="D159" s="98">
        <v>200</v>
      </c>
      <c r="E159" s="181">
        <v>32.5</v>
      </c>
      <c r="F159" s="181">
        <f t="shared" si="71"/>
        <v>0.16</v>
      </c>
      <c r="G159" s="181">
        <f t="shared" si="72"/>
        <v>32.340000000000003</v>
      </c>
      <c r="H159" s="181">
        <f t="shared" si="61"/>
        <v>32.29</v>
      </c>
      <c r="I159" s="219">
        <f t="shared" si="62"/>
        <v>0.21309999999999998</v>
      </c>
      <c r="J159" s="181">
        <f t="shared" si="73"/>
        <v>6468</v>
      </c>
      <c r="K159" s="181">
        <f t="shared" si="74"/>
        <v>6457.4000000000005</v>
      </c>
      <c r="L159" s="181">
        <f t="shared" si="75"/>
        <v>32</v>
      </c>
      <c r="M159" s="181">
        <f t="shared" si="86"/>
        <v>3.2639999999999998</v>
      </c>
      <c r="N159" s="181">
        <f t="shared" si="70"/>
        <v>6.47</v>
      </c>
      <c r="O159" s="181">
        <f t="shared" si="64"/>
        <v>0.22637999999999997</v>
      </c>
      <c r="P159" s="181">
        <f t="shared" si="65"/>
        <v>0.64680000000000004</v>
      </c>
      <c r="Q159" s="98">
        <f t="shared" si="66"/>
        <v>0</v>
      </c>
      <c r="R159" s="361">
        <v>6457</v>
      </c>
      <c r="S159" s="183">
        <f t="shared" si="67"/>
        <v>0.4000000000005457</v>
      </c>
      <c r="T159" s="180">
        <v>38643</v>
      </c>
      <c r="U159" s="362">
        <f t="shared" si="87"/>
        <v>353</v>
      </c>
      <c r="V159" s="363">
        <f t="shared" si="88"/>
        <v>5.2979029605263159</v>
      </c>
      <c r="W159" s="338">
        <f t="shared" si="89"/>
        <v>4</v>
      </c>
      <c r="X159" s="364"/>
      <c r="Y159" s="98" t="s">
        <v>418</v>
      </c>
      <c r="Z159" s="98"/>
    </row>
    <row r="160" spans="1:26" ht="12" customHeight="1">
      <c r="A160" s="180">
        <v>38622</v>
      </c>
      <c r="B160" s="360" t="s">
        <v>1012</v>
      </c>
      <c r="C160" s="98" t="s">
        <v>460</v>
      </c>
      <c r="D160" s="98">
        <v>25</v>
      </c>
      <c r="E160" s="181">
        <v>139.25</v>
      </c>
      <c r="F160" s="181">
        <f t="shared" si="71"/>
        <v>0.7</v>
      </c>
      <c r="G160" s="181">
        <f t="shared" si="72"/>
        <v>138.55000000000001</v>
      </c>
      <c r="H160" s="181">
        <f t="shared" si="61"/>
        <v>138.32</v>
      </c>
      <c r="I160" s="219">
        <f t="shared" si="62"/>
        <v>0.92859999999999998</v>
      </c>
      <c r="J160" s="181">
        <f t="shared" si="73"/>
        <v>3463.75</v>
      </c>
      <c r="K160" s="181">
        <f t="shared" si="74"/>
        <v>3458.0400000000004</v>
      </c>
      <c r="L160" s="181">
        <f t="shared" si="75"/>
        <v>17.5</v>
      </c>
      <c r="M160" s="181">
        <f t="shared" si="86"/>
        <v>1.7849999999999999</v>
      </c>
      <c r="N160" s="181">
        <f t="shared" si="70"/>
        <v>3.46</v>
      </c>
      <c r="O160" s="181">
        <f t="shared" si="64"/>
        <v>0.12123124999999998</v>
      </c>
      <c r="P160" s="181">
        <f t="shared" si="65"/>
        <v>0.34637500000000004</v>
      </c>
      <c r="Q160" s="98">
        <f t="shared" si="66"/>
        <v>0</v>
      </c>
      <c r="R160" s="361">
        <v>3458</v>
      </c>
      <c r="S160" s="183">
        <f t="shared" si="67"/>
        <v>4.0000000000418368E-2</v>
      </c>
      <c r="T160" s="180">
        <v>38643</v>
      </c>
      <c r="U160" s="362">
        <f t="shared" si="87"/>
        <v>326</v>
      </c>
      <c r="V160" s="363">
        <f t="shared" si="88"/>
        <v>9.5712676962676966</v>
      </c>
      <c r="W160" s="338">
        <f t="shared" si="89"/>
        <v>4</v>
      </c>
      <c r="X160" s="364"/>
      <c r="Y160" s="98" t="s">
        <v>418</v>
      </c>
      <c r="Z160" s="98"/>
    </row>
    <row r="161" spans="1:26" ht="12" customHeight="1">
      <c r="A161" s="180">
        <v>38623</v>
      </c>
      <c r="B161" s="360" t="s">
        <v>640</v>
      </c>
      <c r="C161" s="98" t="s">
        <v>460</v>
      </c>
      <c r="D161" s="98">
        <v>50</v>
      </c>
      <c r="E161" s="181">
        <v>108</v>
      </c>
      <c r="F161" s="181">
        <f t="shared" si="71"/>
        <v>0.54</v>
      </c>
      <c r="G161" s="181">
        <f t="shared" si="72"/>
        <v>107.46</v>
      </c>
      <c r="H161" s="181">
        <f t="shared" si="61"/>
        <v>107.28</v>
      </c>
      <c r="I161" s="219">
        <f t="shared" si="62"/>
        <v>0.71699999999999997</v>
      </c>
      <c r="J161" s="181">
        <f t="shared" si="73"/>
        <v>5373</v>
      </c>
      <c r="K161" s="181">
        <f t="shared" si="74"/>
        <v>5364.16</v>
      </c>
      <c r="L161" s="181">
        <f t="shared" si="75"/>
        <v>27</v>
      </c>
      <c r="M161" s="181">
        <f t="shared" si="86"/>
        <v>2.754</v>
      </c>
      <c r="N161" s="181">
        <f t="shared" si="70"/>
        <v>5.37</v>
      </c>
      <c r="O161" s="181">
        <f t="shared" si="64"/>
        <v>0.18805499999999997</v>
      </c>
      <c r="P161" s="181">
        <f t="shared" si="65"/>
        <v>0.5373</v>
      </c>
      <c r="Q161" s="98">
        <f t="shared" si="66"/>
        <v>0</v>
      </c>
      <c r="R161" s="361">
        <v>5364</v>
      </c>
      <c r="S161" s="183">
        <f t="shared" si="67"/>
        <v>0.15999999999985448</v>
      </c>
      <c r="T161" s="180">
        <v>38643</v>
      </c>
      <c r="U161" s="362">
        <f>R161-(W$34*D161)-E$337</f>
        <v>3</v>
      </c>
      <c r="V161" s="363">
        <f>(U161/(W$34*D161))/W161*365</f>
        <v>0.10258572231590782</v>
      </c>
      <c r="W161" s="338">
        <f>T161-V34</f>
        <v>2</v>
      </c>
      <c r="X161" s="364"/>
      <c r="Y161" s="98" t="s">
        <v>418</v>
      </c>
      <c r="Z161" s="98"/>
    </row>
    <row r="162" spans="1:26" ht="12" customHeight="1">
      <c r="A162" s="180">
        <v>38679</v>
      </c>
      <c r="B162" s="360" t="s">
        <v>1027</v>
      </c>
      <c r="C162" s="98" t="s">
        <v>460</v>
      </c>
      <c r="D162" s="98">
        <v>25</v>
      </c>
      <c r="E162" s="181">
        <v>128.5</v>
      </c>
      <c r="F162" s="181">
        <f t="shared" si="71"/>
        <v>0.64</v>
      </c>
      <c r="G162" s="181">
        <f t="shared" si="72"/>
        <v>127.86</v>
      </c>
      <c r="H162" s="181">
        <f t="shared" si="61"/>
        <v>127.65</v>
      </c>
      <c r="I162" s="219">
        <f t="shared" si="62"/>
        <v>0.85060000000000002</v>
      </c>
      <c r="J162" s="181">
        <f t="shared" si="73"/>
        <v>3196.5</v>
      </c>
      <c r="K162" s="181">
        <f t="shared" si="74"/>
        <v>3191.2400000000002</v>
      </c>
      <c r="L162" s="181">
        <f t="shared" si="75"/>
        <v>16</v>
      </c>
      <c r="M162" s="181">
        <f t="shared" si="86"/>
        <v>1.6319999999999999</v>
      </c>
      <c r="N162" s="181">
        <f t="shared" si="70"/>
        <v>3.2</v>
      </c>
      <c r="O162" s="181">
        <f t="shared" si="64"/>
        <v>0.11187749999999999</v>
      </c>
      <c r="P162" s="181">
        <f t="shared" si="65"/>
        <v>0.31964999999999999</v>
      </c>
      <c r="Q162" s="98">
        <f t="shared" si="66"/>
        <v>0</v>
      </c>
      <c r="R162" s="361">
        <v>3190.95</v>
      </c>
      <c r="S162" s="183">
        <f t="shared" si="67"/>
        <v>0.29000000000041837</v>
      </c>
      <c r="T162" s="180">
        <v>38681</v>
      </c>
      <c r="U162" s="362">
        <f>(R162+R48)-E$337</f>
        <v>-16.050000000000182</v>
      </c>
      <c r="V162" s="363">
        <f>-(U162/R48)/W162*365</f>
        <v>-3.4726050539719062E-2</v>
      </c>
      <c r="W162" s="338">
        <f>T162-T48</f>
        <v>53</v>
      </c>
      <c r="X162" s="364"/>
      <c r="Y162" s="98" t="s">
        <v>418</v>
      </c>
      <c r="Z162" s="98"/>
    </row>
    <row r="163" spans="1:26" ht="12" customHeight="1">
      <c r="A163" s="180">
        <v>38635</v>
      </c>
      <c r="B163" s="360" t="s">
        <v>1028</v>
      </c>
      <c r="C163" s="98" t="s">
        <v>460</v>
      </c>
      <c r="D163" s="98">
        <v>50</v>
      </c>
      <c r="E163" s="181">
        <v>61.4</v>
      </c>
      <c r="F163" s="181">
        <f t="shared" si="71"/>
        <v>0.31</v>
      </c>
      <c r="G163" s="181">
        <f t="shared" si="72"/>
        <v>61.089999999999996</v>
      </c>
      <c r="H163" s="181">
        <f t="shared" si="61"/>
        <v>60.99</v>
      </c>
      <c r="I163" s="219">
        <f t="shared" si="62"/>
        <v>0.41089999999999999</v>
      </c>
      <c r="J163" s="181">
        <f t="shared" si="73"/>
        <v>3054.5</v>
      </c>
      <c r="K163" s="181">
        <f t="shared" si="74"/>
        <v>3049.46</v>
      </c>
      <c r="L163" s="181">
        <f t="shared" si="75"/>
        <v>15.5</v>
      </c>
      <c r="M163" s="181">
        <f t="shared" si="86"/>
        <v>1.581</v>
      </c>
      <c r="N163" s="181">
        <f t="shared" si="70"/>
        <v>3.05</v>
      </c>
      <c r="O163" s="181">
        <f t="shared" si="64"/>
        <v>0.10690749999999999</v>
      </c>
      <c r="P163" s="181">
        <f t="shared" si="65"/>
        <v>0.30545</v>
      </c>
      <c r="Q163" s="98">
        <f t="shared" si="66"/>
        <v>0</v>
      </c>
      <c r="R163" s="361">
        <v>3049</v>
      </c>
      <c r="S163" s="183">
        <f t="shared" si="67"/>
        <v>0.46000000000003638</v>
      </c>
      <c r="T163" s="180">
        <v>38644</v>
      </c>
      <c r="U163" s="362">
        <f t="shared" ref="U163:U167" si="90">(R163+R37)-E$337</f>
        <v>5</v>
      </c>
      <c r="V163" s="363">
        <f t="shared" ref="V163:V167" si="91">-(U163/R37)/W163*365</f>
        <v>0.60430463576158944</v>
      </c>
      <c r="W163" s="338">
        <f t="shared" ref="W163:W167" si="92">T163-T37</f>
        <v>1</v>
      </c>
      <c r="X163" s="364"/>
      <c r="Y163" s="98" t="s">
        <v>418</v>
      </c>
      <c r="Z163" s="98"/>
    </row>
    <row r="164" spans="1:26" ht="12" customHeight="1">
      <c r="A164" s="180">
        <v>38698</v>
      </c>
      <c r="B164" s="360" t="s">
        <v>1029</v>
      </c>
      <c r="C164" s="98" t="s">
        <v>460</v>
      </c>
      <c r="D164" s="98">
        <v>50</v>
      </c>
      <c r="E164" s="181">
        <v>94.05</v>
      </c>
      <c r="F164" s="181">
        <f t="shared" si="71"/>
        <v>0.47</v>
      </c>
      <c r="G164" s="181">
        <f t="shared" si="72"/>
        <v>93.58</v>
      </c>
      <c r="H164" s="181">
        <f t="shared" si="61"/>
        <v>93.43</v>
      </c>
      <c r="I164" s="219">
        <f t="shared" si="62"/>
        <v>0.62419999999999998</v>
      </c>
      <c r="J164" s="181">
        <f t="shared" si="73"/>
        <v>4679</v>
      </c>
      <c r="K164" s="181">
        <f t="shared" si="74"/>
        <v>4671.3</v>
      </c>
      <c r="L164" s="181">
        <f t="shared" si="75"/>
        <v>23.5</v>
      </c>
      <c r="M164" s="181">
        <f t="shared" si="86"/>
        <v>2.3969999999999998</v>
      </c>
      <c r="N164" s="181">
        <f t="shared" si="70"/>
        <v>4.68</v>
      </c>
      <c r="O164" s="181">
        <f t="shared" si="64"/>
        <v>0.16376499999999999</v>
      </c>
      <c r="P164" s="181">
        <f t="shared" si="65"/>
        <v>0.46790000000000004</v>
      </c>
      <c r="Q164" s="98">
        <f t="shared" si="66"/>
        <v>0</v>
      </c>
      <c r="R164" s="361">
        <v>4671</v>
      </c>
      <c r="S164" s="183">
        <f t="shared" si="67"/>
        <v>0.3000000000001819</v>
      </c>
      <c r="T164" s="180">
        <v>38700</v>
      </c>
      <c r="U164" s="362">
        <f t="shared" si="90"/>
        <v>7</v>
      </c>
      <c r="V164" s="363">
        <f t="shared" si="91"/>
        <v>9.6604658197217176E-3</v>
      </c>
      <c r="W164" s="338">
        <f t="shared" si="92"/>
        <v>57</v>
      </c>
      <c r="X164" s="364"/>
      <c r="Y164" s="98" t="s">
        <v>418</v>
      </c>
      <c r="Z164" s="98"/>
    </row>
    <row r="165" spans="1:26" ht="12" customHeight="1">
      <c r="A165" s="180">
        <v>38741</v>
      </c>
      <c r="B165" s="360" t="s">
        <v>1030</v>
      </c>
      <c r="C165" s="98" t="s">
        <v>460</v>
      </c>
      <c r="D165" s="98">
        <v>25</v>
      </c>
      <c r="E165" s="181">
        <v>108.15</v>
      </c>
      <c r="F165" s="181">
        <f t="shared" si="71"/>
        <v>0.54</v>
      </c>
      <c r="G165" s="181">
        <f t="shared" si="72"/>
        <v>107.61</v>
      </c>
      <c r="H165" s="181">
        <f t="shared" si="61"/>
        <v>107.43</v>
      </c>
      <c r="I165" s="219">
        <f t="shared" si="62"/>
        <v>0.71729999999999994</v>
      </c>
      <c r="J165" s="181">
        <f t="shared" si="73"/>
        <v>2690.25</v>
      </c>
      <c r="K165" s="181">
        <f t="shared" si="74"/>
        <v>2685.82</v>
      </c>
      <c r="L165" s="181">
        <f t="shared" si="75"/>
        <v>13.5</v>
      </c>
      <c r="M165" s="181">
        <f t="shared" si="86"/>
        <v>1.377</v>
      </c>
      <c r="N165" s="181">
        <f t="shared" si="70"/>
        <v>2.69</v>
      </c>
      <c r="O165" s="181">
        <f t="shared" si="64"/>
        <v>9.4158749999999986E-2</v>
      </c>
      <c r="P165" s="181">
        <f t="shared" si="65"/>
        <v>0.26902500000000001</v>
      </c>
      <c r="Q165" s="98">
        <f t="shared" si="66"/>
        <v>0</v>
      </c>
      <c r="R165" s="361">
        <f>K165</f>
        <v>2685.82</v>
      </c>
      <c r="S165" s="183">
        <f t="shared" si="67"/>
        <v>0</v>
      </c>
      <c r="T165" s="180">
        <v>38744</v>
      </c>
      <c r="U165" s="362">
        <f t="shared" si="90"/>
        <v>122.82000000000016</v>
      </c>
      <c r="V165" s="363">
        <f t="shared" si="91"/>
        <v>0.16815506667416891</v>
      </c>
      <c r="W165" s="338">
        <f t="shared" si="92"/>
        <v>105</v>
      </c>
      <c r="X165" s="364"/>
      <c r="Y165" s="98" t="s">
        <v>418</v>
      </c>
      <c r="Z165" s="98"/>
    </row>
    <row r="166" spans="1:26" ht="12" customHeight="1">
      <c r="A166" s="180">
        <v>38692</v>
      </c>
      <c r="B166" s="360" t="s">
        <v>1012</v>
      </c>
      <c r="C166" s="98" t="s">
        <v>460</v>
      </c>
      <c r="D166" s="98">
        <v>50</v>
      </c>
      <c r="E166" s="181">
        <v>151</v>
      </c>
      <c r="F166" s="181">
        <f t="shared" si="71"/>
        <v>0.76</v>
      </c>
      <c r="G166" s="181">
        <f t="shared" si="72"/>
        <v>150.24</v>
      </c>
      <c r="H166" s="181">
        <f t="shared" si="61"/>
        <v>149.99</v>
      </c>
      <c r="I166" s="219">
        <f t="shared" si="62"/>
        <v>1.0081</v>
      </c>
      <c r="J166" s="181">
        <f t="shared" si="73"/>
        <v>7512</v>
      </c>
      <c r="K166" s="181">
        <f t="shared" si="74"/>
        <v>7499.6</v>
      </c>
      <c r="L166" s="181">
        <f t="shared" si="75"/>
        <v>38</v>
      </c>
      <c r="M166" s="181">
        <f t="shared" si="86"/>
        <v>3.8759999999999999</v>
      </c>
      <c r="N166" s="181">
        <f t="shared" si="70"/>
        <v>7.51</v>
      </c>
      <c r="O166" s="181">
        <f t="shared" si="64"/>
        <v>0.26291999999999999</v>
      </c>
      <c r="P166" s="181">
        <f t="shared" si="65"/>
        <v>0.75120000000000009</v>
      </c>
      <c r="Q166" s="98">
        <f t="shared" si="66"/>
        <v>0</v>
      </c>
      <c r="R166" s="361">
        <v>7499</v>
      </c>
      <c r="S166" s="183">
        <f t="shared" si="67"/>
        <v>0.6000000000003638</v>
      </c>
      <c r="T166" s="180">
        <v>38694</v>
      </c>
      <c r="U166" s="362">
        <f t="shared" si="90"/>
        <v>638</v>
      </c>
      <c r="V166" s="363">
        <f t="shared" si="91"/>
        <v>0.51606455072887714</v>
      </c>
      <c r="W166" s="338">
        <f t="shared" si="92"/>
        <v>66</v>
      </c>
      <c r="X166" s="364"/>
      <c r="Y166" s="98" t="s">
        <v>418</v>
      </c>
      <c r="Z166" s="98"/>
    </row>
    <row r="167" spans="1:26" ht="12" customHeight="1">
      <c r="A167" s="180">
        <v>38630</v>
      </c>
      <c r="B167" s="360" t="s">
        <v>1022</v>
      </c>
      <c r="C167" s="98" t="s">
        <v>460</v>
      </c>
      <c r="D167" s="98">
        <v>25</v>
      </c>
      <c r="E167" s="181">
        <v>87</v>
      </c>
      <c r="F167" s="181">
        <f t="shared" si="71"/>
        <v>0.44</v>
      </c>
      <c r="G167" s="181">
        <f t="shared" si="72"/>
        <v>86.56</v>
      </c>
      <c r="H167" s="181">
        <f t="shared" si="61"/>
        <v>86.42</v>
      </c>
      <c r="I167" s="219">
        <f t="shared" si="62"/>
        <v>0.58299999999999996</v>
      </c>
      <c r="J167" s="181">
        <f t="shared" si="73"/>
        <v>2164</v>
      </c>
      <c r="K167" s="181">
        <f t="shared" si="74"/>
        <v>2160.4300000000003</v>
      </c>
      <c r="L167" s="181">
        <f t="shared" si="75"/>
        <v>11</v>
      </c>
      <c r="M167" s="181">
        <f t="shared" si="86"/>
        <v>1.1219999999999999</v>
      </c>
      <c r="N167" s="181">
        <f t="shared" si="70"/>
        <v>2.16</v>
      </c>
      <c r="O167" s="181">
        <f t="shared" si="64"/>
        <v>7.5739999999999988E-2</v>
      </c>
      <c r="P167" s="181">
        <f t="shared" si="65"/>
        <v>0.21640000000000001</v>
      </c>
      <c r="Q167" s="98">
        <f t="shared" si="66"/>
        <v>0</v>
      </c>
      <c r="R167" s="361">
        <v>2160</v>
      </c>
      <c r="S167" s="183">
        <f t="shared" si="67"/>
        <v>0.43000000000029104</v>
      </c>
      <c r="T167" s="180">
        <v>38644</v>
      </c>
      <c r="U167" s="362">
        <f t="shared" si="90"/>
        <v>106</v>
      </c>
      <c r="V167" s="363">
        <f t="shared" si="91"/>
        <v>19.059113300492609</v>
      </c>
      <c r="W167" s="338">
        <f t="shared" si="92"/>
        <v>1</v>
      </c>
      <c r="X167" s="364"/>
      <c r="Y167" s="98" t="s">
        <v>418</v>
      </c>
      <c r="Z167" s="98"/>
    </row>
    <row r="168" spans="1:26" ht="12" customHeight="1">
      <c r="A168" s="180">
        <v>38628</v>
      </c>
      <c r="B168" s="360" t="s">
        <v>1008</v>
      </c>
      <c r="C168" s="98" t="s">
        <v>460</v>
      </c>
      <c r="D168" s="98">
        <v>50</v>
      </c>
      <c r="E168" s="181">
        <v>87.4</v>
      </c>
      <c r="F168" s="181">
        <f t="shared" si="71"/>
        <v>0.44</v>
      </c>
      <c r="G168" s="181">
        <f t="shared" si="72"/>
        <v>86.960000000000008</v>
      </c>
      <c r="H168" s="181">
        <f t="shared" si="61"/>
        <v>86.82</v>
      </c>
      <c r="I168" s="219">
        <f t="shared" si="62"/>
        <v>0.5837</v>
      </c>
      <c r="J168" s="181">
        <f t="shared" si="73"/>
        <v>4348</v>
      </c>
      <c r="K168" s="181">
        <f t="shared" si="74"/>
        <v>4340.8200000000006</v>
      </c>
      <c r="L168" s="181">
        <f t="shared" si="75"/>
        <v>22</v>
      </c>
      <c r="M168" s="181">
        <f t="shared" si="86"/>
        <v>2.2439999999999998</v>
      </c>
      <c r="N168" s="181">
        <f t="shared" si="70"/>
        <v>4.3499999999999996</v>
      </c>
      <c r="O168" s="181">
        <f t="shared" si="64"/>
        <v>0.15217999999999998</v>
      </c>
      <c r="P168" s="181">
        <f t="shared" si="65"/>
        <v>0.43480000000000002</v>
      </c>
      <c r="Q168" s="98">
        <f t="shared" si="66"/>
        <v>0</v>
      </c>
      <c r="R168" s="361">
        <v>4341.17</v>
      </c>
      <c r="S168" s="183">
        <f t="shared" si="67"/>
        <v>-0.3499999999994543</v>
      </c>
      <c r="T168" s="180">
        <v>38630</v>
      </c>
      <c r="U168" s="362">
        <f>(R168+R35)-E$337</f>
        <v>145</v>
      </c>
      <c r="V168" s="363">
        <f>-(U168/R35)/W168*365</f>
        <v>6.3426226639854075</v>
      </c>
      <c r="W168" s="338">
        <f>T168-T35</f>
        <v>2</v>
      </c>
      <c r="X168" s="364"/>
      <c r="Y168" s="98" t="s">
        <v>418</v>
      </c>
      <c r="Z168" s="98"/>
    </row>
    <row r="169" spans="1:26" ht="12" customHeight="1">
      <c r="A169" s="180">
        <v>38681</v>
      </c>
      <c r="B169" s="360" t="s">
        <v>1031</v>
      </c>
      <c r="C169" s="98" t="s">
        <v>460</v>
      </c>
      <c r="D169" s="98">
        <v>15</v>
      </c>
      <c r="E169" s="181">
        <v>545.5</v>
      </c>
      <c r="F169" s="181">
        <f t="shared" si="71"/>
        <v>2.73</v>
      </c>
      <c r="G169" s="181">
        <f t="shared" si="72"/>
        <v>542.77</v>
      </c>
      <c r="H169" s="181">
        <f t="shared" si="61"/>
        <v>541.88</v>
      </c>
      <c r="I169" s="219">
        <f t="shared" si="62"/>
        <v>3.6245000000000003</v>
      </c>
      <c r="J169" s="181">
        <f t="shared" si="73"/>
        <v>8141.55</v>
      </c>
      <c r="K169" s="181">
        <f t="shared" si="74"/>
        <v>8128.14</v>
      </c>
      <c r="L169" s="181">
        <f t="shared" si="75"/>
        <v>40.950000000000003</v>
      </c>
      <c r="M169" s="181">
        <f t="shared" si="86"/>
        <v>4.1768999999999998</v>
      </c>
      <c r="N169" s="181">
        <f t="shared" si="70"/>
        <v>8.14</v>
      </c>
      <c r="O169" s="181">
        <f t="shared" si="64"/>
        <v>0.28495424999999996</v>
      </c>
      <c r="P169" s="181">
        <f t="shared" si="65"/>
        <v>0.81415500000000007</v>
      </c>
      <c r="Q169" s="98">
        <f t="shared" si="66"/>
        <v>0</v>
      </c>
      <c r="R169" s="361">
        <v>8127.44</v>
      </c>
      <c r="S169" s="183">
        <f t="shared" si="67"/>
        <v>0.7000000000007276</v>
      </c>
      <c r="T169" s="180">
        <v>38685</v>
      </c>
      <c r="U169" s="362">
        <f>R169-(W$54*D169)-E$337</f>
        <v>155.53999999999905</v>
      </c>
      <c r="V169" s="363">
        <f>(U169/(W$54*D169))/W169*365</f>
        <v>0.24631143077915463</v>
      </c>
      <c r="W169" s="338">
        <f>T169-V54</f>
        <v>29</v>
      </c>
      <c r="X169" s="364"/>
      <c r="Y169" s="98" t="s">
        <v>418</v>
      </c>
      <c r="Z169" s="98"/>
    </row>
    <row r="170" spans="1:26" ht="12" customHeight="1">
      <c r="A170" s="180">
        <v>38674</v>
      </c>
      <c r="B170" s="360" t="s">
        <v>1011</v>
      </c>
      <c r="C170" s="98" t="s">
        <v>460</v>
      </c>
      <c r="D170" s="98">
        <v>100</v>
      </c>
      <c r="E170" s="181">
        <v>78.150000000000006</v>
      </c>
      <c r="F170" s="181">
        <f t="shared" si="71"/>
        <v>0.39</v>
      </c>
      <c r="G170" s="181">
        <f t="shared" si="72"/>
        <v>77.760000000000005</v>
      </c>
      <c r="H170" s="181">
        <f t="shared" si="61"/>
        <v>77.63</v>
      </c>
      <c r="I170" s="219">
        <f t="shared" si="62"/>
        <v>0.5181</v>
      </c>
      <c r="J170" s="181">
        <f t="shared" si="73"/>
        <v>7776</v>
      </c>
      <c r="K170" s="181">
        <f t="shared" si="74"/>
        <v>7763.2</v>
      </c>
      <c r="L170" s="181">
        <f t="shared" si="75"/>
        <v>39</v>
      </c>
      <c r="M170" s="181">
        <f t="shared" si="86"/>
        <v>3.9779999999999998</v>
      </c>
      <c r="N170" s="181">
        <f t="shared" si="70"/>
        <v>7.78</v>
      </c>
      <c r="O170" s="181">
        <f t="shared" si="64"/>
        <v>0.27215999999999996</v>
      </c>
      <c r="P170" s="181">
        <f t="shared" si="65"/>
        <v>0.77760000000000007</v>
      </c>
      <c r="Q170" s="98">
        <f t="shared" si="66"/>
        <v>0</v>
      </c>
      <c r="R170" s="361">
        <v>7762.46</v>
      </c>
      <c r="S170" s="183">
        <f t="shared" si="67"/>
        <v>0.73999999999978172</v>
      </c>
      <c r="T170" s="180">
        <v>38678</v>
      </c>
      <c r="U170" s="362">
        <f>R170-(W$52*D170)-E$337</f>
        <v>271.46000000000004</v>
      </c>
      <c r="V170" s="363">
        <f>(U170/(W$52*D170))/W170*365</f>
        <v>0.63187804115887691</v>
      </c>
      <c r="W170" s="338">
        <f>T170-V52</f>
        <v>21</v>
      </c>
      <c r="X170" s="364"/>
      <c r="Y170" s="98" t="s">
        <v>418</v>
      </c>
      <c r="Z170" s="98"/>
    </row>
    <row r="171" spans="1:26" ht="12" customHeight="1">
      <c r="A171" s="180">
        <v>39120</v>
      </c>
      <c r="B171" s="360" t="s">
        <v>1026</v>
      </c>
      <c r="C171" s="98" t="s">
        <v>460</v>
      </c>
      <c r="D171" s="98">
        <v>200</v>
      </c>
      <c r="E171" s="181">
        <v>26.85</v>
      </c>
      <c r="F171" s="181">
        <f t="shared" si="71"/>
        <v>0.13</v>
      </c>
      <c r="G171" s="181">
        <f t="shared" si="72"/>
        <v>26.720000000000002</v>
      </c>
      <c r="H171" s="181">
        <f t="shared" si="61"/>
        <v>26.67</v>
      </c>
      <c r="I171" s="219">
        <f t="shared" si="62"/>
        <v>0.17629999999999998</v>
      </c>
      <c r="J171" s="181">
        <f t="shared" si="73"/>
        <v>5344</v>
      </c>
      <c r="K171" s="181">
        <f t="shared" si="74"/>
        <v>5334.76</v>
      </c>
      <c r="L171" s="181">
        <f t="shared" si="75"/>
        <v>26</v>
      </c>
      <c r="M171" s="181">
        <f>L171*F$328</f>
        <v>3.1823999999999999</v>
      </c>
      <c r="N171" s="181">
        <f t="shared" si="70"/>
        <v>5.34</v>
      </c>
      <c r="O171" s="181">
        <f t="shared" si="64"/>
        <v>0.18703999999999998</v>
      </c>
      <c r="P171" s="181">
        <f t="shared" si="65"/>
        <v>0.53439999999999999</v>
      </c>
      <c r="Q171" s="98">
        <f t="shared" si="66"/>
        <v>0</v>
      </c>
      <c r="R171" s="361">
        <f>K171</f>
        <v>5334.76</v>
      </c>
      <c r="S171" s="183">
        <f t="shared" si="67"/>
        <v>0</v>
      </c>
      <c r="T171" s="180">
        <v>39122</v>
      </c>
      <c r="U171" s="362">
        <f>R171-(W$116*D171)-E$337</f>
        <v>534.76000000000022</v>
      </c>
      <c r="V171" s="363">
        <f>(U171/(W$116*D171))/W171*365</f>
        <v>0.10115936530839018</v>
      </c>
      <c r="W171" s="338">
        <f>T171-V116</f>
        <v>404</v>
      </c>
      <c r="X171" s="364" t="str">
        <f>IF(A171="Stock","Not Sold","")</f>
        <v/>
      </c>
      <c r="Y171" s="98" t="s">
        <v>418</v>
      </c>
      <c r="Z171" s="98"/>
    </row>
    <row r="172" spans="1:26" ht="12" customHeight="1">
      <c r="A172" s="180">
        <v>38705</v>
      </c>
      <c r="B172" s="360" t="s">
        <v>1008</v>
      </c>
      <c r="C172" s="98" t="s">
        <v>460</v>
      </c>
      <c r="D172" s="98">
        <v>50</v>
      </c>
      <c r="E172" s="181">
        <v>87.95</v>
      </c>
      <c r="F172" s="181">
        <f t="shared" si="71"/>
        <v>0.44</v>
      </c>
      <c r="G172" s="181">
        <f t="shared" si="72"/>
        <v>87.51</v>
      </c>
      <c r="H172" s="181">
        <f t="shared" si="61"/>
        <v>87.37</v>
      </c>
      <c r="I172" s="219">
        <f t="shared" si="62"/>
        <v>0.58430000000000004</v>
      </c>
      <c r="J172" s="181">
        <f t="shared" si="73"/>
        <v>4375.5</v>
      </c>
      <c r="K172" s="181">
        <f t="shared" si="74"/>
        <v>4368.29</v>
      </c>
      <c r="L172" s="181">
        <f t="shared" si="75"/>
        <v>22</v>
      </c>
      <c r="M172" s="181">
        <f t="shared" ref="M172:M198" si="93">L172*E$328</f>
        <v>2.2439999999999998</v>
      </c>
      <c r="N172" s="181">
        <f t="shared" si="70"/>
        <v>4.38</v>
      </c>
      <c r="O172" s="181">
        <f t="shared" si="64"/>
        <v>0.15314249999999999</v>
      </c>
      <c r="P172" s="181">
        <f t="shared" si="65"/>
        <v>0.43754999999999999</v>
      </c>
      <c r="Q172" s="98">
        <f t="shared" si="66"/>
        <v>0</v>
      </c>
      <c r="R172" s="181">
        <v>4368</v>
      </c>
      <c r="S172" s="183">
        <f t="shared" si="67"/>
        <v>0.28999999999996362</v>
      </c>
      <c r="T172" s="180">
        <v>38707</v>
      </c>
      <c r="U172" s="362">
        <f>(R172+R47)-E$337</f>
        <v>1</v>
      </c>
      <c r="V172" s="363">
        <f>-(U172/R47)/W172*365</f>
        <v>1.3131763757771124E-3</v>
      </c>
      <c r="W172" s="338">
        <f>T172-T47</f>
        <v>64</v>
      </c>
      <c r="X172" s="364"/>
      <c r="Y172" s="98" t="s">
        <v>418</v>
      </c>
      <c r="Z172" s="98"/>
    </row>
    <row r="173" spans="1:26" ht="12" customHeight="1">
      <c r="A173" s="180">
        <v>38665</v>
      </c>
      <c r="B173" s="360" t="s">
        <v>1032</v>
      </c>
      <c r="C173" s="98" t="s">
        <v>460</v>
      </c>
      <c r="D173" s="98">
        <v>50</v>
      </c>
      <c r="E173" s="181">
        <v>79.099999999999994</v>
      </c>
      <c r="F173" s="181">
        <f t="shared" si="71"/>
        <v>0.4</v>
      </c>
      <c r="G173" s="181">
        <f t="shared" si="72"/>
        <v>78.699999999999989</v>
      </c>
      <c r="H173" s="181">
        <f t="shared" si="61"/>
        <v>78.569999999999993</v>
      </c>
      <c r="I173" s="219">
        <f t="shared" si="62"/>
        <v>0.53029999999999999</v>
      </c>
      <c r="J173" s="181">
        <f t="shared" si="73"/>
        <v>3935</v>
      </c>
      <c r="K173" s="181">
        <f t="shared" si="74"/>
        <v>3928.4900000000002</v>
      </c>
      <c r="L173" s="181">
        <f t="shared" si="75"/>
        <v>20</v>
      </c>
      <c r="M173" s="181">
        <f t="shared" si="93"/>
        <v>2.04</v>
      </c>
      <c r="N173" s="181">
        <f t="shared" si="70"/>
        <v>3.94</v>
      </c>
      <c r="O173" s="181">
        <f t="shared" si="64"/>
        <v>0.13772499999999999</v>
      </c>
      <c r="P173" s="181">
        <f t="shared" si="65"/>
        <v>0.39350000000000002</v>
      </c>
      <c r="Q173" s="98">
        <f t="shared" si="66"/>
        <v>0</v>
      </c>
      <c r="R173" s="361">
        <v>3928.18</v>
      </c>
      <c r="S173" s="183">
        <f t="shared" si="67"/>
        <v>0.31000000000040018</v>
      </c>
      <c r="T173" s="180">
        <v>38671</v>
      </c>
      <c r="U173" s="362">
        <f>(R173+R51)-E$337</f>
        <v>91.399999999999636</v>
      </c>
      <c r="V173" s="363">
        <f>-(U173/R51)/W173*365</f>
        <v>8.7497836224486765</v>
      </c>
      <c r="W173" s="338">
        <f>T173-T51</f>
        <v>1</v>
      </c>
      <c r="X173" s="364"/>
      <c r="Y173" s="98" t="s">
        <v>418</v>
      </c>
      <c r="Z173" s="98"/>
    </row>
    <row r="174" spans="1:26" ht="12" customHeight="1">
      <c r="A174" s="180">
        <v>38716</v>
      </c>
      <c r="B174" s="360" t="s">
        <v>1033</v>
      </c>
      <c r="C174" s="98" t="s">
        <v>460</v>
      </c>
      <c r="D174" s="98">
        <v>25</v>
      </c>
      <c r="E174" s="181">
        <v>24.95</v>
      </c>
      <c r="F174" s="181">
        <f t="shared" si="71"/>
        <v>0.4</v>
      </c>
      <c r="G174" s="181">
        <f t="shared" si="72"/>
        <v>24.55</v>
      </c>
      <c r="H174" s="181">
        <f t="shared" si="61"/>
        <v>24.48</v>
      </c>
      <c r="I174" s="219">
        <f t="shared" si="62"/>
        <v>0.46860000000000002</v>
      </c>
      <c r="J174" s="181">
        <f t="shared" si="73"/>
        <v>613.75</v>
      </c>
      <c r="K174" s="181">
        <f t="shared" si="74"/>
        <v>612.04</v>
      </c>
      <c r="L174" s="181">
        <f t="shared" si="75"/>
        <v>10</v>
      </c>
      <c r="M174" s="181">
        <f t="shared" si="93"/>
        <v>1.02</v>
      </c>
      <c r="N174" s="181">
        <f t="shared" si="70"/>
        <v>0.61</v>
      </c>
      <c r="O174" s="181">
        <f t="shared" si="64"/>
        <v>2.1481249999999997E-2</v>
      </c>
      <c r="P174" s="181">
        <f t="shared" si="65"/>
        <v>6.1375000000000006E-2</v>
      </c>
      <c r="Q174" s="98">
        <f t="shared" si="66"/>
        <v>0</v>
      </c>
      <c r="R174" s="361">
        <v>612</v>
      </c>
      <c r="S174" s="183">
        <f t="shared" si="67"/>
        <v>3.999999999996362E-2</v>
      </c>
      <c r="T174" s="180">
        <v>38720</v>
      </c>
      <c r="U174" s="362">
        <f>R174-(W$53*D174)-E$337</f>
        <v>0.25</v>
      </c>
      <c r="V174" s="363">
        <f>(U174/(W$53*D174))/W174*365</f>
        <v>3.1050616758826035E-3</v>
      </c>
      <c r="W174" s="338">
        <f>T174-T53</f>
        <v>50</v>
      </c>
      <c r="X174" s="364"/>
      <c r="Y174" s="98" t="s">
        <v>418</v>
      </c>
      <c r="Z174" s="98"/>
    </row>
    <row r="175" spans="1:26" ht="12" customHeight="1">
      <c r="A175" s="180">
        <v>38699</v>
      </c>
      <c r="B175" s="360" t="s">
        <v>1034</v>
      </c>
      <c r="C175" s="98" t="s">
        <v>460</v>
      </c>
      <c r="D175" s="98">
        <v>50</v>
      </c>
      <c r="E175" s="181">
        <v>129.65</v>
      </c>
      <c r="F175" s="181">
        <f t="shared" si="71"/>
        <v>0.65</v>
      </c>
      <c r="G175" s="181">
        <f t="shared" si="72"/>
        <v>129</v>
      </c>
      <c r="H175" s="181">
        <f t="shared" si="61"/>
        <v>128.79</v>
      </c>
      <c r="I175" s="219">
        <f t="shared" si="62"/>
        <v>0.86280000000000001</v>
      </c>
      <c r="J175" s="181">
        <f t="shared" si="73"/>
        <v>6450</v>
      </c>
      <c r="K175" s="181">
        <f t="shared" si="74"/>
        <v>6439.37</v>
      </c>
      <c r="L175" s="181">
        <f t="shared" si="75"/>
        <v>32.5</v>
      </c>
      <c r="M175" s="181">
        <f t="shared" si="93"/>
        <v>3.3149999999999999</v>
      </c>
      <c r="N175" s="181">
        <f t="shared" si="70"/>
        <v>6.45</v>
      </c>
      <c r="O175" s="181">
        <f t="shared" si="64"/>
        <v>0.22574999999999998</v>
      </c>
      <c r="P175" s="181">
        <f t="shared" si="65"/>
        <v>0.64500000000000002</v>
      </c>
      <c r="Q175" s="98">
        <f t="shared" si="66"/>
        <v>0</v>
      </c>
      <c r="R175" s="361">
        <v>6438.72</v>
      </c>
      <c r="S175" s="183">
        <f t="shared" si="67"/>
        <v>0.6499999999996362</v>
      </c>
      <c r="T175" s="180">
        <v>38701</v>
      </c>
      <c r="U175" s="362">
        <f t="shared" ref="U175:U176" si="94">(R175+R55)-E$337</f>
        <v>122.59000000000015</v>
      </c>
      <c r="V175" s="363">
        <f t="shared" ref="V175:V176" si="95">-(U175/R55)/W175*365</f>
        <v>0.32324181882042297</v>
      </c>
      <c r="W175" s="338">
        <f t="shared" ref="W175:W176" si="96">T175-T55</f>
        <v>22</v>
      </c>
      <c r="X175" s="364"/>
      <c r="Y175" s="98" t="s">
        <v>418</v>
      </c>
      <c r="Z175" s="98"/>
    </row>
    <row r="176" spans="1:26" ht="12" customHeight="1">
      <c r="A176" s="180">
        <v>38726</v>
      </c>
      <c r="B176" s="360" t="s">
        <v>1035</v>
      </c>
      <c r="C176" s="98" t="s">
        <v>460</v>
      </c>
      <c r="D176" s="98">
        <v>50</v>
      </c>
      <c r="E176" s="181">
        <v>99</v>
      </c>
      <c r="F176" s="181">
        <f t="shared" si="71"/>
        <v>0.5</v>
      </c>
      <c r="G176" s="181">
        <f t="shared" si="72"/>
        <v>98.5</v>
      </c>
      <c r="H176" s="181">
        <f t="shared" si="61"/>
        <v>98.34</v>
      </c>
      <c r="I176" s="219">
        <f t="shared" si="62"/>
        <v>0.66289999999999993</v>
      </c>
      <c r="J176" s="181">
        <f t="shared" si="73"/>
        <v>4925</v>
      </c>
      <c r="K176" s="181">
        <f t="shared" si="74"/>
        <v>4916.8600000000006</v>
      </c>
      <c r="L176" s="181">
        <f t="shared" si="75"/>
        <v>25</v>
      </c>
      <c r="M176" s="181">
        <f t="shared" si="93"/>
        <v>2.5499999999999998</v>
      </c>
      <c r="N176" s="181">
        <f t="shared" si="70"/>
        <v>4.93</v>
      </c>
      <c r="O176" s="181">
        <f t="shared" si="64"/>
        <v>0.17237499999999997</v>
      </c>
      <c r="P176" s="181">
        <f t="shared" si="65"/>
        <v>0.49250000000000005</v>
      </c>
      <c r="Q176" s="98">
        <f t="shared" si="66"/>
        <v>0</v>
      </c>
      <c r="R176" s="361">
        <v>4916.47</v>
      </c>
      <c r="S176" s="183">
        <f t="shared" si="67"/>
        <v>0.39000000000032742</v>
      </c>
      <c r="T176" s="180">
        <v>38728</v>
      </c>
      <c r="U176" s="362">
        <f t="shared" si="94"/>
        <v>105.0600000000004</v>
      </c>
      <c r="V176" s="363">
        <f t="shared" si="95"/>
        <v>0.16687389423508808</v>
      </c>
      <c r="W176" s="338">
        <f t="shared" si="96"/>
        <v>48</v>
      </c>
      <c r="X176" s="364"/>
      <c r="Y176" s="98" t="s">
        <v>418</v>
      </c>
      <c r="Z176" s="98"/>
    </row>
    <row r="177" spans="1:26" ht="12" customHeight="1">
      <c r="A177" s="180">
        <v>38680</v>
      </c>
      <c r="B177" s="360" t="s">
        <v>1027</v>
      </c>
      <c r="C177" s="98" t="s">
        <v>460</v>
      </c>
      <c r="D177" s="98">
        <v>25</v>
      </c>
      <c r="E177" s="181">
        <v>135</v>
      </c>
      <c r="F177" s="181">
        <f t="shared" si="71"/>
        <v>0.68</v>
      </c>
      <c r="G177" s="181">
        <f t="shared" si="72"/>
        <v>134.32</v>
      </c>
      <c r="H177" s="181">
        <f t="shared" si="61"/>
        <v>134.1</v>
      </c>
      <c r="I177" s="219">
        <f t="shared" si="62"/>
        <v>0.90190000000000003</v>
      </c>
      <c r="J177" s="181">
        <f t="shared" si="73"/>
        <v>3358</v>
      </c>
      <c r="K177" s="181">
        <f t="shared" si="74"/>
        <v>3352.46</v>
      </c>
      <c r="L177" s="181">
        <f t="shared" si="75"/>
        <v>17</v>
      </c>
      <c r="M177" s="181">
        <f t="shared" si="93"/>
        <v>1.734</v>
      </c>
      <c r="N177" s="181">
        <f t="shared" si="70"/>
        <v>3.36</v>
      </c>
      <c r="O177" s="181">
        <f t="shared" si="64"/>
        <v>0.11753</v>
      </c>
      <c r="P177" s="181">
        <f t="shared" si="65"/>
        <v>0.33580000000000004</v>
      </c>
      <c r="Q177" s="98">
        <f t="shared" si="66"/>
        <v>0</v>
      </c>
      <c r="R177" s="361">
        <v>3352.4</v>
      </c>
      <c r="S177" s="183">
        <f t="shared" si="67"/>
        <v>5.999999999994543E-2</v>
      </c>
      <c r="T177" s="180">
        <v>38684</v>
      </c>
      <c r="U177" s="362">
        <f>(R177+R42)-E$337</f>
        <v>-5.5999999999999091</v>
      </c>
      <c r="V177" s="363">
        <f>-(U177/R42)/W177*365</f>
        <v>-1.495310693958745E-2</v>
      </c>
      <c r="W177" s="338">
        <f>T177-T42</f>
        <v>41</v>
      </c>
      <c r="X177" s="364"/>
      <c r="Y177" s="98" t="s">
        <v>418</v>
      </c>
      <c r="Z177" s="98"/>
    </row>
    <row r="178" spans="1:26" ht="12" customHeight="1">
      <c r="A178" s="180">
        <v>38700</v>
      </c>
      <c r="B178" s="360" t="s">
        <v>1027</v>
      </c>
      <c r="C178" s="98" t="s">
        <v>460</v>
      </c>
      <c r="D178" s="98">
        <v>25</v>
      </c>
      <c r="E178" s="181">
        <v>144.05000000000001</v>
      </c>
      <c r="F178" s="181">
        <f t="shared" si="71"/>
        <v>0.72</v>
      </c>
      <c r="G178" s="181">
        <f t="shared" si="72"/>
        <v>143.33000000000001</v>
      </c>
      <c r="H178" s="181">
        <f t="shared" si="61"/>
        <v>143.09</v>
      </c>
      <c r="I178" s="219">
        <f t="shared" si="62"/>
        <v>0.95599999999999996</v>
      </c>
      <c r="J178" s="181">
        <f t="shared" si="73"/>
        <v>3583.25</v>
      </c>
      <c r="K178" s="181">
        <f t="shared" si="74"/>
        <v>3577.36</v>
      </c>
      <c r="L178" s="181">
        <f t="shared" si="75"/>
        <v>18</v>
      </c>
      <c r="M178" s="181">
        <f t="shared" si="93"/>
        <v>1.8359999999999999</v>
      </c>
      <c r="N178" s="181">
        <f t="shared" si="70"/>
        <v>3.58</v>
      </c>
      <c r="O178" s="181">
        <f t="shared" si="64"/>
        <v>0.12541374999999999</v>
      </c>
      <c r="P178" s="181">
        <f t="shared" si="65"/>
        <v>0.358325</v>
      </c>
      <c r="Q178" s="98">
        <f t="shared" si="66"/>
        <v>0</v>
      </c>
      <c r="R178" s="361">
        <v>3578</v>
      </c>
      <c r="S178" s="183">
        <f t="shared" si="67"/>
        <v>-0.63999999999987267</v>
      </c>
      <c r="T178" s="180">
        <v>38702</v>
      </c>
      <c r="U178" s="362">
        <f>(R178+R70)-E$337</f>
        <v>-47.25</v>
      </c>
      <c r="V178" s="363">
        <f>-(U178/R70)/W178*365</f>
        <v>0.95779243318292251</v>
      </c>
      <c r="W178" s="338">
        <f>T178-T70</f>
        <v>-5</v>
      </c>
      <c r="X178" s="364"/>
      <c r="Y178" s="98" t="s">
        <v>418</v>
      </c>
      <c r="Z178" s="98"/>
    </row>
    <row r="179" spans="1:26" ht="12" customHeight="1">
      <c r="A179" s="180">
        <v>38705</v>
      </c>
      <c r="B179" s="360" t="s">
        <v>1027</v>
      </c>
      <c r="C179" s="98" t="s">
        <v>460</v>
      </c>
      <c r="D179" s="98">
        <v>25</v>
      </c>
      <c r="E179" s="181">
        <v>145</v>
      </c>
      <c r="F179" s="181">
        <f t="shared" si="71"/>
        <v>0.73</v>
      </c>
      <c r="G179" s="181">
        <f t="shared" si="72"/>
        <v>144.27000000000001</v>
      </c>
      <c r="H179" s="181">
        <f t="shared" si="61"/>
        <v>144.03</v>
      </c>
      <c r="I179" s="219">
        <f t="shared" si="62"/>
        <v>0.96840000000000004</v>
      </c>
      <c r="J179" s="181">
        <f t="shared" si="73"/>
        <v>3606.75</v>
      </c>
      <c r="K179" s="181">
        <f t="shared" si="74"/>
        <v>3600.8</v>
      </c>
      <c r="L179" s="181">
        <f t="shared" si="75"/>
        <v>18.25</v>
      </c>
      <c r="M179" s="181">
        <f t="shared" si="93"/>
        <v>1.8614999999999999</v>
      </c>
      <c r="N179" s="181">
        <f t="shared" si="70"/>
        <v>3.61</v>
      </c>
      <c r="O179" s="181">
        <f t="shared" si="64"/>
        <v>0.12623624999999999</v>
      </c>
      <c r="P179" s="181">
        <f t="shared" si="65"/>
        <v>0.36067500000000002</v>
      </c>
      <c r="Q179" s="98">
        <f t="shared" si="66"/>
        <v>0</v>
      </c>
      <c r="R179" s="181">
        <v>3600.71</v>
      </c>
      <c r="S179" s="183">
        <f t="shared" si="67"/>
        <v>9.0000000000145519E-2</v>
      </c>
      <c r="T179" s="180">
        <v>38707</v>
      </c>
      <c r="U179" s="362">
        <f>(R179+R36)-E$337</f>
        <v>22.710000000000036</v>
      </c>
      <c r="V179" s="363">
        <f>-(U179/R36)/W179*365</f>
        <v>3.4299174087192609E-2</v>
      </c>
      <c r="W179" s="338">
        <f>T179-T36</f>
        <v>68</v>
      </c>
      <c r="X179" s="364"/>
      <c r="Y179" s="98" t="s">
        <v>418</v>
      </c>
      <c r="Z179" s="98"/>
    </row>
    <row r="180" spans="1:26" ht="12" customHeight="1">
      <c r="A180" s="180">
        <v>38698</v>
      </c>
      <c r="B180" s="360" t="s">
        <v>1036</v>
      </c>
      <c r="C180" s="98" t="s">
        <v>460</v>
      </c>
      <c r="D180" s="98">
        <v>10</v>
      </c>
      <c r="E180" s="181">
        <v>383.6</v>
      </c>
      <c r="F180" s="181">
        <f t="shared" si="71"/>
        <v>1.92</v>
      </c>
      <c r="G180" s="181">
        <f t="shared" si="72"/>
        <v>381.68</v>
      </c>
      <c r="H180" s="181">
        <f t="shared" si="61"/>
        <v>381.05</v>
      </c>
      <c r="I180" s="219">
        <f t="shared" si="62"/>
        <v>2.5494000000000003</v>
      </c>
      <c r="J180" s="181">
        <f t="shared" si="73"/>
        <v>3816.8</v>
      </c>
      <c r="K180" s="181">
        <f t="shared" si="74"/>
        <v>3810.51</v>
      </c>
      <c r="L180" s="181">
        <f t="shared" si="75"/>
        <v>19.2</v>
      </c>
      <c r="M180" s="181">
        <f t="shared" si="93"/>
        <v>1.9583999999999997</v>
      </c>
      <c r="N180" s="181">
        <f t="shared" si="70"/>
        <v>3.82</v>
      </c>
      <c r="O180" s="181">
        <f t="shared" si="64"/>
        <v>0.13358799999999998</v>
      </c>
      <c r="P180" s="181">
        <f t="shared" si="65"/>
        <v>0.38168000000000002</v>
      </c>
      <c r="Q180" s="98">
        <f t="shared" si="66"/>
        <v>0</v>
      </c>
      <c r="R180" s="361">
        <v>3810</v>
      </c>
      <c r="S180" s="183">
        <f t="shared" si="67"/>
        <v>0.51000000000021828</v>
      </c>
      <c r="T180" s="180">
        <v>38700</v>
      </c>
      <c r="U180" s="362">
        <f t="shared" ref="U180:U181" si="97">(R180+R57)-E$337</f>
        <v>103.86999999999989</v>
      </c>
      <c r="V180" s="363">
        <f t="shared" ref="V180:V181" si="98">-(U180/R57)/W180*365</f>
        <v>0.54191388365458326</v>
      </c>
      <c r="W180" s="338">
        <f t="shared" ref="W180:W181" si="99">T180-T57</f>
        <v>19</v>
      </c>
      <c r="X180" s="364"/>
      <c r="Y180" s="98" t="s">
        <v>418</v>
      </c>
      <c r="Z180" s="98"/>
    </row>
    <row r="181" spans="1:26" ht="12" customHeight="1">
      <c r="A181" s="180">
        <v>38681</v>
      </c>
      <c r="B181" s="360" t="s">
        <v>1037</v>
      </c>
      <c r="C181" s="98" t="s">
        <v>460</v>
      </c>
      <c r="D181" s="98">
        <v>50</v>
      </c>
      <c r="E181" s="181">
        <v>192.85</v>
      </c>
      <c r="F181" s="181">
        <f t="shared" si="71"/>
        <v>0.96</v>
      </c>
      <c r="G181" s="181">
        <f t="shared" si="72"/>
        <v>191.89</v>
      </c>
      <c r="H181" s="181">
        <f t="shared" si="61"/>
        <v>191.57</v>
      </c>
      <c r="I181" s="219">
        <f t="shared" si="62"/>
        <v>1.2757000000000001</v>
      </c>
      <c r="J181" s="181">
        <f t="shared" si="73"/>
        <v>9594.5</v>
      </c>
      <c r="K181" s="181">
        <f t="shared" si="74"/>
        <v>9578.7199999999993</v>
      </c>
      <c r="L181" s="181">
        <f t="shared" si="75"/>
        <v>48</v>
      </c>
      <c r="M181" s="181">
        <f t="shared" si="93"/>
        <v>4.8959999999999999</v>
      </c>
      <c r="N181" s="181">
        <f t="shared" si="70"/>
        <v>9.59</v>
      </c>
      <c r="O181" s="181">
        <f t="shared" si="64"/>
        <v>0.33580749999999998</v>
      </c>
      <c r="P181" s="181">
        <f t="shared" si="65"/>
        <v>0.95945000000000003</v>
      </c>
      <c r="Q181" s="98">
        <f t="shared" si="66"/>
        <v>0</v>
      </c>
      <c r="R181" s="361">
        <v>9578</v>
      </c>
      <c r="S181" s="183">
        <f t="shared" si="67"/>
        <v>0.71999999999934516</v>
      </c>
      <c r="T181" s="180">
        <v>38685</v>
      </c>
      <c r="U181" s="362">
        <f t="shared" si="97"/>
        <v>53</v>
      </c>
      <c r="V181" s="363">
        <f t="shared" si="98"/>
        <v>2.0361014630038943</v>
      </c>
      <c r="W181" s="338">
        <f t="shared" si="99"/>
        <v>1</v>
      </c>
      <c r="X181" s="364"/>
      <c r="Y181" s="98" t="s">
        <v>418</v>
      </c>
      <c r="Z181" s="98"/>
    </row>
    <row r="182" spans="1:26" ht="12" customHeight="1">
      <c r="A182" s="180">
        <v>38698</v>
      </c>
      <c r="B182" s="360" t="s">
        <v>1031</v>
      </c>
      <c r="C182" s="98" t="s">
        <v>460</v>
      </c>
      <c r="D182" s="98">
        <v>15</v>
      </c>
      <c r="E182" s="181">
        <v>560</v>
      </c>
      <c r="F182" s="181">
        <f t="shared" si="71"/>
        <v>2.8</v>
      </c>
      <c r="G182" s="181">
        <f t="shared" si="72"/>
        <v>557.20000000000005</v>
      </c>
      <c r="H182" s="181">
        <f t="shared" si="61"/>
        <v>556.28</v>
      </c>
      <c r="I182" s="219">
        <f t="shared" si="62"/>
        <v>3.7182000000000004</v>
      </c>
      <c r="J182" s="181">
        <f t="shared" si="73"/>
        <v>8358</v>
      </c>
      <c r="K182" s="181">
        <f t="shared" si="74"/>
        <v>8344.23</v>
      </c>
      <c r="L182" s="181">
        <f t="shared" si="75"/>
        <v>42</v>
      </c>
      <c r="M182" s="181">
        <f t="shared" si="93"/>
        <v>4.2839999999999998</v>
      </c>
      <c r="N182" s="181">
        <f t="shared" si="70"/>
        <v>8.36</v>
      </c>
      <c r="O182" s="181">
        <f t="shared" si="64"/>
        <v>0.29252999999999996</v>
      </c>
      <c r="P182" s="181">
        <f t="shared" si="65"/>
        <v>0.83579999999999999</v>
      </c>
      <c r="Q182" s="98">
        <f t="shared" si="66"/>
        <v>0</v>
      </c>
      <c r="R182" s="361">
        <v>8343.7800000000007</v>
      </c>
      <c r="S182" s="183">
        <f t="shared" si="67"/>
        <v>0.44999999999890861</v>
      </c>
      <c r="T182" s="180">
        <v>38700</v>
      </c>
      <c r="U182" s="362">
        <f>(R182+R43)-E$337</f>
        <v>54.780000000000655</v>
      </c>
      <c r="V182" s="363">
        <f>-(U182/R43)/W182*365</f>
        <v>4.2442130735186927E-2</v>
      </c>
      <c r="W182" s="338">
        <f>T182-T43</f>
        <v>57</v>
      </c>
      <c r="X182" s="364"/>
      <c r="Y182" s="98" t="s">
        <v>418</v>
      </c>
      <c r="Z182" s="98"/>
    </row>
    <row r="183" spans="1:26" ht="12" customHeight="1">
      <c r="A183" s="180">
        <v>38695</v>
      </c>
      <c r="B183" s="360" t="s">
        <v>1038</v>
      </c>
      <c r="C183" s="98" t="s">
        <v>460</v>
      </c>
      <c r="D183" s="98">
        <v>5</v>
      </c>
      <c r="E183" s="181">
        <v>433</v>
      </c>
      <c r="F183" s="181">
        <f t="shared" si="71"/>
        <v>2.17</v>
      </c>
      <c r="G183" s="181">
        <f t="shared" si="72"/>
        <v>430.83</v>
      </c>
      <c r="H183" s="181">
        <f t="shared" si="61"/>
        <v>430.12</v>
      </c>
      <c r="I183" s="219">
        <f t="shared" si="62"/>
        <v>2.8796000000000004</v>
      </c>
      <c r="J183" s="181">
        <f t="shared" si="73"/>
        <v>2154.15</v>
      </c>
      <c r="K183" s="181">
        <f t="shared" si="74"/>
        <v>2150.61</v>
      </c>
      <c r="L183" s="181">
        <f t="shared" si="75"/>
        <v>10.85</v>
      </c>
      <c r="M183" s="181">
        <f t="shared" si="93"/>
        <v>1.1066999999999998</v>
      </c>
      <c r="N183" s="181">
        <f t="shared" si="70"/>
        <v>2.15</v>
      </c>
      <c r="O183" s="181">
        <f t="shared" si="64"/>
        <v>7.5395249999999997E-2</v>
      </c>
      <c r="P183" s="181">
        <f t="shared" si="65"/>
        <v>0.21541500000000002</v>
      </c>
      <c r="Q183" s="98">
        <f t="shared" si="66"/>
        <v>0</v>
      </c>
      <c r="R183" s="361">
        <v>2150</v>
      </c>
      <c r="S183" s="183">
        <f t="shared" si="67"/>
        <v>0.61000000000012733</v>
      </c>
      <c r="T183" s="180">
        <v>38699</v>
      </c>
      <c r="U183" s="362">
        <f t="shared" ref="U183:U193" si="100">(R183+R59)-E$337</f>
        <v>65.5300000000002</v>
      </c>
      <c r="V183" s="363">
        <f t="shared" ref="V183:V193" si="101">-(U183/R59)/W183*365</f>
        <v>0.82916068386616637</v>
      </c>
      <c r="W183" s="338">
        <f t="shared" ref="W183:W193" si="102">T183-T59</f>
        <v>14</v>
      </c>
      <c r="X183" s="364"/>
      <c r="Y183" s="98" t="s">
        <v>418</v>
      </c>
      <c r="Z183" s="98"/>
    </row>
    <row r="184" spans="1:26" ht="12" customHeight="1">
      <c r="A184" s="180">
        <v>38695</v>
      </c>
      <c r="B184" s="360" t="s">
        <v>1039</v>
      </c>
      <c r="C184" s="98" t="s">
        <v>460</v>
      </c>
      <c r="D184" s="98">
        <v>10</v>
      </c>
      <c r="E184" s="181">
        <v>534.4</v>
      </c>
      <c r="F184" s="181">
        <f t="shared" si="71"/>
        <v>2.67</v>
      </c>
      <c r="G184" s="181">
        <f t="shared" si="72"/>
        <v>531.73</v>
      </c>
      <c r="H184" s="181">
        <f t="shared" si="61"/>
        <v>530.85</v>
      </c>
      <c r="I184" s="219">
        <f t="shared" si="62"/>
        <v>3.5462000000000002</v>
      </c>
      <c r="J184" s="181">
        <f t="shared" si="73"/>
        <v>5317.3</v>
      </c>
      <c r="K184" s="181">
        <f t="shared" si="74"/>
        <v>5308.54</v>
      </c>
      <c r="L184" s="181">
        <f t="shared" si="75"/>
        <v>26.7</v>
      </c>
      <c r="M184" s="181">
        <f t="shared" si="93"/>
        <v>2.7233999999999998</v>
      </c>
      <c r="N184" s="181">
        <f t="shared" si="70"/>
        <v>5.32</v>
      </c>
      <c r="O184" s="181">
        <f t="shared" si="64"/>
        <v>0.18610549999999998</v>
      </c>
      <c r="P184" s="181">
        <f t="shared" si="65"/>
        <v>0.53173000000000004</v>
      </c>
      <c r="Q184" s="98">
        <f t="shared" si="66"/>
        <v>0</v>
      </c>
      <c r="R184" s="361">
        <v>5308</v>
      </c>
      <c r="S184" s="183">
        <f t="shared" si="67"/>
        <v>0.53999999999996362</v>
      </c>
      <c r="T184" s="180">
        <v>38699</v>
      </c>
      <c r="U184" s="362">
        <f t="shared" si="100"/>
        <v>51.529999999999745</v>
      </c>
      <c r="V184" s="363">
        <f t="shared" si="101"/>
        <v>0.27650494817052729</v>
      </c>
      <c r="W184" s="338">
        <f t="shared" si="102"/>
        <v>13</v>
      </c>
      <c r="X184" s="364"/>
      <c r="Y184" s="98" t="s">
        <v>418</v>
      </c>
      <c r="Z184" s="98"/>
    </row>
    <row r="185" spans="1:26" ht="12" customHeight="1">
      <c r="A185" s="180">
        <v>38721</v>
      </c>
      <c r="B185" s="360" t="s">
        <v>1032</v>
      </c>
      <c r="C185" s="98" t="s">
        <v>460</v>
      </c>
      <c r="D185" s="98">
        <v>50</v>
      </c>
      <c r="E185" s="181">
        <v>89</v>
      </c>
      <c r="F185" s="181">
        <f t="shared" si="71"/>
        <v>0.45</v>
      </c>
      <c r="G185" s="181">
        <f t="shared" si="72"/>
        <v>88.55</v>
      </c>
      <c r="H185" s="181">
        <f t="shared" si="61"/>
        <v>88.4</v>
      </c>
      <c r="I185" s="219">
        <f t="shared" si="62"/>
        <v>0.59650000000000003</v>
      </c>
      <c r="J185" s="181">
        <f t="shared" si="73"/>
        <v>4427.5</v>
      </c>
      <c r="K185" s="181">
        <f t="shared" si="74"/>
        <v>4420.18</v>
      </c>
      <c r="L185" s="181">
        <f t="shared" si="75"/>
        <v>22.5</v>
      </c>
      <c r="M185" s="181">
        <f t="shared" si="93"/>
        <v>2.2949999999999999</v>
      </c>
      <c r="N185" s="181">
        <f t="shared" si="70"/>
        <v>4.43</v>
      </c>
      <c r="O185" s="181">
        <f t="shared" si="64"/>
        <v>0.15496249999999998</v>
      </c>
      <c r="P185" s="181">
        <f t="shared" si="65"/>
        <v>0.44275000000000003</v>
      </c>
      <c r="Q185" s="98">
        <f t="shared" si="66"/>
        <v>0</v>
      </c>
      <c r="R185" s="361">
        <v>4420</v>
      </c>
      <c r="S185" s="183">
        <f t="shared" si="67"/>
        <v>0.18000000000029104</v>
      </c>
      <c r="T185" s="180">
        <v>38723</v>
      </c>
      <c r="U185" s="362">
        <f t="shared" si="100"/>
        <v>11</v>
      </c>
      <c r="V185" s="363">
        <f t="shared" si="101"/>
        <v>2.4746525316650746E-2</v>
      </c>
      <c r="W185" s="338">
        <f t="shared" si="102"/>
        <v>37</v>
      </c>
      <c r="X185" s="364"/>
      <c r="Y185" s="98" t="s">
        <v>418</v>
      </c>
      <c r="Z185" s="98"/>
    </row>
    <row r="186" spans="1:26" ht="12" customHeight="1">
      <c r="A186" s="180">
        <v>38688</v>
      </c>
      <c r="B186" s="360" t="s">
        <v>1040</v>
      </c>
      <c r="C186" s="98" t="s">
        <v>460</v>
      </c>
      <c r="D186" s="98">
        <v>10</v>
      </c>
      <c r="E186" s="181">
        <v>305</v>
      </c>
      <c r="F186" s="181">
        <f t="shared" si="71"/>
        <v>1.53</v>
      </c>
      <c r="G186" s="181">
        <f t="shared" si="72"/>
        <v>303.47000000000003</v>
      </c>
      <c r="H186" s="181">
        <f t="shared" si="61"/>
        <v>302.97000000000003</v>
      </c>
      <c r="I186" s="219">
        <f t="shared" si="62"/>
        <v>2.0301</v>
      </c>
      <c r="J186" s="181">
        <f t="shared" si="73"/>
        <v>3034.7</v>
      </c>
      <c r="K186" s="181">
        <f t="shared" si="74"/>
        <v>3029.7000000000003</v>
      </c>
      <c r="L186" s="181">
        <f t="shared" si="75"/>
        <v>15.3</v>
      </c>
      <c r="M186" s="181">
        <f t="shared" si="93"/>
        <v>1.5606</v>
      </c>
      <c r="N186" s="181">
        <f t="shared" si="70"/>
        <v>3.03</v>
      </c>
      <c r="O186" s="181">
        <f t="shared" si="64"/>
        <v>0.10621449999999999</v>
      </c>
      <c r="P186" s="181">
        <f t="shared" si="65"/>
        <v>0.30347000000000002</v>
      </c>
      <c r="Q186" s="98">
        <f t="shared" si="66"/>
        <v>0</v>
      </c>
      <c r="R186" s="361">
        <v>3029.65</v>
      </c>
      <c r="S186" s="183">
        <f t="shared" si="67"/>
        <v>5.0000000000181899E-2</v>
      </c>
      <c r="T186" s="180">
        <v>38692</v>
      </c>
      <c r="U186" s="362">
        <f t="shared" si="100"/>
        <v>262.11999999999989</v>
      </c>
      <c r="V186" s="363">
        <f t="shared" si="101"/>
        <v>5.8120863753388239</v>
      </c>
      <c r="W186" s="338">
        <f t="shared" si="102"/>
        <v>6</v>
      </c>
      <c r="X186" s="364"/>
      <c r="Y186" s="98" t="s">
        <v>418</v>
      </c>
      <c r="Z186" s="98"/>
    </row>
    <row r="187" spans="1:26" ht="12" customHeight="1">
      <c r="A187" s="180">
        <v>38700</v>
      </c>
      <c r="B187" s="360" t="s">
        <v>1004</v>
      </c>
      <c r="C187" s="98" t="s">
        <v>460</v>
      </c>
      <c r="D187" s="98">
        <v>50</v>
      </c>
      <c r="E187" s="181">
        <v>80.95</v>
      </c>
      <c r="F187" s="181">
        <f t="shared" si="71"/>
        <v>0.4</v>
      </c>
      <c r="G187" s="181">
        <f t="shared" si="72"/>
        <v>80.55</v>
      </c>
      <c r="H187" s="181">
        <f t="shared" si="61"/>
        <v>80.42</v>
      </c>
      <c r="I187" s="219">
        <f t="shared" si="62"/>
        <v>0.5323</v>
      </c>
      <c r="J187" s="181">
        <f t="shared" si="73"/>
        <v>4027.5</v>
      </c>
      <c r="K187" s="181">
        <f t="shared" si="74"/>
        <v>4020.8900000000003</v>
      </c>
      <c r="L187" s="181">
        <f t="shared" si="75"/>
        <v>20</v>
      </c>
      <c r="M187" s="181">
        <f t="shared" si="93"/>
        <v>2.04</v>
      </c>
      <c r="N187" s="181">
        <f t="shared" si="70"/>
        <v>4.03</v>
      </c>
      <c r="O187" s="181">
        <f t="shared" si="64"/>
        <v>0.14096249999999999</v>
      </c>
      <c r="P187" s="181">
        <f t="shared" si="65"/>
        <v>0.40275</v>
      </c>
      <c r="Q187" s="98">
        <f t="shared" si="66"/>
        <v>0</v>
      </c>
      <c r="R187" s="361">
        <v>4021</v>
      </c>
      <c r="S187" s="183">
        <f t="shared" si="67"/>
        <v>-0.10999999999967258</v>
      </c>
      <c r="T187" s="180">
        <v>38702</v>
      </c>
      <c r="U187" s="362">
        <f t="shared" si="100"/>
        <v>80.7800000000002</v>
      </c>
      <c r="V187" s="363">
        <f t="shared" si="101"/>
        <v>1.0755524459810764</v>
      </c>
      <c r="W187" s="338">
        <f t="shared" si="102"/>
        <v>7</v>
      </c>
      <c r="X187" s="364"/>
      <c r="Y187" s="98" t="s">
        <v>418</v>
      </c>
      <c r="Z187" s="98"/>
    </row>
    <row r="188" spans="1:26" ht="12" customHeight="1">
      <c r="A188" s="180">
        <v>38715</v>
      </c>
      <c r="B188" s="360" t="s">
        <v>1041</v>
      </c>
      <c r="C188" s="98" t="s">
        <v>460</v>
      </c>
      <c r="D188" s="98">
        <v>25</v>
      </c>
      <c r="E188" s="181">
        <v>78.5</v>
      </c>
      <c r="F188" s="181">
        <f t="shared" si="71"/>
        <v>0.4</v>
      </c>
      <c r="G188" s="181">
        <f t="shared" si="72"/>
        <v>78.099999999999994</v>
      </c>
      <c r="H188" s="181">
        <f t="shared" si="61"/>
        <v>77.97</v>
      </c>
      <c r="I188" s="219">
        <f t="shared" si="62"/>
        <v>0.52939999999999998</v>
      </c>
      <c r="J188" s="181">
        <f t="shared" si="73"/>
        <v>1952.5</v>
      </c>
      <c r="K188" s="181">
        <f t="shared" si="74"/>
        <v>1949.27</v>
      </c>
      <c r="L188" s="181">
        <f t="shared" si="75"/>
        <v>10</v>
      </c>
      <c r="M188" s="181">
        <f t="shared" si="93"/>
        <v>1.02</v>
      </c>
      <c r="N188" s="181">
        <f t="shared" si="70"/>
        <v>1.95</v>
      </c>
      <c r="O188" s="181">
        <f t="shared" si="64"/>
        <v>6.8337499999999995E-2</v>
      </c>
      <c r="P188" s="181">
        <f t="shared" si="65"/>
        <v>0.19525000000000001</v>
      </c>
      <c r="Q188" s="98">
        <f t="shared" si="66"/>
        <v>0</v>
      </c>
      <c r="R188" s="361">
        <v>1947.56</v>
      </c>
      <c r="S188" s="183">
        <f t="shared" si="67"/>
        <v>1.7100000000000364</v>
      </c>
      <c r="T188" s="180">
        <v>38719</v>
      </c>
      <c r="U188" s="362">
        <f t="shared" si="100"/>
        <v>-126.44000000000005</v>
      </c>
      <c r="V188" s="363">
        <f t="shared" si="101"/>
        <v>-0.93802032520325251</v>
      </c>
      <c r="W188" s="338">
        <f t="shared" si="102"/>
        <v>24</v>
      </c>
      <c r="X188" s="364"/>
      <c r="Y188" s="98" t="s">
        <v>418</v>
      </c>
      <c r="Z188" s="98"/>
    </row>
    <row r="189" spans="1:26" ht="12" customHeight="1">
      <c r="A189" s="180">
        <v>38701</v>
      </c>
      <c r="B189" s="360" t="s">
        <v>1042</v>
      </c>
      <c r="C189" s="98" t="s">
        <v>460</v>
      </c>
      <c r="D189" s="98">
        <v>50</v>
      </c>
      <c r="E189" s="181">
        <v>74.55</v>
      </c>
      <c r="F189" s="181">
        <f t="shared" si="71"/>
        <v>0.37</v>
      </c>
      <c r="G189" s="181">
        <f t="shared" si="72"/>
        <v>74.179999999999993</v>
      </c>
      <c r="H189" s="181">
        <f t="shared" si="61"/>
        <v>74.06</v>
      </c>
      <c r="I189" s="219">
        <f t="shared" si="62"/>
        <v>0.49199999999999999</v>
      </c>
      <c r="J189" s="181">
        <f t="shared" si="73"/>
        <v>3709</v>
      </c>
      <c r="K189" s="181">
        <f t="shared" si="74"/>
        <v>3702.9100000000003</v>
      </c>
      <c r="L189" s="181">
        <f t="shared" si="75"/>
        <v>18.5</v>
      </c>
      <c r="M189" s="181">
        <f t="shared" si="93"/>
        <v>1.8869999999999998</v>
      </c>
      <c r="N189" s="181">
        <f t="shared" si="70"/>
        <v>3.71</v>
      </c>
      <c r="O189" s="181">
        <f t="shared" si="64"/>
        <v>0.12981499999999999</v>
      </c>
      <c r="P189" s="181">
        <f t="shared" si="65"/>
        <v>0.37090000000000001</v>
      </c>
      <c r="Q189" s="98">
        <f t="shared" si="66"/>
        <v>0</v>
      </c>
      <c r="R189" s="361">
        <v>3700.86</v>
      </c>
      <c r="S189" s="183">
        <f t="shared" si="67"/>
        <v>2.0500000000001819</v>
      </c>
      <c r="T189" s="180">
        <v>38705</v>
      </c>
      <c r="U189" s="362">
        <f t="shared" si="100"/>
        <v>142.88000000000011</v>
      </c>
      <c r="V189" s="363">
        <f t="shared" si="101"/>
        <v>1.4757072762154864</v>
      </c>
      <c r="W189" s="338">
        <f t="shared" si="102"/>
        <v>10</v>
      </c>
      <c r="X189" s="364"/>
      <c r="Y189" s="98" t="s">
        <v>418</v>
      </c>
      <c r="Z189" s="98"/>
    </row>
    <row r="190" spans="1:26" ht="12" customHeight="1">
      <c r="A190" s="180">
        <v>38705</v>
      </c>
      <c r="B190" s="360" t="s">
        <v>1043</v>
      </c>
      <c r="C190" s="98" t="s">
        <v>460</v>
      </c>
      <c r="D190" s="98">
        <v>10</v>
      </c>
      <c r="E190" s="181">
        <v>452.75</v>
      </c>
      <c r="F190" s="181">
        <f t="shared" si="71"/>
        <v>2.2599999999999998</v>
      </c>
      <c r="G190" s="181">
        <f t="shared" si="72"/>
        <v>450.49</v>
      </c>
      <c r="H190" s="181">
        <f t="shared" si="61"/>
        <v>449.75</v>
      </c>
      <c r="I190" s="219">
        <f t="shared" si="62"/>
        <v>3.0014000000000003</v>
      </c>
      <c r="J190" s="181">
        <f t="shared" si="73"/>
        <v>4504.8999999999996</v>
      </c>
      <c r="K190" s="181">
        <f t="shared" si="74"/>
        <v>4497.49</v>
      </c>
      <c r="L190" s="181">
        <f t="shared" si="75"/>
        <v>22.599999999999998</v>
      </c>
      <c r="M190" s="181">
        <f t="shared" si="93"/>
        <v>2.3051999999999997</v>
      </c>
      <c r="N190" s="181">
        <f t="shared" si="70"/>
        <v>4.5</v>
      </c>
      <c r="O190" s="181">
        <f t="shared" si="64"/>
        <v>0.15767149999999996</v>
      </c>
      <c r="P190" s="181">
        <f t="shared" si="65"/>
        <v>0.45049</v>
      </c>
      <c r="Q190" s="98">
        <f t="shared" si="66"/>
        <v>0</v>
      </c>
      <c r="R190" s="181">
        <v>4497</v>
      </c>
      <c r="S190" s="183">
        <f t="shared" si="67"/>
        <v>0.48999999999978172</v>
      </c>
      <c r="T190" s="180">
        <v>38707</v>
      </c>
      <c r="U190" s="362">
        <f t="shared" si="100"/>
        <v>28</v>
      </c>
      <c r="V190" s="363">
        <f t="shared" si="101"/>
        <v>0.2874015748031496</v>
      </c>
      <c r="W190" s="338">
        <f t="shared" si="102"/>
        <v>8</v>
      </c>
      <c r="X190" s="364"/>
      <c r="Y190" s="98" t="s">
        <v>418</v>
      </c>
      <c r="Z190" s="98"/>
    </row>
    <row r="191" spans="1:26" ht="12" customHeight="1">
      <c r="A191" s="180">
        <v>38702</v>
      </c>
      <c r="B191" s="360" t="s">
        <v>1012</v>
      </c>
      <c r="C191" s="98" t="s">
        <v>460</v>
      </c>
      <c r="D191" s="98">
        <v>25</v>
      </c>
      <c r="E191" s="181">
        <v>158</v>
      </c>
      <c r="F191" s="181">
        <f t="shared" si="71"/>
        <v>0.79</v>
      </c>
      <c r="G191" s="181">
        <f t="shared" si="72"/>
        <v>157.21</v>
      </c>
      <c r="H191" s="181">
        <f t="shared" si="61"/>
        <v>156.94999999999999</v>
      </c>
      <c r="I191" s="219">
        <f t="shared" si="62"/>
        <v>1.0490999999999999</v>
      </c>
      <c r="J191" s="181">
        <f t="shared" si="73"/>
        <v>3930.25</v>
      </c>
      <c r="K191" s="181">
        <f t="shared" si="74"/>
        <v>3923.78</v>
      </c>
      <c r="L191" s="181">
        <f t="shared" si="75"/>
        <v>19.75</v>
      </c>
      <c r="M191" s="181">
        <f t="shared" si="93"/>
        <v>2.0145</v>
      </c>
      <c r="N191" s="181">
        <f t="shared" si="70"/>
        <v>3.93</v>
      </c>
      <c r="O191" s="181">
        <f t="shared" si="64"/>
        <v>0.13755874999999998</v>
      </c>
      <c r="P191" s="181">
        <f t="shared" si="65"/>
        <v>0.39302500000000001</v>
      </c>
      <c r="Q191" s="98">
        <f t="shared" si="66"/>
        <v>0</v>
      </c>
      <c r="R191" s="361">
        <v>3923.46</v>
      </c>
      <c r="S191" s="183">
        <f t="shared" si="67"/>
        <v>0.32000000000016371</v>
      </c>
      <c r="T191" s="180">
        <v>38706</v>
      </c>
      <c r="U191" s="362">
        <f t="shared" si="100"/>
        <v>83.460000000000036</v>
      </c>
      <c r="V191" s="363">
        <f t="shared" si="101"/>
        <v>1.596588050314466</v>
      </c>
      <c r="W191" s="338">
        <f t="shared" si="102"/>
        <v>5</v>
      </c>
      <c r="X191" s="364"/>
      <c r="Y191" s="98" t="s">
        <v>418</v>
      </c>
      <c r="Z191" s="98"/>
    </row>
    <row r="192" spans="1:26" ht="12" customHeight="1">
      <c r="A192" s="180">
        <v>38797</v>
      </c>
      <c r="B192" s="360" t="s">
        <v>1044</v>
      </c>
      <c r="C192" s="98" t="s">
        <v>460</v>
      </c>
      <c r="D192" s="98">
        <v>10</v>
      </c>
      <c r="E192" s="181">
        <v>1252</v>
      </c>
      <c r="F192" s="181">
        <f t="shared" si="71"/>
        <v>6.26</v>
      </c>
      <c r="G192" s="181">
        <f t="shared" si="72"/>
        <v>1245.74</v>
      </c>
      <c r="H192" s="181">
        <f t="shared" si="61"/>
        <v>1243.69</v>
      </c>
      <c r="I192" s="219">
        <f t="shared" si="62"/>
        <v>8.3126999999999995</v>
      </c>
      <c r="J192" s="181">
        <f t="shared" si="73"/>
        <v>12457.4</v>
      </c>
      <c r="K192" s="181">
        <f t="shared" si="74"/>
        <v>12436.880000000001</v>
      </c>
      <c r="L192" s="181">
        <f t="shared" si="75"/>
        <v>62.599999999999994</v>
      </c>
      <c r="M192" s="181">
        <f t="shared" si="93"/>
        <v>6.3851999999999993</v>
      </c>
      <c r="N192" s="181">
        <f t="shared" si="70"/>
        <v>12.46</v>
      </c>
      <c r="O192" s="181">
        <f t="shared" si="64"/>
        <v>0.43600899999999992</v>
      </c>
      <c r="P192" s="181">
        <f t="shared" si="65"/>
        <v>1.2457400000000001</v>
      </c>
      <c r="Q192" s="98">
        <f t="shared" si="66"/>
        <v>0</v>
      </c>
      <c r="R192" s="361">
        <v>12435.51</v>
      </c>
      <c r="S192" s="183">
        <f t="shared" si="67"/>
        <v>1.3700000000008004</v>
      </c>
      <c r="T192" s="180">
        <v>38799</v>
      </c>
      <c r="U192" s="362">
        <f t="shared" si="100"/>
        <v>1316.5100000000002</v>
      </c>
      <c r="V192" s="363">
        <f t="shared" si="101"/>
        <v>0.44649642497084696</v>
      </c>
      <c r="W192" s="338">
        <f t="shared" si="102"/>
        <v>97</v>
      </c>
      <c r="X192" s="364"/>
      <c r="Y192" s="98" t="s">
        <v>418</v>
      </c>
      <c r="Z192" s="98"/>
    </row>
    <row r="193" spans="1:26" ht="12" customHeight="1">
      <c r="A193" s="180">
        <v>38719</v>
      </c>
      <c r="B193" s="360" t="s">
        <v>1045</v>
      </c>
      <c r="C193" s="98" t="s">
        <v>460</v>
      </c>
      <c r="D193" s="98">
        <v>25</v>
      </c>
      <c r="E193" s="181">
        <v>124.25</v>
      </c>
      <c r="F193" s="181">
        <f t="shared" si="71"/>
        <v>0.62</v>
      </c>
      <c r="G193" s="181">
        <f t="shared" si="72"/>
        <v>123.63</v>
      </c>
      <c r="H193" s="181">
        <f t="shared" si="61"/>
        <v>123.43</v>
      </c>
      <c r="I193" s="219">
        <f t="shared" si="62"/>
        <v>0.8236</v>
      </c>
      <c r="J193" s="181">
        <f t="shared" si="73"/>
        <v>3090.75</v>
      </c>
      <c r="K193" s="181">
        <f t="shared" si="74"/>
        <v>3085.67</v>
      </c>
      <c r="L193" s="181">
        <f t="shared" si="75"/>
        <v>15.5</v>
      </c>
      <c r="M193" s="181">
        <f t="shared" si="93"/>
        <v>1.581</v>
      </c>
      <c r="N193" s="181">
        <f t="shared" si="70"/>
        <v>3.09</v>
      </c>
      <c r="O193" s="181">
        <f t="shared" si="64"/>
        <v>0.10817624999999999</v>
      </c>
      <c r="P193" s="181">
        <f t="shared" si="65"/>
        <v>0.30907499999999999</v>
      </c>
      <c r="Q193" s="98">
        <f t="shared" si="66"/>
        <v>0</v>
      </c>
      <c r="R193" s="361">
        <v>3085</v>
      </c>
      <c r="S193" s="183">
        <f t="shared" si="67"/>
        <v>0.67000000000007276</v>
      </c>
      <c r="T193" s="180">
        <v>38721</v>
      </c>
      <c r="U193" s="362">
        <f t="shared" si="100"/>
        <v>-3</v>
      </c>
      <c r="V193" s="363">
        <f t="shared" si="101"/>
        <v>-1.8809262058540607E-2</v>
      </c>
      <c r="W193" s="338">
        <f t="shared" si="102"/>
        <v>19</v>
      </c>
      <c r="X193" s="364"/>
      <c r="Y193" s="98" t="s">
        <v>418</v>
      </c>
      <c r="Z193" s="98"/>
    </row>
    <row r="194" spans="1:26" ht="12" customHeight="1">
      <c r="A194" s="180">
        <v>38721</v>
      </c>
      <c r="B194" s="360" t="s">
        <v>1008</v>
      </c>
      <c r="C194" s="98" t="s">
        <v>460</v>
      </c>
      <c r="D194" s="98">
        <v>25</v>
      </c>
      <c r="E194" s="181">
        <v>92.25</v>
      </c>
      <c r="F194" s="181">
        <f t="shared" si="71"/>
        <v>0.46</v>
      </c>
      <c r="G194" s="181">
        <f t="shared" si="72"/>
        <v>91.79</v>
      </c>
      <c r="H194" s="181">
        <f t="shared" si="61"/>
        <v>91.64</v>
      </c>
      <c r="I194" s="219">
        <f t="shared" si="62"/>
        <v>0.61099999999999999</v>
      </c>
      <c r="J194" s="181">
        <f t="shared" si="73"/>
        <v>2294.75</v>
      </c>
      <c r="K194" s="181">
        <f t="shared" si="74"/>
        <v>2290.98</v>
      </c>
      <c r="L194" s="181">
        <f t="shared" si="75"/>
        <v>11.5</v>
      </c>
      <c r="M194" s="181">
        <f t="shared" si="93"/>
        <v>1.1729999999999998</v>
      </c>
      <c r="N194" s="181">
        <f t="shared" si="70"/>
        <v>2.29</v>
      </c>
      <c r="O194" s="181">
        <f t="shared" si="64"/>
        <v>8.0316249999999992E-2</v>
      </c>
      <c r="P194" s="181">
        <f t="shared" si="65"/>
        <v>0.22947500000000001</v>
      </c>
      <c r="Q194" s="98">
        <f t="shared" si="66"/>
        <v>0</v>
      </c>
      <c r="R194" s="361">
        <v>2291</v>
      </c>
      <c r="S194" s="183">
        <f t="shared" si="67"/>
        <v>-1.999999999998181E-2</v>
      </c>
      <c r="T194" s="180">
        <v>38723</v>
      </c>
      <c r="U194" s="362">
        <f>(R194+R49)-E$337</f>
        <v>139</v>
      </c>
      <c r="V194" s="363">
        <f>-(U194/R49)/W194*365</f>
        <v>0.29802044172932335</v>
      </c>
      <c r="W194" s="338">
        <f>T194-T49</f>
        <v>80</v>
      </c>
      <c r="X194" s="364"/>
      <c r="Y194" s="98" t="s">
        <v>418</v>
      </c>
      <c r="Z194" s="98"/>
    </row>
    <row r="195" spans="1:26" ht="12" customHeight="1">
      <c r="A195" s="180">
        <v>38727</v>
      </c>
      <c r="B195" s="360" t="s">
        <v>1036</v>
      </c>
      <c r="C195" s="98" t="s">
        <v>460</v>
      </c>
      <c r="D195" s="98">
        <v>10</v>
      </c>
      <c r="E195" s="181">
        <v>388</v>
      </c>
      <c r="F195" s="181">
        <f t="shared" si="71"/>
        <v>1.94</v>
      </c>
      <c r="G195" s="181">
        <f t="shared" si="72"/>
        <v>386.06</v>
      </c>
      <c r="H195" s="181">
        <f t="shared" si="61"/>
        <v>385.42</v>
      </c>
      <c r="I195" s="219">
        <f t="shared" si="62"/>
        <v>2.5760000000000001</v>
      </c>
      <c r="J195" s="181">
        <f t="shared" si="73"/>
        <v>3860.6</v>
      </c>
      <c r="K195" s="181">
        <f t="shared" si="74"/>
        <v>3854.25</v>
      </c>
      <c r="L195" s="181">
        <f t="shared" si="75"/>
        <v>19.399999999999999</v>
      </c>
      <c r="M195" s="181">
        <f t="shared" si="93"/>
        <v>1.9787999999999997</v>
      </c>
      <c r="N195" s="181">
        <f t="shared" si="70"/>
        <v>3.86</v>
      </c>
      <c r="O195" s="181">
        <f t="shared" si="64"/>
        <v>0.13512099999999999</v>
      </c>
      <c r="P195" s="181">
        <f t="shared" si="65"/>
        <v>0.38606000000000001</v>
      </c>
      <c r="Q195" s="98">
        <f t="shared" si="66"/>
        <v>0</v>
      </c>
      <c r="R195" s="361">
        <v>3853.4</v>
      </c>
      <c r="S195" s="183">
        <f t="shared" si="67"/>
        <v>0.84999999999990905</v>
      </c>
      <c r="T195" s="180"/>
      <c r="U195" s="362">
        <f t="shared" ref="U195:U198" si="103">(R195+R72)-E$337</f>
        <v>191.24000000000024</v>
      </c>
      <c r="V195" s="363">
        <f t="shared" ref="V195:V198" si="104">-(U195/R72)/W195*365</f>
        <v>-4.9566593466266818E-4</v>
      </c>
      <c r="W195" s="338">
        <f t="shared" ref="W195:W198" si="105">T195-T72</f>
        <v>-38708</v>
      </c>
      <c r="X195" s="364"/>
      <c r="Y195" s="98" t="s">
        <v>418</v>
      </c>
      <c r="Z195" s="98"/>
    </row>
    <row r="196" spans="1:26" ht="12" customHeight="1">
      <c r="A196" s="180">
        <v>38721</v>
      </c>
      <c r="B196" s="360" t="s">
        <v>1046</v>
      </c>
      <c r="C196" s="98" t="s">
        <v>460</v>
      </c>
      <c r="D196" s="98">
        <v>25</v>
      </c>
      <c r="E196" s="181">
        <v>165.05</v>
      </c>
      <c r="F196" s="181">
        <f t="shared" si="71"/>
        <v>0.83</v>
      </c>
      <c r="G196" s="181">
        <f t="shared" si="72"/>
        <v>164.22</v>
      </c>
      <c r="H196" s="181">
        <f t="shared" si="61"/>
        <v>163.95</v>
      </c>
      <c r="I196" s="219">
        <f t="shared" si="62"/>
        <v>1.1012999999999999</v>
      </c>
      <c r="J196" s="181">
        <f t="shared" si="73"/>
        <v>4105.5</v>
      </c>
      <c r="K196" s="181">
        <f t="shared" si="74"/>
        <v>4098.72</v>
      </c>
      <c r="L196" s="181">
        <f t="shared" si="75"/>
        <v>20.75</v>
      </c>
      <c r="M196" s="181">
        <f t="shared" si="93"/>
        <v>2.1164999999999998</v>
      </c>
      <c r="N196" s="181">
        <f t="shared" si="70"/>
        <v>4.1100000000000003</v>
      </c>
      <c r="O196" s="181">
        <f t="shared" si="64"/>
        <v>0.1436925</v>
      </c>
      <c r="P196" s="181">
        <f t="shared" si="65"/>
        <v>0.41055000000000003</v>
      </c>
      <c r="Q196" s="98">
        <f t="shared" si="66"/>
        <v>0</v>
      </c>
      <c r="R196" s="361">
        <v>4099</v>
      </c>
      <c r="S196" s="183">
        <f t="shared" si="67"/>
        <v>-0.27999999999974534</v>
      </c>
      <c r="T196" s="180">
        <v>38723</v>
      </c>
      <c r="U196" s="362">
        <f t="shared" si="103"/>
        <v>-2.5</v>
      </c>
      <c r="V196" s="363">
        <f t="shared" si="104"/>
        <v>-1.4919272430002043E-2</v>
      </c>
      <c r="W196" s="338">
        <f t="shared" si="105"/>
        <v>15</v>
      </c>
      <c r="X196" s="364"/>
      <c r="Y196" s="98" t="s">
        <v>418</v>
      </c>
      <c r="Z196" s="98"/>
    </row>
    <row r="197" spans="1:26" ht="12" customHeight="1">
      <c r="A197" s="180">
        <v>38715</v>
      </c>
      <c r="B197" s="360" t="s">
        <v>1028</v>
      </c>
      <c r="C197" s="98" t="s">
        <v>460</v>
      </c>
      <c r="D197" s="98">
        <v>50</v>
      </c>
      <c r="E197" s="181">
        <v>65.650000000000006</v>
      </c>
      <c r="F197" s="181">
        <f t="shared" si="71"/>
        <v>0.33</v>
      </c>
      <c r="G197" s="181">
        <f t="shared" si="72"/>
        <v>65.320000000000007</v>
      </c>
      <c r="H197" s="181">
        <f t="shared" si="61"/>
        <v>65.209999999999994</v>
      </c>
      <c r="I197" s="219">
        <f t="shared" si="62"/>
        <v>0.43790000000000001</v>
      </c>
      <c r="J197" s="181">
        <f t="shared" si="73"/>
        <v>3266</v>
      </c>
      <c r="K197" s="181">
        <f t="shared" si="74"/>
        <v>3260.61</v>
      </c>
      <c r="L197" s="181">
        <f t="shared" si="75"/>
        <v>16.5</v>
      </c>
      <c r="M197" s="181">
        <f t="shared" si="93"/>
        <v>1.6829999999999998</v>
      </c>
      <c r="N197" s="181">
        <f t="shared" si="70"/>
        <v>3.27</v>
      </c>
      <c r="O197" s="181">
        <f t="shared" si="64"/>
        <v>0.11430999999999999</v>
      </c>
      <c r="P197" s="181">
        <f t="shared" si="65"/>
        <v>0.3266</v>
      </c>
      <c r="Q197" s="98">
        <f t="shared" si="66"/>
        <v>0</v>
      </c>
      <c r="R197" s="361">
        <v>3259</v>
      </c>
      <c r="S197" s="183">
        <f t="shared" si="67"/>
        <v>1.6100000000001273</v>
      </c>
      <c r="T197" s="180">
        <v>38719</v>
      </c>
      <c r="U197" s="362">
        <f t="shared" si="103"/>
        <v>-1.5</v>
      </c>
      <c r="V197" s="363">
        <f t="shared" si="104"/>
        <v>-2.8194036768113703E-2</v>
      </c>
      <c r="W197" s="338">
        <f t="shared" si="105"/>
        <v>6</v>
      </c>
      <c r="X197" s="364"/>
      <c r="Y197" s="98" t="s">
        <v>418</v>
      </c>
      <c r="Z197" s="98"/>
    </row>
    <row r="198" spans="1:26" ht="12" customHeight="1">
      <c r="A198" s="180">
        <v>38720</v>
      </c>
      <c r="B198" s="360" t="s">
        <v>1047</v>
      </c>
      <c r="C198" s="98" t="s">
        <v>460</v>
      </c>
      <c r="D198" s="98">
        <v>25</v>
      </c>
      <c r="E198" s="181">
        <v>118</v>
      </c>
      <c r="F198" s="181">
        <f t="shared" si="71"/>
        <v>0.59</v>
      </c>
      <c r="G198" s="181">
        <f t="shared" si="72"/>
        <v>117.41</v>
      </c>
      <c r="H198" s="181">
        <f t="shared" si="61"/>
        <v>117.22</v>
      </c>
      <c r="I198" s="219">
        <f t="shared" si="62"/>
        <v>0.78369999999999995</v>
      </c>
      <c r="J198" s="181">
        <f t="shared" si="73"/>
        <v>2935.25</v>
      </c>
      <c r="K198" s="181">
        <f t="shared" si="74"/>
        <v>2930.4100000000003</v>
      </c>
      <c r="L198" s="181">
        <f t="shared" si="75"/>
        <v>14.75</v>
      </c>
      <c r="M198" s="181">
        <f t="shared" si="93"/>
        <v>1.5044999999999999</v>
      </c>
      <c r="N198" s="181">
        <f t="shared" si="70"/>
        <v>2.94</v>
      </c>
      <c r="O198" s="181">
        <f t="shared" si="64"/>
        <v>0.10273374999999998</v>
      </c>
      <c r="P198" s="181">
        <f t="shared" si="65"/>
        <v>0.29352500000000004</v>
      </c>
      <c r="Q198" s="98">
        <f t="shared" si="66"/>
        <v>0</v>
      </c>
      <c r="R198" s="361">
        <f>K198</f>
        <v>2930.4100000000003</v>
      </c>
      <c r="S198" s="183">
        <f t="shared" si="67"/>
        <v>0</v>
      </c>
      <c r="T198" s="180">
        <v>38722</v>
      </c>
      <c r="U198" s="362">
        <f t="shared" si="103"/>
        <v>67.410000000000309</v>
      </c>
      <c r="V198" s="363">
        <f t="shared" si="104"/>
        <v>0.96296231067277638</v>
      </c>
      <c r="W198" s="338">
        <f t="shared" si="105"/>
        <v>9</v>
      </c>
      <c r="X198" s="364"/>
      <c r="Y198" s="98" t="s">
        <v>418</v>
      </c>
      <c r="Z198" s="98"/>
    </row>
    <row r="199" spans="1:26" ht="12" customHeight="1">
      <c r="A199" s="180">
        <v>38817</v>
      </c>
      <c r="B199" s="360" t="s">
        <v>1009</v>
      </c>
      <c r="C199" s="98" t="s">
        <v>460</v>
      </c>
      <c r="D199" s="98">
        <v>100</v>
      </c>
      <c r="E199" s="181">
        <v>75.7</v>
      </c>
      <c r="F199" s="181">
        <f t="shared" si="71"/>
        <v>0.38</v>
      </c>
      <c r="G199" s="181">
        <f t="shared" si="72"/>
        <v>75.320000000000007</v>
      </c>
      <c r="H199" s="181">
        <f t="shared" si="61"/>
        <v>75.19</v>
      </c>
      <c r="I199" s="219">
        <f t="shared" si="62"/>
        <v>0.51200000000000001</v>
      </c>
      <c r="J199" s="181">
        <f t="shared" si="73"/>
        <v>7532</v>
      </c>
      <c r="K199" s="181">
        <f t="shared" si="74"/>
        <v>7518.81</v>
      </c>
      <c r="L199" s="181">
        <f t="shared" si="75"/>
        <v>38</v>
      </c>
      <c r="M199" s="181">
        <f>L199*F$328</f>
        <v>4.6512000000000002</v>
      </c>
      <c r="N199" s="181">
        <f t="shared" si="70"/>
        <v>7.53</v>
      </c>
      <c r="O199" s="181">
        <f t="shared" si="64"/>
        <v>0.26361999999999997</v>
      </c>
      <c r="P199" s="181">
        <f t="shared" si="65"/>
        <v>0.75319999999999998</v>
      </c>
      <c r="Q199" s="98">
        <f t="shared" si="66"/>
        <v>0</v>
      </c>
      <c r="R199" s="361">
        <v>7518.62</v>
      </c>
      <c r="S199" s="183">
        <f t="shared" si="67"/>
        <v>0.19000000000050932</v>
      </c>
      <c r="T199" s="180"/>
      <c r="U199" s="362">
        <f>(R199+R77)-E$337</f>
        <v>128.61999999999989</v>
      </c>
      <c r="V199" s="363">
        <f>-(U199/R77)/W199*365</f>
        <v>-1.6460169631296787E-4</v>
      </c>
      <c r="W199" s="338">
        <f>T199-T77</f>
        <v>-38720</v>
      </c>
      <c r="X199" s="364"/>
      <c r="Y199" s="98" t="s">
        <v>418</v>
      </c>
      <c r="Z199" s="98"/>
    </row>
    <row r="200" spans="1:26" ht="12" customHeight="1">
      <c r="A200" s="180">
        <v>38719</v>
      </c>
      <c r="B200" s="360" t="s">
        <v>1033</v>
      </c>
      <c r="C200" s="98" t="s">
        <v>460</v>
      </c>
      <c r="D200" s="98">
        <v>75</v>
      </c>
      <c r="E200" s="181">
        <v>25.2</v>
      </c>
      <c r="F200" s="181">
        <f t="shared" si="71"/>
        <v>0.13</v>
      </c>
      <c r="G200" s="181">
        <f t="shared" si="72"/>
        <v>25.07</v>
      </c>
      <c r="H200" s="181">
        <f t="shared" si="61"/>
        <v>25.03</v>
      </c>
      <c r="I200" s="219">
        <f t="shared" si="62"/>
        <v>0.17179999999999998</v>
      </c>
      <c r="J200" s="181">
        <f t="shared" si="73"/>
        <v>1880.25</v>
      </c>
      <c r="K200" s="181">
        <f t="shared" si="74"/>
        <v>1877.1299999999999</v>
      </c>
      <c r="L200" s="181">
        <f t="shared" si="75"/>
        <v>9.75</v>
      </c>
      <c r="M200" s="181">
        <f t="shared" ref="M200:M201" si="106">L200*E$328</f>
        <v>0.99449999999999994</v>
      </c>
      <c r="N200" s="181">
        <f t="shared" si="70"/>
        <v>1.88</v>
      </c>
      <c r="O200" s="181">
        <f t="shared" si="64"/>
        <v>6.5808749999999999E-2</v>
      </c>
      <c r="P200" s="181">
        <f t="shared" si="65"/>
        <v>0.188025</v>
      </c>
      <c r="Q200" s="98">
        <f t="shared" si="66"/>
        <v>0</v>
      </c>
      <c r="R200" s="361">
        <v>1876.5</v>
      </c>
      <c r="S200" s="183">
        <f t="shared" si="67"/>
        <v>0.62999999999988177</v>
      </c>
      <c r="T200" s="180">
        <v>38721</v>
      </c>
      <c r="U200" s="362">
        <f>R200-(W$53*D200)-E$337</f>
        <v>89.249999999999773</v>
      </c>
      <c r="V200" s="363">
        <f>(U200/(W$53*D200))/W200*365</f>
        <v>0.36225719551963603</v>
      </c>
      <c r="W200" s="338">
        <f>T200-T53</f>
        <v>51</v>
      </c>
      <c r="X200" s="364"/>
      <c r="Y200" s="98" t="s">
        <v>418</v>
      </c>
      <c r="Z200" s="98"/>
    </row>
    <row r="201" spans="1:26" ht="12" customHeight="1">
      <c r="A201" s="180">
        <v>38722</v>
      </c>
      <c r="B201" s="360" t="s">
        <v>1048</v>
      </c>
      <c r="C201" s="98" t="s">
        <v>460</v>
      </c>
      <c r="D201" s="98">
        <v>100</v>
      </c>
      <c r="E201" s="181">
        <v>80.45</v>
      </c>
      <c r="F201" s="181">
        <f t="shared" si="71"/>
        <v>0.4</v>
      </c>
      <c r="G201" s="181">
        <f t="shared" si="72"/>
        <v>80.05</v>
      </c>
      <c r="H201" s="181">
        <f t="shared" si="61"/>
        <v>79.92</v>
      </c>
      <c r="I201" s="219">
        <f t="shared" si="62"/>
        <v>0.53179999999999994</v>
      </c>
      <c r="J201" s="181">
        <f t="shared" si="73"/>
        <v>8005</v>
      </c>
      <c r="K201" s="181">
        <f t="shared" si="74"/>
        <v>7991.83</v>
      </c>
      <c r="L201" s="181">
        <f t="shared" si="75"/>
        <v>40</v>
      </c>
      <c r="M201" s="181">
        <f t="shared" si="106"/>
        <v>4.08</v>
      </c>
      <c r="N201" s="181">
        <f t="shared" si="70"/>
        <v>8.01</v>
      </c>
      <c r="O201" s="181">
        <f t="shared" si="64"/>
        <v>0.28017499999999995</v>
      </c>
      <c r="P201" s="181">
        <f t="shared" si="65"/>
        <v>0.80049999999999999</v>
      </c>
      <c r="Q201" s="98">
        <f t="shared" si="66"/>
        <v>0</v>
      </c>
      <c r="R201" s="361">
        <v>7989.74</v>
      </c>
      <c r="S201" s="183">
        <f t="shared" si="67"/>
        <v>2.0900000000001455</v>
      </c>
      <c r="T201" s="180">
        <v>38726</v>
      </c>
      <c r="U201" s="362">
        <f t="shared" ref="U201:U216" si="107">(R201+R78)-E$337</f>
        <v>103.73999999999978</v>
      </c>
      <c r="V201" s="363">
        <f t="shared" ref="V201:V216" si="108">-(U201/R78)/W201*365</f>
        <v>1.6054057491732348</v>
      </c>
      <c r="W201" s="338">
        <f t="shared" ref="W201:W217" si="109">T201-T78</f>
        <v>3</v>
      </c>
      <c r="X201" s="364"/>
      <c r="Y201" s="98" t="s">
        <v>418</v>
      </c>
      <c r="Z201" s="98"/>
    </row>
    <row r="202" spans="1:26" ht="12" customHeight="1">
      <c r="A202" s="180">
        <v>38831</v>
      </c>
      <c r="B202" s="360" t="s">
        <v>1022</v>
      </c>
      <c r="C202" s="98" t="s">
        <v>460</v>
      </c>
      <c r="D202" s="98">
        <v>50</v>
      </c>
      <c r="E202" s="181">
        <v>79</v>
      </c>
      <c r="F202" s="181">
        <f t="shared" si="71"/>
        <v>0.4</v>
      </c>
      <c r="G202" s="181">
        <f t="shared" si="72"/>
        <v>78.599999999999994</v>
      </c>
      <c r="H202" s="181">
        <f t="shared" si="61"/>
        <v>78.459999999999994</v>
      </c>
      <c r="I202" s="219">
        <f t="shared" si="62"/>
        <v>0.53820000000000001</v>
      </c>
      <c r="J202" s="181">
        <f t="shared" si="73"/>
        <v>3930</v>
      </c>
      <c r="K202" s="181">
        <f t="shared" si="74"/>
        <v>3923.1000000000004</v>
      </c>
      <c r="L202" s="181">
        <f t="shared" si="75"/>
        <v>20</v>
      </c>
      <c r="M202" s="181">
        <f t="shared" ref="M202:M203" si="110">L202*F$328</f>
        <v>2.448</v>
      </c>
      <c r="N202" s="181">
        <f t="shared" si="70"/>
        <v>3.93</v>
      </c>
      <c r="O202" s="181">
        <f t="shared" si="64"/>
        <v>0.13754999999999998</v>
      </c>
      <c r="P202" s="181">
        <f t="shared" si="65"/>
        <v>0.39300000000000002</v>
      </c>
      <c r="Q202" s="98">
        <f t="shared" si="66"/>
        <v>0</v>
      </c>
      <c r="R202" s="361">
        <v>3922</v>
      </c>
      <c r="S202" s="183">
        <f t="shared" si="67"/>
        <v>1.1000000000003638</v>
      </c>
      <c r="T202" s="180">
        <v>38833</v>
      </c>
      <c r="U202" s="362">
        <f t="shared" si="107"/>
        <v>-202</v>
      </c>
      <c r="V202" s="363">
        <f t="shared" si="108"/>
        <v>-0.16348115299334814</v>
      </c>
      <c r="W202" s="338">
        <f t="shared" si="109"/>
        <v>110</v>
      </c>
      <c r="X202" s="364"/>
      <c r="Y202" s="98" t="s">
        <v>418</v>
      </c>
      <c r="Z202" s="98"/>
    </row>
    <row r="203" spans="1:26" ht="12" customHeight="1">
      <c r="A203" s="180">
        <v>38836</v>
      </c>
      <c r="B203" s="360" t="s">
        <v>1049</v>
      </c>
      <c r="C203" s="98" t="s">
        <v>460</v>
      </c>
      <c r="D203" s="98">
        <v>100</v>
      </c>
      <c r="E203" s="181">
        <v>54.25</v>
      </c>
      <c r="F203" s="181">
        <f t="shared" si="71"/>
        <v>0.27</v>
      </c>
      <c r="G203" s="181">
        <f t="shared" si="72"/>
        <v>53.98</v>
      </c>
      <c r="H203" s="181">
        <f t="shared" si="61"/>
        <v>53.89</v>
      </c>
      <c r="I203" s="219">
        <f t="shared" si="62"/>
        <v>0.3644</v>
      </c>
      <c r="J203" s="181">
        <f t="shared" si="73"/>
        <v>5398</v>
      </c>
      <c r="K203" s="181">
        <f t="shared" si="74"/>
        <v>5388.5700000000006</v>
      </c>
      <c r="L203" s="181">
        <f t="shared" si="75"/>
        <v>27</v>
      </c>
      <c r="M203" s="181">
        <f t="shared" si="110"/>
        <v>3.3047999999999997</v>
      </c>
      <c r="N203" s="181">
        <f t="shared" si="70"/>
        <v>5.4</v>
      </c>
      <c r="O203" s="181">
        <f t="shared" si="64"/>
        <v>0.18892999999999999</v>
      </c>
      <c r="P203" s="181">
        <f t="shared" si="65"/>
        <v>0.53980000000000006</v>
      </c>
      <c r="Q203" s="98">
        <f t="shared" si="66"/>
        <v>0</v>
      </c>
      <c r="R203" s="361">
        <v>5388.5</v>
      </c>
      <c r="S203" s="183">
        <f t="shared" si="67"/>
        <v>7.0000000000618456E-2</v>
      </c>
      <c r="T203" s="180"/>
      <c r="U203" s="362">
        <f t="shared" si="107"/>
        <v>-799.15999999999985</v>
      </c>
      <c r="V203" s="363">
        <f t="shared" si="108"/>
        <v>1.2221342980768442E-3</v>
      </c>
      <c r="W203" s="338">
        <f t="shared" si="109"/>
        <v>-38723</v>
      </c>
      <c r="X203" s="364"/>
      <c r="Y203" s="98" t="s">
        <v>418</v>
      </c>
      <c r="Z203" s="98"/>
    </row>
    <row r="204" spans="1:26" ht="12" customHeight="1">
      <c r="A204" s="180">
        <v>38751</v>
      </c>
      <c r="B204" s="360" t="s">
        <v>1050</v>
      </c>
      <c r="C204" s="98" t="s">
        <v>460</v>
      </c>
      <c r="D204" s="98">
        <v>50</v>
      </c>
      <c r="E204" s="181">
        <v>84.1</v>
      </c>
      <c r="F204" s="181">
        <f t="shared" si="71"/>
        <v>0.42</v>
      </c>
      <c r="G204" s="181">
        <f t="shared" si="72"/>
        <v>83.679999999999993</v>
      </c>
      <c r="H204" s="181">
        <f t="shared" si="61"/>
        <v>83.54</v>
      </c>
      <c r="I204" s="219">
        <f t="shared" si="62"/>
        <v>0.55779999999999996</v>
      </c>
      <c r="J204" s="181">
        <f t="shared" si="73"/>
        <v>4184</v>
      </c>
      <c r="K204" s="181">
        <f t="shared" si="74"/>
        <v>4177.12</v>
      </c>
      <c r="L204" s="181">
        <f t="shared" si="75"/>
        <v>21</v>
      </c>
      <c r="M204" s="181">
        <f>L204*E$328</f>
        <v>2.1419999999999999</v>
      </c>
      <c r="N204" s="181">
        <f t="shared" si="70"/>
        <v>4.18</v>
      </c>
      <c r="O204" s="181">
        <f t="shared" si="64"/>
        <v>0.14643999999999999</v>
      </c>
      <c r="P204" s="181">
        <f t="shared" si="65"/>
        <v>0.41839999999999999</v>
      </c>
      <c r="Q204" s="98">
        <f t="shared" si="66"/>
        <v>0</v>
      </c>
      <c r="R204" s="361">
        <v>4177.0200000000004</v>
      </c>
      <c r="S204" s="183">
        <f t="shared" si="67"/>
        <v>9.9999999999454303E-2</v>
      </c>
      <c r="T204" s="180">
        <v>38755</v>
      </c>
      <c r="U204" s="362">
        <f t="shared" si="107"/>
        <v>100.02000000000044</v>
      </c>
      <c r="V204" s="363">
        <f t="shared" si="108"/>
        <v>0.28148362324204418</v>
      </c>
      <c r="W204" s="338">
        <f t="shared" si="109"/>
        <v>32</v>
      </c>
      <c r="X204" s="364"/>
      <c r="Y204" s="98" t="s">
        <v>418</v>
      </c>
      <c r="Z204" s="98"/>
    </row>
    <row r="205" spans="1:26" ht="12" customHeight="1">
      <c r="A205" s="180">
        <v>38836</v>
      </c>
      <c r="B205" s="360" t="s">
        <v>1051</v>
      </c>
      <c r="C205" s="98" t="s">
        <v>460</v>
      </c>
      <c r="D205" s="98">
        <v>50</v>
      </c>
      <c r="E205" s="181">
        <v>80.5</v>
      </c>
      <c r="F205" s="181">
        <f t="shared" si="71"/>
        <v>0.4</v>
      </c>
      <c r="G205" s="181">
        <f t="shared" si="72"/>
        <v>80.099999999999994</v>
      </c>
      <c r="H205" s="181">
        <f t="shared" si="61"/>
        <v>79.959999999999994</v>
      </c>
      <c r="I205" s="219">
        <f t="shared" si="62"/>
        <v>0.54</v>
      </c>
      <c r="J205" s="181">
        <f t="shared" si="73"/>
        <v>4005</v>
      </c>
      <c r="K205" s="181">
        <f t="shared" si="74"/>
        <v>3998.01</v>
      </c>
      <c r="L205" s="181">
        <f t="shared" si="75"/>
        <v>20</v>
      </c>
      <c r="M205" s="181">
        <f t="shared" ref="M205:M208" si="111">L205*F$328</f>
        <v>2.448</v>
      </c>
      <c r="N205" s="181">
        <f t="shared" si="70"/>
        <v>4.01</v>
      </c>
      <c r="O205" s="181">
        <f t="shared" si="64"/>
        <v>0.14017499999999999</v>
      </c>
      <c r="P205" s="181">
        <f t="shared" si="65"/>
        <v>0.40050000000000002</v>
      </c>
      <c r="Q205" s="98">
        <f t="shared" si="66"/>
        <v>0</v>
      </c>
      <c r="R205" s="361">
        <v>3997.5</v>
      </c>
      <c r="S205" s="183">
        <f t="shared" si="67"/>
        <v>0.51000000000021828</v>
      </c>
      <c r="T205" s="180"/>
      <c r="U205" s="362">
        <f t="shared" si="107"/>
        <v>-1616</v>
      </c>
      <c r="V205" s="363">
        <f t="shared" si="108"/>
        <v>2.7251616220687384E-3</v>
      </c>
      <c r="W205" s="338">
        <f t="shared" si="109"/>
        <v>-38723</v>
      </c>
      <c r="X205" s="364"/>
      <c r="Y205" s="98" t="s">
        <v>418</v>
      </c>
      <c r="Z205" s="98"/>
    </row>
    <row r="206" spans="1:26" ht="12" customHeight="1">
      <c r="A206" s="180">
        <v>38836</v>
      </c>
      <c r="B206" s="360" t="s">
        <v>1025</v>
      </c>
      <c r="C206" s="98" t="s">
        <v>460</v>
      </c>
      <c r="D206" s="98">
        <v>100</v>
      </c>
      <c r="E206" s="181">
        <v>43</v>
      </c>
      <c r="F206" s="181">
        <f t="shared" si="71"/>
        <v>0.22</v>
      </c>
      <c r="G206" s="181">
        <f t="shared" si="72"/>
        <v>42.78</v>
      </c>
      <c r="H206" s="181">
        <f t="shared" si="61"/>
        <v>42.7</v>
      </c>
      <c r="I206" s="219">
        <f t="shared" si="62"/>
        <v>0.29559999999999997</v>
      </c>
      <c r="J206" s="181">
        <f t="shared" si="73"/>
        <v>4278</v>
      </c>
      <c r="K206" s="181">
        <f t="shared" si="74"/>
        <v>4270.45</v>
      </c>
      <c r="L206" s="181">
        <f t="shared" si="75"/>
        <v>22</v>
      </c>
      <c r="M206" s="181">
        <f t="shared" si="111"/>
        <v>2.6928000000000001</v>
      </c>
      <c r="N206" s="181">
        <f t="shared" si="70"/>
        <v>4.28</v>
      </c>
      <c r="O206" s="181">
        <f t="shared" si="64"/>
        <v>0.14972999999999997</v>
      </c>
      <c r="P206" s="181">
        <f t="shared" si="65"/>
        <v>0.42780000000000001</v>
      </c>
      <c r="Q206" s="98">
        <f t="shared" si="66"/>
        <v>0</v>
      </c>
      <c r="R206" s="361">
        <v>4269.82</v>
      </c>
      <c r="S206" s="183">
        <f t="shared" si="67"/>
        <v>0.63000000000010914</v>
      </c>
      <c r="T206" s="180"/>
      <c r="U206" s="362">
        <f t="shared" si="107"/>
        <v>-906.18000000000029</v>
      </c>
      <c r="V206" s="363">
        <f t="shared" si="108"/>
        <v>1.6579158621924191E-3</v>
      </c>
      <c r="W206" s="338">
        <f t="shared" si="109"/>
        <v>-38723</v>
      </c>
      <c r="X206" s="364"/>
      <c r="Y206" s="98" t="s">
        <v>418</v>
      </c>
      <c r="Z206" s="98"/>
    </row>
    <row r="207" spans="1:26" ht="12" customHeight="1">
      <c r="A207" s="361" t="s">
        <v>1074</v>
      </c>
      <c r="B207" s="360" t="s">
        <v>1052</v>
      </c>
      <c r="C207" s="98" t="s">
        <v>460</v>
      </c>
      <c r="D207" s="98">
        <v>50</v>
      </c>
      <c r="E207" s="181">
        <f>E84*1.01364+E$337/D207</f>
        <v>118.77178800000002</v>
      </c>
      <c r="F207" s="181">
        <f t="shared" si="71"/>
        <v>0.59</v>
      </c>
      <c r="G207" s="181">
        <f t="shared" si="72"/>
        <v>118.18178800000001</v>
      </c>
      <c r="H207" s="181">
        <f t="shared" si="61"/>
        <v>117.98</v>
      </c>
      <c r="I207" s="219">
        <f t="shared" si="62"/>
        <v>0.7964</v>
      </c>
      <c r="J207" s="181">
        <f t="shared" si="73"/>
        <v>5909.09</v>
      </c>
      <c r="K207" s="181">
        <f t="shared" si="74"/>
        <v>5898.7800000000007</v>
      </c>
      <c r="L207" s="181">
        <f t="shared" si="75"/>
        <v>29.5</v>
      </c>
      <c r="M207" s="181">
        <f t="shared" si="111"/>
        <v>3.6107999999999998</v>
      </c>
      <c r="N207" s="181">
        <f t="shared" si="70"/>
        <v>5.91</v>
      </c>
      <c r="O207" s="181">
        <f t="shared" si="64"/>
        <v>0.20681814999999998</v>
      </c>
      <c r="P207" s="181">
        <f t="shared" si="65"/>
        <v>0.59090900000000002</v>
      </c>
      <c r="Q207" s="98">
        <f t="shared" si="66"/>
        <v>0</v>
      </c>
      <c r="R207" s="361">
        <f>K207</f>
        <v>5898.7800000000007</v>
      </c>
      <c r="S207" s="183">
        <f t="shared" si="67"/>
        <v>0</v>
      </c>
      <c r="T207" s="180"/>
      <c r="U207" s="362">
        <f t="shared" si="107"/>
        <v>0.81000000000040018</v>
      </c>
      <c r="V207" s="363">
        <f t="shared" si="108"/>
        <v>-1.2996676339195254E-6</v>
      </c>
      <c r="W207" s="338">
        <f t="shared" si="109"/>
        <v>-38727</v>
      </c>
      <c r="X207" s="364" t="str">
        <f>IF(A207="Stock","Not Sold","")</f>
        <v>Not Sold</v>
      </c>
      <c r="Y207" s="98" t="s">
        <v>418</v>
      </c>
      <c r="Z207" s="98"/>
    </row>
    <row r="208" spans="1:26" ht="12" customHeight="1">
      <c r="A208" s="180">
        <v>38828</v>
      </c>
      <c r="B208" s="360" t="s">
        <v>1053</v>
      </c>
      <c r="C208" s="98" t="s">
        <v>460</v>
      </c>
      <c r="D208" s="98">
        <v>50</v>
      </c>
      <c r="E208" s="181">
        <v>88.9</v>
      </c>
      <c r="F208" s="181">
        <f t="shared" si="71"/>
        <v>0.44</v>
      </c>
      <c r="G208" s="181">
        <f t="shared" si="72"/>
        <v>88.460000000000008</v>
      </c>
      <c r="H208" s="181">
        <f t="shared" si="61"/>
        <v>88.31</v>
      </c>
      <c r="I208" s="219">
        <f t="shared" si="62"/>
        <v>0.59419999999999995</v>
      </c>
      <c r="J208" s="181">
        <f t="shared" si="73"/>
        <v>4423</v>
      </c>
      <c r="K208" s="181">
        <f t="shared" si="74"/>
        <v>4415.3</v>
      </c>
      <c r="L208" s="181">
        <f t="shared" si="75"/>
        <v>22</v>
      </c>
      <c r="M208" s="181">
        <f t="shared" si="111"/>
        <v>2.6928000000000001</v>
      </c>
      <c r="N208" s="181">
        <f t="shared" si="70"/>
        <v>4.42</v>
      </c>
      <c r="O208" s="181">
        <f t="shared" si="64"/>
        <v>0.154805</v>
      </c>
      <c r="P208" s="181">
        <f t="shared" si="65"/>
        <v>0.44230000000000003</v>
      </c>
      <c r="Q208" s="98">
        <f t="shared" si="66"/>
        <v>0</v>
      </c>
      <c r="R208" s="361">
        <v>4414</v>
      </c>
      <c r="S208" s="183">
        <f t="shared" si="67"/>
        <v>1.3000000000001819</v>
      </c>
      <c r="T208" s="180"/>
      <c r="U208" s="362">
        <f t="shared" si="107"/>
        <v>-1046</v>
      </c>
      <c r="V208" s="363">
        <f t="shared" si="108"/>
        <v>1.8135571479175382E-3</v>
      </c>
      <c r="W208" s="338">
        <f t="shared" si="109"/>
        <v>-38727</v>
      </c>
      <c r="X208" s="364"/>
      <c r="Y208" s="41" t="s">
        <v>483</v>
      </c>
      <c r="Z208" s="98"/>
    </row>
    <row r="209" spans="1:26" ht="12" customHeight="1">
      <c r="A209" s="180">
        <v>38741</v>
      </c>
      <c r="B209" s="360" t="s">
        <v>1054</v>
      </c>
      <c r="C209" s="98" t="s">
        <v>460</v>
      </c>
      <c r="D209" s="98">
        <v>50</v>
      </c>
      <c r="E209" s="181">
        <v>46.5</v>
      </c>
      <c r="F209" s="181">
        <f t="shared" si="71"/>
        <v>0.23</v>
      </c>
      <c r="G209" s="181">
        <f t="shared" si="72"/>
        <v>46.27</v>
      </c>
      <c r="H209" s="181">
        <f t="shared" si="61"/>
        <v>46.19</v>
      </c>
      <c r="I209" s="219">
        <f t="shared" si="62"/>
        <v>0.30599999999999999</v>
      </c>
      <c r="J209" s="181">
        <f t="shared" si="73"/>
        <v>2313.5</v>
      </c>
      <c r="K209" s="181">
        <f t="shared" si="74"/>
        <v>2309.71</v>
      </c>
      <c r="L209" s="181">
        <f t="shared" si="75"/>
        <v>11.5</v>
      </c>
      <c r="M209" s="181">
        <f>L209*E$328</f>
        <v>1.1729999999999998</v>
      </c>
      <c r="N209" s="181">
        <f t="shared" si="70"/>
        <v>2.31</v>
      </c>
      <c r="O209" s="181">
        <f t="shared" si="64"/>
        <v>8.0972499999999989E-2</v>
      </c>
      <c r="P209" s="181">
        <f t="shared" si="65"/>
        <v>0.23135</v>
      </c>
      <c r="Q209" s="98">
        <f t="shared" si="66"/>
        <v>0</v>
      </c>
      <c r="R209" s="361">
        <v>2309.87</v>
      </c>
      <c r="S209" s="183">
        <f t="shared" si="67"/>
        <v>-0.15999999999985448</v>
      </c>
      <c r="T209" s="180">
        <v>38744</v>
      </c>
      <c r="U209" s="362">
        <f t="shared" si="107"/>
        <v>227.86999999999989</v>
      </c>
      <c r="V209" s="363">
        <f t="shared" si="108"/>
        <v>3.1087893399117874</v>
      </c>
      <c r="W209" s="338">
        <f t="shared" si="109"/>
        <v>13</v>
      </c>
      <c r="X209" s="364"/>
      <c r="Y209" s="98" t="s">
        <v>418</v>
      </c>
      <c r="Z209" s="98"/>
    </row>
    <row r="210" spans="1:26" ht="12" customHeight="1">
      <c r="A210" s="180">
        <v>38841</v>
      </c>
      <c r="B210" s="360" t="s">
        <v>1055</v>
      </c>
      <c r="C210" s="98" t="s">
        <v>460</v>
      </c>
      <c r="D210" s="98">
        <v>100</v>
      </c>
      <c r="E210" s="181">
        <v>46.3</v>
      </c>
      <c r="F210" s="181">
        <f t="shared" si="71"/>
        <v>0.23</v>
      </c>
      <c r="G210" s="181">
        <f t="shared" si="72"/>
        <v>46.07</v>
      </c>
      <c r="H210" s="181">
        <f t="shared" si="61"/>
        <v>45.99</v>
      </c>
      <c r="I210" s="219">
        <f t="shared" si="62"/>
        <v>0.3105</v>
      </c>
      <c r="J210" s="181">
        <f t="shared" si="73"/>
        <v>4607</v>
      </c>
      <c r="K210" s="181">
        <f t="shared" si="74"/>
        <v>4598.96</v>
      </c>
      <c r="L210" s="181">
        <f t="shared" si="75"/>
        <v>23</v>
      </c>
      <c r="M210" s="181">
        <f t="shared" ref="M210:M247" si="112">L210*F$328</f>
        <v>2.8151999999999999</v>
      </c>
      <c r="N210" s="181">
        <f t="shared" si="70"/>
        <v>4.6100000000000003</v>
      </c>
      <c r="O210" s="181">
        <f t="shared" si="64"/>
        <v>0.161245</v>
      </c>
      <c r="P210" s="181">
        <f t="shared" si="65"/>
        <v>0.4607</v>
      </c>
      <c r="Q210" s="98">
        <f t="shared" si="66"/>
        <v>0</v>
      </c>
      <c r="R210" s="361">
        <v>4598.79</v>
      </c>
      <c r="S210" s="183">
        <f t="shared" si="67"/>
        <v>0.17000000000007276</v>
      </c>
      <c r="T210" s="180">
        <v>38845</v>
      </c>
      <c r="U210" s="362">
        <f t="shared" si="107"/>
        <v>-56.480000000000473</v>
      </c>
      <c r="V210" s="363">
        <f t="shared" si="108"/>
        <v>-9.2735541942779609E-2</v>
      </c>
      <c r="W210" s="338">
        <f t="shared" si="109"/>
        <v>48</v>
      </c>
      <c r="X210" s="364"/>
      <c r="Y210" s="41" t="s">
        <v>483</v>
      </c>
      <c r="Z210" s="98"/>
    </row>
    <row r="211" spans="1:26" ht="12" customHeight="1">
      <c r="A211" s="180">
        <v>39017</v>
      </c>
      <c r="B211" s="360" t="s">
        <v>1056</v>
      </c>
      <c r="C211" s="98" t="s">
        <v>460</v>
      </c>
      <c r="D211" s="98">
        <v>5</v>
      </c>
      <c r="E211" s="181">
        <v>1078.5</v>
      </c>
      <c r="F211" s="181">
        <f t="shared" si="71"/>
        <v>5.39</v>
      </c>
      <c r="G211" s="181">
        <f t="shared" si="72"/>
        <v>1073.1099999999999</v>
      </c>
      <c r="H211" s="181">
        <f t="shared" si="61"/>
        <v>1071.23</v>
      </c>
      <c r="I211" s="219">
        <f t="shared" si="62"/>
        <v>7.2686999999999999</v>
      </c>
      <c r="J211" s="181">
        <f t="shared" si="73"/>
        <v>5365.55</v>
      </c>
      <c r="K211" s="181">
        <f t="shared" si="74"/>
        <v>5356.16</v>
      </c>
      <c r="L211" s="181">
        <f t="shared" si="75"/>
        <v>26.95</v>
      </c>
      <c r="M211" s="181">
        <f t="shared" si="112"/>
        <v>3.2986799999999996</v>
      </c>
      <c r="N211" s="181">
        <f t="shared" si="70"/>
        <v>5.37</v>
      </c>
      <c r="O211" s="181">
        <f t="shared" si="64"/>
        <v>0.18779425</v>
      </c>
      <c r="P211" s="181">
        <f t="shared" si="65"/>
        <v>0.536555</v>
      </c>
      <c r="Q211" s="98">
        <f t="shared" si="66"/>
        <v>0</v>
      </c>
      <c r="R211" s="361">
        <f>K211</f>
        <v>5356.16</v>
      </c>
      <c r="S211" s="183">
        <f t="shared" si="67"/>
        <v>0</v>
      </c>
      <c r="T211" s="180">
        <v>39021</v>
      </c>
      <c r="U211" s="362">
        <f t="shared" si="107"/>
        <v>254.86999999999989</v>
      </c>
      <c r="V211" s="363">
        <f t="shared" si="108"/>
        <v>8.8513449912508452E-2</v>
      </c>
      <c r="W211" s="338">
        <f t="shared" si="109"/>
        <v>207</v>
      </c>
      <c r="X211" s="364" t="str">
        <f>IF(A211="Stock","Not Sold","")</f>
        <v/>
      </c>
      <c r="Y211" s="98" t="s">
        <v>418</v>
      </c>
      <c r="Z211" s="98"/>
    </row>
    <row r="212" spans="1:26" ht="12" customHeight="1">
      <c r="A212" s="180">
        <v>38819</v>
      </c>
      <c r="B212" s="360" t="s">
        <v>1057</v>
      </c>
      <c r="C212" s="98" t="s">
        <v>460</v>
      </c>
      <c r="D212" s="98">
        <v>50</v>
      </c>
      <c r="E212" s="181">
        <v>81.45</v>
      </c>
      <c r="F212" s="181">
        <f t="shared" si="71"/>
        <v>0.41</v>
      </c>
      <c r="G212" s="181">
        <f t="shared" si="72"/>
        <v>81.040000000000006</v>
      </c>
      <c r="H212" s="181">
        <f t="shared" si="61"/>
        <v>80.900000000000006</v>
      </c>
      <c r="I212" s="219">
        <f t="shared" si="62"/>
        <v>0.55220000000000002</v>
      </c>
      <c r="J212" s="181">
        <f t="shared" si="73"/>
        <v>4052</v>
      </c>
      <c r="K212" s="181">
        <f t="shared" si="74"/>
        <v>4044.9</v>
      </c>
      <c r="L212" s="181">
        <f t="shared" si="75"/>
        <v>20.5</v>
      </c>
      <c r="M212" s="181">
        <f t="shared" si="112"/>
        <v>2.5091999999999999</v>
      </c>
      <c r="N212" s="181">
        <f t="shared" si="70"/>
        <v>4.05</v>
      </c>
      <c r="O212" s="181">
        <f t="shared" si="64"/>
        <v>0.14181999999999997</v>
      </c>
      <c r="P212" s="181">
        <f t="shared" si="65"/>
        <v>0.4052</v>
      </c>
      <c r="Q212" s="98">
        <f t="shared" si="66"/>
        <v>0</v>
      </c>
      <c r="R212" s="361">
        <v>4045.09</v>
      </c>
      <c r="S212" s="183">
        <f t="shared" si="67"/>
        <v>-0.19000000000005457</v>
      </c>
      <c r="T212" s="180">
        <v>38822</v>
      </c>
      <c r="U212" s="362">
        <f t="shared" si="107"/>
        <v>-55.769999999999982</v>
      </c>
      <c r="V212" s="363">
        <f t="shared" si="108"/>
        <v>-1.2482676618770323</v>
      </c>
      <c r="W212" s="338">
        <f t="shared" si="109"/>
        <v>4</v>
      </c>
      <c r="X212" s="364"/>
      <c r="Y212" s="98" t="s">
        <v>418</v>
      </c>
      <c r="Z212" s="98"/>
    </row>
    <row r="213" spans="1:26" ht="12" customHeight="1">
      <c r="A213" s="180">
        <v>38839</v>
      </c>
      <c r="B213" s="360" t="s">
        <v>1055</v>
      </c>
      <c r="C213" s="98" t="s">
        <v>460</v>
      </c>
      <c r="D213" s="98">
        <v>50</v>
      </c>
      <c r="E213" s="181">
        <v>46</v>
      </c>
      <c r="F213" s="181">
        <f t="shared" si="71"/>
        <v>0.23</v>
      </c>
      <c r="G213" s="181">
        <f t="shared" si="72"/>
        <v>45.77</v>
      </c>
      <c r="H213" s="181">
        <f t="shared" si="61"/>
        <v>45.69</v>
      </c>
      <c r="I213" s="219">
        <f t="shared" si="62"/>
        <v>0.31019999999999998</v>
      </c>
      <c r="J213" s="181">
        <f t="shared" si="73"/>
        <v>2288.5</v>
      </c>
      <c r="K213" s="181">
        <f t="shared" si="74"/>
        <v>2284.5</v>
      </c>
      <c r="L213" s="181">
        <f t="shared" si="75"/>
        <v>11.5</v>
      </c>
      <c r="M213" s="181">
        <f t="shared" si="112"/>
        <v>1.4076</v>
      </c>
      <c r="N213" s="181">
        <f t="shared" si="70"/>
        <v>2.29</v>
      </c>
      <c r="O213" s="181">
        <f t="shared" si="64"/>
        <v>8.0097499999999988E-2</v>
      </c>
      <c r="P213" s="181">
        <f t="shared" si="65"/>
        <v>0.22885</v>
      </c>
      <c r="Q213" s="98">
        <f t="shared" si="66"/>
        <v>0</v>
      </c>
      <c r="R213" s="361">
        <v>2284</v>
      </c>
      <c r="S213" s="183">
        <f t="shared" si="67"/>
        <v>0.5</v>
      </c>
      <c r="T213" s="180">
        <v>38841</v>
      </c>
      <c r="U213" s="362">
        <f t="shared" si="107"/>
        <v>30.440000000000055</v>
      </c>
      <c r="V213" s="363">
        <f t="shared" si="108"/>
        <v>0.29313618197418062</v>
      </c>
      <c r="W213" s="338">
        <f t="shared" si="109"/>
        <v>17</v>
      </c>
      <c r="X213" s="364"/>
      <c r="Y213" s="41" t="s">
        <v>483</v>
      </c>
      <c r="Z213" s="98"/>
    </row>
    <row r="214" spans="1:26" ht="12" customHeight="1">
      <c r="A214" s="180">
        <v>38826</v>
      </c>
      <c r="B214" s="360" t="s">
        <v>640</v>
      </c>
      <c r="C214" s="98" t="s">
        <v>460</v>
      </c>
      <c r="D214" s="98">
        <v>50</v>
      </c>
      <c r="E214" s="181">
        <v>143.85</v>
      </c>
      <c r="F214" s="181">
        <f t="shared" si="71"/>
        <v>0.72</v>
      </c>
      <c r="G214" s="181">
        <f t="shared" si="72"/>
        <v>143.13</v>
      </c>
      <c r="H214" s="181">
        <f t="shared" si="61"/>
        <v>142.88</v>
      </c>
      <c r="I214" s="219">
        <f t="shared" si="62"/>
        <v>0.97070000000000001</v>
      </c>
      <c r="J214" s="181">
        <f t="shared" si="73"/>
        <v>7156.5</v>
      </c>
      <c r="K214" s="181">
        <f t="shared" si="74"/>
        <v>7143.97</v>
      </c>
      <c r="L214" s="181">
        <f t="shared" si="75"/>
        <v>36</v>
      </c>
      <c r="M214" s="181">
        <f t="shared" si="112"/>
        <v>4.4063999999999997</v>
      </c>
      <c r="N214" s="181">
        <f t="shared" si="70"/>
        <v>7.16</v>
      </c>
      <c r="O214" s="181">
        <f t="shared" si="64"/>
        <v>0.25047749999999996</v>
      </c>
      <c r="P214" s="181">
        <f t="shared" si="65"/>
        <v>0.71565000000000001</v>
      </c>
      <c r="Q214" s="98">
        <f t="shared" si="66"/>
        <v>0</v>
      </c>
      <c r="R214" s="361">
        <v>7142</v>
      </c>
      <c r="S214" s="183">
        <f t="shared" si="67"/>
        <v>1.9700000000002547</v>
      </c>
      <c r="T214" s="180">
        <v>38828</v>
      </c>
      <c r="U214" s="362">
        <f t="shared" si="107"/>
        <v>86.029999999999745</v>
      </c>
      <c r="V214" s="363">
        <f t="shared" si="108"/>
        <v>4.4654556262327496</v>
      </c>
      <c r="W214" s="338">
        <f t="shared" si="109"/>
        <v>1</v>
      </c>
      <c r="X214" s="364"/>
      <c r="Y214" s="98" t="s">
        <v>418</v>
      </c>
      <c r="Z214" s="98"/>
    </row>
    <row r="215" spans="1:26" ht="12" customHeight="1">
      <c r="A215" s="361" t="s">
        <v>1074</v>
      </c>
      <c r="B215" s="360" t="s">
        <v>640</v>
      </c>
      <c r="C215" s="98" t="s">
        <v>1058</v>
      </c>
      <c r="D215" s="98">
        <v>50</v>
      </c>
      <c r="E215" s="181">
        <f t="shared" ref="E215:E216" si="113">E92*1.01364+E$337/D215</f>
        <v>140.36232000000001</v>
      </c>
      <c r="F215" s="181">
        <f t="shared" si="71"/>
        <v>0.7</v>
      </c>
      <c r="G215" s="181">
        <f t="shared" si="72"/>
        <v>139.66232000000002</v>
      </c>
      <c r="H215" s="181">
        <f t="shared" si="61"/>
        <v>139.41999999999999</v>
      </c>
      <c r="I215" s="219">
        <f t="shared" si="62"/>
        <v>0.94420000000000004</v>
      </c>
      <c r="J215" s="181">
        <f t="shared" si="73"/>
        <v>6983.12</v>
      </c>
      <c r="K215" s="181">
        <f t="shared" si="74"/>
        <v>6970.92</v>
      </c>
      <c r="L215" s="181">
        <f t="shared" si="75"/>
        <v>35</v>
      </c>
      <c r="M215" s="181">
        <f t="shared" si="112"/>
        <v>4.2839999999999998</v>
      </c>
      <c r="N215" s="181">
        <f t="shared" si="70"/>
        <v>6.98</v>
      </c>
      <c r="O215" s="181">
        <f t="shared" si="64"/>
        <v>0.24440919999999997</v>
      </c>
      <c r="P215" s="181">
        <f t="shared" si="65"/>
        <v>0.69831200000000004</v>
      </c>
      <c r="Q215" s="98">
        <f t="shared" si="66"/>
        <v>0</v>
      </c>
      <c r="R215" s="361">
        <f t="shared" ref="R215:R218" si="114">K215</f>
        <v>6970.92</v>
      </c>
      <c r="S215" s="183">
        <f t="shared" si="67"/>
        <v>0</v>
      </c>
      <c r="T215" s="180"/>
      <c r="U215" s="362">
        <f t="shared" si="107"/>
        <v>-7.999999999992724E-2</v>
      </c>
      <c r="V215" s="363">
        <f t="shared" si="108"/>
        <v>1.082419963642753E-7</v>
      </c>
      <c r="W215" s="338">
        <f t="shared" si="109"/>
        <v>-38832</v>
      </c>
      <c r="X215" s="364" t="str">
        <f t="shared" ref="X215:X218" si="115">IF(A215="Stock","Not Sold","")</f>
        <v>Not Sold</v>
      </c>
      <c r="Y215" s="98" t="s">
        <v>418</v>
      </c>
      <c r="Z215" s="98"/>
    </row>
    <row r="216" spans="1:26" ht="12" customHeight="1">
      <c r="A216" s="180">
        <v>39042</v>
      </c>
      <c r="B216" s="360" t="s">
        <v>1059</v>
      </c>
      <c r="C216" s="98" t="s">
        <v>1058</v>
      </c>
      <c r="D216" s="98">
        <v>15</v>
      </c>
      <c r="E216" s="181">
        <f t="shared" si="113"/>
        <v>834.91344400000014</v>
      </c>
      <c r="F216" s="181">
        <f t="shared" si="71"/>
        <v>4.17</v>
      </c>
      <c r="G216" s="181">
        <f t="shared" si="72"/>
        <v>830.74344400000018</v>
      </c>
      <c r="H216" s="181">
        <f t="shared" si="61"/>
        <v>829.29</v>
      </c>
      <c r="I216" s="219">
        <f t="shared" si="62"/>
        <v>5.6232999999999995</v>
      </c>
      <c r="J216" s="181">
        <f t="shared" si="73"/>
        <v>12461.16</v>
      </c>
      <c r="K216" s="181">
        <f t="shared" si="74"/>
        <v>12439.37</v>
      </c>
      <c r="L216" s="181">
        <f t="shared" si="75"/>
        <v>62.55</v>
      </c>
      <c r="M216" s="181">
        <f t="shared" si="112"/>
        <v>7.6561199999999996</v>
      </c>
      <c r="N216" s="181">
        <f t="shared" si="70"/>
        <v>12.46</v>
      </c>
      <c r="O216" s="181">
        <f t="shared" si="64"/>
        <v>0.43614059999999993</v>
      </c>
      <c r="P216" s="181">
        <f t="shared" si="65"/>
        <v>1.246116</v>
      </c>
      <c r="Q216" s="98">
        <f t="shared" si="66"/>
        <v>0</v>
      </c>
      <c r="R216" s="361">
        <f t="shared" si="114"/>
        <v>12439.37</v>
      </c>
      <c r="S216" s="183">
        <f t="shared" si="67"/>
        <v>0</v>
      </c>
      <c r="T216" s="180"/>
      <c r="U216" s="362">
        <f t="shared" si="107"/>
        <v>9.0000000000145519E-2</v>
      </c>
      <c r="V216" s="363">
        <f t="shared" si="108"/>
        <v>-6.8137955192116913E-8</v>
      </c>
      <c r="W216" s="338">
        <f t="shared" si="109"/>
        <v>-38832</v>
      </c>
      <c r="X216" s="364" t="str">
        <f t="shared" si="115"/>
        <v/>
      </c>
      <c r="Y216" s="98" t="s">
        <v>418</v>
      </c>
      <c r="Z216" s="98"/>
    </row>
    <row r="217" spans="1:26" ht="12" customHeight="1">
      <c r="A217" s="180">
        <v>38911</v>
      </c>
      <c r="B217" s="360" t="s">
        <v>1060</v>
      </c>
      <c r="C217" s="98" t="s">
        <v>1058</v>
      </c>
      <c r="D217" s="98">
        <v>2</v>
      </c>
      <c r="E217" s="181">
        <v>1680</v>
      </c>
      <c r="F217" s="181">
        <f t="shared" si="71"/>
        <v>8.4</v>
      </c>
      <c r="G217" s="181">
        <f t="shared" si="72"/>
        <v>1671.6</v>
      </c>
      <c r="H217" s="181">
        <f t="shared" si="61"/>
        <v>1668.68</v>
      </c>
      <c r="I217" s="219">
        <f t="shared" si="62"/>
        <v>11.3239</v>
      </c>
      <c r="J217" s="181">
        <f t="shared" si="73"/>
        <v>3343.2</v>
      </c>
      <c r="K217" s="181">
        <f t="shared" si="74"/>
        <v>3337.36</v>
      </c>
      <c r="L217" s="181">
        <f t="shared" si="75"/>
        <v>16.8</v>
      </c>
      <c r="M217" s="181">
        <f t="shared" si="112"/>
        <v>2.0563199999999999</v>
      </c>
      <c r="N217" s="181">
        <f t="shared" si="70"/>
        <v>3.34</v>
      </c>
      <c r="O217" s="181">
        <f t="shared" si="64"/>
        <v>0.11701199999999998</v>
      </c>
      <c r="P217" s="181">
        <f t="shared" si="65"/>
        <v>0.33432000000000001</v>
      </c>
      <c r="Q217" s="98">
        <f t="shared" si="66"/>
        <v>0</v>
      </c>
      <c r="R217" s="361">
        <f t="shared" si="114"/>
        <v>3337.36</v>
      </c>
      <c r="S217" s="183">
        <f t="shared" si="67"/>
        <v>0</v>
      </c>
      <c r="T217" s="180">
        <v>38915</v>
      </c>
      <c r="U217" s="362">
        <f t="shared" ref="U217:U218" si="116">R217-(W$117*D217)-E$337</f>
        <v>61.079999999999927</v>
      </c>
      <c r="V217" s="363">
        <f t="shared" ref="V217:V218" si="117">(U217/(W$117*D217))/W217*365</f>
        <v>8.3596888276802034E-2</v>
      </c>
      <c r="W217" s="338">
        <f t="shared" si="109"/>
        <v>82</v>
      </c>
      <c r="X217" s="364" t="str">
        <f t="shared" si="115"/>
        <v/>
      </c>
      <c r="Y217" s="98" t="s">
        <v>418</v>
      </c>
      <c r="Z217" s="98"/>
    </row>
    <row r="218" spans="1:26" ht="12" customHeight="1">
      <c r="A218" s="180">
        <v>39006</v>
      </c>
      <c r="B218" s="360" t="s">
        <v>1060</v>
      </c>
      <c r="C218" s="98" t="s">
        <v>1058</v>
      </c>
      <c r="D218" s="98">
        <v>2</v>
      </c>
      <c r="E218" s="181">
        <v>2106.5</v>
      </c>
      <c r="F218" s="181">
        <f t="shared" si="71"/>
        <v>10.53</v>
      </c>
      <c r="G218" s="181">
        <f t="shared" si="72"/>
        <v>2095.9699999999998</v>
      </c>
      <c r="H218" s="181">
        <f t="shared" si="61"/>
        <v>2092.3000000000002</v>
      </c>
      <c r="I218" s="219">
        <f t="shared" si="62"/>
        <v>14.196899999999999</v>
      </c>
      <c r="J218" s="181">
        <f t="shared" si="73"/>
        <v>4191.9399999999996</v>
      </c>
      <c r="K218" s="181">
        <f t="shared" si="74"/>
        <v>4184.6100000000006</v>
      </c>
      <c r="L218" s="181">
        <f t="shared" si="75"/>
        <v>21.06</v>
      </c>
      <c r="M218" s="181">
        <f t="shared" si="112"/>
        <v>2.5777439999999996</v>
      </c>
      <c r="N218" s="181">
        <f t="shared" si="70"/>
        <v>4.1900000000000004</v>
      </c>
      <c r="O218" s="181">
        <f t="shared" si="64"/>
        <v>0.14671789999999998</v>
      </c>
      <c r="P218" s="181">
        <f t="shared" si="65"/>
        <v>0.41919399999999996</v>
      </c>
      <c r="Q218" s="98">
        <f t="shared" si="66"/>
        <v>0</v>
      </c>
      <c r="R218" s="361">
        <f t="shared" si="114"/>
        <v>4184.6100000000006</v>
      </c>
      <c r="S218" s="183">
        <f t="shared" si="67"/>
        <v>0</v>
      </c>
      <c r="T218" s="180">
        <v>39010</v>
      </c>
      <c r="U218" s="362">
        <f t="shared" si="116"/>
        <v>908.33000000000038</v>
      </c>
      <c r="V218" s="363">
        <f t="shared" si="117"/>
        <v>0.57593746141342406</v>
      </c>
      <c r="W218" s="338">
        <f t="shared" ref="W218:W224" si="118">T218-T94</f>
        <v>177</v>
      </c>
      <c r="X218" s="364" t="str">
        <f t="shared" si="115"/>
        <v/>
      </c>
      <c r="Y218" s="98" t="s">
        <v>418</v>
      </c>
      <c r="Z218" s="98"/>
    </row>
    <row r="219" spans="1:26" ht="12" customHeight="1">
      <c r="A219" s="180">
        <v>38835</v>
      </c>
      <c r="B219" s="360" t="s">
        <v>640</v>
      </c>
      <c r="C219" s="98" t="s">
        <v>1058</v>
      </c>
      <c r="D219" s="98">
        <v>50</v>
      </c>
      <c r="E219" s="181">
        <v>134.9</v>
      </c>
      <c r="F219" s="181">
        <f t="shared" si="71"/>
        <v>0.67</v>
      </c>
      <c r="G219" s="181">
        <f t="shared" si="72"/>
        <v>134.23000000000002</v>
      </c>
      <c r="H219" s="181">
        <f t="shared" si="61"/>
        <v>134</v>
      </c>
      <c r="I219" s="219">
        <f t="shared" si="62"/>
        <v>0.90439999999999998</v>
      </c>
      <c r="J219" s="181">
        <f t="shared" si="73"/>
        <v>6711.5</v>
      </c>
      <c r="K219" s="181">
        <f t="shared" si="74"/>
        <v>6699.79</v>
      </c>
      <c r="L219" s="181">
        <f t="shared" si="75"/>
        <v>33.5</v>
      </c>
      <c r="M219" s="181">
        <f t="shared" si="112"/>
        <v>4.1003999999999996</v>
      </c>
      <c r="N219" s="181">
        <f t="shared" si="70"/>
        <v>6.71</v>
      </c>
      <c r="O219" s="181">
        <f t="shared" si="64"/>
        <v>0.23490249999999999</v>
      </c>
      <c r="P219" s="181">
        <f t="shared" si="65"/>
        <v>0.67115000000000002</v>
      </c>
      <c r="Q219" s="98">
        <f t="shared" si="66"/>
        <v>0</v>
      </c>
      <c r="R219" s="361">
        <v>6699.06</v>
      </c>
      <c r="S219" s="183">
        <f t="shared" si="67"/>
        <v>0.72999999999956344</v>
      </c>
      <c r="T219" s="180">
        <v>38839</v>
      </c>
      <c r="U219" s="362">
        <f t="shared" ref="U219:U224" si="119">(R219+R95)-E$337</f>
        <v>101.0600000000004</v>
      </c>
      <c r="V219" s="363">
        <f t="shared" ref="V219:V224" si="120">-(U219/R95)/W219*365</f>
        <v>1.1222056586553133</v>
      </c>
      <c r="W219" s="338">
        <f t="shared" si="118"/>
        <v>5</v>
      </c>
      <c r="X219" s="364"/>
      <c r="Y219" s="98" t="s">
        <v>418</v>
      </c>
      <c r="Z219" s="98"/>
    </row>
    <row r="220" spans="1:26" ht="12" customHeight="1">
      <c r="A220" s="180">
        <v>38845</v>
      </c>
      <c r="B220" s="360" t="s">
        <v>1060</v>
      </c>
      <c r="C220" s="98" t="s">
        <v>460</v>
      </c>
      <c r="D220" s="98">
        <v>4</v>
      </c>
      <c r="E220" s="181">
        <v>3222.9</v>
      </c>
      <c r="F220" s="181">
        <f t="shared" si="71"/>
        <v>16.11</v>
      </c>
      <c r="G220" s="181">
        <f t="shared" si="72"/>
        <v>3206.79</v>
      </c>
      <c r="H220" s="181">
        <f t="shared" si="61"/>
        <v>3201.18</v>
      </c>
      <c r="I220" s="219">
        <f t="shared" si="62"/>
        <v>21.722300000000001</v>
      </c>
      <c r="J220" s="181">
        <f t="shared" si="73"/>
        <v>12827.16</v>
      </c>
      <c r="K220" s="181">
        <f t="shared" si="74"/>
        <v>12804.72</v>
      </c>
      <c r="L220" s="181">
        <f t="shared" si="75"/>
        <v>64.44</v>
      </c>
      <c r="M220" s="181">
        <f t="shared" si="112"/>
        <v>7.8874559999999994</v>
      </c>
      <c r="N220" s="181">
        <f t="shared" si="70"/>
        <v>12.83</v>
      </c>
      <c r="O220" s="181">
        <f t="shared" si="64"/>
        <v>0.44895059999999998</v>
      </c>
      <c r="P220" s="181">
        <f t="shared" si="65"/>
        <v>1.282716</v>
      </c>
      <c r="Q220" s="98">
        <f t="shared" si="66"/>
        <v>0</v>
      </c>
      <c r="R220" s="361">
        <v>12804.7</v>
      </c>
      <c r="S220" s="183">
        <f t="shared" si="67"/>
        <v>1.9999999998617568E-2</v>
      </c>
      <c r="T220" s="180"/>
      <c r="U220" s="362">
        <f t="shared" si="119"/>
        <v>14.700000000000728</v>
      </c>
      <c r="V220" s="363">
        <f t="shared" si="120"/>
        <v>-1.0820939188306791E-5</v>
      </c>
      <c r="W220" s="338">
        <f t="shared" si="118"/>
        <v>-38841</v>
      </c>
      <c r="X220" s="364"/>
      <c r="Y220" s="41" t="s">
        <v>418</v>
      </c>
      <c r="Z220" s="98"/>
    </row>
    <row r="221" spans="1:26" ht="12" customHeight="1">
      <c r="A221" s="180">
        <v>38845</v>
      </c>
      <c r="B221" s="360" t="s">
        <v>516</v>
      </c>
      <c r="C221" s="98" t="s">
        <v>460</v>
      </c>
      <c r="D221" s="98">
        <v>50</v>
      </c>
      <c r="E221" s="181">
        <v>218.85</v>
      </c>
      <c r="F221" s="181">
        <f t="shared" si="71"/>
        <v>1.0900000000000001</v>
      </c>
      <c r="G221" s="181">
        <f t="shared" si="72"/>
        <v>217.76</v>
      </c>
      <c r="H221" s="181">
        <f t="shared" si="61"/>
        <v>217.38</v>
      </c>
      <c r="I221" s="219">
        <f t="shared" si="62"/>
        <v>1.4706999999999999</v>
      </c>
      <c r="J221" s="181">
        <f t="shared" si="73"/>
        <v>10888</v>
      </c>
      <c r="K221" s="181">
        <f t="shared" si="74"/>
        <v>10868.97</v>
      </c>
      <c r="L221" s="181">
        <f t="shared" si="75"/>
        <v>54.500000000000007</v>
      </c>
      <c r="M221" s="181">
        <f t="shared" si="112"/>
        <v>6.6708000000000007</v>
      </c>
      <c r="N221" s="181">
        <f t="shared" si="70"/>
        <v>10.89</v>
      </c>
      <c r="O221" s="181">
        <f t="shared" si="64"/>
        <v>0.38107999999999997</v>
      </c>
      <c r="P221" s="181">
        <f t="shared" si="65"/>
        <v>1.0888</v>
      </c>
      <c r="Q221" s="98">
        <f t="shared" si="66"/>
        <v>0</v>
      </c>
      <c r="R221" s="361">
        <v>10869</v>
      </c>
      <c r="S221" s="183">
        <f t="shared" si="67"/>
        <v>-3.0000000000654836E-2</v>
      </c>
      <c r="T221" s="180"/>
      <c r="U221" s="362">
        <f t="shared" si="119"/>
        <v>32.989999999999782</v>
      </c>
      <c r="V221" s="363">
        <f t="shared" si="120"/>
        <v>-2.867260536736292E-5</v>
      </c>
      <c r="W221" s="338">
        <f t="shared" si="118"/>
        <v>-38842</v>
      </c>
      <c r="X221" s="364"/>
      <c r="Y221" s="41" t="s">
        <v>418</v>
      </c>
      <c r="Z221" s="98"/>
    </row>
    <row r="222" spans="1:26" ht="12" customHeight="1">
      <c r="A222" s="180">
        <v>38842</v>
      </c>
      <c r="B222" s="360" t="s">
        <v>1061</v>
      </c>
      <c r="C222" s="98" t="s">
        <v>460</v>
      </c>
      <c r="D222" s="98">
        <v>100</v>
      </c>
      <c r="E222" s="181">
        <v>66.95</v>
      </c>
      <c r="F222" s="181">
        <f t="shared" si="71"/>
        <v>0.33</v>
      </c>
      <c r="G222" s="181">
        <f t="shared" si="72"/>
        <v>66.62</v>
      </c>
      <c r="H222" s="181">
        <f t="shared" si="61"/>
        <v>66.5</v>
      </c>
      <c r="I222" s="219">
        <f t="shared" si="62"/>
        <v>0.44600000000000001</v>
      </c>
      <c r="J222" s="181">
        <f t="shared" si="73"/>
        <v>6662</v>
      </c>
      <c r="K222" s="181">
        <f t="shared" si="74"/>
        <v>6650.41</v>
      </c>
      <c r="L222" s="181">
        <f t="shared" si="75"/>
        <v>33</v>
      </c>
      <c r="M222" s="181">
        <f t="shared" si="112"/>
        <v>4.0392000000000001</v>
      </c>
      <c r="N222" s="181">
        <f t="shared" si="70"/>
        <v>6.66</v>
      </c>
      <c r="O222" s="181">
        <f t="shared" si="64"/>
        <v>0.23316999999999999</v>
      </c>
      <c r="P222" s="181">
        <f t="shared" si="65"/>
        <v>0.66620000000000001</v>
      </c>
      <c r="Q222" s="98">
        <f t="shared" si="66"/>
        <v>0</v>
      </c>
      <c r="R222" s="361">
        <v>6647.24</v>
      </c>
      <c r="S222" s="183">
        <f t="shared" si="67"/>
        <v>3.1700000000000728</v>
      </c>
      <c r="T222" s="180">
        <v>38846</v>
      </c>
      <c r="U222" s="362">
        <f t="shared" si="119"/>
        <v>-1.7600000000002183</v>
      </c>
      <c r="V222" s="363">
        <f t="shared" si="120"/>
        <v>-9.6966037735861085E-2</v>
      </c>
      <c r="W222" s="338">
        <f t="shared" si="118"/>
        <v>1</v>
      </c>
      <c r="X222" s="364"/>
      <c r="Y222" s="41" t="s">
        <v>418</v>
      </c>
      <c r="Z222" s="98"/>
    </row>
    <row r="223" spans="1:26" ht="12" customHeight="1">
      <c r="A223" s="180">
        <v>38846</v>
      </c>
      <c r="B223" s="360" t="s">
        <v>1059</v>
      </c>
      <c r="C223" s="98" t="s">
        <v>460</v>
      </c>
      <c r="D223" s="98">
        <v>10</v>
      </c>
      <c r="E223" s="181">
        <v>794</v>
      </c>
      <c r="F223" s="181">
        <f t="shared" si="71"/>
        <v>3.97</v>
      </c>
      <c r="G223" s="181">
        <f t="shared" si="72"/>
        <v>790.03</v>
      </c>
      <c r="H223" s="181">
        <f t="shared" si="61"/>
        <v>788.65</v>
      </c>
      <c r="I223" s="219">
        <f t="shared" si="62"/>
        <v>5.3525999999999998</v>
      </c>
      <c r="J223" s="181">
        <f t="shared" si="73"/>
        <v>7900.3</v>
      </c>
      <c r="K223" s="181">
        <f t="shared" si="74"/>
        <v>7886.4800000000005</v>
      </c>
      <c r="L223" s="181">
        <f t="shared" si="75"/>
        <v>39.700000000000003</v>
      </c>
      <c r="M223" s="181">
        <f t="shared" si="112"/>
        <v>4.85928</v>
      </c>
      <c r="N223" s="181">
        <f t="shared" si="70"/>
        <v>7.9</v>
      </c>
      <c r="O223" s="181">
        <f t="shared" si="64"/>
        <v>0.27651049999999999</v>
      </c>
      <c r="P223" s="181">
        <f t="shared" si="65"/>
        <v>0.79003000000000001</v>
      </c>
      <c r="Q223" s="98">
        <f t="shared" si="66"/>
        <v>0</v>
      </c>
      <c r="R223" s="361">
        <v>7885</v>
      </c>
      <c r="S223" s="183">
        <f t="shared" si="67"/>
        <v>1.4800000000004729</v>
      </c>
      <c r="T223" s="180">
        <v>38848</v>
      </c>
      <c r="U223" s="362">
        <f t="shared" si="119"/>
        <v>49</v>
      </c>
      <c r="V223" s="363">
        <f t="shared" si="120"/>
        <v>0.76314217443249699</v>
      </c>
      <c r="W223" s="338">
        <f t="shared" si="118"/>
        <v>3</v>
      </c>
      <c r="X223" s="364"/>
      <c r="Y223" s="41" t="s">
        <v>418</v>
      </c>
      <c r="Z223" s="98"/>
    </row>
    <row r="224" spans="1:26" ht="12" customHeight="1">
      <c r="A224" s="180">
        <v>39037</v>
      </c>
      <c r="B224" s="360" t="s">
        <v>1011</v>
      </c>
      <c r="C224" s="98" t="s">
        <v>460</v>
      </c>
      <c r="D224" s="98">
        <v>50</v>
      </c>
      <c r="E224" s="181">
        <v>140.5</v>
      </c>
      <c r="F224" s="181">
        <f t="shared" si="71"/>
        <v>0.7</v>
      </c>
      <c r="G224" s="181">
        <f t="shared" si="72"/>
        <v>139.80000000000001</v>
      </c>
      <c r="H224" s="181">
        <f t="shared" si="61"/>
        <v>139.56</v>
      </c>
      <c r="I224" s="219">
        <f t="shared" si="62"/>
        <v>0.94440000000000002</v>
      </c>
      <c r="J224" s="181">
        <f t="shared" si="73"/>
        <v>6990</v>
      </c>
      <c r="K224" s="181">
        <f t="shared" si="74"/>
        <v>6977.79</v>
      </c>
      <c r="L224" s="181">
        <f t="shared" si="75"/>
        <v>35</v>
      </c>
      <c r="M224" s="181">
        <f t="shared" si="112"/>
        <v>4.2839999999999998</v>
      </c>
      <c r="N224" s="181">
        <f t="shared" si="70"/>
        <v>6.99</v>
      </c>
      <c r="O224" s="181">
        <f t="shared" si="64"/>
        <v>0.24464999999999998</v>
      </c>
      <c r="P224" s="181">
        <f t="shared" si="65"/>
        <v>0.69900000000000007</v>
      </c>
      <c r="Q224" s="98">
        <f t="shared" si="66"/>
        <v>0</v>
      </c>
      <c r="R224" s="361">
        <f t="shared" ref="R224:R226" si="121">K224</f>
        <v>6977.79</v>
      </c>
      <c r="S224" s="183">
        <f t="shared" si="67"/>
        <v>0</v>
      </c>
      <c r="T224" s="180"/>
      <c r="U224" s="362">
        <f t="shared" si="119"/>
        <v>862.79</v>
      </c>
      <c r="V224" s="363">
        <f t="shared" si="120"/>
        <v>-1.3309540496145855E-3</v>
      </c>
      <c r="W224" s="338">
        <f t="shared" si="118"/>
        <v>-38846</v>
      </c>
      <c r="X224" s="364" t="str">
        <f t="shared" ref="X224:X226" si="122">IF(A224="Stock","Not Sold","")</f>
        <v/>
      </c>
      <c r="Y224" s="41" t="s">
        <v>418</v>
      </c>
      <c r="Z224" s="98"/>
    </row>
    <row r="225" spans="1:26" ht="12" customHeight="1">
      <c r="A225" s="361" t="s">
        <v>1074</v>
      </c>
      <c r="B225" s="360" t="s">
        <v>1062</v>
      </c>
      <c r="C225" s="98" t="s">
        <v>460</v>
      </c>
      <c r="D225" s="98">
        <v>100</v>
      </c>
      <c r="E225" s="181">
        <v>210.97</v>
      </c>
      <c r="F225" s="181">
        <f t="shared" si="71"/>
        <v>1.05</v>
      </c>
      <c r="G225" s="181">
        <f t="shared" si="72"/>
        <v>209.92</v>
      </c>
      <c r="H225" s="181">
        <f t="shared" si="61"/>
        <v>209.55</v>
      </c>
      <c r="I225" s="219">
        <f t="shared" si="62"/>
        <v>1.4168000000000001</v>
      </c>
      <c r="J225" s="181">
        <f t="shared" si="73"/>
        <v>20992</v>
      </c>
      <c r="K225" s="181">
        <f t="shared" si="74"/>
        <v>20955.329999999998</v>
      </c>
      <c r="L225" s="181">
        <f t="shared" si="75"/>
        <v>105</v>
      </c>
      <c r="M225" s="181">
        <f t="shared" si="112"/>
        <v>12.852</v>
      </c>
      <c r="N225" s="181">
        <f t="shared" si="70"/>
        <v>20.99</v>
      </c>
      <c r="O225" s="181">
        <f t="shared" si="64"/>
        <v>0.73471999999999993</v>
      </c>
      <c r="P225" s="181">
        <f t="shared" si="65"/>
        <v>2.0992000000000002</v>
      </c>
      <c r="Q225" s="98">
        <f t="shared" si="66"/>
        <v>0</v>
      </c>
      <c r="R225" s="361">
        <f t="shared" si="121"/>
        <v>20955.329999999998</v>
      </c>
      <c r="S225" s="183">
        <f t="shared" si="67"/>
        <v>0</v>
      </c>
      <c r="T225" s="180"/>
      <c r="U225" s="362">
        <f>R225-(W$108*D225)-E$337</f>
        <v>0.32999999999810825</v>
      </c>
      <c r="V225" s="363">
        <f>(U225/(W$108*D225))/W225*365</f>
        <v>-1.4813175274097917E-7</v>
      </c>
      <c r="W225" s="338">
        <f>T225-V108</f>
        <v>-38848</v>
      </c>
      <c r="X225" s="364" t="str">
        <f t="shared" si="122"/>
        <v>Not Sold</v>
      </c>
      <c r="Y225" s="41" t="s">
        <v>418</v>
      </c>
      <c r="Z225" s="98"/>
    </row>
    <row r="226" spans="1:26" ht="12" customHeight="1">
      <c r="A226" s="361" t="s">
        <v>1074</v>
      </c>
      <c r="B226" s="360" t="s">
        <v>1036</v>
      </c>
      <c r="C226" s="98" t="s">
        <v>460</v>
      </c>
      <c r="D226" s="98">
        <v>25</v>
      </c>
      <c r="E226" s="181">
        <f>E102*1.01364+E$337/D226</f>
        <v>523.13664600000004</v>
      </c>
      <c r="F226" s="181">
        <f t="shared" si="71"/>
        <v>2.62</v>
      </c>
      <c r="G226" s="181">
        <f t="shared" si="72"/>
        <v>520.51664600000004</v>
      </c>
      <c r="H226" s="181">
        <f t="shared" si="61"/>
        <v>519.61</v>
      </c>
      <c r="I226" s="219">
        <f t="shared" si="62"/>
        <v>3.5314000000000001</v>
      </c>
      <c r="J226" s="181">
        <f t="shared" si="73"/>
        <v>13012.92</v>
      </c>
      <c r="K226" s="181">
        <f t="shared" si="74"/>
        <v>12990.14</v>
      </c>
      <c r="L226" s="181">
        <f t="shared" si="75"/>
        <v>65.5</v>
      </c>
      <c r="M226" s="181">
        <f t="shared" si="112"/>
        <v>8.017199999999999</v>
      </c>
      <c r="N226" s="181">
        <f t="shared" si="70"/>
        <v>13.01</v>
      </c>
      <c r="O226" s="181">
        <f t="shared" si="64"/>
        <v>0.45545219999999997</v>
      </c>
      <c r="P226" s="181">
        <f t="shared" si="65"/>
        <v>1.3012920000000001</v>
      </c>
      <c r="Q226" s="98">
        <f t="shared" si="66"/>
        <v>0</v>
      </c>
      <c r="R226" s="361">
        <f t="shared" si="121"/>
        <v>12990.14</v>
      </c>
      <c r="S226" s="183">
        <f t="shared" si="67"/>
        <v>0</v>
      </c>
      <c r="T226" s="180"/>
      <c r="U226" s="362">
        <f t="shared" ref="U226:U227" si="123">(R226+R102)-E$337</f>
        <v>0.34000000000014552</v>
      </c>
      <c r="V226" s="363">
        <f t="shared" ref="V226:V227" si="124">-(U226/R102)/W226*365</f>
        <v>-2.4638540470719038E-7</v>
      </c>
      <c r="W226" s="338">
        <f t="shared" ref="W226:W228" si="125">T226-T102</f>
        <v>-38847</v>
      </c>
      <c r="X226" s="364" t="str">
        <f t="shared" si="122"/>
        <v>Not Sold</v>
      </c>
      <c r="Y226" s="41" t="s">
        <v>418</v>
      </c>
      <c r="Z226" s="98"/>
    </row>
    <row r="227" spans="1:26" ht="12" customHeight="1">
      <c r="A227" s="180">
        <v>38847</v>
      </c>
      <c r="B227" s="360" t="s">
        <v>1053</v>
      </c>
      <c r="C227" s="98" t="s">
        <v>460</v>
      </c>
      <c r="D227" s="98">
        <v>50</v>
      </c>
      <c r="E227" s="181">
        <v>96.01</v>
      </c>
      <c r="F227" s="181">
        <f t="shared" si="71"/>
        <v>0.48</v>
      </c>
      <c r="G227" s="181">
        <f t="shared" si="72"/>
        <v>95.53</v>
      </c>
      <c r="H227" s="181">
        <f t="shared" si="61"/>
        <v>95.36</v>
      </c>
      <c r="I227" s="219">
        <f t="shared" si="62"/>
        <v>0.64729999999999999</v>
      </c>
      <c r="J227" s="181">
        <f t="shared" si="73"/>
        <v>4776.5</v>
      </c>
      <c r="K227" s="181">
        <f t="shared" si="74"/>
        <v>4768.1400000000003</v>
      </c>
      <c r="L227" s="181">
        <f t="shared" si="75"/>
        <v>24</v>
      </c>
      <c r="M227" s="181">
        <f t="shared" si="112"/>
        <v>2.9375999999999998</v>
      </c>
      <c r="N227" s="181">
        <f t="shared" si="70"/>
        <v>4.78</v>
      </c>
      <c r="O227" s="181">
        <f t="shared" si="64"/>
        <v>0.16717749999999998</v>
      </c>
      <c r="P227" s="181">
        <f t="shared" si="65"/>
        <v>0.47765000000000002</v>
      </c>
      <c r="Q227" s="98">
        <f t="shared" si="66"/>
        <v>0</v>
      </c>
      <c r="R227" s="361">
        <v>4767.5</v>
      </c>
      <c r="S227" s="183">
        <f t="shared" si="67"/>
        <v>0.64000000000032742</v>
      </c>
      <c r="T227" s="180">
        <v>38849</v>
      </c>
      <c r="U227" s="362">
        <f t="shared" si="123"/>
        <v>5.6000000000003638</v>
      </c>
      <c r="V227" s="363">
        <f t="shared" si="124"/>
        <v>0.43141476181433397</v>
      </c>
      <c r="W227" s="338">
        <f t="shared" si="125"/>
        <v>1</v>
      </c>
      <c r="X227" s="364"/>
      <c r="Y227" s="41" t="s">
        <v>418</v>
      </c>
      <c r="Z227" s="98"/>
    </row>
    <row r="228" spans="1:26" ht="12" customHeight="1">
      <c r="A228" s="361" t="s">
        <v>1074</v>
      </c>
      <c r="B228" s="360" t="s">
        <v>1063</v>
      </c>
      <c r="C228" s="98" t="s">
        <v>460</v>
      </c>
      <c r="D228" s="98">
        <v>16</v>
      </c>
      <c r="E228" s="181">
        <v>62.28</v>
      </c>
      <c r="F228" s="181">
        <f t="shared" si="71"/>
        <v>0.63</v>
      </c>
      <c r="G228" s="181">
        <f t="shared" si="72"/>
        <v>61.65</v>
      </c>
      <c r="H228" s="181">
        <f t="shared" si="61"/>
        <v>61.5</v>
      </c>
      <c r="I228" s="219">
        <f t="shared" si="62"/>
        <v>0.77739999999999998</v>
      </c>
      <c r="J228" s="181">
        <f t="shared" si="73"/>
        <v>986.4</v>
      </c>
      <c r="K228" s="181">
        <f t="shared" si="74"/>
        <v>984.05</v>
      </c>
      <c r="L228" s="181">
        <f t="shared" si="75"/>
        <v>10.08</v>
      </c>
      <c r="M228" s="181">
        <f t="shared" si="112"/>
        <v>1.233792</v>
      </c>
      <c r="N228" s="181">
        <f t="shared" si="70"/>
        <v>0.99</v>
      </c>
      <c r="O228" s="181">
        <f t="shared" si="64"/>
        <v>3.4523999999999999E-2</v>
      </c>
      <c r="P228" s="181">
        <f t="shared" si="65"/>
        <v>9.8640000000000005E-2</v>
      </c>
      <c r="Q228" s="98">
        <f t="shared" si="66"/>
        <v>0</v>
      </c>
      <c r="R228" s="361">
        <f>K228</f>
        <v>984.05</v>
      </c>
      <c r="S228" s="183">
        <f t="shared" si="67"/>
        <v>0</v>
      </c>
      <c r="T228" s="180"/>
      <c r="U228" s="362">
        <f t="shared" ref="U228:U229" si="126">R228-(W$104*D228)-E$337</f>
        <v>4.9999999999954525E-2</v>
      </c>
      <c r="V228" s="363">
        <f t="shared" ref="V228:V231" si="127">(U228/(W$8*D228))/W228*365</f>
        <v>-5.8745139443203599E-7</v>
      </c>
      <c r="W228" s="338">
        <f t="shared" si="125"/>
        <v>-38833</v>
      </c>
      <c r="X228" s="364" t="str">
        <f t="shared" ref="X228:X247" si="128">IF(A228="Stock","Not Sold","")</f>
        <v>Not Sold</v>
      </c>
      <c r="Y228" s="41" t="s">
        <v>418</v>
      </c>
      <c r="Z228" s="98"/>
    </row>
    <row r="229" spans="1:26" ht="12" customHeight="1">
      <c r="A229" s="180">
        <v>38849</v>
      </c>
      <c r="B229" s="360" t="s">
        <v>1063</v>
      </c>
      <c r="C229" s="98" t="s">
        <v>460</v>
      </c>
      <c r="D229" s="98">
        <v>100</v>
      </c>
      <c r="E229" s="181">
        <v>84.05</v>
      </c>
      <c r="F229" s="181">
        <f t="shared" si="71"/>
        <v>0.42</v>
      </c>
      <c r="G229" s="181">
        <f t="shared" si="72"/>
        <v>83.63</v>
      </c>
      <c r="H229" s="181">
        <f t="shared" si="61"/>
        <v>83.48</v>
      </c>
      <c r="I229" s="219">
        <f t="shared" si="62"/>
        <v>0.56630000000000003</v>
      </c>
      <c r="J229" s="181">
        <f t="shared" si="73"/>
        <v>8363</v>
      </c>
      <c r="K229" s="181">
        <f t="shared" si="74"/>
        <v>8348.380000000001</v>
      </c>
      <c r="L229" s="181">
        <f t="shared" si="75"/>
        <v>42</v>
      </c>
      <c r="M229" s="181">
        <f t="shared" si="112"/>
        <v>5.1407999999999996</v>
      </c>
      <c r="N229" s="181">
        <f t="shared" si="70"/>
        <v>8.36</v>
      </c>
      <c r="O229" s="181">
        <f t="shared" si="64"/>
        <v>0.29270499999999999</v>
      </c>
      <c r="P229" s="181">
        <f t="shared" si="65"/>
        <v>0.83630000000000004</v>
      </c>
      <c r="Q229" s="98">
        <f t="shared" si="66"/>
        <v>0</v>
      </c>
      <c r="R229" s="361">
        <v>8343.44</v>
      </c>
      <c r="S229" s="183">
        <f t="shared" si="67"/>
        <v>4.9400000000005093</v>
      </c>
      <c r="T229" s="180">
        <v>38853</v>
      </c>
      <c r="U229" s="362">
        <f t="shared" si="126"/>
        <v>2319.4400000000005</v>
      </c>
      <c r="V229" s="363">
        <f t="shared" si="127"/>
        <v>8.465956000000002</v>
      </c>
      <c r="W229" s="338">
        <f t="shared" ref="W229:W230" si="129">T229-T104</f>
        <v>20</v>
      </c>
      <c r="X229" s="364" t="str">
        <f t="shared" si="128"/>
        <v/>
      </c>
      <c r="Y229" s="41" t="s">
        <v>418</v>
      </c>
      <c r="Z229" s="98"/>
    </row>
    <row r="230" spans="1:26" ht="12" customHeight="1">
      <c r="A230" s="361" t="s">
        <v>1074</v>
      </c>
      <c r="B230" s="360" t="s">
        <v>1063</v>
      </c>
      <c r="C230" s="98" t="s">
        <v>1058</v>
      </c>
      <c r="D230" s="98">
        <v>16</v>
      </c>
      <c r="E230" s="181">
        <v>62.28</v>
      </c>
      <c r="F230" s="181">
        <f t="shared" si="71"/>
        <v>0.63</v>
      </c>
      <c r="G230" s="181">
        <f t="shared" si="72"/>
        <v>61.65</v>
      </c>
      <c r="H230" s="181">
        <f t="shared" si="61"/>
        <v>61.5</v>
      </c>
      <c r="I230" s="219">
        <f t="shared" si="62"/>
        <v>0.77739999999999998</v>
      </c>
      <c r="J230" s="181">
        <f t="shared" si="73"/>
        <v>986.4</v>
      </c>
      <c r="K230" s="181">
        <f t="shared" si="74"/>
        <v>984.05</v>
      </c>
      <c r="L230" s="181">
        <f t="shared" si="75"/>
        <v>10.08</v>
      </c>
      <c r="M230" s="181">
        <f t="shared" si="112"/>
        <v>1.233792</v>
      </c>
      <c r="N230" s="181">
        <f t="shared" si="70"/>
        <v>0.99</v>
      </c>
      <c r="O230" s="181">
        <f t="shared" si="64"/>
        <v>3.4523999999999999E-2</v>
      </c>
      <c r="P230" s="181">
        <f t="shared" si="65"/>
        <v>9.8640000000000005E-2</v>
      </c>
      <c r="Q230" s="98">
        <f t="shared" si="66"/>
        <v>0</v>
      </c>
      <c r="R230" s="361">
        <f>K230</f>
        <v>984.05</v>
      </c>
      <c r="S230" s="183">
        <f t="shared" si="67"/>
        <v>0</v>
      </c>
      <c r="T230" s="180"/>
      <c r="U230" s="362">
        <f t="shared" ref="U230:U231" si="130">R230-(W$105*D230)-E$337</f>
        <v>4.9999999999954525E-2</v>
      </c>
      <c r="V230" s="363">
        <f t="shared" si="127"/>
        <v>-5.8745139443203599E-7</v>
      </c>
      <c r="W230" s="338">
        <f t="shared" si="129"/>
        <v>-38833</v>
      </c>
      <c r="X230" s="364" t="str">
        <f t="shared" si="128"/>
        <v>Not Sold</v>
      </c>
      <c r="Y230" s="41" t="s">
        <v>418</v>
      </c>
      <c r="Z230" s="98"/>
    </row>
    <row r="231" spans="1:26" ht="12" customHeight="1">
      <c r="A231" s="180">
        <v>38849</v>
      </c>
      <c r="B231" s="360" t="s">
        <v>1063</v>
      </c>
      <c r="C231" s="98" t="s">
        <v>1058</v>
      </c>
      <c r="D231" s="98">
        <v>100</v>
      </c>
      <c r="E231" s="181">
        <v>84.1</v>
      </c>
      <c r="F231" s="181">
        <f t="shared" si="71"/>
        <v>0.42</v>
      </c>
      <c r="G231" s="181">
        <f t="shared" si="72"/>
        <v>83.679999999999993</v>
      </c>
      <c r="H231" s="181">
        <f t="shared" si="61"/>
        <v>83.53</v>
      </c>
      <c r="I231" s="219">
        <f t="shared" si="62"/>
        <v>0.5665</v>
      </c>
      <c r="J231" s="181">
        <f t="shared" si="73"/>
        <v>8368</v>
      </c>
      <c r="K231" s="181">
        <f t="shared" si="74"/>
        <v>8353.36</v>
      </c>
      <c r="L231" s="181">
        <f t="shared" si="75"/>
        <v>42</v>
      </c>
      <c r="M231" s="181">
        <f t="shared" si="112"/>
        <v>5.1407999999999996</v>
      </c>
      <c r="N231" s="181">
        <f t="shared" si="70"/>
        <v>8.3699999999999992</v>
      </c>
      <c r="O231" s="181">
        <f t="shared" si="64"/>
        <v>0.29287999999999997</v>
      </c>
      <c r="P231" s="181">
        <f t="shared" si="65"/>
        <v>0.83679999999999999</v>
      </c>
      <c r="Q231" s="98">
        <f t="shared" si="66"/>
        <v>0</v>
      </c>
      <c r="R231" s="361">
        <v>8353.18</v>
      </c>
      <c r="S231" s="183">
        <f t="shared" si="67"/>
        <v>0.18000000000029104</v>
      </c>
      <c r="T231" s="180">
        <v>38853</v>
      </c>
      <c r="U231" s="362">
        <f t="shared" si="130"/>
        <v>2329.1800000000003</v>
      </c>
      <c r="V231" s="363">
        <f t="shared" si="127"/>
        <v>8.5015070000000019</v>
      </c>
      <c r="W231" s="338">
        <f t="shared" ref="W231:W233" si="131">T231-T105</f>
        <v>20</v>
      </c>
      <c r="X231" s="364" t="str">
        <f t="shared" si="128"/>
        <v/>
      </c>
      <c r="Y231" s="41" t="s">
        <v>418</v>
      </c>
      <c r="Z231" s="98"/>
    </row>
    <row r="232" spans="1:26" ht="12" customHeight="1">
      <c r="A232" s="361" t="s">
        <v>1074</v>
      </c>
      <c r="B232" s="360" t="s">
        <v>516</v>
      </c>
      <c r="C232" s="98" t="s">
        <v>460</v>
      </c>
      <c r="D232" s="98">
        <f t="shared" ref="D232:D233" si="132">D106</f>
        <v>50</v>
      </c>
      <c r="E232" s="181">
        <f t="shared" ref="E232:E233" si="133">E106*1.01364+E$337/D232</f>
        <v>223.22739000000001</v>
      </c>
      <c r="F232" s="181">
        <f t="shared" si="71"/>
        <v>1.1200000000000001</v>
      </c>
      <c r="G232" s="181">
        <f t="shared" si="72"/>
        <v>222.10739000000001</v>
      </c>
      <c r="H232" s="181">
        <f t="shared" si="61"/>
        <v>221.72</v>
      </c>
      <c r="I232" s="219">
        <f t="shared" si="62"/>
        <v>1.5093000000000001</v>
      </c>
      <c r="J232" s="181">
        <f t="shared" si="73"/>
        <v>11105.37</v>
      </c>
      <c r="K232" s="181">
        <f t="shared" si="74"/>
        <v>11085.91</v>
      </c>
      <c r="L232" s="181">
        <f t="shared" si="75"/>
        <v>56.000000000000007</v>
      </c>
      <c r="M232" s="181">
        <f t="shared" si="112"/>
        <v>6.8544000000000009</v>
      </c>
      <c r="N232" s="181">
        <f t="shared" si="70"/>
        <v>11.11</v>
      </c>
      <c r="O232" s="181">
        <f t="shared" si="64"/>
        <v>0.38868795</v>
      </c>
      <c r="P232" s="181">
        <f t="shared" si="65"/>
        <v>1.1105370000000001</v>
      </c>
      <c r="Q232" s="98">
        <f t="shared" si="66"/>
        <v>0</v>
      </c>
      <c r="R232" s="361">
        <f t="shared" ref="R232:R247" si="134">K232</f>
        <v>11085.91</v>
      </c>
      <c r="S232" s="183">
        <f t="shared" si="67"/>
        <v>0</v>
      </c>
      <c r="T232" s="180"/>
      <c r="U232" s="362">
        <f t="shared" ref="U232:U233" si="135">(R232+R106)-E$337</f>
        <v>-0.38000000000101863</v>
      </c>
      <c r="V232" s="363">
        <f t="shared" ref="V232:V233" si="136">-(U232/R106)/W232*365</f>
        <v>3.2273909543616245E-7</v>
      </c>
      <c r="W232" s="338">
        <f t="shared" si="131"/>
        <v>-38849</v>
      </c>
      <c r="X232" s="364" t="str">
        <f t="shared" si="128"/>
        <v>Not Sold</v>
      </c>
      <c r="Y232" s="41" t="s">
        <v>418</v>
      </c>
      <c r="Z232" s="98"/>
    </row>
    <row r="233" spans="1:26" ht="12" customHeight="1">
      <c r="A233" s="361" t="s">
        <v>1074</v>
      </c>
      <c r="B233" s="360" t="s">
        <v>1064</v>
      </c>
      <c r="C233" s="98" t="s">
        <v>460</v>
      </c>
      <c r="D233" s="98">
        <f t="shared" si="132"/>
        <v>50</v>
      </c>
      <c r="E233" s="181">
        <f t="shared" si="133"/>
        <v>229.05582000000001</v>
      </c>
      <c r="F233" s="181">
        <f t="shared" si="71"/>
        <v>1.1499999999999999</v>
      </c>
      <c r="G233" s="181">
        <f t="shared" si="72"/>
        <v>227.90582000000001</v>
      </c>
      <c r="H233" s="181">
        <f t="shared" si="61"/>
        <v>227.51</v>
      </c>
      <c r="I233" s="219">
        <f t="shared" si="62"/>
        <v>1.5496000000000001</v>
      </c>
      <c r="J233" s="181">
        <f t="shared" si="73"/>
        <v>11395.300000000001</v>
      </c>
      <c r="K233" s="181">
        <f t="shared" si="74"/>
        <v>11375.33</v>
      </c>
      <c r="L233" s="181">
        <f t="shared" si="75"/>
        <v>57.499999999999993</v>
      </c>
      <c r="M233" s="181">
        <f t="shared" si="112"/>
        <v>7.0379999999999985</v>
      </c>
      <c r="N233" s="181">
        <f t="shared" si="70"/>
        <v>11.4</v>
      </c>
      <c r="O233" s="181">
        <f t="shared" si="64"/>
        <v>0.39883550000000001</v>
      </c>
      <c r="P233" s="181">
        <f t="shared" si="65"/>
        <v>1.1395300000000002</v>
      </c>
      <c r="Q233" s="98">
        <f t="shared" si="66"/>
        <v>0</v>
      </c>
      <c r="R233" s="361">
        <f t="shared" si="134"/>
        <v>11375.33</v>
      </c>
      <c r="S233" s="183">
        <f t="shared" si="67"/>
        <v>0</v>
      </c>
      <c r="T233" s="180"/>
      <c r="U233" s="362">
        <f t="shared" si="135"/>
        <v>-0.67000000000007276</v>
      </c>
      <c r="V233" s="363">
        <f t="shared" si="136"/>
        <v>5.5451773478103246E-7</v>
      </c>
      <c r="W233" s="338">
        <f t="shared" si="131"/>
        <v>-38849</v>
      </c>
      <c r="X233" s="364" t="str">
        <f t="shared" si="128"/>
        <v>Not Sold</v>
      </c>
      <c r="Y233" s="41" t="s">
        <v>418</v>
      </c>
      <c r="Z233" s="98"/>
    </row>
    <row r="234" spans="1:26" ht="12" customHeight="1">
      <c r="A234" s="180">
        <v>39006</v>
      </c>
      <c r="B234" s="360" t="s">
        <v>1013</v>
      </c>
      <c r="C234" s="98" t="s">
        <v>460</v>
      </c>
      <c r="D234" s="98">
        <f t="shared" ref="D234:D236" si="137">D109</f>
        <v>5</v>
      </c>
      <c r="E234" s="181">
        <v>1199.0999999999999</v>
      </c>
      <c r="F234" s="181">
        <f t="shared" si="71"/>
        <v>6</v>
      </c>
      <c r="G234" s="181">
        <f t="shared" si="72"/>
        <v>1193.0999999999999</v>
      </c>
      <c r="H234" s="181">
        <f t="shared" si="61"/>
        <v>1191.01</v>
      </c>
      <c r="I234" s="219">
        <f t="shared" si="62"/>
        <v>8.0894999999999992</v>
      </c>
      <c r="J234" s="181">
        <f t="shared" si="73"/>
        <v>5965.5</v>
      </c>
      <c r="K234" s="181">
        <f t="shared" si="74"/>
        <v>5955.06</v>
      </c>
      <c r="L234" s="181">
        <f t="shared" si="75"/>
        <v>30</v>
      </c>
      <c r="M234" s="181">
        <f t="shared" si="112"/>
        <v>3.6719999999999997</v>
      </c>
      <c r="N234" s="181">
        <f t="shared" si="70"/>
        <v>5.97</v>
      </c>
      <c r="O234" s="181">
        <f t="shared" si="64"/>
        <v>0.20879249999999999</v>
      </c>
      <c r="P234" s="181">
        <f t="shared" si="65"/>
        <v>0.59655000000000002</v>
      </c>
      <c r="Q234" s="98">
        <f t="shared" si="66"/>
        <v>0</v>
      </c>
      <c r="R234" s="361">
        <f t="shared" si="134"/>
        <v>5955.06</v>
      </c>
      <c r="S234" s="183">
        <f t="shared" si="67"/>
        <v>0</v>
      </c>
      <c r="T234" s="180">
        <v>39010</v>
      </c>
      <c r="U234" s="362">
        <f t="shared" ref="U234:U238" si="138">(R234+R109)-E$337</f>
        <v>169.45000000000073</v>
      </c>
      <c r="V234" s="363">
        <f t="shared" ref="V234:V238" si="139">-(U234/R109)/W234*365</f>
        <v>6.7091978197066734E-2</v>
      </c>
      <c r="W234" s="338">
        <f t="shared" ref="W234:W238" si="140">T234-T109</f>
        <v>160</v>
      </c>
      <c r="X234" s="364" t="str">
        <f t="shared" si="128"/>
        <v/>
      </c>
      <c r="Y234" s="41" t="s">
        <v>418</v>
      </c>
      <c r="Z234" s="98"/>
    </row>
    <row r="235" spans="1:26" ht="12" customHeight="1">
      <c r="A235" s="361" t="s">
        <v>1074</v>
      </c>
      <c r="B235" s="360" t="s">
        <v>1038</v>
      </c>
      <c r="C235" s="98" t="s">
        <v>460</v>
      </c>
      <c r="D235" s="98">
        <f t="shared" si="137"/>
        <v>50</v>
      </c>
      <c r="E235" s="181">
        <f t="shared" ref="E235:E237" si="141">E110*1.01364+E$337/D235</f>
        <v>279.11949960000004</v>
      </c>
      <c r="F235" s="181">
        <f t="shared" si="71"/>
        <v>1.4</v>
      </c>
      <c r="G235" s="181">
        <f t="shared" si="72"/>
        <v>277.71949960000006</v>
      </c>
      <c r="H235" s="181">
        <f t="shared" si="61"/>
        <v>277.23</v>
      </c>
      <c r="I235" s="219">
        <f t="shared" si="62"/>
        <v>1.8867</v>
      </c>
      <c r="J235" s="181">
        <f t="shared" si="73"/>
        <v>13885.98</v>
      </c>
      <c r="K235" s="181">
        <f t="shared" si="74"/>
        <v>13861.65</v>
      </c>
      <c r="L235" s="181">
        <f t="shared" si="75"/>
        <v>70</v>
      </c>
      <c r="M235" s="181">
        <f t="shared" si="112"/>
        <v>8.5679999999999996</v>
      </c>
      <c r="N235" s="181">
        <f t="shared" si="70"/>
        <v>13.89</v>
      </c>
      <c r="O235" s="181">
        <f t="shared" si="64"/>
        <v>0.48600929999999992</v>
      </c>
      <c r="P235" s="181">
        <f t="shared" si="65"/>
        <v>1.388598</v>
      </c>
      <c r="Q235" s="98">
        <f t="shared" si="66"/>
        <v>0</v>
      </c>
      <c r="R235" s="361">
        <f t="shared" si="134"/>
        <v>13861.65</v>
      </c>
      <c r="S235" s="183">
        <f t="shared" si="67"/>
        <v>0</v>
      </c>
      <c r="T235" s="180"/>
      <c r="U235" s="362">
        <f t="shared" si="138"/>
        <v>-2.3500000000003638</v>
      </c>
      <c r="V235" s="363">
        <f t="shared" si="139"/>
        <v>1.5952678524935329E-6</v>
      </c>
      <c r="W235" s="338">
        <f t="shared" si="140"/>
        <v>-38850</v>
      </c>
      <c r="X235" s="364" t="str">
        <f t="shared" si="128"/>
        <v>Not Sold</v>
      </c>
      <c r="Y235" s="41" t="s">
        <v>418</v>
      </c>
      <c r="Z235" s="98"/>
    </row>
    <row r="236" spans="1:26" ht="12" customHeight="1">
      <c r="A236" s="361" t="s">
        <v>1074</v>
      </c>
      <c r="B236" s="360" t="s">
        <v>1063</v>
      </c>
      <c r="C236" s="98" t="s">
        <v>460</v>
      </c>
      <c r="D236" s="98">
        <f t="shared" si="137"/>
        <v>200</v>
      </c>
      <c r="E236" s="181">
        <f t="shared" si="141"/>
        <v>78.57573600000002</v>
      </c>
      <c r="F236" s="181">
        <f t="shared" si="71"/>
        <v>0.39</v>
      </c>
      <c r="G236" s="181">
        <f t="shared" si="72"/>
        <v>78.18573600000002</v>
      </c>
      <c r="H236" s="181">
        <f t="shared" si="61"/>
        <v>78.05</v>
      </c>
      <c r="I236" s="219">
        <f t="shared" si="62"/>
        <v>0.52649999999999997</v>
      </c>
      <c r="J236" s="181">
        <f t="shared" si="73"/>
        <v>15637.15</v>
      </c>
      <c r="K236" s="181">
        <f t="shared" si="74"/>
        <v>15609.86</v>
      </c>
      <c r="L236" s="181">
        <f t="shared" si="75"/>
        <v>78</v>
      </c>
      <c r="M236" s="181">
        <f t="shared" si="112"/>
        <v>9.5472000000000001</v>
      </c>
      <c r="N236" s="181">
        <f t="shared" si="70"/>
        <v>15.64</v>
      </c>
      <c r="O236" s="181">
        <f t="shared" si="64"/>
        <v>0.54730024999999993</v>
      </c>
      <c r="P236" s="181">
        <f t="shared" si="65"/>
        <v>1.563715</v>
      </c>
      <c r="Q236" s="98">
        <f t="shared" si="66"/>
        <v>0</v>
      </c>
      <c r="R236" s="361">
        <f t="shared" si="134"/>
        <v>15609.86</v>
      </c>
      <c r="S236" s="183">
        <f t="shared" si="67"/>
        <v>0</v>
      </c>
      <c r="T236" s="180"/>
      <c r="U236" s="362">
        <f t="shared" si="138"/>
        <v>1.1500000000014552</v>
      </c>
      <c r="V236" s="363">
        <f t="shared" si="139"/>
        <v>-6.9317847164115262E-7</v>
      </c>
      <c r="W236" s="338">
        <f t="shared" si="140"/>
        <v>-38855</v>
      </c>
      <c r="X236" s="364" t="str">
        <f t="shared" si="128"/>
        <v>Not Sold</v>
      </c>
      <c r="Y236" s="41" t="s">
        <v>418</v>
      </c>
      <c r="Z236" s="98"/>
    </row>
    <row r="237" spans="1:26" ht="12" customHeight="1">
      <c r="A237" s="361" t="s">
        <v>1074</v>
      </c>
      <c r="B237" s="360" t="s">
        <v>1034</v>
      </c>
      <c r="C237" s="98" t="s">
        <v>460</v>
      </c>
      <c r="D237" s="98">
        <v>100</v>
      </c>
      <c r="E237" s="181">
        <f t="shared" si="141"/>
        <v>204.79255200000003</v>
      </c>
      <c r="F237" s="181">
        <f t="shared" si="71"/>
        <v>1.02</v>
      </c>
      <c r="G237" s="181">
        <f t="shared" si="72"/>
        <v>203.77255200000002</v>
      </c>
      <c r="H237" s="181">
        <f t="shared" si="61"/>
        <v>203.42</v>
      </c>
      <c r="I237" s="219">
        <f t="shared" si="62"/>
        <v>1.3762000000000001</v>
      </c>
      <c r="J237" s="181">
        <f t="shared" si="73"/>
        <v>20377.259999999998</v>
      </c>
      <c r="K237" s="181">
        <f t="shared" si="74"/>
        <v>20341.649999999998</v>
      </c>
      <c r="L237" s="181">
        <f t="shared" si="75"/>
        <v>102</v>
      </c>
      <c r="M237" s="181">
        <f t="shared" si="112"/>
        <v>12.4848</v>
      </c>
      <c r="N237" s="181">
        <f t="shared" si="70"/>
        <v>20.38</v>
      </c>
      <c r="O237" s="181">
        <f t="shared" si="64"/>
        <v>0.7132040999999999</v>
      </c>
      <c r="P237" s="181">
        <f t="shared" si="65"/>
        <v>2.0377260000000001</v>
      </c>
      <c r="Q237" s="98">
        <f t="shared" si="66"/>
        <v>0</v>
      </c>
      <c r="R237" s="361">
        <f t="shared" si="134"/>
        <v>20341.649999999998</v>
      </c>
      <c r="S237" s="183">
        <f t="shared" si="67"/>
        <v>0</v>
      </c>
      <c r="T237" s="180"/>
      <c r="U237" s="362">
        <f t="shared" si="138"/>
        <v>1.2599999999983993</v>
      </c>
      <c r="V237" s="363">
        <f t="shared" si="139"/>
        <v>-5.8253932498414732E-7</v>
      </c>
      <c r="W237" s="338">
        <f t="shared" si="140"/>
        <v>-38859</v>
      </c>
      <c r="X237" s="364" t="str">
        <f t="shared" si="128"/>
        <v>Not Sold</v>
      </c>
      <c r="Y237" s="41" t="s">
        <v>418</v>
      </c>
      <c r="Z237" s="98"/>
    </row>
    <row r="238" spans="1:26" ht="12" customHeight="1">
      <c r="A238" s="180">
        <v>38856</v>
      </c>
      <c r="B238" s="360" t="s">
        <v>1034</v>
      </c>
      <c r="C238" s="98" t="s">
        <v>460</v>
      </c>
      <c r="D238" s="98">
        <v>100</v>
      </c>
      <c r="E238" s="181">
        <v>198.1</v>
      </c>
      <c r="F238" s="181">
        <f t="shared" si="71"/>
        <v>0.99</v>
      </c>
      <c r="G238" s="181">
        <f t="shared" si="72"/>
        <v>197.10999999999999</v>
      </c>
      <c r="H238" s="181">
        <f t="shared" si="61"/>
        <v>196.77</v>
      </c>
      <c r="I238" s="219">
        <f t="shared" si="62"/>
        <v>1.3349</v>
      </c>
      <c r="J238" s="181">
        <f t="shared" si="73"/>
        <v>19711</v>
      </c>
      <c r="K238" s="181">
        <f t="shared" si="74"/>
        <v>19676.519999999997</v>
      </c>
      <c r="L238" s="181">
        <f t="shared" si="75"/>
        <v>99</v>
      </c>
      <c r="M238" s="181">
        <f t="shared" si="112"/>
        <v>12.117599999999999</v>
      </c>
      <c r="N238" s="181">
        <f t="shared" si="70"/>
        <v>19.71</v>
      </c>
      <c r="O238" s="181">
        <f t="shared" si="64"/>
        <v>0.68988499999999997</v>
      </c>
      <c r="P238" s="181">
        <f t="shared" si="65"/>
        <v>1.9711000000000001</v>
      </c>
      <c r="Q238" s="98">
        <f t="shared" si="66"/>
        <v>0</v>
      </c>
      <c r="R238" s="361">
        <f t="shared" si="134"/>
        <v>19676.519999999997</v>
      </c>
      <c r="S238" s="183">
        <f t="shared" si="67"/>
        <v>0</v>
      </c>
      <c r="T238" s="180">
        <v>38860</v>
      </c>
      <c r="U238" s="362">
        <f t="shared" si="138"/>
        <v>372.91999999999825</v>
      </c>
      <c r="V238" s="363">
        <f t="shared" si="139"/>
        <v>7.0600946077719131</v>
      </c>
      <c r="W238" s="338">
        <f t="shared" si="140"/>
        <v>1</v>
      </c>
      <c r="X238" s="364" t="str">
        <f t="shared" si="128"/>
        <v/>
      </c>
      <c r="Y238" s="41" t="s">
        <v>418</v>
      </c>
      <c r="Z238" s="98"/>
    </row>
    <row r="239" spans="1:26" ht="12" customHeight="1">
      <c r="A239" s="361" t="s">
        <v>1074</v>
      </c>
      <c r="B239" s="360" t="s">
        <v>297</v>
      </c>
      <c r="C239" s="98" t="s">
        <v>460</v>
      </c>
      <c r="D239" s="98">
        <v>45</v>
      </c>
      <c r="E239" s="181">
        <v>923.4</v>
      </c>
      <c r="F239" s="181">
        <f t="shared" si="71"/>
        <v>4.62</v>
      </c>
      <c r="G239" s="181">
        <f t="shared" si="72"/>
        <v>918.78</v>
      </c>
      <c r="H239" s="181">
        <f t="shared" si="61"/>
        <v>917.17</v>
      </c>
      <c r="I239" s="219">
        <f t="shared" si="62"/>
        <v>6.2284999999999995</v>
      </c>
      <c r="J239" s="181">
        <f t="shared" si="73"/>
        <v>41345.1</v>
      </c>
      <c r="K239" s="181">
        <f t="shared" si="74"/>
        <v>41272.730000000003</v>
      </c>
      <c r="L239" s="181">
        <f t="shared" si="75"/>
        <v>207.9</v>
      </c>
      <c r="M239" s="181">
        <f t="shared" si="112"/>
        <v>25.446960000000001</v>
      </c>
      <c r="N239" s="181">
        <f t="shared" si="70"/>
        <v>41.35</v>
      </c>
      <c r="O239" s="181">
        <f t="shared" si="64"/>
        <v>1.4470784999999997</v>
      </c>
      <c r="P239" s="181">
        <f t="shared" si="65"/>
        <v>4.1345099999999997</v>
      </c>
      <c r="Q239" s="98">
        <f t="shared" si="66"/>
        <v>0</v>
      </c>
      <c r="R239" s="361">
        <f t="shared" si="134"/>
        <v>41272.730000000003</v>
      </c>
      <c r="S239" s="183">
        <f t="shared" si="67"/>
        <v>0</v>
      </c>
      <c r="T239" s="180"/>
      <c r="U239" s="362">
        <f>R239-(W$121*D239)-E$337</f>
        <v>23.330000000001746</v>
      </c>
      <c r="V239" s="363">
        <f>(U239/(W$121*D239))/W239*365</f>
        <v>-5.2914831282709411E-6</v>
      </c>
      <c r="W239" s="338">
        <f>T239-V121</f>
        <v>-39036</v>
      </c>
      <c r="X239" s="364" t="str">
        <f t="shared" si="128"/>
        <v>Not Sold</v>
      </c>
      <c r="Y239" s="41" t="s">
        <v>418</v>
      </c>
      <c r="Z239" s="98"/>
    </row>
    <row r="240" spans="1:26" ht="12" customHeight="1">
      <c r="A240" s="180">
        <v>39006</v>
      </c>
      <c r="B240" s="360" t="s">
        <v>1065</v>
      </c>
      <c r="C240" s="98" t="s">
        <v>460</v>
      </c>
      <c r="D240" s="98">
        <v>4</v>
      </c>
      <c r="E240" s="181">
        <v>1128.25</v>
      </c>
      <c r="F240" s="181">
        <f t="shared" si="71"/>
        <v>5.64</v>
      </c>
      <c r="G240" s="181">
        <f t="shared" si="72"/>
        <v>1122.6099999999999</v>
      </c>
      <c r="H240" s="181">
        <f t="shared" si="61"/>
        <v>1120.6500000000001</v>
      </c>
      <c r="I240" s="219">
        <f t="shared" si="62"/>
        <v>7.6044</v>
      </c>
      <c r="J240" s="181">
        <f t="shared" si="73"/>
        <v>4490.4399999999996</v>
      </c>
      <c r="K240" s="181">
        <f t="shared" si="74"/>
        <v>4482.59</v>
      </c>
      <c r="L240" s="181">
        <f t="shared" si="75"/>
        <v>22.56</v>
      </c>
      <c r="M240" s="181">
        <f t="shared" si="112"/>
        <v>2.7613439999999998</v>
      </c>
      <c r="N240" s="181">
        <f t="shared" si="70"/>
        <v>4.49</v>
      </c>
      <c r="O240" s="181">
        <f t="shared" si="64"/>
        <v>0.15716539999999998</v>
      </c>
      <c r="P240" s="181">
        <f t="shared" si="65"/>
        <v>0.449044</v>
      </c>
      <c r="Q240" s="98">
        <f t="shared" si="66"/>
        <v>0</v>
      </c>
      <c r="R240" s="361">
        <f t="shared" si="134"/>
        <v>4482.59</v>
      </c>
      <c r="S240" s="183">
        <f t="shared" si="67"/>
        <v>0</v>
      </c>
      <c r="T240" s="180">
        <v>39010</v>
      </c>
      <c r="U240" s="362">
        <f>R240-(W$119*D240)-E$337</f>
        <v>669.35000000000036</v>
      </c>
      <c r="V240" s="363">
        <f>(U240/(W$119*D240))/W240*365</f>
        <v>0.67868838022789224</v>
      </c>
      <c r="W240" s="338">
        <f>T240-T118</f>
        <v>95</v>
      </c>
      <c r="X240" s="364" t="str">
        <f t="shared" si="128"/>
        <v/>
      </c>
      <c r="Y240" s="41" t="s">
        <v>418</v>
      </c>
      <c r="Z240" s="98"/>
    </row>
    <row r="241" spans="1:26" ht="12" customHeight="1">
      <c r="A241" s="180">
        <v>39042</v>
      </c>
      <c r="B241" s="360" t="s">
        <v>1059</v>
      </c>
      <c r="C241" s="98" t="s">
        <v>1058</v>
      </c>
      <c r="D241" s="98">
        <v>30</v>
      </c>
      <c r="E241" s="181">
        <v>451.55</v>
      </c>
      <c r="F241" s="181">
        <f t="shared" si="71"/>
        <v>2.2599999999999998</v>
      </c>
      <c r="G241" s="181">
        <f t="shared" si="72"/>
        <v>449.29</v>
      </c>
      <c r="H241" s="181">
        <f t="shared" si="61"/>
        <v>448.5</v>
      </c>
      <c r="I241" s="219">
        <f t="shared" si="62"/>
        <v>3.0467000000000004</v>
      </c>
      <c r="J241" s="181">
        <f t="shared" si="73"/>
        <v>13478.7</v>
      </c>
      <c r="K241" s="181">
        <f t="shared" si="74"/>
        <v>13455.11</v>
      </c>
      <c r="L241" s="181">
        <f t="shared" si="75"/>
        <v>67.8</v>
      </c>
      <c r="M241" s="181">
        <f t="shared" si="112"/>
        <v>8.2987199999999994</v>
      </c>
      <c r="N241" s="181">
        <f t="shared" si="70"/>
        <v>13.48</v>
      </c>
      <c r="O241" s="181">
        <f t="shared" si="64"/>
        <v>0.47175449999999997</v>
      </c>
      <c r="P241" s="181">
        <f t="shared" si="65"/>
        <v>1.3478700000000001</v>
      </c>
      <c r="Q241" s="98">
        <f t="shared" si="66"/>
        <v>0</v>
      </c>
      <c r="R241" s="361">
        <f t="shared" si="134"/>
        <v>13455.11</v>
      </c>
      <c r="S241" s="183">
        <f t="shared" si="67"/>
        <v>0</v>
      </c>
      <c r="T241" s="180">
        <v>39044</v>
      </c>
      <c r="U241" s="362">
        <f>R241-(W$120*D241)-E$337</f>
        <v>1015.9100000000017</v>
      </c>
      <c r="V241" s="363">
        <f>(U241/(W$120*D241))/W241*365</f>
        <v>0.72846807375381051</v>
      </c>
      <c r="W241" s="338">
        <f>T241-T120</f>
        <v>41</v>
      </c>
      <c r="X241" s="364" t="str">
        <f t="shared" si="128"/>
        <v/>
      </c>
      <c r="Y241" s="41" t="s">
        <v>418</v>
      </c>
      <c r="Z241" s="98"/>
    </row>
    <row r="242" spans="1:26" ht="12" customHeight="1">
      <c r="A242" s="361" t="s">
        <v>1074</v>
      </c>
      <c r="B242" s="360" t="s">
        <v>1026</v>
      </c>
      <c r="C242" s="98" t="s">
        <v>460</v>
      </c>
      <c r="D242" s="98">
        <v>300</v>
      </c>
      <c r="E242" s="181">
        <v>24.12</v>
      </c>
      <c r="F242" s="181">
        <f t="shared" si="71"/>
        <v>0.12</v>
      </c>
      <c r="G242" s="181">
        <f t="shared" si="72"/>
        <v>24</v>
      </c>
      <c r="H242" s="181">
        <f t="shared" si="61"/>
        <v>23.96</v>
      </c>
      <c r="I242" s="219">
        <f t="shared" si="62"/>
        <v>0.16199999999999998</v>
      </c>
      <c r="J242" s="181">
        <f t="shared" si="73"/>
        <v>7200</v>
      </c>
      <c r="K242" s="181">
        <f t="shared" si="74"/>
        <v>7187.43</v>
      </c>
      <c r="L242" s="181">
        <f t="shared" si="75"/>
        <v>36</v>
      </c>
      <c r="M242" s="181">
        <f t="shared" si="112"/>
        <v>4.4063999999999997</v>
      </c>
      <c r="N242" s="181">
        <f t="shared" si="70"/>
        <v>7.2</v>
      </c>
      <c r="O242" s="181">
        <f t="shared" si="64"/>
        <v>0.252</v>
      </c>
      <c r="P242" s="181">
        <f t="shared" si="65"/>
        <v>0.72000000000000008</v>
      </c>
      <c r="Q242" s="98">
        <f t="shared" si="66"/>
        <v>0</v>
      </c>
      <c r="R242" s="361">
        <f t="shared" si="134"/>
        <v>7187.43</v>
      </c>
      <c r="S242" s="183">
        <f t="shared" si="67"/>
        <v>0</v>
      </c>
      <c r="T242" s="180"/>
      <c r="U242" s="362">
        <f>R242-(W$116*D242)-E$337</f>
        <v>-0.56999999999970896</v>
      </c>
      <c r="V242" s="363">
        <f>(U242/(W$116*D242))/W242*365</f>
        <v>7.5006556449063276E-7</v>
      </c>
      <c r="W242" s="338">
        <f>T242-V116</f>
        <v>-38718</v>
      </c>
      <c r="X242" s="364" t="str">
        <f t="shared" si="128"/>
        <v>Not Sold</v>
      </c>
      <c r="Y242" s="41"/>
      <c r="Z242" s="98"/>
    </row>
    <row r="243" spans="1:26" ht="12" customHeight="1">
      <c r="A243" s="361" t="s">
        <v>1074</v>
      </c>
      <c r="B243" s="360" t="str">
        <f t="shared" ref="B243:D243" si="142">B122</f>
        <v>Infosys Technology</v>
      </c>
      <c r="C243" s="98" t="str">
        <f t="shared" si="142"/>
        <v>Sunita</v>
      </c>
      <c r="D243" s="98">
        <f t="shared" si="142"/>
        <v>2</v>
      </c>
      <c r="E243" s="181">
        <f t="shared" ref="E243:E244" si="143">E122*1.01364+E$337/D243</f>
        <v>2133.7613844000002</v>
      </c>
      <c r="F243" s="181">
        <f t="shared" si="71"/>
        <v>10.67</v>
      </c>
      <c r="G243" s="181">
        <f t="shared" si="72"/>
        <v>2123.0913844000002</v>
      </c>
      <c r="H243" s="181">
        <f t="shared" si="61"/>
        <v>2119.37</v>
      </c>
      <c r="I243" s="219">
        <f t="shared" si="62"/>
        <v>14.387700000000001</v>
      </c>
      <c r="J243" s="181">
        <f t="shared" si="73"/>
        <v>4246.1900000000005</v>
      </c>
      <c r="K243" s="181">
        <f t="shared" si="74"/>
        <v>4238.76</v>
      </c>
      <c r="L243" s="181">
        <f t="shared" si="75"/>
        <v>21.34</v>
      </c>
      <c r="M243" s="181">
        <f t="shared" si="112"/>
        <v>2.6120159999999997</v>
      </c>
      <c r="N243" s="181">
        <f t="shared" si="70"/>
        <v>4.25</v>
      </c>
      <c r="O243" s="181">
        <f t="shared" si="64"/>
        <v>0.14861665000000002</v>
      </c>
      <c r="P243" s="181">
        <f t="shared" si="65"/>
        <v>0.42461900000000008</v>
      </c>
      <c r="Q243" s="98">
        <f t="shared" si="66"/>
        <v>0</v>
      </c>
      <c r="R243" s="361">
        <f t="shared" si="134"/>
        <v>4238.76</v>
      </c>
      <c r="S243" s="183">
        <f t="shared" si="67"/>
        <v>0</v>
      </c>
      <c r="T243" s="180"/>
      <c r="U243" s="362">
        <f t="shared" ref="U243:U244" si="144">(R243+R122)-E$337</f>
        <v>5.0000000000181899E-2</v>
      </c>
      <c r="V243" s="363">
        <f t="shared" ref="V243:V244" si="145">-(U243/R122)/W243*365</f>
        <v>-1.1061058399612899E-7</v>
      </c>
      <c r="W243" s="338">
        <f t="shared" ref="W243:W244" si="146">T243-T122</f>
        <v>-39147</v>
      </c>
      <c r="X243" s="364" t="str">
        <f t="shared" si="128"/>
        <v>Not Sold</v>
      </c>
      <c r="Y243" s="41" t="s">
        <v>418</v>
      </c>
      <c r="Z243" s="98"/>
    </row>
    <row r="244" spans="1:26" ht="12" customHeight="1">
      <c r="A244" s="361" t="s">
        <v>1074</v>
      </c>
      <c r="B244" s="360" t="str">
        <f t="shared" ref="B244:D244" si="147">B123</f>
        <v>Tata Consultancy</v>
      </c>
      <c r="C244" s="98" t="str">
        <f t="shared" si="147"/>
        <v>Sunita</v>
      </c>
      <c r="D244" s="98">
        <f t="shared" si="147"/>
        <v>2</v>
      </c>
      <c r="E244" s="181">
        <f t="shared" si="143"/>
        <v>1214.4100909510603</v>
      </c>
      <c r="F244" s="181">
        <f t="shared" si="71"/>
        <v>6.07</v>
      </c>
      <c r="G244" s="181">
        <f t="shared" si="72"/>
        <v>1208.3400909510603</v>
      </c>
      <c r="H244" s="181">
        <f t="shared" si="61"/>
        <v>1206.22</v>
      </c>
      <c r="I244" s="219">
        <f t="shared" si="62"/>
        <v>8.1860999999999997</v>
      </c>
      <c r="J244" s="181">
        <f t="shared" si="73"/>
        <v>2416.69</v>
      </c>
      <c r="K244" s="181">
        <f t="shared" si="74"/>
        <v>2412.46</v>
      </c>
      <c r="L244" s="181">
        <f t="shared" si="75"/>
        <v>12.14</v>
      </c>
      <c r="M244" s="181">
        <f t="shared" si="112"/>
        <v>1.4859359999999999</v>
      </c>
      <c r="N244" s="181">
        <f t="shared" si="70"/>
        <v>2.42</v>
      </c>
      <c r="O244" s="181">
        <f t="shared" si="64"/>
        <v>8.4584149999999997E-2</v>
      </c>
      <c r="P244" s="181">
        <f t="shared" si="65"/>
        <v>0.24166900000000002</v>
      </c>
      <c r="Q244" s="98">
        <f t="shared" si="66"/>
        <v>0</v>
      </c>
      <c r="R244" s="361">
        <f t="shared" si="134"/>
        <v>2412.46</v>
      </c>
      <c r="S244" s="183">
        <f t="shared" si="67"/>
        <v>0</v>
      </c>
      <c r="T244" s="180"/>
      <c r="U244" s="362">
        <f t="shared" si="144"/>
        <v>-1.999999999998181E-2</v>
      </c>
      <c r="V244" s="363">
        <f t="shared" si="145"/>
        <v>7.807334111605788E-8</v>
      </c>
      <c r="W244" s="338">
        <f t="shared" si="146"/>
        <v>-39147</v>
      </c>
      <c r="X244" s="364" t="str">
        <f t="shared" si="128"/>
        <v>Not Sold</v>
      </c>
      <c r="Y244" s="41" t="s">
        <v>418</v>
      </c>
      <c r="Z244" s="98"/>
    </row>
    <row r="245" spans="1:26" ht="12" customHeight="1">
      <c r="A245" s="361" t="s">
        <v>1074</v>
      </c>
      <c r="B245" s="360" t="str">
        <f t="shared" ref="B245:D245" si="148">B125</f>
        <v>Bharti Airtel</v>
      </c>
      <c r="C245" s="98" t="str">
        <f t="shared" si="148"/>
        <v>SPG</v>
      </c>
      <c r="D245" s="98">
        <f t="shared" si="148"/>
        <v>5</v>
      </c>
      <c r="E245" s="181">
        <f>E125*1.01364+E$337/D245</f>
        <v>733.40443199999993</v>
      </c>
      <c r="F245" s="181">
        <f t="shared" si="71"/>
        <v>3.67</v>
      </c>
      <c r="G245" s="181">
        <f t="shared" si="72"/>
        <v>729.73443199999997</v>
      </c>
      <c r="H245" s="181">
        <f t="shared" si="61"/>
        <v>728.46</v>
      </c>
      <c r="I245" s="219">
        <f t="shared" si="62"/>
        <v>4.9478</v>
      </c>
      <c r="J245" s="181">
        <f t="shared" si="73"/>
        <v>3648.6800000000003</v>
      </c>
      <c r="K245" s="181">
        <f t="shared" si="74"/>
        <v>3642.3</v>
      </c>
      <c r="L245" s="181">
        <f t="shared" si="75"/>
        <v>18.350000000000001</v>
      </c>
      <c r="M245" s="181">
        <f t="shared" si="112"/>
        <v>2.2460400000000003</v>
      </c>
      <c r="N245" s="181">
        <f t="shared" si="70"/>
        <v>3.65</v>
      </c>
      <c r="O245" s="181">
        <f t="shared" si="64"/>
        <v>0.12770380000000001</v>
      </c>
      <c r="P245" s="181">
        <f t="shared" si="65"/>
        <v>0.36486800000000003</v>
      </c>
      <c r="Q245" s="98">
        <f t="shared" si="66"/>
        <v>0</v>
      </c>
      <c r="R245" s="361">
        <f t="shared" si="134"/>
        <v>3642.3</v>
      </c>
      <c r="S245" s="183">
        <f t="shared" si="67"/>
        <v>0</v>
      </c>
      <c r="T245" s="180"/>
      <c r="U245" s="362">
        <f t="shared" ref="U245:U246" si="149">(R245+R125)-E$337</f>
        <v>5.0000000000181899E-2</v>
      </c>
      <c r="V245" s="363">
        <f t="shared" ref="V245:V246" si="150">-(U245/R125)/W245*365</f>
        <v>-1.2879841682726681E-7</v>
      </c>
      <c r="W245" s="338">
        <f t="shared" ref="W245:W246" si="151">T245-T125</f>
        <v>-39161</v>
      </c>
      <c r="X245" s="364" t="str">
        <f t="shared" si="128"/>
        <v>Not Sold</v>
      </c>
      <c r="Y245" s="41" t="s">
        <v>418</v>
      </c>
      <c r="Z245" s="98"/>
    </row>
    <row r="246" spans="1:26" ht="12" customHeight="1">
      <c r="A246" s="180">
        <v>39161</v>
      </c>
      <c r="B246" s="360" t="str">
        <f t="shared" ref="B246:D246" si="152">B126</f>
        <v>Gujarat Ambuja</v>
      </c>
      <c r="C246" s="98" t="str">
        <f t="shared" si="152"/>
        <v>SPG</v>
      </c>
      <c r="D246" s="98">
        <f t="shared" si="152"/>
        <v>25</v>
      </c>
      <c r="E246" s="181">
        <v>110.25</v>
      </c>
      <c r="F246" s="181">
        <f t="shared" si="71"/>
        <v>0.55000000000000004</v>
      </c>
      <c r="G246" s="181">
        <f t="shared" si="72"/>
        <v>109.7</v>
      </c>
      <c r="H246" s="181">
        <f t="shared" si="61"/>
        <v>109.51</v>
      </c>
      <c r="I246" s="219">
        <f t="shared" si="62"/>
        <v>0.74180000000000001</v>
      </c>
      <c r="J246" s="181">
        <f t="shared" si="73"/>
        <v>2742.5</v>
      </c>
      <c r="K246" s="181">
        <f t="shared" si="74"/>
        <v>2737.71</v>
      </c>
      <c r="L246" s="181">
        <f t="shared" si="75"/>
        <v>13.750000000000002</v>
      </c>
      <c r="M246" s="181">
        <f t="shared" si="112"/>
        <v>1.6830000000000001</v>
      </c>
      <c r="N246" s="181">
        <f t="shared" si="70"/>
        <v>2.74</v>
      </c>
      <c r="O246" s="181">
        <f t="shared" si="64"/>
        <v>9.5987499999999989E-2</v>
      </c>
      <c r="P246" s="181">
        <f t="shared" si="65"/>
        <v>0.27424999999999999</v>
      </c>
      <c r="Q246" s="98">
        <f t="shared" si="66"/>
        <v>0</v>
      </c>
      <c r="R246" s="361">
        <f t="shared" si="134"/>
        <v>2737.71</v>
      </c>
      <c r="S246" s="183">
        <f t="shared" si="67"/>
        <v>0</v>
      </c>
      <c r="T246" s="180">
        <v>39163</v>
      </c>
      <c r="U246" s="362">
        <f t="shared" si="149"/>
        <v>130.2199999999998</v>
      </c>
      <c r="V246" s="363">
        <f t="shared" si="150"/>
        <v>9.1988550371783759</v>
      </c>
      <c r="W246" s="338">
        <f t="shared" si="151"/>
        <v>2</v>
      </c>
      <c r="X246" s="364" t="str">
        <f t="shared" si="128"/>
        <v/>
      </c>
      <c r="Y246" s="41" t="s">
        <v>418</v>
      </c>
      <c r="Z246" s="98"/>
    </row>
    <row r="247" spans="1:26" ht="12" customHeight="1">
      <c r="A247" s="361" t="s">
        <v>1074</v>
      </c>
      <c r="B247" s="360" t="str">
        <f t="shared" ref="B247:C247" si="153">B127</f>
        <v>ITC Ltd</v>
      </c>
      <c r="C247" s="98" t="str">
        <f t="shared" si="153"/>
        <v>SPG</v>
      </c>
      <c r="D247" s="98">
        <v>50</v>
      </c>
      <c r="E247" s="181">
        <f>E127*1.01364+E$337/D247</f>
        <v>142.49096399999999</v>
      </c>
      <c r="F247" s="181">
        <f t="shared" si="71"/>
        <v>0.71</v>
      </c>
      <c r="G247" s="181">
        <f t="shared" si="72"/>
        <v>141.78096399999998</v>
      </c>
      <c r="H247" s="181">
        <f t="shared" si="61"/>
        <v>141.53</v>
      </c>
      <c r="I247" s="219">
        <f t="shared" si="62"/>
        <v>0.95789999999999997</v>
      </c>
      <c r="J247" s="181">
        <f t="shared" si="73"/>
        <v>7089.05</v>
      </c>
      <c r="K247" s="181">
        <f t="shared" si="74"/>
        <v>7076.66</v>
      </c>
      <c r="L247" s="181">
        <f t="shared" si="75"/>
        <v>35.5</v>
      </c>
      <c r="M247" s="181">
        <f t="shared" si="112"/>
        <v>4.3452000000000002</v>
      </c>
      <c r="N247" s="181">
        <f t="shared" si="70"/>
        <v>7.09</v>
      </c>
      <c r="O247" s="181">
        <f t="shared" si="64"/>
        <v>0.24811675</v>
      </c>
      <c r="P247" s="181">
        <f t="shared" si="65"/>
        <v>0.70890500000000001</v>
      </c>
      <c r="Q247" s="98">
        <f t="shared" si="66"/>
        <v>0</v>
      </c>
      <c r="R247" s="361">
        <f t="shared" si="134"/>
        <v>7076.66</v>
      </c>
      <c r="S247" s="183">
        <f t="shared" si="67"/>
        <v>0</v>
      </c>
      <c r="T247" s="180"/>
      <c r="U247" s="362">
        <f>R247-(W$127*D247)-E$337</f>
        <v>-110.34000000000015</v>
      </c>
      <c r="V247" s="363">
        <f>(U247/(W$127*D247))/W247*365</f>
        <v>1.4357443624616608E-4</v>
      </c>
      <c r="W247" s="338">
        <f>T247-V127</f>
        <v>-39161</v>
      </c>
      <c r="X247" s="364" t="str">
        <f t="shared" si="128"/>
        <v>Not Sold</v>
      </c>
      <c r="Y247" s="41" t="s">
        <v>418</v>
      </c>
      <c r="Z247" s="98"/>
    </row>
    <row r="248" spans="1:26" ht="12" customHeight="1">
      <c r="A248" s="361"/>
      <c r="B248" s="360"/>
      <c r="C248" s="98"/>
      <c r="D248" s="98"/>
      <c r="E248" s="181"/>
      <c r="F248" s="181"/>
      <c r="G248" s="181"/>
      <c r="H248" s="181"/>
      <c r="I248" s="219"/>
      <c r="J248" s="181"/>
      <c r="K248" s="181"/>
      <c r="L248" s="181"/>
      <c r="M248" s="181"/>
      <c r="N248" s="181"/>
      <c r="O248" s="181"/>
      <c r="P248" s="181"/>
      <c r="Q248" s="98"/>
      <c r="R248" s="361"/>
      <c r="S248" s="183"/>
      <c r="T248" s="180"/>
      <c r="U248" s="362"/>
      <c r="V248" s="363"/>
      <c r="W248" s="338"/>
      <c r="X248" s="364"/>
      <c r="Y248" s="41"/>
      <c r="Z248" s="98"/>
    </row>
    <row r="249" spans="1:26" ht="12" customHeight="1">
      <c r="A249" s="361" t="s">
        <v>1074</v>
      </c>
      <c r="B249" s="360">
        <f t="shared" ref="B249:D249" si="154">B129</f>
        <v>0</v>
      </c>
      <c r="C249" s="98">
        <f t="shared" si="154"/>
        <v>0</v>
      </c>
      <c r="D249" s="98">
        <f t="shared" si="154"/>
        <v>20</v>
      </c>
      <c r="E249" s="181">
        <f>E129*1.01364+E$337/D249</f>
        <v>102.56400000000001</v>
      </c>
      <c r="F249" s="181">
        <f>IF(E249*D249*E$326&lt;10,ROUND(10/D249,2),ROUND(E249*E$326,2))</f>
        <v>0.51</v>
      </c>
      <c r="G249" s="181">
        <f>E249-F249</f>
        <v>102.054</v>
      </c>
      <c r="H249" s="181">
        <f>ROUND(E249-I249,2)</f>
        <v>101.88</v>
      </c>
      <c r="I249" s="219">
        <f>ROUNDUP(SUM(L249:Q249)/D249,4)</f>
        <v>0.68830000000000002</v>
      </c>
      <c r="J249" s="181">
        <f>ROUNDUP(D249*G249,2)</f>
        <v>2041.08</v>
      </c>
      <c r="K249" s="181">
        <f>ROUNDUP(J249-M249-N249-O249-P249-Q249,2)</f>
        <v>2037.52</v>
      </c>
      <c r="L249" s="181">
        <f>F249*D249</f>
        <v>10.199999999999999</v>
      </c>
      <c r="M249" s="181">
        <f>L249*F$328</f>
        <v>1.2484799999999998</v>
      </c>
      <c r="N249" s="181">
        <f>ROUND(J249*E$329,2)</f>
        <v>2.04</v>
      </c>
      <c r="O249" s="181">
        <f>J249*E$332</f>
        <v>7.1437799999999996E-2</v>
      </c>
      <c r="P249" s="181">
        <f>J249*E$334</f>
        <v>0.20410800000000001</v>
      </c>
      <c r="Q249" s="98">
        <f>E$336</f>
        <v>0</v>
      </c>
      <c r="R249" s="361">
        <f>K249</f>
        <v>2037.52</v>
      </c>
      <c r="S249" s="183">
        <f>IF(R249=K249,0,IF(R249&gt;0,K249-R249))</f>
        <v>0</v>
      </c>
      <c r="T249" s="180"/>
      <c r="U249" s="362">
        <f>(R249+R129)-E$337</f>
        <v>9.9999999999909051E-3</v>
      </c>
      <c r="V249" s="363" t="e">
        <f>-(U249/R129)/W249*365</f>
        <v>#DIV/0!</v>
      </c>
      <c r="W249" s="338">
        <f>T249-T129</f>
        <v>0</v>
      </c>
      <c r="X249" s="364" t="str">
        <f>IF(A249="Stock","Not Sold","")</f>
        <v>Not Sold</v>
      </c>
      <c r="Y249" s="41" t="s">
        <v>418</v>
      </c>
      <c r="Z249" s="98"/>
    </row>
    <row r="250" spans="1:26" ht="12" customHeight="1">
      <c r="A250" s="361"/>
      <c r="B250" s="360"/>
      <c r="C250" s="98"/>
      <c r="D250" s="98"/>
      <c r="E250" s="181"/>
      <c r="F250" s="181"/>
      <c r="G250" s="181"/>
      <c r="H250" s="181"/>
      <c r="I250" s="219"/>
      <c r="J250" s="181"/>
      <c r="K250" s="181"/>
      <c r="L250" s="181"/>
      <c r="M250" s="181"/>
      <c r="N250" s="181"/>
      <c r="O250" s="181"/>
      <c r="P250" s="181"/>
      <c r="Q250" s="98"/>
      <c r="R250" s="361"/>
      <c r="S250" s="183"/>
      <c r="T250" s="180"/>
      <c r="U250" s="362"/>
      <c r="V250" s="363"/>
      <c r="W250" s="338"/>
      <c r="X250" s="364"/>
      <c r="Y250" s="41"/>
      <c r="Z250" s="98"/>
    </row>
    <row r="251" spans="1:26" ht="12" customHeight="1">
      <c r="A251" s="98"/>
      <c r="B251" s="98"/>
      <c r="C251" s="365"/>
      <c r="D251" s="366" t="s">
        <v>988</v>
      </c>
      <c r="E251" s="366" t="s">
        <v>1075</v>
      </c>
      <c r="F251" s="366" t="s">
        <v>1076</v>
      </c>
      <c r="G251" s="366" t="s">
        <v>1077</v>
      </c>
      <c r="H251" s="366"/>
      <c r="I251" s="366"/>
      <c r="J251" s="366" t="s">
        <v>660</v>
      </c>
      <c r="K251" s="366" t="s">
        <v>1078</v>
      </c>
      <c r="L251" s="366" t="s">
        <v>991</v>
      </c>
      <c r="M251" s="366" t="s">
        <v>1079</v>
      </c>
      <c r="N251" s="366" t="s">
        <v>442</v>
      </c>
      <c r="O251" s="366" t="s">
        <v>993</v>
      </c>
      <c r="P251" s="366" t="s">
        <v>994</v>
      </c>
      <c r="Q251" s="366" t="s">
        <v>995</v>
      </c>
      <c r="R251" s="366" t="s">
        <v>996</v>
      </c>
      <c r="S251" s="366" t="s">
        <v>1080</v>
      </c>
      <c r="T251" s="366" t="s">
        <v>1081</v>
      </c>
      <c r="U251" s="366" t="s">
        <v>1082</v>
      </c>
      <c r="V251" s="366" t="s">
        <v>1083</v>
      </c>
      <c r="W251" s="367" t="s">
        <v>1084</v>
      </c>
      <c r="X251" s="366" t="s">
        <v>998</v>
      </c>
      <c r="Y251" s="366" t="s">
        <v>1003</v>
      </c>
      <c r="Z251" s="98"/>
    </row>
    <row r="252" spans="1:26" ht="12" customHeight="1">
      <c r="A252" s="180">
        <v>38719</v>
      </c>
      <c r="B252" s="300" t="s">
        <v>1022</v>
      </c>
      <c r="C252" s="98" t="s">
        <v>460</v>
      </c>
      <c r="D252" s="98">
        <v>50</v>
      </c>
      <c r="E252" s="181">
        <v>77.849999999999994</v>
      </c>
      <c r="F252" s="181">
        <v>77.900000000000006</v>
      </c>
      <c r="G252" s="182">
        <f t="shared" ref="G252:G321" si="155">IF(E252&lt;100,100*0.05%,ROUND(E252*E$327,2))</f>
        <v>0.05</v>
      </c>
      <c r="H252" s="182"/>
      <c r="I252" s="182"/>
      <c r="J252" s="182">
        <f t="shared" ref="J252:J321" si="156">IF(F252&lt;100,100*0.05%,ROUND(F252*E$327,2))</f>
        <v>0.05</v>
      </c>
      <c r="K252" s="182">
        <f t="shared" ref="K252:K321" si="157">F252-E252</f>
        <v>5.0000000000011369E-2</v>
      </c>
      <c r="L252" s="181">
        <f t="shared" ref="L252:L321" si="158">((E252+G252)*D252)+((F252-J252)*D252)</f>
        <v>7787.5</v>
      </c>
      <c r="M252" s="181">
        <f t="shared" ref="M252:M321" si="159">K252*D252</f>
        <v>2.5000000000005684</v>
      </c>
      <c r="N252" s="181">
        <f t="shared" ref="N252:N321" si="160">(D252*G252)+(D252*J252)</f>
        <v>5</v>
      </c>
      <c r="O252" s="181">
        <f t="shared" ref="O252:O271" si="161">N252*E$328</f>
        <v>0.51</v>
      </c>
      <c r="P252" s="181">
        <f t="shared" ref="P252:P305" si="162">ROUND(L252*E$330,2)</f>
        <v>1.56</v>
      </c>
      <c r="Q252" s="181">
        <f t="shared" ref="Q252:Q321" si="163">L252*E$333</f>
        <v>0.27256249999999999</v>
      </c>
      <c r="R252" s="182">
        <f t="shared" ref="R252:R321" si="164">L252*E$335</f>
        <v>0.15575</v>
      </c>
      <c r="S252" s="182">
        <f t="shared" ref="S252:S321" si="165">SUM(O252:R252)</f>
        <v>2.4983124999999999</v>
      </c>
      <c r="T252" s="180"/>
      <c r="U252" s="362">
        <f t="shared" ref="U252:U321" si="166">ROUND(M252-N252-S252,2)</f>
        <v>-5</v>
      </c>
      <c r="V252" s="362">
        <f t="shared" ref="V252:V321" si="167">K252*D252</f>
        <v>2.5000000000005684</v>
      </c>
      <c r="W252" s="362">
        <v>-5</v>
      </c>
      <c r="X252" s="183">
        <f t="shared" ref="X252:X321" si="168">U252-W252</f>
        <v>0</v>
      </c>
      <c r="Y252" s="98" t="s">
        <v>418</v>
      </c>
      <c r="Z252" s="98"/>
    </row>
    <row r="253" spans="1:26" ht="12" customHeight="1">
      <c r="A253" s="180">
        <v>38719</v>
      </c>
      <c r="B253" s="300" t="s">
        <v>1053</v>
      </c>
      <c r="C253" s="98" t="s">
        <v>460</v>
      </c>
      <c r="D253" s="98">
        <v>50</v>
      </c>
      <c r="E253" s="181">
        <v>97.85</v>
      </c>
      <c r="F253" s="181">
        <v>98.3</v>
      </c>
      <c r="G253" s="182">
        <f t="shared" si="155"/>
        <v>0.05</v>
      </c>
      <c r="H253" s="182"/>
      <c r="I253" s="182"/>
      <c r="J253" s="182">
        <f t="shared" si="156"/>
        <v>0.05</v>
      </c>
      <c r="K253" s="182">
        <f t="shared" si="157"/>
        <v>0.45000000000000284</v>
      </c>
      <c r="L253" s="181">
        <f t="shared" si="158"/>
        <v>9807.5</v>
      </c>
      <c r="M253" s="181">
        <f t="shared" si="159"/>
        <v>22.500000000000142</v>
      </c>
      <c r="N253" s="181">
        <f t="shared" si="160"/>
        <v>5</v>
      </c>
      <c r="O253" s="181">
        <f t="shared" si="161"/>
        <v>0.51</v>
      </c>
      <c r="P253" s="181">
        <f t="shared" si="162"/>
        <v>1.96</v>
      </c>
      <c r="Q253" s="181">
        <f t="shared" si="163"/>
        <v>0.34326249999999997</v>
      </c>
      <c r="R253" s="182">
        <f t="shared" si="164"/>
        <v>0.19615000000000002</v>
      </c>
      <c r="S253" s="182">
        <f t="shared" si="165"/>
        <v>3.0094124999999994</v>
      </c>
      <c r="T253" s="180"/>
      <c r="U253" s="362">
        <f t="shared" si="166"/>
        <v>14.49</v>
      </c>
      <c r="V253" s="362">
        <f t="shared" si="167"/>
        <v>22.500000000000142</v>
      </c>
      <c r="W253" s="362">
        <v>14.35</v>
      </c>
      <c r="X253" s="183">
        <f t="shared" si="168"/>
        <v>0.14000000000000057</v>
      </c>
      <c r="Y253" s="98" t="s">
        <v>418</v>
      </c>
      <c r="Z253" s="98"/>
    </row>
    <row r="254" spans="1:26" ht="12" customHeight="1">
      <c r="A254" s="180">
        <v>38719</v>
      </c>
      <c r="B254" s="300" t="s">
        <v>566</v>
      </c>
      <c r="C254" s="98" t="s">
        <v>460</v>
      </c>
      <c r="D254" s="98">
        <v>100</v>
      </c>
      <c r="E254" s="181">
        <v>31.15</v>
      </c>
      <c r="F254" s="181">
        <v>31.65</v>
      </c>
      <c r="G254" s="182">
        <f t="shared" si="155"/>
        <v>0.05</v>
      </c>
      <c r="H254" s="182"/>
      <c r="I254" s="182"/>
      <c r="J254" s="182">
        <f t="shared" si="156"/>
        <v>0.05</v>
      </c>
      <c r="K254" s="182">
        <f t="shared" si="157"/>
        <v>0.5</v>
      </c>
      <c r="L254" s="181">
        <f t="shared" si="158"/>
        <v>6280</v>
      </c>
      <c r="M254" s="181">
        <f t="shared" si="159"/>
        <v>50</v>
      </c>
      <c r="N254" s="181">
        <f t="shared" si="160"/>
        <v>10</v>
      </c>
      <c r="O254" s="181">
        <f t="shared" si="161"/>
        <v>1.02</v>
      </c>
      <c r="P254" s="181">
        <f t="shared" si="162"/>
        <v>1.26</v>
      </c>
      <c r="Q254" s="181">
        <f t="shared" si="163"/>
        <v>0.21979999999999997</v>
      </c>
      <c r="R254" s="182">
        <f t="shared" si="164"/>
        <v>0.12560000000000002</v>
      </c>
      <c r="S254" s="182">
        <f t="shared" si="165"/>
        <v>2.6254</v>
      </c>
      <c r="T254" s="180"/>
      <c r="U254" s="362">
        <f t="shared" si="166"/>
        <v>37.369999999999997</v>
      </c>
      <c r="V254" s="362">
        <f t="shared" si="167"/>
        <v>50</v>
      </c>
      <c r="W254" s="362">
        <v>36.5</v>
      </c>
      <c r="X254" s="183">
        <f t="shared" si="168"/>
        <v>0.86999999999999744</v>
      </c>
      <c r="Y254" s="98" t="s">
        <v>418</v>
      </c>
      <c r="Z254" s="98"/>
    </row>
    <row r="255" spans="1:26" ht="12" customHeight="1">
      <c r="A255" s="180">
        <v>38720</v>
      </c>
      <c r="B255" s="300" t="s">
        <v>1085</v>
      </c>
      <c r="C255" s="98" t="s">
        <v>460</v>
      </c>
      <c r="D255" s="98">
        <v>100</v>
      </c>
      <c r="E255" s="181">
        <v>86</v>
      </c>
      <c r="F255" s="181">
        <v>88</v>
      </c>
      <c r="G255" s="182">
        <f t="shared" si="155"/>
        <v>0.05</v>
      </c>
      <c r="H255" s="182"/>
      <c r="I255" s="182"/>
      <c r="J255" s="182">
        <f t="shared" si="156"/>
        <v>0.05</v>
      </c>
      <c r="K255" s="182">
        <f t="shared" si="157"/>
        <v>2</v>
      </c>
      <c r="L255" s="181">
        <f t="shared" si="158"/>
        <v>17400</v>
      </c>
      <c r="M255" s="181">
        <f t="shared" si="159"/>
        <v>200</v>
      </c>
      <c r="N255" s="181">
        <f t="shared" si="160"/>
        <v>10</v>
      </c>
      <c r="O255" s="181">
        <f t="shared" si="161"/>
        <v>1.02</v>
      </c>
      <c r="P255" s="181">
        <f t="shared" si="162"/>
        <v>3.48</v>
      </c>
      <c r="Q255" s="181">
        <f t="shared" si="163"/>
        <v>0.60899999999999999</v>
      </c>
      <c r="R255" s="182">
        <f t="shared" si="164"/>
        <v>0.34800000000000003</v>
      </c>
      <c r="S255" s="182">
        <f t="shared" si="165"/>
        <v>5.4569999999999999</v>
      </c>
      <c r="T255" s="180"/>
      <c r="U255" s="362">
        <f t="shared" si="166"/>
        <v>184.54</v>
      </c>
      <c r="V255" s="362">
        <f t="shared" si="167"/>
        <v>200</v>
      </c>
      <c r="W255" s="362"/>
      <c r="X255" s="183">
        <f t="shared" si="168"/>
        <v>184.54</v>
      </c>
      <c r="Y255" s="98" t="s">
        <v>418</v>
      </c>
      <c r="Z255" s="98"/>
    </row>
    <row r="256" spans="1:26" ht="12" customHeight="1">
      <c r="A256" s="180">
        <v>38720</v>
      </c>
      <c r="B256" s="300" t="s">
        <v>1048</v>
      </c>
      <c r="C256" s="98" t="s">
        <v>460</v>
      </c>
      <c r="D256" s="98">
        <v>100</v>
      </c>
      <c r="E256" s="181">
        <v>73.98</v>
      </c>
      <c r="F256" s="181">
        <v>76</v>
      </c>
      <c r="G256" s="182">
        <f t="shared" si="155"/>
        <v>0.05</v>
      </c>
      <c r="H256" s="182"/>
      <c r="I256" s="182"/>
      <c r="J256" s="182">
        <f t="shared" si="156"/>
        <v>0.05</v>
      </c>
      <c r="K256" s="182">
        <f t="shared" si="157"/>
        <v>2.019999999999996</v>
      </c>
      <c r="L256" s="181">
        <f t="shared" si="158"/>
        <v>14998</v>
      </c>
      <c r="M256" s="181">
        <f t="shared" si="159"/>
        <v>201.9999999999996</v>
      </c>
      <c r="N256" s="181">
        <f t="shared" si="160"/>
        <v>10</v>
      </c>
      <c r="O256" s="181">
        <f t="shared" si="161"/>
        <v>1.02</v>
      </c>
      <c r="P256" s="181">
        <f t="shared" si="162"/>
        <v>3</v>
      </c>
      <c r="Q256" s="181">
        <f t="shared" si="163"/>
        <v>0.52493000000000001</v>
      </c>
      <c r="R256" s="182">
        <f t="shared" si="164"/>
        <v>0.29996</v>
      </c>
      <c r="S256" s="182">
        <f t="shared" si="165"/>
        <v>4.8448899999999995</v>
      </c>
      <c r="T256" s="180"/>
      <c r="U256" s="362">
        <f t="shared" si="166"/>
        <v>187.16</v>
      </c>
      <c r="V256" s="362">
        <f t="shared" si="167"/>
        <v>201.9999999999996</v>
      </c>
      <c r="W256" s="362"/>
      <c r="X256" s="183">
        <f t="shared" si="168"/>
        <v>187.16</v>
      </c>
      <c r="Y256" s="98" t="s">
        <v>418</v>
      </c>
      <c r="Z256" s="98"/>
    </row>
    <row r="257" spans="1:26" ht="12" customHeight="1">
      <c r="A257" s="180">
        <v>38720</v>
      </c>
      <c r="B257" s="300" t="s">
        <v>1022</v>
      </c>
      <c r="C257" s="98" t="s">
        <v>460</v>
      </c>
      <c r="D257" s="98">
        <v>100</v>
      </c>
      <c r="E257" s="181">
        <v>78</v>
      </c>
      <c r="F257" s="181">
        <v>79.5</v>
      </c>
      <c r="G257" s="182">
        <f t="shared" si="155"/>
        <v>0.05</v>
      </c>
      <c r="H257" s="182"/>
      <c r="I257" s="182"/>
      <c r="J257" s="182">
        <f t="shared" si="156"/>
        <v>0.05</v>
      </c>
      <c r="K257" s="182">
        <f t="shared" si="157"/>
        <v>1.5</v>
      </c>
      <c r="L257" s="181">
        <f t="shared" si="158"/>
        <v>15750</v>
      </c>
      <c r="M257" s="181">
        <f t="shared" si="159"/>
        <v>150</v>
      </c>
      <c r="N257" s="181">
        <f t="shared" si="160"/>
        <v>10</v>
      </c>
      <c r="O257" s="181">
        <f t="shared" si="161"/>
        <v>1.02</v>
      </c>
      <c r="P257" s="181">
        <f t="shared" si="162"/>
        <v>3.15</v>
      </c>
      <c r="Q257" s="181">
        <f t="shared" si="163"/>
        <v>0.55124999999999991</v>
      </c>
      <c r="R257" s="182">
        <f t="shared" si="164"/>
        <v>0.315</v>
      </c>
      <c r="S257" s="182">
        <f t="shared" si="165"/>
        <v>5.0362499999999999</v>
      </c>
      <c r="T257" s="180"/>
      <c r="U257" s="362">
        <f t="shared" si="166"/>
        <v>134.96</v>
      </c>
      <c r="V257" s="362">
        <f t="shared" si="167"/>
        <v>150</v>
      </c>
      <c r="W257" s="362"/>
      <c r="X257" s="183">
        <f t="shared" si="168"/>
        <v>134.96</v>
      </c>
      <c r="Y257" s="98" t="s">
        <v>418</v>
      </c>
      <c r="Z257" s="98"/>
    </row>
    <row r="258" spans="1:26" ht="12" customHeight="1">
      <c r="A258" s="180">
        <v>38720</v>
      </c>
      <c r="B258" s="300" t="s">
        <v>1053</v>
      </c>
      <c r="C258" s="98" t="s">
        <v>460</v>
      </c>
      <c r="D258" s="98">
        <v>50</v>
      </c>
      <c r="E258" s="181">
        <v>100.55</v>
      </c>
      <c r="F258" s="181">
        <v>101</v>
      </c>
      <c r="G258" s="182">
        <f t="shared" si="155"/>
        <v>0.05</v>
      </c>
      <c r="H258" s="182"/>
      <c r="I258" s="182"/>
      <c r="J258" s="182">
        <f t="shared" si="156"/>
        <v>0.05</v>
      </c>
      <c r="K258" s="182">
        <f t="shared" si="157"/>
        <v>0.45000000000000284</v>
      </c>
      <c r="L258" s="181">
        <f t="shared" si="158"/>
        <v>10077.5</v>
      </c>
      <c r="M258" s="181">
        <f t="shared" si="159"/>
        <v>22.500000000000142</v>
      </c>
      <c r="N258" s="181">
        <f t="shared" si="160"/>
        <v>5</v>
      </c>
      <c r="O258" s="181">
        <f t="shared" si="161"/>
        <v>0.51</v>
      </c>
      <c r="P258" s="181">
        <f t="shared" si="162"/>
        <v>2.02</v>
      </c>
      <c r="Q258" s="181">
        <f t="shared" si="163"/>
        <v>0.35271249999999998</v>
      </c>
      <c r="R258" s="182">
        <f t="shared" si="164"/>
        <v>0.20155000000000001</v>
      </c>
      <c r="S258" s="182">
        <f t="shared" si="165"/>
        <v>3.0842625000000004</v>
      </c>
      <c r="T258" s="180"/>
      <c r="U258" s="362">
        <f t="shared" si="166"/>
        <v>14.42</v>
      </c>
      <c r="V258" s="362">
        <f t="shared" si="167"/>
        <v>22.500000000000142</v>
      </c>
      <c r="W258" s="362"/>
      <c r="X258" s="183">
        <f t="shared" si="168"/>
        <v>14.42</v>
      </c>
      <c r="Y258" s="98" t="s">
        <v>418</v>
      </c>
      <c r="Z258" s="98"/>
    </row>
    <row r="259" spans="1:26" ht="12" customHeight="1">
      <c r="A259" s="180">
        <v>38720</v>
      </c>
      <c r="B259" s="300" t="s">
        <v>1049</v>
      </c>
      <c r="C259" s="98" t="s">
        <v>460</v>
      </c>
      <c r="D259" s="98">
        <v>100</v>
      </c>
      <c r="E259" s="181">
        <v>60.5</v>
      </c>
      <c r="F259" s="181">
        <v>60.9</v>
      </c>
      <c r="G259" s="182">
        <f t="shared" si="155"/>
        <v>0.05</v>
      </c>
      <c r="H259" s="182"/>
      <c r="I259" s="182"/>
      <c r="J259" s="182">
        <f t="shared" si="156"/>
        <v>0.05</v>
      </c>
      <c r="K259" s="182">
        <f t="shared" si="157"/>
        <v>0.39999999999999858</v>
      </c>
      <c r="L259" s="181">
        <f t="shared" si="158"/>
        <v>12140</v>
      </c>
      <c r="M259" s="181">
        <f t="shared" si="159"/>
        <v>39.999999999999858</v>
      </c>
      <c r="N259" s="181">
        <f t="shared" si="160"/>
        <v>10</v>
      </c>
      <c r="O259" s="181">
        <f t="shared" si="161"/>
        <v>1.02</v>
      </c>
      <c r="P259" s="181">
        <f t="shared" si="162"/>
        <v>2.4300000000000002</v>
      </c>
      <c r="Q259" s="181">
        <f t="shared" si="163"/>
        <v>0.42489999999999994</v>
      </c>
      <c r="R259" s="182">
        <f t="shared" si="164"/>
        <v>0.24280000000000002</v>
      </c>
      <c r="S259" s="182">
        <f t="shared" si="165"/>
        <v>4.1177000000000001</v>
      </c>
      <c r="T259" s="180"/>
      <c r="U259" s="362">
        <f t="shared" si="166"/>
        <v>25.88</v>
      </c>
      <c r="V259" s="362">
        <f t="shared" si="167"/>
        <v>39.999999999999858</v>
      </c>
      <c r="W259" s="362"/>
      <c r="X259" s="183">
        <f t="shared" si="168"/>
        <v>25.88</v>
      </c>
      <c r="Y259" s="98" t="s">
        <v>418</v>
      </c>
      <c r="Z259" s="98"/>
    </row>
    <row r="260" spans="1:26" ht="12" customHeight="1">
      <c r="A260" s="180">
        <v>38720</v>
      </c>
      <c r="B260" s="300" t="s">
        <v>1050</v>
      </c>
      <c r="C260" s="98" t="s">
        <v>460</v>
      </c>
      <c r="D260" s="98">
        <v>100</v>
      </c>
      <c r="E260" s="181">
        <v>80.75</v>
      </c>
      <c r="F260" s="181">
        <v>79.75</v>
      </c>
      <c r="G260" s="182">
        <f t="shared" si="155"/>
        <v>0.05</v>
      </c>
      <c r="H260" s="182"/>
      <c r="I260" s="182"/>
      <c r="J260" s="182">
        <f t="shared" si="156"/>
        <v>0.05</v>
      </c>
      <c r="K260" s="182">
        <f t="shared" si="157"/>
        <v>-1</v>
      </c>
      <c r="L260" s="181">
        <f t="shared" si="158"/>
        <v>16050</v>
      </c>
      <c r="M260" s="181">
        <f t="shared" si="159"/>
        <v>-100</v>
      </c>
      <c r="N260" s="181">
        <f t="shared" si="160"/>
        <v>10</v>
      </c>
      <c r="O260" s="181">
        <f t="shared" si="161"/>
        <v>1.02</v>
      </c>
      <c r="P260" s="181">
        <f t="shared" si="162"/>
        <v>3.21</v>
      </c>
      <c r="Q260" s="181">
        <f t="shared" si="163"/>
        <v>0.56174999999999997</v>
      </c>
      <c r="R260" s="182">
        <f t="shared" si="164"/>
        <v>0.32100000000000001</v>
      </c>
      <c r="S260" s="182">
        <f t="shared" si="165"/>
        <v>5.1127500000000001</v>
      </c>
      <c r="T260" s="180"/>
      <c r="U260" s="362">
        <f t="shared" si="166"/>
        <v>-115.11</v>
      </c>
      <c r="V260" s="362">
        <f t="shared" si="167"/>
        <v>-100</v>
      </c>
      <c r="W260" s="362"/>
      <c r="X260" s="183">
        <f t="shared" si="168"/>
        <v>-115.11</v>
      </c>
      <c r="Y260" s="98" t="s">
        <v>418</v>
      </c>
      <c r="Z260" s="98"/>
    </row>
    <row r="261" spans="1:26" ht="12" customHeight="1">
      <c r="A261" s="180">
        <v>38720</v>
      </c>
      <c r="B261" s="300" t="s">
        <v>1032</v>
      </c>
      <c r="C261" s="98" t="s">
        <v>460</v>
      </c>
      <c r="D261" s="98">
        <v>50</v>
      </c>
      <c r="E261" s="181">
        <v>87.6</v>
      </c>
      <c r="F261" s="181">
        <v>89</v>
      </c>
      <c r="G261" s="182">
        <f t="shared" si="155"/>
        <v>0.05</v>
      </c>
      <c r="H261" s="182"/>
      <c r="I261" s="182"/>
      <c r="J261" s="182">
        <f t="shared" si="156"/>
        <v>0.05</v>
      </c>
      <c r="K261" s="182">
        <f t="shared" si="157"/>
        <v>1.4000000000000057</v>
      </c>
      <c r="L261" s="181">
        <f t="shared" si="158"/>
        <v>8830</v>
      </c>
      <c r="M261" s="181">
        <f t="shared" si="159"/>
        <v>70.000000000000284</v>
      </c>
      <c r="N261" s="181">
        <f t="shared" si="160"/>
        <v>5</v>
      </c>
      <c r="O261" s="181">
        <f t="shared" si="161"/>
        <v>0.51</v>
      </c>
      <c r="P261" s="181">
        <f t="shared" si="162"/>
        <v>1.77</v>
      </c>
      <c r="Q261" s="181">
        <f t="shared" si="163"/>
        <v>0.30904999999999999</v>
      </c>
      <c r="R261" s="182">
        <f t="shared" si="164"/>
        <v>0.17660000000000001</v>
      </c>
      <c r="S261" s="182">
        <f t="shared" si="165"/>
        <v>2.7656500000000004</v>
      </c>
      <c r="T261" s="180"/>
      <c r="U261" s="362">
        <f t="shared" si="166"/>
        <v>62.23</v>
      </c>
      <c r="V261" s="362">
        <f t="shared" si="167"/>
        <v>70.000000000000284</v>
      </c>
      <c r="W261" s="362"/>
      <c r="X261" s="183">
        <f t="shared" si="168"/>
        <v>62.23</v>
      </c>
      <c r="Y261" s="98" t="s">
        <v>418</v>
      </c>
      <c r="Z261" s="98"/>
    </row>
    <row r="262" spans="1:26" ht="12" customHeight="1">
      <c r="A262" s="180">
        <v>38720</v>
      </c>
      <c r="B262" s="300" t="s">
        <v>1025</v>
      </c>
      <c r="C262" s="98" t="s">
        <v>460</v>
      </c>
      <c r="D262" s="98">
        <v>100</v>
      </c>
      <c r="E262" s="181">
        <v>50.25</v>
      </c>
      <c r="F262" s="181">
        <v>50.5</v>
      </c>
      <c r="G262" s="182">
        <f t="shared" si="155"/>
        <v>0.05</v>
      </c>
      <c r="H262" s="182"/>
      <c r="I262" s="182"/>
      <c r="J262" s="182">
        <f t="shared" si="156"/>
        <v>0.05</v>
      </c>
      <c r="K262" s="182">
        <f t="shared" si="157"/>
        <v>0.25</v>
      </c>
      <c r="L262" s="181">
        <f t="shared" si="158"/>
        <v>10075</v>
      </c>
      <c r="M262" s="181">
        <f t="shared" si="159"/>
        <v>25</v>
      </c>
      <c r="N262" s="181">
        <f t="shared" si="160"/>
        <v>10</v>
      </c>
      <c r="O262" s="181">
        <f t="shared" si="161"/>
        <v>1.02</v>
      </c>
      <c r="P262" s="181">
        <f t="shared" si="162"/>
        <v>2.02</v>
      </c>
      <c r="Q262" s="181">
        <f t="shared" si="163"/>
        <v>0.35262499999999997</v>
      </c>
      <c r="R262" s="182">
        <f t="shared" si="164"/>
        <v>0.20150000000000001</v>
      </c>
      <c r="S262" s="182">
        <f t="shared" si="165"/>
        <v>3.594125</v>
      </c>
      <c r="T262" s="180"/>
      <c r="U262" s="362">
        <f t="shared" si="166"/>
        <v>11.41</v>
      </c>
      <c r="V262" s="362">
        <f t="shared" si="167"/>
        <v>25</v>
      </c>
      <c r="W262" s="362"/>
      <c r="X262" s="183">
        <f t="shared" si="168"/>
        <v>11.41</v>
      </c>
      <c r="Y262" s="98" t="s">
        <v>418</v>
      </c>
      <c r="Z262" s="98"/>
    </row>
    <row r="263" spans="1:26" ht="12" customHeight="1">
      <c r="A263" s="180">
        <v>38720</v>
      </c>
      <c r="B263" s="300" t="s">
        <v>1061</v>
      </c>
      <c r="C263" s="98" t="s">
        <v>460</v>
      </c>
      <c r="D263" s="98">
        <v>100</v>
      </c>
      <c r="E263" s="181">
        <v>45.05</v>
      </c>
      <c r="F263" s="181">
        <v>44.4</v>
      </c>
      <c r="G263" s="182">
        <f t="shared" si="155"/>
        <v>0.05</v>
      </c>
      <c r="H263" s="182"/>
      <c r="I263" s="182"/>
      <c r="J263" s="182">
        <f t="shared" si="156"/>
        <v>0.05</v>
      </c>
      <c r="K263" s="182">
        <f t="shared" si="157"/>
        <v>-0.64999999999999858</v>
      </c>
      <c r="L263" s="181">
        <f t="shared" si="158"/>
        <v>8945</v>
      </c>
      <c r="M263" s="181">
        <f t="shared" si="159"/>
        <v>-64.999999999999858</v>
      </c>
      <c r="N263" s="181">
        <f t="shared" si="160"/>
        <v>10</v>
      </c>
      <c r="O263" s="181">
        <f t="shared" si="161"/>
        <v>1.02</v>
      </c>
      <c r="P263" s="181">
        <f t="shared" si="162"/>
        <v>1.79</v>
      </c>
      <c r="Q263" s="181">
        <f t="shared" si="163"/>
        <v>0.31307499999999999</v>
      </c>
      <c r="R263" s="182">
        <f t="shared" si="164"/>
        <v>0.1789</v>
      </c>
      <c r="S263" s="182">
        <f t="shared" si="165"/>
        <v>3.3019750000000001</v>
      </c>
      <c r="T263" s="180"/>
      <c r="U263" s="362">
        <f t="shared" si="166"/>
        <v>-78.3</v>
      </c>
      <c r="V263" s="362">
        <f t="shared" si="167"/>
        <v>-64.999999999999858</v>
      </c>
      <c r="W263" s="362"/>
      <c r="X263" s="183">
        <f t="shared" si="168"/>
        <v>-78.3</v>
      </c>
      <c r="Y263" s="98" t="s">
        <v>418</v>
      </c>
      <c r="Z263" s="98"/>
    </row>
    <row r="264" spans="1:26" ht="12" customHeight="1">
      <c r="A264" s="180">
        <v>38721</v>
      </c>
      <c r="B264" s="300" t="s">
        <v>1022</v>
      </c>
      <c r="C264" s="98" t="s">
        <v>460</v>
      </c>
      <c r="D264" s="98">
        <v>100</v>
      </c>
      <c r="E264" s="181">
        <v>81.5</v>
      </c>
      <c r="F264" s="181">
        <v>82</v>
      </c>
      <c r="G264" s="182">
        <f t="shared" si="155"/>
        <v>0.05</v>
      </c>
      <c r="H264" s="182"/>
      <c r="I264" s="182"/>
      <c r="J264" s="182">
        <f t="shared" si="156"/>
        <v>0.05</v>
      </c>
      <c r="K264" s="182">
        <f t="shared" si="157"/>
        <v>0.5</v>
      </c>
      <c r="L264" s="181">
        <f t="shared" si="158"/>
        <v>16350</v>
      </c>
      <c r="M264" s="181">
        <f t="shared" si="159"/>
        <v>50</v>
      </c>
      <c r="N264" s="181">
        <f t="shared" si="160"/>
        <v>10</v>
      </c>
      <c r="O264" s="181">
        <f t="shared" si="161"/>
        <v>1.02</v>
      </c>
      <c r="P264" s="181">
        <f t="shared" si="162"/>
        <v>3.27</v>
      </c>
      <c r="Q264" s="181">
        <f t="shared" si="163"/>
        <v>0.57224999999999993</v>
      </c>
      <c r="R264" s="182">
        <f t="shared" si="164"/>
        <v>0.32700000000000001</v>
      </c>
      <c r="S264" s="182">
        <f t="shared" si="165"/>
        <v>5.1892499999999995</v>
      </c>
      <c r="T264" s="180"/>
      <c r="U264" s="362">
        <f t="shared" si="166"/>
        <v>34.81</v>
      </c>
      <c r="V264" s="362">
        <f t="shared" si="167"/>
        <v>50</v>
      </c>
      <c r="W264" s="362">
        <v>36</v>
      </c>
      <c r="X264" s="183">
        <f t="shared" si="168"/>
        <v>-1.1899999999999977</v>
      </c>
      <c r="Y264" s="98" t="s">
        <v>418</v>
      </c>
      <c r="Z264" s="98"/>
    </row>
    <row r="265" spans="1:26" ht="12" customHeight="1">
      <c r="A265" s="180">
        <v>38721</v>
      </c>
      <c r="B265" s="300" t="s">
        <v>1053</v>
      </c>
      <c r="C265" s="98" t="s">
        <v>460</v>
      </c>
      <c r="D265" s="98">
        <v>100</v>
      </c>
      <c r="E265" s="181">
        <v>101.5</v>
      </c>
      <c r="F265" s="181">
        <v>102.5</v>
      </c>
      <c r="G265" s="182">
        <f t="shared" si="155"/>
        <v>0.05</v>
      </c>
      <c r="H265" s="182"/>
      <c r="I265" s="182"/>
      <c r="J265" s="182">
        <f t="shared" si="156"/>
        <v>0.05</v>
      </c>
      <c r="K265" s="182">
        <f t="shared" si="157"/>
        <v>1</v>
      </c>
      <c r="L265" s="181">
        <f t="shared" si="158"/>
        <v>20400</v>
      </c>
      <c r="M265" s="181">
        <f t="shared" si="159"/>
        <v>100</v>
      </c>
      <c r="N265" s="181">
        <f t="shared" si="160"/>
        <v>10</v>
      </c>
      <c r="O265" s="181">
        <f t="shared" si="161"/>
        <v>1.02</v>
      </c>
      <c r="P265" s="181">
        <f t="shared" si="162"/>
        <v>4.08</v>
      </c>
      <c r="Q265" s="181">
        <f t="shared" si="163"/>
        <v>0.71399999999999997</v>
      </c>
      <c r="R265" s="182">
        <f t="shared" si="164"/>
        <v>0.40800000000000003</v>
      </c>
      <c r="S265" s="182">
        <f t="shared" si="165"/>
        <v>6.2220000000000004</v>
      </c>
      <c r="T265" s="180"/>
      <c r="U265" s="362">
        <f t="shared" si="166"/>
        <v>83.78</v>
      </c>
      <c r="V265" s="362">
        <f t="shared" si="167"/>
        <v>100</v>
      </c>
      <c r="W265" s="362">
        <v>85</v>
      </c>
      <c r="X265" s="183">
        <f t="shared" si="168"/>
        <v>-1.2199999999999989</v>
      </c>
      <c r="Y265" s="98" t="s">
        <v>418</v>
      </c>
      <c r="Z265" s="98"/>
    </row>
    <row r="266" spans="1:26" ht="12" customHeight="1">
      <c r="A266" s="180">
        <v>38721</v>
      </c>
      <c r="B266" s="300" t="s">
        <v>1009</v>
      </c>
      <c r="C266" s="98" t="s">
        <v>460</v>
      </c>
      <c r="D266" s="98">
        <v>100</v>
      </c>
      <c r="E266" s="181">
        <v>73.75</v>
      </c>
      <c r="F266" s="181">
        <v>73.5</v>
      </c>
      <c r="G266" s="182">
        <f t="shared" si="155"/>
        <v>0.05</v>
      </c>
      <c r="H266" s="182"/>
      <c r="I266" s="182"/>
      <c r="J266" s="182">
        <f t="shared" si="156"/>
        <v>0.05</v>
      </c>
      <c r="K266" s="182">
        <f t="shared" si="157"/>
        <v>-0.25</v>
      </c>
      <c r="L266" s="181">
        <f t="shared" si="158"/>
        <v>14725</v>
      </c>
      <c r="M266" s="181">
        <f t="shared" si="159"/>
        <v>-25</v>
      </c>
      <c r="N266" s="181">
        <f t="shared" si="160"/>
        <v>10</v>
      </c>
      <c r="O266" s="181">
        <f t="shared" si="161"/>
        <v>1.02</v>
      </c>
      <c r="P266" s="181">
        <f t="shared" si="162"/>
        <v>2.95</v>
      </c>
      <c r="Q266" s="181">
        <f t="shared" si="163"/>
        <v>0.51537499999999992</v>
      </c>
      <c r="R266" s="182">
        <f t="shared" si="164"/>
        <v>0.29450000000000004</v>
      </c>
      <c r="S266" s="182">
        <f t="shared" si="165"/>
        <v>4.7798750000000005</v>
      </c>
      <c r="T266" s="180"/>
      <c r="U266" s="362">
        <f t="shared" si="166"/>
        <v>-39.78</v>
      </c>
      <c r="V266" s="362">
        <f t="shared" si="167"/>
        <v>-25</v>
      </c>
      <c r="W266" s="362">
        <v>-38</v>
      </c>
      <c r="X266" s="183">
        <f t="shared" si="168"/>
        <v>-1.7800000000000011</v>
      </c>
      <c r="Y266" s="98" t="s">
        <v>418</v>
      </c>
      <c r="Z266" s="98"/>
    </row>
    <row r="267" spans="1:26" ht="12" customHeight="1">
      <c r="A267" s="180">
        <v>38721</v>
      </c>
      <c r="B267" s="300" t="s">
        <v>1086</v>
      </c>
      <c r="C267" s="98" t="s">
        <v>460</v>
      </c>
      <c r="D267" s="98">
        <v>50</v>
      </c>
      <c r="E267" s="181">
        <v>179</v>
      </c>
      <c r="F267" s="181">
        <v>179.7</v>
      </c>
      <c r="G267" s="182">
        <f t="shared" si="155"/>
        <v>0.09</v>
      </c>
      <c r="H267" s="182"/>
      <c r="I267" s="182"/>
      <c r="J267" s="182">
        <f t="shared" si="156"/>
        <v>0.09</v>
      </c>
      <c r="K267" s="182">
        <f t="shared" si="157"/>
        <v>0.69999999999998863</v>
      </c>
      <c r="L267" s="181">
        <f t="shared" si="158"/>
        <v>17935</v>
      </c>
      <c r="M267" s="181">
        <f t="shared" si="159"/>
        <v>34.999999999999432</v>
      </c>
      <c r="N267" s="181">
        <f t="shared" si="160"/>
        <v>9</v>
      </c>
      <c r="O267" s="181">
        <f t="shared" si="161"/>
        <v>0.91799999999999993</v>
      </c>
      <c r="P267" s="181">
        <f t="shared" si="162"/>
        <v>3.59</v>
      </c>
      <c r="Q267" s="181">
        <f t="shared" si="163"/>
        <v>0.62772499999999998</v>
      </c>
      <c r="R267" s="182">
        <f t="shared" si="164"/>
        <v>0.35870000000000002</v>
      </c>
      <c r="S267" s="182">
        <f t="shared" si="165"/>
        <v>5.4944249999999997</v>
      </c>
      <c r="T267" s="180"/>
      <c r="U267" s="362">
        <f t="shared" si="166"/>
        <v>20.51</v>
      </c>
      <c r="V267" s="362">
        <f t="shared" si="167"/>
        <v>34.999999999999432</v>
      </c>
      <c r="W267" s="362">
        <v>22</v>
      </c>
      <c r="X267" s="183">
        <f t="shared" si="168"/>
        <v>-1.4899999999999984</v>
      </c>
      <c r="Y267" s="98" t="s">
        <v>418</v>
      </c>
      <c r="Z267" s="98"/>
    </row>
    <row r="268" spans="1:26" ht="12" customHeight="1">
      <c r="A268" s="180">
        <v>38722</v>
      </c>
      <c r="B268" s="300" t="s">
        <v>1023</v>
      </c>
      <c r="C268" s="98" t="s">
        <v>460</v>
      </c>
      <c r="D268" s="98">
        <v>50</v>
      </c>
      <c r="E268" s="181">
        <v>104.1</v>
      </c>
      <c r="F268" s="181">
        <v>104.3</v>
      </c>
      <c r="G268" s="182">
        <f t="shared" si="155"/>
        <v>0.05</v>
      </c>
      <c r="H268" s="182"/>
      <c r="I268" s="182"/>
      <c r="J268" s="182">
        <f t="shared" si="156"/>
        <v>0.05</v>
      </c>
      <c r="K268" s="182">
        <f t="shared" si="157"/>
        <v>0.20000000000000284</v>
      </c>
      <c r="L268" s="181">
        <f t="shared" si="158"/>
        <v>10420</v>
      </c>
      <c r="M268" s="181">
        <f t="shared" si="159"/>
        <v>10.000000000000142</v>
      </c>
      <c r="N268" s="181">
        <f t="shared" si="160"/>
        <v>5</v>
      </c>
      <c r="O268" s="181">
        <f t="shared" si="161"/>
        <v>0.51</v>
      </c>
      <c r="P268" s="181">
        <f t="shared" si="162"/>
        <v>2.08</v>
      </c>
      <c r="Q268" s="181">
        <f t="shared" si="163"/>
        <v>0.36469999999999997</v>
      </c>
      <c r="R268" s="182">
        <f t="shared" si="164"/>
        <v>0.20840000000000003</v>
      </c>
      <c r="S268" s="182">
        <f t="shared" si="165"/>
        <v>3.1631</v>
      </c>
      <c r="T268" s="180"/>
      <c r="U268" s="362">
        <f t="shared" si="166"/>
        <v>1.84</v>
      </c>
      <c r="V268" s="362">
        <f t="shared" si="167"/>
        <v>10.000000000000142</v>
      </c>
      <c r="W268" s="362">
        <v>3</v>
      </c>
      <c r="X268" s="183">
        <f t="shared" si="168"/>
        <v>-1.1599999999999999</v>
      </c>
      <c r="Y268" s="98" t="s">
        <v>418</v>
      </c>
      <c r="Z268" s="98"/>
    </row>
    <row r="269" spans="1:26" ht="12" customHeight="1">
      <c r="A269" s="180">
        <v>38722</v>
      </c>
      <c r="B269" s="300" t="s">
        <v>516</v>
      </c>
      <c r="C269" s="98" t="s">
        <v>460</v>
      </c>
      <c r="D269" s="98">
        <v>50</v>
      </c>
      <c r="E269" s="181">
        <v>144.9</v>
      </c>
      <c r="F269" s="181">
        <v>141.85</v>
      </c>
      <c r="G269" s="182">
        <f t="shared" si="155"/>
        <v>7.0000000000000007E-2</v>
      </c>
      <c r="H269" s="182"/>
      <c r="I269" s="182"/>
      <c r="J269" s="182">
        <f t="shared" si="156"/>
        <v>7.0000000000000007E-2</v>
      </c>
      <c r="K269" s="182">
        <f t="shared" si="157"/>
        <v>-3.0500000000000114</v>
      </c>
      <c r="L269" s="181">
        <f t="shared" si="158"/>
        <v>14337.5</v>
      </c>
      <c r="M269" s="181">
        <f t="shared" si="159"/>
        <v>-152.50000000000057</v>
      </c>
      <c r="N269" s="181">
        <f t="shared" si="160"/>
        <v>7.0000000000000009</v>
      </c>
      <c r="O269" s="181">
        <f t="shared" si="161"/>
        <v>0.71400000000000008</v>
      </c>
      <c r="P269" s="181">
        <f t="shared" si="162"/>
        <v>2.87</v>
      </c>
      <c r="Q269" s="181">
        <f t="shared" si="163"/>
        <v>0.50181249999999999</v>
      </c>
      <c r="R269" s="182">
        <f t="shared" si="164"/>
        <v>0.28675</v>
      </c>
      <c r="S269" s="182">
        <f t="shared" si="165"/>
        <v>4.3725624999999999</v>
      </c>
      <c r="T269" s="180"/>
      <c r="U269" s="362">
        <f t="shared" si="166"/>
        <v>-163.87</v>
      </c>
      <c r="V269" s="362">
        <f t="shared" si="167"/>
        <v>-152.50000000000057</v>
      </c>
      <c r="W269" s="362">
        <v>-162</v>
      </c>
      <c r="X269" s="183">
        <f t="shared" si="168"/>
        <v>-1.8700000000000045</v>
      </c>
      <c r="Y269" s="98" t="s">
        <v>418</v>
      </c>
      <c r="Z269" s="98"/>
    </row>
    <row r="270" spans="1:26" ht="12" customHeight="1">
      <c r="A270" s="180">
        <v>38722</v>
      </c>
      <c r="B270" s="300" t="s">
        <v>566</v>
      </c>
      <c r="C270" s="98" t="s">
        <v>460</v>
      </c>
      <c r="D270" s="98">
        <v>200</v>
      </c>
      <c r="E270" s="181">
        <v>31.9</v>
      </c>
      <c r="F270" s="181">
        <v>31.55</v>
      </c>
      <c r="G270" s="182">
        <f t="shared" si="155"/>
        <v>0.05</v>
      </c>
      <c r="H270" s="182"/>
      <c r="I270" s="182"/>
      <c r="J270" s="182">
        <f t="shared" si="156"/>
        <v>0.05</v>
      </c>
      <c r="K270" s="182">
        <f t="shared" si="157"/>
        <v>-0.34999999999999787</v>
      </c>
      <c r="L270" s="181">
        <f t="shared" si="158"/>
        <v>12690</v>
      </c>
      <c r="M270" s="181">
        <f t="shared" si="159"/>
        <v>-69.999999999999574</v>
      </c>
      <c r="N270" s="181">
        <f t="shared" si="160"/>
        <v>20</v>
      </c>
      <c r="O270" s="181">
        <f t="shared" si="161"/>
        <v>2.04</v>
      </c>
      <c r="P270" s="181">
        <f t="shared" si="162"/>
        <v>2.54</v>
      </c>
      <c r="Q270" s="181">
        <f t="shared" si="163"/>
        <v>0.44414999999999993</v>
      </c>
      <c r="R270" s="182">
        <f t="shared" si="164"/>
        <v>0.25380000000000003</v>
      </c>
      <c r="S270" s="182">
        <f t="shared" si="165"/>
        <v>5.2779499999999997</v>
      </c>
      <c r="T270" s="180"/>
      <c r="U270" s="362">
        <f t="shared" si="166"/>
        <v>-95.28</v>
      </c>
      <c r="V270" s="362">
        <f t="shared" si="167"/>
        <v>-69.999999999999574</v>
      </c>
      <c r="W270" s="362">
        <v>-94</v>
      </c>
      <c r="X270" s="183">
        <f t="shared" si="168"/>
        <v>-1.2800000000000011</v>
      </c>
      <c r="Y270" s="98" t="s">
        <v>418</v>
      </c>
      <c r="Z270" s="98"/>
    </row>
    <row r="271" spans="1:26" ht="12" customHeight="1">
      <c r="A271" s="180">
        <v>38722</v>
      </c>
      <c r="B271" s="300" t="s">
        <v>1087</v>
      </c>
      <c r="C271" s="98" t="s">
        <v>460</v>
      </c>
      <c r="D271" s="98">
        <v>100</v>
      </c>
      <c r="E271" s="181">
        <v>194.5</v>
      </c>
      <c r="F271" s="181">
        <v>193.97</v>
      </c>
      <c r="G271" s="182">
        <f t="shared" si="155"/>
        <v>0.1</v>
      </c>
      <c r="H271" s="182"/>
      <c r="I271" s="182"/>
      <c r="J271" s="182">
        <f t="shared" si="156"/>
        <v>0.1</v>
      </c>
      <c r="K271" s="182">
        <f t="shared" si="157"/>
        <v>-0.53000000000000114</v>
      </c>
      <c r="L271" s="181">
        <f t="shared" si="158"/>
        <v>38847</v>
      </c>
      <c r="M271" s="181">
        <f t="shared" si="159"/>
        <v>-53.000000000000114</v>
      </c>
      <c r="N271" s="181">
        <f t="shared" si="160"/>
        <v>20</v>
      </c>
      <c r="O271" s="181">
        <f t="shared" si="161"/>
        <v>2.04</v>
      </c>
      <c r="P271" s="181">
        <f t="shared" si="162"/>
        <v>7.77</v>
      </c>
      <c r="Q271" s="181">
        <f t="shared" si="163"/>
        <v>1.3596449999999998</v>
      </c>
      <c r="R271" s="182">
        <f t="shared" si="164"/>
        <v>0.77694000000000007</v>
      </c>
      <c r="S271" s="182">
        <f t="shared" si="165"/>
        <v>11.946584999999999</v>
      </c>
      <c r="T271" s="180"/>
      <c r="U271" s="362">
        <f t="shared" si="166"/>
        <v>-84.95</v>
      </c>
      <c r="V271" s="362">
        <f t="shared" si="167"/>
        <v>-53.000000000000114</v>
      </c>
      <c r="W271" s="362">
        <v>-81</v>
      </c>
      <c r="X271" s="183">
        <f t="shared" si="168"/>
        <v>-3.9500000000000028</v>
      </c>
      <c r="Y271" s="98" t="s">
        <v>418</v>
      </c>
      <c r="Z271" s="98"/>
    </row>
    <row r="272" spans="1:26" ht="12" customHeight="1">
      <c r="A272" s="180">
        <v>38826</v>
      </c>
      <c r="B272" s="300" t="s">
        <v>1036</v>
      </c>
      <c r="C272" s="98" t="s">
        <v>460</v>
      </c>
      <c r="D272" s="98">
        <v>20</v>
      </c>
      <c r="E272" s="181">
        <v>473.06</v>
      </c>
      <c r="F272" s="181">
        <v>479</v>
      </c>
      <c r="G272" s="182">
        <f t="shared" si="155"/>
        <v>0.24</v>
      </c>
      <c r="H272" s="182"/>
      <c r="I272" s="182"/>
      <c r="J272" s="182">
        <f t="shared" si="156"/>
        <v>0.24</v>
      </c>
      <c r="K272" s="182">
        <f t="shared" si="157"/>
        <v>5.9399999999999977</v>
      </c>
      <c r="L272" s="181">
        <f t="shared" si="158"/>
        <v>19041.2</v>
      </c>
      <c r="M272" s="181">
        <f t="shared" si="159"/>
        <v>118.79999999999995</v>
      </c>
      <c r="N272" s="181">
        <f t="shared" si="160"/>
        <v>9.6</v>
      </c>
      <c r="O272" s="181">
        <f t="shared" ref="O272:O321" si="169">N272*F$328</f>
        <v>1.1750399999999999</v>
      </c>
      <c r="P272" s="181">
        <f t="shared" si="162"/>
        <v>3.81</v>
      </c>
      <c r="Q272" s="181">
        <f t="shared" si="163"/>
        <v>0.66644199999999998</v>
      </c>
      <c r="R272" s="182">
        <f t="shared" si="164"/>
        <v>0.38082400000000005</v>
      </c>
      <c r="S272" s="182">
        <f t="shared" si="165"/>
        <v>6.0323060000000002</v>
      </c>
      <c r="T272" s="180"/>
      <c r="U272" s="362">
        <f t="shared" si="166"/>
        <v>103.17</v>
      </c>
      <c r="V272" s="362">
        <f t="shared" si="167"/>
        <v>118.79999999999995</v>
      </c>
      <c r="W272" s="362">
        <v>103.78</v>
      </c>
      <c r="X272" s="183">
        <f t="shared" si="168"/>
        <v>-0.60999999999999943</v>
      </c>
      <c r="Y272" s="98" t="s">
        <v>418</v>
      </c>
      <c r="Z272" s="98"/>
    </row>
    <row r="273" spans="1:26" ht="12" customHeight="1">
      <c r="A273" s="180">
        <v>38827</v>
      </c>
      <c r="B273" s="300" t="s">
        <v>1036</v>
      </c>
      <c r="C273" s="98" t="s">
        <v>1058</v>
      </c>
      <c r="D273" s="98">
        <v>10</v>
      </c>
      <c r="E273" s="181">
        <v>470</v>
      </c>
      <c r="F273" s="181">
        <v>475.95</v>
      </c>
      <c r="G273" s="182">
        <f t="shared" si="155"/>
        <v>0.24</v>
      </c>
      <c r="H273" s="182"/>
      <c r="I273" s="182"/>
      <c r="J273" s="182">
        <f t="shared" si="156"/>
        <v>0.24</v>
      </c>
      <c r="K273" s="182">
        <f t="shared" si="157"/>
        <v>5.9499999999999886</v>
      </c>
      <c r="L273" s="181">
        <f t="shared" si="158"/>
        <v>9459.5</v>
      </c>
      <c r="M273" s="181">
        <f t="shared" si="159"/>
        <v>59.499999999999886</v>
      </c>
      <c r="N273" s="181">
        <f t="shared" si="160"/>
        <v>4.8</v>
      </c>
      <c r="O273" s="181">
        <f t="shared" si="169"/>
        <v>0.58751999999999993</v>
      </c>
      <c r="P273" s="181">
        <f t="shared" si="162"/>
        <v>1.89</v>
      </c>
      <c r="Q273" s="181">
        <f t="shared" si="163"/>
        <v>0.33108249999999995</v>
      </c>
      <c r="R273" s="182">
        <f t="shared" si="164"/>
        <v>0.18919000000000002</v>
      </c>
      <c r="S273" s="182">
        <f t="shared" si="165"/>
        <v>2.9977924999999996</v>
      </c>
      <c r="T273" s="180"/>
      <c r="U273" s="362">
        <f t="shared" si="166"/>
        <v>51.7</v>
      </c>
      <c r="V273" s="362">
        <f t="shared" si="167"/>
        <v>59.499999999999886</v>
      </c>
      <c r="W273" s="362">
        <v>51</v>
      </c>
      <c r="X273" s="183">
        <f t="shared" si="168"/>
        <v>0.70000000000000284</v>
      </c>
      <c r="Y273" s="98" t="s">
        <v>418</v>
      </c>
      <c r="Z273" s="98"/>
    </row>
    <row r="274" spans="1:26" ht="12" customHeight="1">
      <c r="A274" s="180">
        <v>38827</v>
      </c>
      <c r="B274" s="300" t="s">
        <v>1060</v>
      </c>
      <c r="C274" s="98" t="s">
        <v>460</v>
      </c>
      <c r="D274" s="98">
        <v>2</v>
      </c>
      <c r="E274" s="181">
        <v>3262</v>
      </c>
      <c r="F274" s="181">
        <v>3287</v>
      </c>
      <c r="G274" s="182">
        <f t="shared" si="155"/>
        <v>1.63</v>
      </c>
      <c r="H274" s="182"/>
      <c r="I274" s="182"/>
      <c r="J274" s="182">
        <f t="shared" si="156"/>
        <v>1.64</v>
      </c>
      <c r="K274" s="182">
        <f t="shared" si="157"/>
        <v>25</v>
      </c>
      <c r="L274" s="181">
        <f t="shared" si="158"/>
        <v>13097.98</v>
      </c>
      <c r="M274" s="181">
        <f t="shared" si="159"/>
        <v>50</v>
      </c>
      <c r="N274" s="181">
        <f t="shared" si="160"/>
        <v>6.5399999999999991</v>
      </c>
      <c r="O274" s="181">
        <f t="shared" si="169"/>
        <v>0.80049599999999987</v>
      </c>
      <c r="P274" s="181">
        <f t="shared" si="162"/>
        <v>2.62</v>
      </c>
      <c r="Q274" s="181">
        <f t="shared" si="163"/>
        <v>0.45842929999999993</v>
      </c>
      <c r="R274" s="182">
        <f t="shared" si="164"/>
        <v>0.26195960000000001</v>
      </c>
      <c r="S274" s="182">
        <f t="shared" si="165"/>
        <v>4.1408848999999996</v>
      </c>
      <c r="T274" s="180"/>
      <c r="U274" s="362">
        <f t="shared" si="166"/>
        <v>39.32</v>
      </c>
      <c r="V274" s="362">
        <f t="shared" si="167"/>
        <v>50</v>
      </c>
      <c r="W274" s="362">
        <v>39.5</v>
      </c>
      <c r="X274" s="183">
        <f t="shared" si="168"/>
        <v>-0.17999999999999972</v>
      </c>
      <c r="Y274" s="98" t="s">
        <v>418</v>
      </c>
      <c r="Z274" s="98"/>
    </row>
    <row r="275" spans="1:26" ht="12" customHeight="1">
      <c r="A275" s="180">
        <v>38827</v>
      </c>
      <c r="B275" s="300" t="s">
        <v>1060</v>
      </c>
      <c r="C275" s="98" t="s">
        <v>1058</v>
      </c>
      <c r="D275" s="98">
        <v>2</v>
      </c>
      <c r="E275" s="181">
        <v>3255</v>
      </c>
      <c r="F275" s="181">
        <v>3270</v>
      </c>
      <c r="G275" s="182">
        <f t="shared" si="155"/>
        <v>1.63</v>
      </c>
      <c r="H275" s="182"/>
      <c r="I275" s="182"/>
      <c r="J275" s="182">
        <f t="shared" si="156"/>
        <v>1.64</v>
      </c>
      <c r="K275" s="182">
        <f t="shared" si="157"/>
        <v>15</v>
      </c>
      <c r="L275" s="181">
        <f t="shared" si="158"/>
        <v>13049.98</v>
      </c>
      <c r="M275" s="181">
        <f t="shared" si="159"/>
        <v>30</v>
      </c>
      <c r="N275" s="181">
        <f t="shared" si="160"/>
        <v>6.5399999999999991</v>
      </c>
      <c r="O275" s="181">
        <f t="shared" si="169"/>
        <v>0.80049599999999987</v>
      </c>
      <c r="P275" s="181">
        <f t="shared" si="162"/>
        <v>2.61</v>
      </c>
      <c r="Q275" s="181">
        <f t="shared" si="163"/>
        <v>0.45674929999999997</v>
      </c>
      <c r="R275" s="182">
        <f t="shared" si="164"/>
        <v>0.2609996</v>
      </c>
      <c r="S275" s="182">
        <f t="shared" si="165"/>
        <v>4.1282448999999994</v>
      </c>
      <c r="T275" s="180"/>
      <c r="U275" s="362">
        <f t="shared" si="166"/>
        <v>19.329999999999998</v>
      </c>
      <c r="V275" s="362">
        <f t="shared" si="167"/>
        <v>30</v>
      </c>
      <c r="W275" s="362">
        <v>19.28</v>
      </c>
      <c r="X275" s="183">
        <f t="shared" si="168"/>
        <v>4.9999999999997158E-2</v>
      </c>
      <c r="Y275" s="98" t="s">
        <v>418</v>
      </c>
      <c r="Z275" s="98"/>
    </row>
    <row r="276" spans="1:26" ht="12" customHeight="1">
      <c r="A276" s="180">
        <v>38827</v>
      </c>
      <c r="B276" s="300" t="s">
        <v>1023</v>
      </c>
      <c r="C276" s="98" t="s">
        <v>460</v>
      </c>
      <c r="D276" s="98">
        <v>25</v>
      </c>
      <c r="E276" s="181">
        <v>93.7</v>
      </c>
      <c r="F276" s="181">
        <v>94.5</v>
      </c>
      <c r="G276" s="182">
        <f t="shared" si="155"/>
        <v>0.05</v>
      </c>
      <c r="H276" s="182"/>
      <c r="I276" s="182"/>
      <c r="J276" s="182">
        <f t="shared" si="156"/>
        <v>0.05</v>
      </c>
      <c r="K276" s="182">
        <f t="shared" si="157"/>
        <v>0.79999999999999716</v>
      </c>
      <c r="L276" s="181">
        <f t="shared" si="158"/>
        <v>4705</v>
      </c>
      <c r="M276" s="181">
        <f t="shared" si="159"/>
        <v>19.999999999999929</v>
      </c>
      <c r="N276" s="181">
        <f t="shared" si="160"/>
        <v>2.5</v>
      </c>
      <c r="O276" s="181">
        <f t="shared" si="169"/>
        <v>0.30599999999999999</v>
      </c>
      <c r="P276" s="181">
        <f t="shared" si="162"/>
        <v>0.94</v>
      </c>
      <c r="Q276" s="181">
        <f t="shared" si="163"/>
        <v>0.16467499999999999</v>
      </c>
      <c r="R276" s="182">
        <f t="shared" si="164"/>
        <v>9.4100000000000003E-2</v>
      </c>
      <c r="S276" s="182">
        <f t="shared" si="165"/>
        <v>1.504775</v>
      </c>
      <c r="T276" s="180"/>
      <c r="U276" s="362">
        <f t="shared" si="166"/>
        <v>16</v>
      </c>
      <c r="V276" s="362">
        <f t="shared" si="167"/>
        <v>19.999999999999929</v>
      </c>
      <c r="W276" s="362">
        <v>15</v>
      </c>
      <c r="X276" s="183">
        <f t="shared" si="168"/>
        <v>1</v>
      </c>
      <c r="Y276" s="98" t="s">
        <v>418</v>
      </c>
      <c r="Z276" s="98"/>
    </row>
    <row r="277" spans="1:26" ht="12" customHeight="1">
      <c r="A277" s="180">
        <v>38827</v>
      </c>
      <c r="B277" s="300" t="s">
        <v>1022</v>
      </c>
      <c r="C277" s="98" t="s">
        <v>460</v>
      </c>
      <c r="D277" s="98">
        <v>50</v>
      </c>
      <c r="E277" s="181">
        <v>77</v>
      </c>
      <c r="F277" s="181">
        <v>77.8</v>
      </c>
      <c r="G277" s="182">
        <f t="shared" si="155"/>
        <v>0.05</v>
      </c>
      <c r="H277" s="182"/>
      <c r="I277" s="182"/>
      <c r="J277" s="182">
        <f t="shared" si="156"/>
        <v>0.05</v>
      </c>
      <c r="K277" s="182">
        <f t="shared" si="157"/>
        <v>0.79999999999999716</v>
      </c>
      <c r="L277" s="181">
        <f t="shared" si="158"/>
        <v>7740</v>
      </c>
      <c r="M277" s="181">
        <f t="shared" si="159"/>
        <v>39.999999999999858</v>
      </c>
      <c r="N277" s="181">
        <f t="shared" si="160"/>
        <v>5</v>
      </c>
      <c r="O277" s="181">
        <f t="shared" si="169"/>
        <v>0.61199999999999999</v>
      </c>
      <c r="P277" s="181">
        <f t="shared" si="162"/>
        <v>1.55</v>
      </c>
      <c r="Q277" s="181">
        <f t="shared" si="163"/>
        <v>0.27089999999999997</v>
      </c>
      <c r="R277" s="182">
        <f t="shared" si="164"/>
        <v>0.15480000000000002</v>
      </c>
      <c r="S277" s="182">
        <f t="shared" si="165"/>
        <v>2.5876999999999999</v>
      </c>
      <c r="T277" s="180"/>
      <c r="U277" s="362">
        <f t="shared" si="166"/>
        <v>32.409999999999997</v>
      </c>
      <c r="V277" s="362">
        <f t="shared" si="167"/>
        <v>39.999999999999858</v>
      </c>
      <c r="W277" s="362">
        <v>32</v>
      </c>
      <c r="X277" s="183">
        <f t="shared" si="168"/>
        <v>0.40999999999999659</v>
      </c>
      <c r="Y277" s="98" t="s">
        <v>418</v>
      </c>
      <c r="Z277" s="98"/>
    </row>
    <row r="278" spans="1:26" ht="12" customHeight="1">
      <c r="A278" s="180">
        <v>38827</v>
      </c>
      <c r="B278" s="300" t="s">
        <v>1059</v>
      </c>
      <c r="C278" s="98" t="s">
        <v>460</v>
      </c>
      <c r="D278" s="98">
        <v>5</v>
      </c>
      <c r="E278" s="181">
        <v>859.25</v>
      </c>
      <c r="F278" s="181">
        <v>872.25</v>
      </c>
      <c r="G278" s="182">
        <f t="shared" si="155"/>
        <v>0.43</v>
      </c>
      <c r="H278" s="182"/>
      <c r="I278" s="182"/>
      <c r="J278" s="182">
        <f t="shared" si="156"/>
        <v>0.44</v>
      </c>
      <c r="K278" s="182">
        <f t="shared" si="157"/>
        <v>13</v>
      </c>
      <c r="L278" s="181">
        <f t="shared" si="158"/>
        <v>8657.4499999999989</v>
      </c>
      <c r="M278" s="181">
        <f t="shared" si="159"/>
        <v>65</v>
      </c>
      <c r="N278" s="181">
        <f t="shared" si="160"/>
        <v>4.3499999999999996</v>
      </c>
      <c r="O278" s="181">
        <f t="shared" si="169"/>
        <v>0.53243999999999991</v>
      </c>
      <c r="P278" s="181">
        <f t="shared" si="162"/>
        <v>1.73</v>
      </c>
      <c r="Q278" s="181">
        <f t="shared" si="163"/>
        <v>0.30301074999999994</v>
      </c>
      <c r="R278" s="182">
        <f t="shared" si="164"/>
        <v>0.173149</v>
      </c>
      <c r="S278" s="182">
        <f t="shared" si="165"/>
        <v>2.7385997499999997</v>
      </c>
      <c r="T278" s="180"/>
      <c r="U278" s="362">
        <f t="shared" si="166"/>
        <v>57.91</v>
      </c>
      <c r="V278" s="362">
        <f t="shared" si="167"/>
        <v>65</v>
      </c>
      <c r="W278" s="362">
        <v>58</v>
      </c>
      <c r="X278" s="183">
        <f t="shared" si="168"/>
        <v>-9.0000000000003411E-2</v>
      </c>
      <c r="Y278" s="98" t="s">
        <v>418</v>
      </c>
      <c r="Z278" s="98"/>
    </row>
    <row r="279" spans="1:26" ht="12" customHeight="1">
      <c r="A279" s="180">
        <v>38828</v>
      </c>
      <c r="B279" s="300" t="s">
        <v>1022</v>
      </c>
      <c r="C279" s="98" t="s">
        <v>460</v>
      </c>
      <c r="D279" s="98">
        <v>50</v>
      </c>
      <c r="E279" s="181">
        <v>77.5</v>
      </c>
      <c r="F279" s="181">
        <v>78.5</v>
      </c>
      <c r="G279" s="182">
        <f t="shared" si="155"/>
        <v>0.05</v>
      </c>
      <c r="H279" s="182"/>
      <c r="I279" s="182"/>
      <c r="J279" s="182">
        <f t="shared" si="156"/>
        <v>0.05</v>
      </c>
      <c r="K279" s="182">
        <f t="shared" si="157"/>
        <v>1</v>
      </c>
      <c r="L279" s="181">
        <f t="shared" si="158"/>
        <v>7800</v>
      </c>
      <c r="M279" s="181">
        <f t="shared" si="159"/>
        <v>50</v>
      </c>
      <c r="N279" s="181">
        <f t="shared" si="160"/>
        <v>5</v>
      </c>
      <c r="O279" s="181">
        <f t="shared" si="169"/>
        <v>0.61199999999999999</v>
      </c>
      <c r="P279" s="181">
        <f t="shared" si="162"/>
        <v>1.56</v>
      </c>
      <c r="Q279" s="181">
        <f t="shared" si="163"/>
        <v>0.27299999999999996</v>
      </c>
      <c r="R279" s="182">
        <f t="shared" si="164"/>
        <v>0.156</v>
      </c>
      <c r="S279" s="182">
        <f t="shared" si="165"/>
        <v>2.6010000000000004</v>
      </c>
      <c r="T279" s="180"/>
      <c r="U279" s="362">
        <f t="shared" si="166"/>
        <v>42.4</v>
      </c>
      <c r="V279" s="362">
        <f t="shared" si="167"/>
        <v>50</v>
      </c>
      <c r="W279" s="362">
        <v>43.25</v>
      </c>
      <c r="X279" s="183">
        <f t="shared" si="168"/>
        <v>-0.85000000000000142</v>
      </c>
      <c r="Y279" s="41" t="s">
        <v>483</v>
      </c>
      <c r="Z279" s="98"/>
    </row>
    <row r="280" spans="1:26" ht="12" customHeight="1">
      <c r="A280" s="180">
        <v>38828</v>
      </c>
      <c r="B280" s="300" t="s">
        <v>1052</v>
      </c>
      <c r="C280" s="98" t="s">
        <v>460</v>
      </c>
      <c r="D280" s="98">
        <v>50</v>
      </c>
      <c r="E280" s="181">
        <v>90</v>
      </c>
      <c r="F280" s="181">
        <v>91.25</v>
      </c>
      <c r="G280" s="182">
        <f t="shared" si="155"/>
        <v>0.05</v>
      </c>
      <c r="H280" s="182"/>
      <c r="I280" s="182"/>
      <c r="J280" s="182">
        <f t="shared" si="156"/>
        <v>0.05</v>
      </c>
      <c r="K280" s="182">
        <f t="shared" si="157"/>
        <v>1.25</v>
      </c>
      <c r="L280" s="181">
        <f t="shared" si="158"/>
        <v>9062.5</v>
      </c>
      <c r="M280" s="181">
        <f t="shared" si="159"/>
        <v>62.5</v>
      </c>
      <c r="N280" s="181">
        <f t="shared" si="160"/>
        <v>5</v>
      </c>
      <c r="O280" s="181">
        <f t="shared" si="169"/>
        <v>0.61199999999999999</v>
      </c>
      <c r="P280" s="181">
        <f t="shared" si="162"/>
        <v>1.81</v>
      </c>
      <c r="Q280" s="181">
        <f t="shared" si="163"/>
        <v>0.31718749999999996</v>
      </c>
      <c r="R280" s="182">
        <f t="shared" si="164"/>
        <v>0.18125000000000002</v>
      </c>
      <c r="S280" s="182">
        <f t="shared" si="165"/>
        <v>2.9204374999999998</v>
      </c>
      <c r="T280" s="180"/>
      <c r="U280" s="362">
        <f t="shared" si="166"/>
        <v>54.58</v>
      </c>
      <c r="V280" s="362">
        <f t="shared" si="167"/>
        <v>62.5</v>
      </c>
      <c r="W280" s="362">
        <v>54.06</v>
      </c>
      <c r="X280" s="183">
        <f t="shared" si="168"/>
        <v>0.51999999999999602</v>
      </c>
      <c r="Y280" s="41" t="s">
        <v>462</v>
      </c>
      <c r="Z280" s="98"/>
    </row>
    <row r="281" spans="1:26" ht="12" customHeight="1">
      <c r="A281" s="180">
        <v>38831</v>
      </c>
      <c r="B281" s="300" t="s">
        <v>1022</v>
      </c>
      <c r="C281" s="98" t="s">
        <v>460</v>
      </c>
      <c r="D281" s="98">
        <v>50</v>
      </c>
      <c r="E281" s="181">
        <v>81.5</v>
      </c>
      <c r="F281" s="181">
        <v>83.55</v>
      </c>
      <c r="G281" s="182">
        <f t="shared" si="155"/>
        <v>0.05</v>
      </c>
      <c r="H281" s="182"/>
      <c r="I281" s="182"/>
      <c r="J281" s="182">
        <f t="shared" si="156"/>
        <v>0.05</v>
      </c>
      <c r="K281" s="182">
        <f t="shared" si="157"/>
        <v>2.0499999999999972</v>
      </c>
      <c r="L281" s="181">
        <f t="shared" si="158"/>
        <v>8252.5</v>
      </c>
      <c r="M281" s="181">
        <f t="shared" si="159"/>
        <v>102.49999999999986</v>
      </c>
      <c r="N281" s="181">
        <f t="shared" si="160"/>
        <v>5</v>
      </c>
      <c r="O281" s="181">
        <f t="shared" si="169"/>
        <v>0.61199999999999999</v>
      </c>
      <c r="P281" s="181">
        <f t="shared" si="162"/>
        <v>1.65</v>
      </c>
      <c r="Q281" s="181">
        <f t="shared" si="163"/>
        <v>0.28883749999999997</v>
      </c>
      <c r="R281" s="182">
        <f t="shared" si="164"/>
        <v>0.16505</v>
      </c>
      <c r="S281" s="182">
        <f t="shared" si="165"/>
        <v>2.7158875</v>
      </c>
      <c r="T281" s="180"/>
      <c r="U281" s="362">
        <f t="shared" si="166"/>
        <v>94.78</v>
      </c>
      <c r="V281" s="362">
        <f t="shared" si="167"/>
        <v>102.49999999999986</v>
      </c>
      <c r="W281" s="362">
        <v>93.87</v>
      </c>
      <c r="X281" s="183">
        <f t="shared" si="168"/>
        <v>0.90999999999999659</v>
      </c>
      <c r="Y281" s="98" t="s">
        <v>418</v>
      </c>
      <c r="Z281" s="98"/>
    </row>
    <row r="282" spans="1:26" ht="12" customHeight="1">
      <c r="A282" s="180">
        <v>38831</v>
      </c>
      <c r="B282" s="300" t="s">
        <v>1088</v>
      </c>
      <c r="C282" s="98" t="s">
        <v>1058</v>
      </c>
      <c r="D282" s="98">
        <v>10</v>
      </c>
      <c r="E282" s="181">
        <v>267.45</v>
      </c>
      <c r="F282" s="181">
        <v>266</v>
      </c>
      <c r="G282" s="182">
        <f t="shared" si="155"/>
        <v>0.13</v>
      </c>
      <c r="H282" s="182"/>
      <c r="I282" s="182"/>
      <c r="J282" s="182">
        <f t="shared" si="156"/>
        <v>0.13</v>
      </c>
      <c r="K282" s="182">
        <f t="shared" si="157"/>
        <v>-1.4499999999999886</v>
      </c>
      <c r="L282" s="181">
        <f t="shared" si="158"/>
        <v>5334.5</v>
      </c>
      <c r="M282" s="181">
        <f t="shared" si="159"/>
        <v>-14.499999999999886</v>
      </c>
      <c r="N282" s="181">
        <f t="shared" si="160"/>
        <v>2.6</v>
      </c>
      <c r="O282" s="181">
        <f t="shared" si="169"/>
        <v>0.31824000000000002</v>
      </c>
      <c r="P282" s="181">
        <f t="shared" si="162"/>
        <v>1.07</v>
      </c>
      <c r="Q282" s="181">
        <f t="shared" si="163"/>
        <v>0.18670749999999997</v>
      </c>
      <c r="R282" s="182">
        <f t="shared" si="164"/>
        <v>0.10669000000000001</v>
      </c>
      <c r="S282" s="182">
        <f t="shared" si="165"/>
        <v>1.6816375000000001</v>
      </c>
      <c r="T282" s="180"/>
      <c r="U282" s="362">
        <f t="shared" si="166"/>
        <v>-18.78</v>
      </c>
      <c r="V282" s="362">
        <f t="shared" si="167"/>
        <v>-14.499999999999886</v>
      </c>
      <c r="W282" s="362">
        <v>-20</v>
      </c>
      <c r="X282" s="183">
        <f t="shared" si="168"/>
        <v>1.2199999999999989</v>
      </c>
      <c r="Y282" s="98" t="s">
        <v>418</v>
      </c>
      <c r="Z282" s="98"/>
    </row>
    <row r="283" spans="1:26" ht="12" customHeight="1">
      <c r="A283" s="180">
        <v>38831</v>
      </c>
      <c r="B283" s="300" t="s">
        <v>1059</v>
      </c>
      <c r="C283" s="98" t="s">
        <v>1058</v>
      </c>
      <c r="D283" s="98">
        <v>5</v>
      </c>
      <c r="E283" s="181">
        <v>781</v>
      </c>
      <c r="F283" s="181">
        <v>782.25</v>
      </c>
      <c r="G283" s="182">
        <f t="shared" si="155"/>
        <v>0.39</v>
      </c>
      <c r="H283" s="182"/>
      <c r="I283" s="182"/>
      <c r="J283" s="182">
        <f t="shared" si="156"/>
        <v>0.39</v>
      </c>
      <c r="K283" s="182">
        <f t="shared" si="157"/>
        <v>1.25</v>
      </c>
      <c r="L283" s="181">
        <f t="shared" si="158"/>
        <v>7816.25</v>
      </c>
      <c r="M283" s="181">
        <f t="shared" si="159"/>
        <v>6.25</v>
      </c>
      <c r="N283" s="181">
        <f t="shared" si="160"/>
        <v>3.9000000000000004</v>
      </c>
      <c r="O283" s="181">
        <f t="shared" si="169"/>
        <v>0.47736000000000001</v>
      </c>
      <c r="P283" s="181">
        <f t="shared" si="162"/>
        <v>1.56</v>
      </c>
      <c r="Q283" s="181">
        <f t="shared" si="163"/>
        <v>0.27356874999999997</v>
      </c>
      <c r="R283" s="182">
        <f t="shared" si="164"/>
        <v>0.15632500000000002</v>
      </c>
      <c r="S283" s="182">
        <f t="shared" si="165"/>
        <v>2.4672537499999998</v>
      </c>
      <c r="T283" s="180"/>
      <c r="U283" s="362">
        <f t="shared" si="166"/>
        <v>-0.12</v>
      </c>
      <c r="V283" s="362">
        <f t="shared" si="167"/>
        <v>6.25</v>
      </c>
      <c r="W283" s="362">
        <v>-1</v>
      </c>
      <c r="X283" s="183">
        <f t="shared" si="168"/>
        <v>0.88</v>
      </c>
      <c r="Y283" s="98" t="s">
        <v>418</v>
      </c>
      <c r="Z283" s="98"/>
    </row>
    <row r="284" spans="1:26" ht="12" customHeight="1">
      <c r="A284" s="180">
        <v>38832</v>
      </c>
      <c r="B284" s="300" t="s">
        <v>1060</v>
      </c>
      <c r="C284" s="98" t="s">
        <v>1058</v>
      </c>
      <c r="D284" s="98">
        <v>2</v>
      </c>
      <c r="E284" s="181">
        <v>3160</v>
      </c>
      <c r="F284" s="181">
        <v>3136.5</v>
      </c>
      <c r="G284" s="182">
        <f t="shared" si="155"/>
        <v>1.58</v>
      </c>
      <c r="H284" s="182"/>
      <c r="I284" s="182"/>
      <c r="J284" s="182">
        <f t="shared" si="156"/>
        <v>1.57</v>
      </c>
      <c r="K284" s="182">
        <f t="shared" si="157"/>
        <v>-23.5</v>
      </c>
      <c r="L284" s="181">
        <f t="shared" si="158"/>
        <v>12593.02</v>
      </c>
      <c r="M284" s="181">
        <f t="shared" si="159"/>
        <v>-47</v>
      </c>
      <c r="N284" s="181">
        <f t="shared" si="160"/>
        <v>6.3000000000000007</v>
      </c>
      <c r="O284" s="181">
        <f t="shared" si="169"/>
        <v>0.77112000000000003</v>
      </c>
      <c r="P284" s="181">
        <f t="shared" si="162"/>
        <v>2.52</v>
      </c>
      <c r="Q284" s="181">
        <f t="shared" si="163"/>
        <v>0.44075569999999997</v>
      </c>
      <c r="R284" s="182">
        <f t="shared" si="164"/>
        <v>0.25186040000000004</v>
      </c>
      <c r="S284" s="182">
        <f t="shared" si="165"/>
        <v>3.9837361000000002</v>
      </c>
      <c r="T284" s="180"/>
      <c r="U284" s="362">
        <f t="shared" si="166"/>
        <v>-57.28</v>
      </c>
      <c r="V284" s="362">
        <f t="shared" si="167"/>
        <v>-47</v>
      </c>
      <c r="W284" s="362">
        <v>-58.39</v>
      </c>
      <c r="X284" s="183">
        <f t="shared" si="168"/>
        <v>1.1099999999999994</v>
      </c>
      <c r="Y284" s="98" t="s">
        <v>418</v>
      </c>
      <c r="Z284" s="98"/>
    </row>
    <row r="285" spans="1:26" ht="12" customHeight="1">
      <c r="A285" s="180">
        <v>38833</v>
      </c>
      <c r="B285" s="300" t="s">
        <v>1022</v>
      </c>
      <c r="C285" s="98" t="s">
        <v>460</v>
      </c>
      <c r="D285" s="98">
        <v>50</v>
      </c>
      <c r="E285" s="181">
        <v>92.4</v>
      </c>
      <c r="F285" s="181">
        <v>88.25</v>
      </c>
      <c r="G285" s="182">
        <f t="shared" si="155"/>
        <v>0.05</v>
      </c>
      <c r="H285" s="182"/>
      <c r="I285" s="182"/>
      <c r="J285" s="182">
        <f t="shared" si="156"/>
        <v>0.05</v>
      </c>
      <c r="K285" s="182">
        <f t="shared" si="157"/>
        <v>-4.1500000000000057</v>
      </c>
      <c r="L285" s="181">
        <f t="shared" si="158"/>
        <v>9032.5</v>
      </c>
      <c r="M285" s="181">
        <f t="shared" si="159"/>
        <v>-207.50000000000028</v>
      </c>
      <c r="N285" s="181">
        <f t="shared" si="160"/>
        <v>5</v>
      </c>
      <c r="O285" s="181">
        <f t="shared" si="169"/>
        <v>0.61199999999999999</v>
      </c>
      <c r="P285" s="181">
        <f t="shared" si="162"/>
        <v>1.81</v>
      </c>
      <c r="Q285" s="181">
        <f t="shared" si="163"/>
        <v>0.31613749999999996</v>
      </c>
      <c r="R285" s="182">
        <f t="shared" si="164"/>
        <v>0.18065000000000001</v>
      </c>
      <c r="S285" s="182">
        <f t="shared" si="165"/>
        <v>2.9187875000000001</v>
      </c>
      <c r="T285" s="180"/>
      <c r="U285" s="362">
        <f t="shared" si="166"/>
        <v>-215.42</v>
      </c>
      <c r="V285" s="362">
        <f t="shared" si="167"/>
        <v>-207.50000000000028</v>
      </c>
      <c r="W285" s="362">
        <v>-217</v>
      </c>
      <c r="X285" s="183">
        <f t="shared" si="168"/>
        <v>1.5800000000000125</v>
      </c>
      <c r="Y285" s="98" t="s">
        <v>418</v>
      </c>
      <c r="Z285" s="98"/>
    </row>
    <row r="286" spans="1:26" ht="12" customHeight="1">
      <c r="A286" s="180">
        <v>38833</v>
      </c>
      <c r="B286" s="300" t="s">
        <v>516</v>
      </c>
      <c r="C286" s="98" t="s">
        <v>460</v>
      </c>
      <c r="D286" s="98">
        <v>50</v>
      </c>
      <c r="E286" s="181">
        <v>215.65</v>
      </c>
      <c r="F286" s="181">
        <v>216.95</v>
      </c>
      <c r="G286" s="182">
        <f t="shared" si="155"/>
        <v>0.11</v>
      </c>
      <c r="H286" s="182"/>
      <c r="I286" s="182"/>
      <c r="J286" s="182">
        <f t="shared" si="156"/>
        <v>0.11</v>
      </c>
      <c r="K286" s="182">
        <f t="shared" si="157"/>
        <v>1.2999999999999829</v>
      </c>
      <c r="L286" s="181">
        <f t="shared" si="158"/>
        <v>21630</v>
      </c>
      <c r="M286" s="181">
        <f t="shared" si="159"/>
        <v>64.999999999999147</v>
      </c>
      <c r="N286" s="181">
        <f t="shared" si="160"/>
        <v>11</v>
      </c>
      <c r="O286" s="181">
        <f t="shared" si="169"/>
        <v>1.3464</v>
      </c>
      <c r="P286" s="181">
        <f t="shared" si="162"/>
        <v>4.33</v>
      </c>
      <c r="Q286" s="181">
        <f t="shared" si="163"/>
        <v>0.75704999999999989</v>
      </c>
      <c r="R286" s="182">
        <f t="shared" si="164"/>
        <v>0.43260000000000004</v>
      </c>
      <c r="S286" s="182">
        <f t="shared" si="165"/>
        <v>6.8660499999999995</v>
      </c>
      <c r="T286" s="180"/>
      <c r="U286" s="362">
        <f t="shared" si="166"/>
        <v>47.13</v>
      </c>
      <c r="V286" s="362">
        <f t="shared" si="167"/>
        <v>64.999999999999147</v>
      </c>
      <c r="W286" s="362">
        <v>47.42</v>
      </c>
      <c r="X286" s="183">
        <f t="shared" si="168"/>
        <v>-0.28999999999999915</v>
      </c>
      <c r="Y286" s="98" t="s">
        <v>418</v>
      </c>
      <c r="Z286" s="98"/>
    </row>
    <row r="287" spans="1:26" ht="12" customHeight="1">
      <c r="A287" s="180">
        <v>38840</v>
      </c>
      <c r="B287" s="300" t="s">
        <v>516</v>
      </c>
      <c r="C287" s="98" t="s">
        <v>460</v>
      </c>
      <c r="D287" s="98">
        <v>100</v>
      </c>
      <c r="E287" s="181">
        <v>215.13</v>
      </c>
      <c r="F287" s="181">
        <v>216.65</v>
      </c>
      <c r="G287" s="182">
        <f t="shared" si="155"/>
        <v>0.11</v>
      </c>
      <c r="H287" s="182"/>
      <c r="I287" s="182"/>
      <c r="J287" s="182">
        <f t="shared" si="156"/>
        <v>0.11</v>
      </c>
      <c r="K287" s="182">
        <f t="shared" si="157"/>
        <v>1.5200000000000102</v>
      </c>
      <c r="L287" s="181">
        <f t="shared" si="158"/>
        <v>43178</v>
      </c>
      <c r="M287" s="181">
        <f t="shared" si="159"/>
        <v>152.00000000000102</v>
      </c>
      <c r="N287" s="181">
        <f t="shared" si="160"/>
        <v>22</v>
      </c>
      <c r="O287" s="181">
        <f t="shared" si="169"/>
        <v>2.6928000000000001</v>
      </c>
      <c r="P287" s="181">
        <f t="shared" si="162"/>
        <v>8.64</v>
      </c>
      <c r="Q287" s="181">
        <f t="shared" si="163"/>
        <v>1.5112299999999999</v>
      </c>
      <c r="R287" s="182">
        <f t="shared" si="164"/>
        <v>0.86356000000000011</v>
      </c>
      <c r="S287" s="182">
        <f t="shared" si="165"/>
        <v>13.70759</v>
      </c>
      <c r="T287" s="180"/>
      <c r="U287" s="362">
        <f t="shared" si="166"/>
        <v>116.29</v>
      </c>
      <c r="V287" s="362">
        <f t="shared" si="167"/>
        <v>152.00000000000102</v>
      </c>
      <c r="W287" s="362">
        <v>116</v>
      </c>
      <c r="X287" s="183">
        <f t="shared" si="168"/>
        <v>0.29000000000000625</v>
      </c>
      <c r="Y287" s="41" t="s">
        <v>418</v>
      </c>
      <c r="Z287" s="98"/>
    </row>
    <row r="288" spans="1:26" ht="12" customHeight="1">
      <c r="A288" s="180">
        <v>38842</v>
      </c>
      <c r="B288" s="300" t="s">
        <v>1060</v>
      </c>
      <c r="C288" s="98" t="s">
        <v>460</v>
      </c>
      <c r="D288" s="98">
        <v>4</v>
      </c>
      <c r="E288" s="181">
        <v>3215</v>
      </c>
      <c r="F288" s="181">
        <v>3228</v>
      </c>
      <c r="G288" s="182">
        <f t="shared" si="155"/>
        <v>1.61</v>
      </c>
      <c r="H288" s="182"/>
      <c r="I288" s="182"/>
      <c r="J288" s="182">
        <f t="shared" si="156"/>
        <v>1.61</v>
      </c>
      <c r="K288" s="182">
        <f t="shared" si="157"/>
        <v>13</v>
      </c>
      <c r="L288" s="181">
        <f t="shared" si="158"/>
        <v>25772</v>
      </c>
      <c r="M288" s="181">
        <f t="shared" si="159"/>
        <v>52</v>
      </c>
      <c r="N288" s="181">
        <f t="shared" si="160"/>
        <v>12.88</v>
      </c>
      <c r="O288" s="181">
        <f t="shared" si="169"/>
        <v>1.5765120000000001</v>
      </c>
      <c r="P288" s="181">
        <f t="shared" si="162"/>
        <v>5.15</v>
      </c>
      <c r="Q288" s="181">
        <f t="shared" si="163"/>
        <v>0.90201999999999993</v>
      </c>
      <c r="R288" s="182">
        <f t="shared" si="164"/>
        <v>0.51544000000000001</v>
      </c>
      <c r="S288" s="182">
        <f t="shared" si="165"/>
        <v>8.1439720000000015</v>
      </c>
      <c r="T288" s="180"/>
      <c r="U288" s="362">
        <f t="shared" si="166"/>
        <v>30.98</v>
      </c>
      <c r="V288" s="362">
        <f t="shared" si="167"/>
        <v>52</v>
      </c>
      <c r="W288" s="362">
        <v>31</v>
      </c>
      <c r="X288" s="183">
        <f t="shared" si="168"/>
        <v>-1.9999999999999574E-2</v>
      </c>
      <c r="Y288" s="41" t="s">
        <v>418</v>
      </c>
      <c r="Z288" s="98"/>
    </row>
    <row r="289" spans="1:26" ht="12" customHeight="1">
      <c r="A289" s="180">
        <v>38842</v>
      </c>
      <c r="B289" s="300" t="s">
        <v>1013</v>
      </c>
      <c r="C289" s="98" t="s">
        <v>460</v>
      </c>
      <c r="D289" s="98">
        <v>5</v>
      </c>
      <c r="E289" s="181">
        <v>1090.75</v>
      </c>
      <c r="F289" s="181">
        <v>1102</v>
      </c>
      <c r="G289" s="182">
        <f t="shared" si="155"/>
        <v>0.55000000000000004</v>
      </c>
      <c r="H289" s="182"/>
      <c r="I289" s="182"/>
      <c r="J289" s="182">
        <f t="shared" si="156"/>
        <v>0.55000000000000004</v>
      </c>
      <c r="K289" s="182">
        <f t="shared" si="157"/>
        <v>11.25</v>
      </c>
      <c r="L289" s="181">
        <f t="shared" si="158"/>
        <v>10963.75</v>
      </c>
      <c r="M289" s="181">
        <f t="shared" si="159"/>
        <v>56.25</v>
      </c>
      <c r="N289" s="181">
        <f t="shared" si="160"/>
        <v>5.5</v>
      </c>
      <c r="O289" s="181">
        <f t="shared" si="169"/>
        <v>0.67320000000000002</v>
      </c>
      <c r="P289" s="181">
        <f t="shared" si="162"/>
        <v>2.19</v>
      </c>
      <c r="Q289" s="181">
        <f t="shared" si="163"/>
        <v>0.38373124999999997</v>
      </c>
      <c r="R289" s="182">
        <f t="shared" si="164"/>
        <v>0.21927500000000003</v>
      </c>
      <c r="S289" s="182">
        <f t="shared" si="165"/>
        <v>3.4662062499999999</v>
      </c>
      <c r="T289" s="180"/>
      <c r="U289" s="362">
        <f t="shared" si="166"/>
        <v>47.28</v>
      </c>
      <c r="V289" s="362">
        <f t="shared" si="167"/>
        <v>56.25</v>
      </c>
      <c r="W289" s="362">
        <v>47</v>
      </c>
      <c r="X289" s="183">
        <f t="shared" si="168"/>
        <v>0.28000000000000114</v>
      </c>
      <c r="Y289" s="41" t="s">
        <v>418</v>
      </c>
      <c r="Z289" s="98"/>
    </row>
    <row r="290" spans="1:26" ht="12" customHeight="1">
      <c r="A290" s="180">
        <v>38842</v>
      </c>
      <c r="B290" s="300" t="s">
        <v>1026</v>
      </c>
      <c r="C290" s="98" t="s">
        <v>460</v>
      </c>
      <c r="D290" s="98">
        <v>200</v>
      </c>
      <c r="E290" s="181">
        <v>25.32</v>
      </c>
      <c r="F290" s="181">
        <v>25.73</v>
      </c>
      <c r="G290" s="182">
        <f t="shared" si="155"/>
        <v>0.05</v>
      </c>
      <c r="H290" s="182"/>
      <c r="I290" s="182"/>
      <c r="J290" s="182">
        <f t="shared" si="156"/>
        <v>0.05</v>
      </c>
      <c r="K290" s="182">
        <f t="shared" si="157"/>
        <v>0.41000000000000014</v>
      </c>
      <c r="L290" s="181">
        <f t="shared" si="158"/>
        <v>10210</v>
      </c>
      <c r="M290" s="181">
        <f t="shared" si="159"/>
        <v>82.000000000000028</v>
      </c>
      <c r="N290" s="181">
        <f t="shared" si="160"/>
        <v>20</v>
      </c>
      <c r="O290" s="181">
        <f t="shared" si="169"/>
        <v>2.448</v>
      </c>
      <c r="P290" s="181">
        <f t="shared" si="162"/>
        <v>2.04</v>
      </c>
      <c r="Q290" s="181">
        <f t="shared" si="163"/>
        <v>0.35734999999999995</v>
      </c>
      <c r="R290" s="182">
        <f t="shared" si="164"/>
        <v>0.20420000000000002</v>
      </c>
      <c r="S290" s="182">
        <f t="shared" si="165"/>
        <v>5.04955</v>
      </c>
      <c r="T290" s="180"/>
      <c r="U290" s="362">
        <f t="shared" si="166"/>
        <v>56.95</v>
      </c>
      <c r="V290" s="362">
        <f t="shared" si="167"/>
        <v>82.000000000000028</v>
      </c>
      <c r="W290" s="362">
        <v>57</v>
      </c>
      <c r="X290" s="183">
        <f t="shared" si="168"/>
        <v>-4.9999999999997158E-2</v>
      </c>
      <c r="Y290" s="41" t="s">
        <v>418</v>
      </c>
      <c r="Z290" s="98"/>
    </row>
    <row r="291" spans="1:26" ht="12" customHeight="1">
      <c r="A291" s="180">
        <v>38842</v>
      </c>
      <c r="B291" s="300" t="s">
        <v>1061</v>
      </c>
      <c r="C291" s="98" t="s">
        <v>460</v>
      </c>
      <c r="D291" s="98">
        <v>100</v>
      </c>
      <c r="E291" s="181">
        <v>63.05</v>
      </c>
      <c r="F291" s="181">
        <v>63.95</v>
      </c>
      <c r="G291" s="182">
        <f t="shared" si="155"/>
        <v>0.05</v>
      </c>
      <c r="H291" s="182"/>
      <c r="I291" s="182"/>
      <c r="J291" s="182">
        <f t="shared" si="156"/>
        <v>0.05</v>
      </c>
      <c r="K291" s="182">
        <f t="shared" si="157"/>
        <v>0.90000000000000568</v>
      </c>
      <c r="L291" s="181">
        <f t="shared" si="158"/>
        <v>12700</v>
      </c>
      <c r="M291" s="181">
        <f t="shared" si="159"/>
        <v>90.000000000000568</v>
      </c>
      <c r="N291" s="181">
        <f t="shared" si="160"/>
        <v>10</v>
      </c>
      <c r="O291" s="181">
        <f t="shared" si="169"/>
        <v>1.224</v>
      </c>
      <c r="P291" s="181">
        <f t="shared" si="162"/>
        <v>2.54</v>
      </c>
      <c r="Q291" s="181">
        <f t="shared" si="163"/>
        <v>0.44449999999999995</v>
      </c>
      <c r="R291" s="182">
        <f t="shared" si="164"/>
        <v>0.254</v>
      </c>
      <c r="S291" s="182">
        <f t="shared" si="165"/>
        <v>4.4625000000000004</v>
      </c>
      <c r="T291" s="180"/>
      <c r="U291" s="362">
        <f t="shared" si="166"/>
        <v>75.540000000000006</v>
      </c>
      <c r="V291" s="362">
        <f t="shared" si="167"/>
        <v>90.000000000000568</v>
      </c>
      <c r="W291" s="362">
        <v>76</v>
      </c>
      <c r="X291" s="183">
        <f t="shared" si="168"/>
        <v>-0.45999999999999375</v>
      </c>
      <c r="Y291" s="41" t="s">
        <v>418</v>
      </c>
      <c r="Z291" s="98"/>
    </row>
    <row r="292" spans="1:26" ht="12" customHeight="1">
      <c r="A292" s="180">
        <v>38845</v>
      </c>
      <c r="B292" s="300" t="s">
        <v>1089</v>
      </c>
      <c r="C292" s="98" t="s">
        <v>460</v>
      </c>
      <c r="D292" s="98">
        <v>50</v>
      </c>
      <c r="E292" s="181">
        <v>182.8</v>
      </c>
      <c r="F292" s="181">
        <v>190</v>
      </c>
      <c r="G292" s="182">
        <f t="shared" si="155"/>
        <v>0.09</v>
      </c>
      <c r="H292" s="182"/>
      <c r="I292" s="182"/>
      <c r="J292" s="182">
        <f t="shared" si="156"/>
        <v>0.1</v>
      </c>
      <c r="K292" s="182">
        <f t="shared" si="157"/>
        <v>7.1999999999999886</v>
      </c>
      <c r="L292" s="181">
        <f t="shared" si="158"/>
        <v>18639.5</v>
      </c>
      <c r="M292" s="181">
        <f t="shared" si="159"/>
        <v>359.99999999999943</v>
      </c>
      <c r="N292" s="181">
        <f t="shared" si="160"/>
        <v>9.5</v>
      </c>
      <c r="O292" s="181">
        <f t="shared" si="169"/>
        <v>1.1628000000000001</v>
      </c>
      <c r="P292" s="181">
        <f t="shared" si="162"/>
        <v>3.73</v>
      </c>
      <c r="Q292" s="181">
        <f t="shared" si="163"/>
        <v>0.65238249999999998</v>
      </c>
      <c r="R292" s="182">
        <f t="shared" si="164"/>
        <v>0.37279000000000001</v>
      </c>
      <c r="S292" s="182">
        <f t="shared" si="165"/>
        <v>5.9179725000000003</v>
      </c>
      <c r="T292" s="180"/>
      <c r="U292" s="362">
        <f t="shared" si="166"/>
        <v>344.58</v>
      </c>
      <c r="V292" s="362">
        <f t="shared" si="167"/>
        <v>359.99999999999943</v>
      </c>
      <c r="W292" s="362">
        <v>344</v>
      </c>
      <c r="X292" s="183">
        <f t="shared" si="168"/>
        <v>0.57999999999998408</v>
      </c>
      <c r="Y292" s="41" t="s">
        <v>418</v>
      </c>
      <c r="Z292" s="98"/>
    </row>
    <row r="293" spans="1:26" ht="12" customHeight="1">
      <c r="A293" s="180">
        <v>38845</v>
      </c>
      <c r="B293" s="300" t="s">
        <v>516</v>
      </c>
      <c r="C293" s="98" t="s">
        <v>460</v>
      </c>
      <c r="D293" s="98">
        <v>50</v>
      </c>
      <c r="E293" s="181">
        <v>220.8</v>
      </c>
      <c r="F293" s="181">
        <v>221.95</v>
      </c>
      <c r="G293" s="182">
        <f t="shared" si="155"/>
        <v>0.11</v>
      </c>
      <c r="H293" s="182"/>
      <c r="I293" s="182"/>
      <c r="J293" s="182">
        <f t="shared" si="156"/>
        <v>0.11</v>
      </c>
      <c r="K293" s="182">
        <f t="shared" si="157"/>
        <v>1.1499999999999773</v>
      </c>
      <c r="L293" s="181">
        <f t="shared" si="158"/>
        <v>22137.5</v>
      </c>
      <c r="M293" s="181">
        <f t="shared" si="159"/>
        <v>57.499999999998863</v>
      </c>
      <c r="N293" s="181">
        <f t="shared" si="160"/>
        <v>11</v>
      </c>
      <c r="O293" s="181">
        <f t="shared" si="169"/>
        <v>1.3464</v>
      </c>
      <c r="P293" s="181">
        <f t="shared" si="162"/>
        <v>4.43</v>
      </c>
      <c r="Q293" s="181">
        <f t="shared" si="163"/>
        <v>0.7748124999999999</v>
      </c>
      <c r="R293" s="182">
        <f t="shared" si="164"/>
        <v>0.44275000000000003</v>
      </c>
      <c r="S293" s="182">
        <f t="shared" si="165"/>
        <v>6.9939625000000003</v>
      </c>
      <c r="T293" s="180"/>
      <c r="U293" s="362">
        <f t="shared" si="166"/>
        <v>39.51</v>
      </c>
      <c r="V293" s="362">
        <f t="shared" si="167"/>
        <v>57.499999999998863</v>
      </c>
      <c r="W293" s="362">
        <v>39</v>
      </c>
      <c r="X293" s="183">
        <f t="shared" si="168"/>
        <v>0.50999999999999801</v>
      </c>
      <c r="Y293" s="41" t="s">
        <v>418</v>
      </c>
      <c r="Z293" s="98"/>
    </row>
    <row r="294" spans="1:26" ht="12" customHeight="1">
      <c r="A294" s="180">
        <v>38845</v>
      </c>
      <c r="B294" s="300" t="s">
        <v>1013</v>
      </c>
      <c r="C294" s="98" t="s">
        <v>460</v>
      </c>
      <c r="D294" s="98">
        <v>5</v>
      </c>
      <c r="E294" s="181">
        <v>1157.8</v>
      </c>
      <c r="F294" s="181">
        <v>1153.5999999999999</v>
      </c>
      <c r="G294" s="182">
        <f t="shared" si="155"/>
        <v>0.57999999999999996</v>
      </c>
      <c r="H294" s="182"/>
      <c r="I294" s="182"/>
      <c r="J294" s="182">
        <f t="shared" si="156"/>
        <v>0.57999999999999996</v>
      </c>
      <c r="K294" s="182">
        <f t="shared" si="157"/>
        <v>-4.2000000000000455</v>
      </c>
      <c r="L294" s="181">
        <f t="shared" si="158"/>
        <v>11557</v>
      </c>
      <c r="M294" s="181">
        <f t="shared" si="159"/>
        <v>-21.000000000000227</v>
      </c>
      <c r="N294" s="181">
        <f t="shared" si="160"/>
        <v>5.8</v>
      </c>
      <c r="O294" s="181">
        <f t="shared" si="169"/>
        <v>0.70992</v>
      </c>
      <c r="P294" s="181">
        <f t="shared" si="162"/>
        <v>2.31</v>
      </c>
      <c r="Q294" s="181">
        <f t="shared" si="163"/>
        <v>0.40449499999999994</v>
      </c>
      <c r="R294" s="182">
        <f t="shared" si="164"/>
        <v>0.23114000000000001</v>
      </c>
      <c r="S294" s="182">
        <f t="shared" si="165"/>
        <v>3.6555549999999997</v>
      </c>
      <c r="T294" s="180"/>
      <c r="U294" s="362">
        <f t="shared" si="166"/>
        <v>-30.46</v>
      </c>
      <c r="V294" s="362">
        <f t="shared" si="167"/>
        <v>-21.000000000000227</v>
      </c>
      <c r="W294" s="362">
        <v>-30</v>
      </c>
      <c r="X294" s="183">
        <f t="shared" si="168"/>
        <v>-0.46000000000000085</v>
      </c>
      <c r="Y294" s="41" t="s">
        <v>418</v>
      </c>
      <c r="Z294" s="98"/>
    </row>
    <row r="295" spans="1:26" ht="12" customHeight="1">
      <c r="A295" s="180">
        <v>38845</v>
      </c>
      <c r="B295" s="300" t="s">
        <v>1026</v>
      </c>
      <c r="C295" s="98" t="s">
        <v>460</v>
      </c>
      <c r="D295" s="98">
        <v>100</v>
      </c>
      <c r="E295" s="181">
        <v>26.25</v>
      </c>
      <c r="F295" s="181">
        <v>26.5</v>
      </c>
      <c r="G295" s="182">
        <f t="shared" si="155"/>
        <v>0.05</v>
      </c>
      <c r="H295" s="182"/>
      <c r="I295" s="182"/>
      <c r="J295" s="182">
        <f t="shared" si="156"/>
        <v>0.05</v>
      </c>
      <c r="K295" s="182">
        <f t="shared" si="157"/>
        <v>0.25</v>
      </c>
      <c r="L295" s="181">
        <f t="shared" si="158"/>
        <v>5275</v>
      </c>
      <c r="M295" s="181">
        <f t="shared" si="159"/>
        <v>25</v>
      </c>
      <c r="N295" s="181">
        <f t="shared" si="160"/>
        <v>10</v>
      </c>
      <c r="O295" s="181">
        <f t="shared" si="169"/>
        <v>1.224</v>
      </c>
      <c r="P295" s="181">
        <f t="shared" si="162"/>
        <v>1.06</v>
      </c>
      <c r="Q295" s="181">
        <f t="shared" si="163"/>
        <v>0.18462499999999998</v>
      </c>
      <c r="R295" s="182">
        <f t="shared" si="164"/>
        <v>0.10550000000000001</v>
      </c>
      <c r="S295" s="182">
        <f t="shared" si="165"/>
        <v>2.574125</v>
      </c>
      <c r="T295" s="180"/>
      <c r="U295" s="362">
        <f t="shared" si="166"/>
        <v>12.43</v>
      </c>
      <c r="V295" s="362">
        <f t="shared" si="167"/>
        <v>25</v>
      </c>
      <c r="W295" s="362">
        <v>12</v>
      </c>
      <c r="X295" s="183">
        <f t="shared" si="168"/>
        <v>0.42999999999999972</v>
      </c>
      <c r="Y295" s="41" t="s">
        <v>418</v>
      </c>
      <c r="Z295" s="98"/>
    </row>
    <row r="296" spans="1:26" ht="12" customHeight="1">
      <c r="A296" s="180">
        <v>38845</v>
      </c>
      <c r="B296" s="300" t="s">
        <v>1090</v>
      </c>
      <c r="C296" s="98" t="s">
        <v>460</v>
      </c>
      <c r="D296" s="98">
        <v>20</v>
      </c>
      <c r="E296" s="181">
        <v>493.7</v>
      </c>
      <c r="F296" s="181">
        <v>495</v>
      </c>
      <c r="G296" s="182">
        <f t="shared" si="155"/>
        <v>0.25</v>
      </c>
      <c r="H296" s="182"/>
      <c r="I296" s="182"/>
      <c r="J296" s="182">
        <f t="shared" si="156"/>
        <v>0.25</v>
      </c>
      <c r="K296" s="182">
        <f t="shared" si="157"/>
        <v>1.3000000000000114</v>
      </c>
      <c r="L296" s="181">
        <f t="shared" si="158"/>
        <v>19774</v>
      </c>
      <c r="M296" s="181">
        <f t="shared" si="159"/>
        <v>26.000000000000227</v>
      </c>
      <c r="N296" s="181">
        <f t="shared" si="160"/>
        <v>10</v>
      </c>
      <c r="O296" s="181">
        <f t="shared" si="169"/>
        <v>1.224</v>
      </c>
      <c r="P296" s="181">
        <f t="shared" si="162"/>
        <v>3.95</v>
      </c>
      <c r="Q296" s="181">
        <f t="shared" si="163"/>
        <v>0.69208999999999998</v>
      </c>
      <c r="R296" s="182">
        <f t="shared" si="164"/>
        <v>0.39548000000000005</v>
      </c>
      <c r="S296" s="182">
        <f t="shared" si="165"/>
        <v>6.2615700000000007</v>
      </c>
      <c r="T296" s="180"/>
      <c r="U296" s="362">
        <f t="shared" si="166"/>
        <v>9.74</v>
      </c>
      <c r="V296" s="362">
        <f t="shared" si="167"/>
        <v>26.000000000000227</v>
      </c>
      <c r="W296" s="362">
        <v>10</v>
      </c>
      <c r="X296" s="183">
        <f t="shared" si="168"/>
        <v>-0.25999999999999979</v>
      </c>
      <c r="Y296" s="41" t="s">
        <v>418</v>
      </c>
      <c r="Z296" s="98"/>
    </row>
    <row r="297" spans="1:26" ht="12" customHeight="1">
      <c r="A297" s="180">
        <v>38846</v>
      </c>
      <c r="B297" s="300" t="s">
        <v>516</v>
      </c>
      <c r="C297" s="98" t="s">
        <v>460</v>
      </c>
      <c r="D297" s="98">
        <v>100</v>
      </c>
      <c r="E297" s="181">
        <v>217.49</v>
      </c>
      <c r="F297" s="181">
        <v>219.53</v>
      </c>
      <c r="G297" s="182">
        <f t="shared" si="155"/>
        <v>0.11</v>
      </c>
      <c r="H297" s="182"/>
      <c r="I297" s="182"/>
      <c r="J297" s="182">
        <f t="shared" si="156"/>
        <v>0.11</v>
      </c>
      <c r="K297" s="182">
        <f t="shared" si="157"/>
        <v>2.039999999999992</v>
      </c>
      <c r="L297" s="181">
        <f t="shared" si="158"/>
        <v>43702</v>
      </c>
      <c r="M297" s="181">
        <f t="shared" si="159"/>
        <v>203.9999999999992</v>
      </c>
      <c r="N297" s="181">
        <f t="shared" si="160"/>
        <v>22</v>
      </c>
      <c r="O297" s="181">
        <f t="shared" si="169"/>
        <v>2.6928000000000001</v>
      </c>
      <c r="P297" s="181">
        <f t="shared" si="162"/>
        <v>8.74</v>
      </c>
      <c r="Q297" s="181">
        <f t="shared" si="163"/>
        <v>1.5295699999999999</v>
      </c>
      <c r="R297" s="182">
        <f t="shared" si="164"/>
        <v>0.87404000000000004</v>
      </c>
      <c r="S297" s="182">
        <f t="shared" si="165"/>
        <v>13.836410000000001</v>
      </c>
      <c r="T297" s="180"/>
      <c r="U297" s="362">
        <f t="shared" si="166"/>
        <v>168.16</v>
      </c>
      <c r="V297" s="362">
        <f t="shared" si="167"/>
        <v>203.9999999999992</v>
      </c>
      <c r="W297" s="362">
        <v>168</v>
      </c>
      <c r="X297" s="183">
        <f t="shared" si="168"/>
        <v>0.15999999999999659</v>
      </c>
      <c r="Y297" s="41" t="s">
        <v>418</v>
      </c>
      <c r="Z297" s="98"/>
    </row>
    <row r="298" spans="1:26" ht="12" customHeight="1">
      <c r="A298" s="180">
        <v>38846</v>
      </c>
      <c r="B298" s="300" t="s">
        <v>1013</v>
      </c>
      <c r="C298" s="98" t="s">
        <v>460</v>
      </c>
      <c r="D298" s="98">
        <v>5</v>
      </c>
      <c r="E298" s="181">
        <v>1157.25</v>
      </c>
      <c r="F298" s="181">
        <v>1153.55</v>
      </c>
      <c r="G298" s="182">
        <f t="shared" si="155"/>
        <v>0.57999999999999996</v>
      </c>
      <c r="H298" s="182"/>
      <c r="I298" s="182"/>
      <c r="J298" s="182">
        <f t="shared" si="156"/>
        <v>0.57999999999999996</v>
      </c>
      <c r="K298" s="182">
        <f t="shared" si="157"/>
        <v>-3.7000000000000455</v>
      </c>
      <c r="L298" s="181">
        <f t="shared" si="158"/>
        <v>11554</v>
      </c>
      <c r="M298" s="181">
        <f t="shared" si="159"/>
        <v>-18.500000000000227</v>
      </c>
      <c r="N298" s="181">
        <f t="shared" si="160"/>
        <v>5.8</v>
      </c>
      <c r="O298" s="181">
        <f t="shared" si="169"/>
        <v>0.70992</v>
      </c>
      <c r="P298" s="181">
        <f t="shared" si="162"/>
        <v>2.31</v>
      </c>
      <c r="Q298" s="181">
        <f t="shared" si="163"/>
        <v>0.40438999999999997</v>
      </c>
      <c r="R298" s="182">
        <f t="shared" si="164"/>
        <v>0.23108000000000001</v>
      </c>
      <c r="S298" s="182">
        <f t="shared" si="165"/>
        <v>3.6553899999999997</v>
      </c>
      <c r="T298" s="180"/>
      <c r="U298" s="362">
        <f t="shared" si="166"/>
        <v>-27.96</v>
      </c>
      <c r="V298" s="362">
        <f t="shared" si="167"/>
        <v>-18.500000000000227</v>
      </c>
      <c r="W298" s="362">
        <v>-28</v>
      </c>
      <c r="X298" s="183">
        <f t="shared" si="168"/>
        <v>3.9999999999999147E-2</v>
      </c>
      <c r="Y298" s="41" t="s">
        <v>418</v>
      </c>
      <c r="Z298" s="98"/>
    </row>
    <row r="299" spans="1:26" ht="12" customHeight="1">
      <c r="A299" s="180">
        <v>38846</v>
      </c>
      <c r="B299" s="300" t="s">
        <v>1091</v>
      </c>
      <c r="C299" s="98" t="s">
        <v>460</v>
      </c>
      <c r="D299" s="98">
        <v>10</v>
      </c>
      <c r="E299" s="181">
        <v>642.95000000000005</v>
      </c>
      <c r="F299" s="181">
        <v>661.55</v>
      </c>
      <c r="G299" s="182">
        <f t="shared" si="155"/>
        <v>0.32</v>
      </c>
      <c r="H299" s="182"/>
      <c r="I299" s="182"/>
      <c r="J299" s="182">
        <f t="shared" si="156"/>
        <v>0.33</v>
      </c>
      <c r="K299" s="182">
        <f t="shared" si="157"/>
        <v>18.599999999999909</v>
      </c>
      <c r="L299" s="181">
        <f t="shared" si="158"/>
        <v>13044.9</v>
      </c>
      <c r="M299" s="181">
        <f t="shared" si="159"/>
        <v>185.99999999999909</v>
      </c>
      <c r="N299" s="181">
        <f t="shared" si="160"/>
        <v>6.5</v>
      </c>
      <c r="O299" s="181">
        <f t="shared" si="169"/>
        <v>0.79559999999999997</v>
      </c>
      <c r="P299" s="181">
        <f t="shared" si="162"/>
        <v>2.61</v>
      </c>
      <c r="Q299" s="181">
        <f t="shared" si="163"/>
        <v>0.45657149999999996</v>
      </c>
      <c r="R299" s="182">
        <f t="shared" si="164"/>
        <v>0.26089800000000002</v>
      </c>
      <c r="S299" s="182">
        <f t="shared" si="165"/>
        <v>4.1230694999999997</v>
      </c>
      <c r="T299" s="180"/>
      <c r="U299" s="362">
        <f t="shared" si="166"/>
        <v>175.38</v>
      </c>
      <c r="V299" s="362">
        <f t="shared" si="167"/>
        <v>185.99999999999909</v>
      </c>
      <c r="W299" s="362">
        <v>175</v>
      </c>
      <c r="X299" s="183">
        <f t="shared" si="168"/>
        <v>0.37999999999999545</v>
      </c>
      <c r="Y299" s="41" t="s">
        <v>418</v>
      </c>
      <c r="Z299" s="98"/>
    </row>
    <row r="300" spans="1:26" ht="12" customHeight="1">
      <c r="A300" s="180">
        <v>38846</v>
      </c>
      <c r="B300" s="300" t="s">
        <v>1092</v>
      </c>
      <c r="C300" s="98" t="s">
        <v>460</v>
      </c>
      <c r="D300" s="98">
        <v>50</v>
      </c>
      <c r="E300" s="181">
        <v>275</v>
      </c>
      <c r="F300" s="181">
        <v>279.95</v>
      </c>
      <c r="G300" s="182">
        <f t="shared" si="155"/>
        <v>0.14000000000000001</v>
      </c>
      <c r="H300" s="182"/>
      <c r="I300" s="182"/>
      <c r="J300" s="182">
        <f t="shared" si="156"/>
        <v>0.14000000000000001</v>
      </c>
      <c r="K300" s="182">
        <f t="shared" si="157"/>
        <v>4.9499999999999886</v>
      </c>
      <c r="L300" s="181">
        <f t="shared" si="158"/>
        <v>27747.5</v>
      </c>
      <c r="M300" s="181">
        <f t="shared" si="159"/>
        <v>247.49999999999943</v>
      </c>
      <c r="N300" s="181">
        <f t="shared" si="160"/>
        <v>14.000000000000002</v>
      </c>
      <c r="O300" s="181">
        <f t="shared" si="169"/>
        <v>1.7136000000000002</v>
      </c>
      <c r="P300" s="181">
        <f t="shared" si="162"/>
        <v>5.55</v>
      </c>
      <c r="Q300" s="181">
        <f t="shared" si="163"/>
        <v>0.97116249999999993</v>
      </c>
      <c r="R300" s="182">
        <f t="shared" si="164"/>
        <v>0.55495000000000005</v>
      </c>
      <c r="S300" s="182">
        <f t="shared" si="165"/>
        <v>8.7897125000000003</v>
      </c>
      <c r="T300" s="180"/>
      <c r="U300" s="362">
        <f t="shared" si="166"/>
        <v>224.71</v>
      </c>
      <c r="V300" s="362">
        <f t="shared" si="167"/>
        <v>247.49999999999943</v>
      </c>
      <c r="W300" s="362">
        <v>224</v>
      </c>
      <c r="X300" s="183">
        <f t="shared" si="168"/>
        <v>0.71000000000000796</v>
      </c>
      <c r="Y300" s="41" t="s">
        <v>418</v>
      </c>
      <c r="Z300" s="98"/>
    </row>
    <row r="301" spans="1:26" ht="12" customHeight="1">
      <c r="A301" s="180">
        <v>38847</v>
      </c>
      <c r="B301" s="300" t="s">
        <v>1091</v>
      </c>
      <c r="C301" s="98" t="s">
        <v>460</v>
      </c>
      <c r="D301" s="98">
        <v>10</v>
      </c>
      <c r="E301" s="181">
        <v>669.7</v>
      </c>
      <c r="F301" s="181">
        <v>671</v>
      </c>
      <c r="G301" s="182">
        <f t="shared" si="155"/>
        <v>0.33</v>
      </c>
      <c r="H301" s="182"/>
      <c r="I301" s="182"/>
      <c r="J301" s="182">
        <f t="shared" si="156"/>
        <v>0.34</v>
      </c>
      <c r="K301" s="182">
        <f t="shared" si="157"/>
        <v>1.2999999999999545</v>
      </c>
      <c r="L301" s="181">
        <f t="shared" si="158"/>
        <v>13406.900000000001</v>
      </c>
      <c r="M301" s="181">
        <f t="shared" si="159"/>
        <v>12.999999999999545</v>
      </c>
      <c r="N301" s="181">
        <f t="shared" si="160"/>
        <v>6.7000000000000011</v>
      </c>
      <c r="O301" s="181">
        <f t="shared" si="169"/>
        <v>0.82008000000000014</v>
      </c>
      <c r="P301" s="181">
        <f t="shared" si="162"/>
        <v>2.68</v>
      </c>
      <c r="Q301" s="181">
        <f t="shared" si="163"/>
        <v>0.46924150000000003</v>
      </c>
      <c r="R301" s="182">
        <f t="shared" si="164"/>
        <v>0.26813800000000004</v>
      </c>
      <c r="S301" s="182">
        <f t="shared" si="165"/>
        <v>4.2374595000000008</v>
      </c>
      <c r="T301" s="180"/>
      <c r="U301" s="362">
        <f t="shared" si="166"/>
        <v>2.06</v>
      </c>
      <c r="V301" s="362">
        <f t="shared" si="167"/>
        <v>12.999999999999545</v>
      </c>
      <c r="W301" s="362">
        <v>2</v>
      </c>
      <c r="X301" s="183">
        <f t="shared" si="168"/>
        <v>6.0000000000000053E-2</v>
      </c>
      <c r="Y301" s="41" t="s">
        <v>418</v>
      </c>
      <c r="Z301" s="98"/>
    </row>
    <row r="302" spans="1:26" ht="12" customHeight="1">
      <c r="A302" s="180">
        <v>38847</v>
      </c>
      <c r="B302" s="300" t="s">
        <v>1093</v>
      </c>
      <c r="C302" s="98" t="s">
        <v>460</v>
      </c>
      <c r="D302" s="98">
        <v>20</v>
      </c>
      <c r="E302" s="181">
        <v>374.9</v>
      </c>
      <c r="F302" s="181">
        <v>375.6</v>
      </c>
      <c r="G302" s="182">
        <f t="shared" si="155"/>
        <v>0.19</v>
      </c>
      <c r="H302" s="182"/>
      <c r="I302" s="182"/>
      <c r="J302" s="182">
        <f t="shared" si="156"/>
        <v>0.19</v>
      </c>
      <c r="K302" s="182">
        <f t="shared" si="157"/>
        <v>0.70000000000004547</v>
      </c>
      <c r="L302" s="181">
        <f t="shared" si="158"/>
        <v>15010</v>
      </c>
      <c r="M302" s="181">
        <f t="shared" si="159"/>
        <v>14.000000000000909</v>
      </c>
      <c r="N302" s="181">
        <f t="shared" si="160"/>
        <v>7.6</v>
      </c>
      <c r="O302" s="181">
        <f t="shared" si="169"/>
        <v>0.93023999999999996</v>
      </c>
      <c r="P302" s="181">
        <f t="shared" si="162"/>
        <v>3</v>
      </c>
      <c r="Q302" s="181">
        <f t="shared" si="163"/>
        <v>0.52534999999999998</v>
      </c>
      <c r="R302" s="182">
        <f t="shared" si="164"/>
        <v>0.30020000000000002</v>
      </c>
      <c r="S302" s="182">
        <f t="shared" si="165"/>
        <v>4.7557900000000002</v>
      </c>
      <c r="T302" s="180"/>
      <c r="U302" s="362">
        <f t="shared" si="166"/>
        <v>1.64</v>
      </c>
      <c r="V302" s="362">
        <f t="shared" si="167"/>
        <v>14.000000000000909</v>
      </c>
      <c r="W302" s="362">
        <v>1.5</v>
      </c>
      <c r="X302" s="183">
        <f t="shared" si="168"/>
        <v>0.1399999999999999</v>
      </c>
      <c r="Y302" s="41" t="s">
        <v>418</v>
      </c>
      <c r="Z302" s="98"/>
    </row>
    <row r="303" spans="1:26" ht="12" customHeight="1">
      <c r="A303" s="180">
        <v>38847</v>
      </c>
      <c r="B303" s="300" t="s">
        <v>1026</v>
      </c>
      <c r="C303" s="98" t="s">
        <v>460</v>
      </c>
      <c r="D303" s="98">
        <v>100</v>
      </c>
      <c r="E303" s="181">
        <v>25.85</v>
      </c>
      <c r="F303" s="181">
        <v>26.15</v>
      </c>
      <c r="G303" s="182">
        <f t="shared" si="155"/>
        <v>0.05</v>
      </c>
      <c r="H303" s="182"/>
      <c r="I303" s="182"/>
      <c r="J303" s="182">
        <f t="shared" si="156"/>
        <v>0.05</v>
      </c>
      <c r="K303" s="182">
        <f t="shared" si="157"/>
        <v>0.29999999999999716</v>
      </c>
      <c r="L303" s="181">
        <f t="shared" si="158"/>
        <v>5200</v>
      </c>
      <c r="M303" s="181">
        <f t="shared" si="159"/>
        <v>29.999999999999716</v>
      </c>
      <c r="N303" s="181">
        <f t="shared" si="160"/>
        <v>10</v>
      </c>
      <c r="O303" s="181">
        <f t="shared" si="169"/>
        <v>1.224</v>
      </c>
      <c r="P303" s="181">
        <f t="shared" si="162"/>
        <v>1.04</v>
      </c>
      <c r="Q303" s="181">
        <f t="shared" si="163"/>
        <v>0.182</v>
      </c>
      <c r="R303" s="182">
        <f t="shared" si="164"/>
        <v>0.10400000000000001</v>
      </c>
      <c r="S303" s="182">
        <f t="shared" si="165"/>
        <v>2.5500000000000003</v>
      </c>
      <c r="T303" s="180"/>
      <c r="U303" s="362">
        <f t="shared" si="166"/>
        <v>17.45</v>
      </c>
      <c r="V303" s="362">
        <f t="shared" si="167"/>
        <v>29.999999999999716</v>
      </c>
      <c r="W303" s="362">
        <v>17</v>
      </c>
      <c r="X303" s="183">
        <f t="shared" si="168"/>
        <v>0.44999999999999929</v>
      </c>
      <c r="Y303" s="41" t="s">
        <v>418</v>
      </c>
      <c r="Z303" s="98"/>
    </row>
    <row r="304" spans="1:26" ht="12" customHeight="1">
      <c r="A304" s="180">
        <v>38847</v>
      </c>
      <c r="B304" s="300" t="s">
        <v>1034</v>
      </c>
      <c r="C304" s="98" t="s">
        <v>460</v>
      </c>
      <c r="D304" s="98">
        <v>10</v>
      </c>
      <c r="E304" s="181">
        <v>234.7</v>
      </c>
      <c r="F304" s="181">
        <v>238.25</v>
      </c>
      <c r="G304" s="182">
        <f t="shared" si="155"/>
        <v>0.12</v>
      </c>
      <c r="H304" s="182"/>
      <c r="I304" s="182"/>
      <c r="J304" s="182">
        <f t="shared" si="156"/>
        <v>0.12</v>
      </c>
      <c r="K304" s="182">
        <f t="shared" si="157"/>
        <v>3.5500000000000114</v>
      </c>
      <c r="L304" s="181">
        <f t="shared" si="158"/>
        <v>4729.5</v>
      </c>
      <c r="M304" s="181">
        <f t="shared" si="159"/>
        <v>35.500000000000114</v>
      </c>
      <c r="N304" s="181">
        <f t="shared" si="160"/>
        <v>2.4</v>
      </c>
      <c r="O304" s="181">
        <f t="shared" si="169"/>
        <v>0.29375999999999997</v>
      </c>
      <c r="P304" s="181">
        <f t="shared" si="162"/>
        <v>0.95</v>
      </c>
      <c r="Q304" s="181">
        <f t="shared" si="163"/>
        <v>0.1655325</v>
      </c>
      <c r="R304" s="182">
        <f t="shared" si="164"/>
        <v>9.4590000000000007E-2</v>
      </c>
      <c r="S304" s="182">
        <f t="shared" si="165"/>
        <v>1.5038825</v>
      </c>
      <c r="T304" s="180"/>
      <c r="U304" s="362">
        <f t="shared" si="166"/>
        <v>31.6</v>
      </c>
      <c r="V304" s="362">
        <f t="shared" si="167"/>
        <v>35.500000000000114</v>
      </c>
      <c r="W304" s="362">
        <v>31</v>
      </c>
      <c r="X304" s="183">
        <f t="shared" si="168"/>
        <v>0.60000000000000142</v>
      </c>
      <c r="Y304" s="41" t="s">
        <v>418</v>
      </c>
      <c r="Z304" s="98"/>
    </row>
    <row r="305" spans="1:26" ht="12" customHeight="1">
      <c r="A305" s="180">
        <v>38847</v>
      </c>
      <c r="B305" s="300" t="s">
        <v>1094</v>
      </c>
      <c r="C305" s="98" t="s">
        <v>460</v>
      </c>
      <c r="D305" s="98">
        <v>20</v>
      </c>
      <c r="E305" s="181">
        <v>327.2</v>
      </c>
      <c r="F305" s="181">
        <v>319.3</v>
      </c>
      <c r="G305" s="182">
        <f t="shared" si="155"/>
        <v>0.16</v>
      </c>
      <c r="H305" s="182"/>
      <c r="I305" s="182"/>
      <c r="J305" s="182">
        <f t="shared" si="156"/>
        <v>0.16</v>
      </c>
      <c r="K305" s="182">
        <f t="shared" si="157"/>
        <v>-7.8999999999999773</v>
      </c>
      <c r="L305" s="181">
        <f t="shared" si="158"/>
        <v>12930</v>
      </c>
      <c r="M305" s="181">
        <f t="shared" si="159"/>
        <v>-157.99999999999955</v>
      </c>
      <c r="N305" s="181">
        <f t="shared" si="160"/>
        <v>6.4</v>
      </c>
      <c r="O305" s="181">
        <f t="shared" si="169"/>
        <v>0.78336000000000006</v>
      </c>
      <c r="P305" s="181">
        <f t="shared" si="162"/>
        <v>2.59</v>
      </c>
      <c r="Q305" s="181">
        <f t="shared" si="163"/>
        <v>0.45254999999999995</v>
      </c>
      <c r="R305" s="182">
        <f t="shared" si="164"/>
        <v>0.2586</v>
      </c>
      <c r="S305" s="182">
        <f t="shared" si="165"/>
        <v>4.0845099999999999</v>
      </c>
      <c r="T305" s="180"/>
      <c r="U305" s="362">
        <f t="shared" si="166"/>
        <v>-168.48</v>
      </c>
      <c r="V305" s="362">
        <f t="shared" si="167"/>
        <v>-157.99999999999955</v>
      </c>
      <c r="W305" s="362">
        <v>-169</v>
      </c>
      <c r="X305" s="183">
        <f t="shared" si="168"/>
        <v>0.52000000000001023</v>
      </c>
      <c r="Y305" s="41" t="s">
        <v>418</v>
      </c>
      <c r="Z305" s="98"/>
    </row>
    <row r="306" spans="1:26" ht="12" customHeight="1">
      <c r="A306" s="180">
        <v>38848</v>
      </c>
      <c r="B306" s="300" t="s">
        <v>1063</v>
      </c>
      <c r="C306" s="98" t="s">
        <v>1058</v>
      </c>
      <c r="D306" s="98">
        <v>50</v>
      </c>
      <c r="E306" s="181">
        <v>88.25</v>
      </c>
      <c r="F306" s="181">
        <v>89.95</v>
      </c>
      <c r="G306" s="182">
        <f t="shared" si="155"/>
        <v>0.05</v>
      </c>
      <c r="H306" s="182"/>
      <c r="I306" s="182"/>
      <c r="J306" s="182">
        <f t="shared" si="156"/>
        <v>0.05</v>
      </c>
      <c r="K306" s="182">
        <f t="shared" si="157"/>
        <v>1.7000000000000028</v>
      </c>
      <c r="L306" s="181">
        <f t="shared" si="158"/>
        <v>8910</v>
      </c>
      <c r="M306" s="181">
        <f t="shared" si="159"/>
        <v>85.000000000000142</v>
      </c>
      <c r="N306" s="181">
        <f t="shared" si="160"/>
        <v>5</v>
      </c>
      <c r="O306" s="181">
        <f t="shared" si="169"/>
        <v>0.61199999999999999</v>
      </c>
      <c r="P306" s="181">
        <f t="shared" ref="P306:P321" si="170">ROUND(((F306-J306)*D306)*E$330,2)</f>
        <v>0.9</v>
      </c>
      <c r="Q306" s="181">
        <f t="shared" si="163"/>
        <v>0.31184999999999996</v>
      </c>
      <c r="R306" s="182">
        <f t="shared" si="164"/>
        <v>0.17820000000000003</v>
      </c>
      <c r="S306" s="182">
        <f t="shared" si="165"/>
        <v>2.0020500000000001</v>
      </c>
      <c r="T306" s="180"/>
      <c r="U306" s="362">
        <f t="shared" si="166"/>
        <v>78</v>
      </c>
      <c r="V306" s="362">
        <f t="shared" si="167"/>
        <v>85.000000000000142</v>
      </c>
      <c r="W306" s="362">
        <v>76.599999999999994</v>
      </c>
      <c r="X306" s="183">
        <f t="shared" si="168"/>
        <v>1.4000000000000057</v>
      </c>
      <c r="Y306" s="41" t="s">
        <v>418</v>
      </c>
      <c r="Z306" s="98"/>
    </row>
    <row r="307" spans="1:26" ht="12" customHeight="1">
      <c r="A307" s="180">
        <v>38848</v>
      </c>
      <c r="B307" s="300" t="s">
        <v>1093</v>
      </c>
      <c r="C307" s="98" t="s">
        <v>460</v>
      </c>
      <c r="D307" s="98">
        <v>75</v>
      </c>
      <c r="E307" s="181">
        <v>371.33</v>
      </c>
      <c r="F307" s="181">
        <v>379.27</v>
      </c>
      <c r="G307" s="182">
        <f t="shared" si="155"/>
        <v>0.19</v>
      </c>
      <c r="H307" s="182"/>
      <c r="I307" s="182"/>
      <c r="J307" s="182">
        <f t="shared" si="156"/>
        <v>0.19</v>
      </c>
      <c r="K307" s="182">
        <f t="shared" si="157"/>
        <v>7.9399999999999977</v>
      </c>
      <c r="L307" s="181">
        <f t="shared" si="158"/>
        <v>56295</v>
      </c>
      <c r="M307" s="181">
        <f t="shared" si="159"/>
        <v>595.49999999999977</v>
      </c>
      <c r="N307" s="181">
        <f t="shared" si="160"/>
        <v>28.5</v>
      </c>
      <c r="O307" s="181">
        <f t="shared" si="169"/>
        <v>3.4883999999999999</v>
      </c>
      <c r="P307" s="181">
        <f t="shared" si="170"/>
        <v>5.69</v>
      </c>
      <c r="Q307" s="181">
        <f t="shared" si="163"/>
        <v>1.9703249999999999</v>
      </c>
      <c r="R307" s="182">
        <f t="shared" si="164"/>
        <v>1.1259000000000001</v>
      </c>
      <c r="S307" s="182">
        <f t="shared" si="165"/>
        <v>12.274624999999999</v>
      </c>
      <c r="T307" s="180"/>
      <c r="U307" s="362">
        <f t="shared" si="166"/>
        <v>554.73</v>
      </c>
      <c r="V307" s="362">
        <f t="shared" si="167"/>
        <v>595.49999999999977</v>
      </c>
      <c r="W307" s="362">
        <v>550</v>
      </c>
      <c r="X307" s="183">
        <f t="shared" si="168"/>
        <v>4.7300000000000182</v>
      </c>
      <c r="Y307" s="41" t="s">
        <v>418</v>
      </c>
      <c r="Z307" s="98"/>
    </row>
    <row r="308" spans="1:26" ht="12" customHeight="1">
      <c r="A308" s="180">
        <v>38848</v>
      </c>
      <c r="B308" s="300" t="s">
        <v>1063</v>
      </c>
      <c r="C308" s="98" t="s">
        <v>460</v>
      </c>
      <c r="D308" s="98">
        <v>50</v>
      </c>
      <c r="E308" s="181">
        <v>88.2</v>
      </c>
      <c r="F308" s="181">
        <v>89.95</v>
      </c>
      <c r="G308" s="182">
        <f t="shared" si="155"/>
        <v>0.05</v>
      </c>
      <c r="H308" s="182"/>
      <c r="I308" s="182"/>
      <c r="J308" s="182">
        <f t="shared" si="156"/>
        <v>0.05</v>
      </c>
      <c r="K308" s="182">
        <f t="shared" si="157"/>
        <v>1.75</v>
      </c>
      <c r="L308" s="181">
        <f t="shared" si="158"/>
        <v>8907.5</v>
      </c>
      <c r="M308" s="181">
        <f t="shared" si="159"/>
        <v>87.5</v>
      </c>
      <c r="N308" s="181">
        <f t="shared" si="160"/>
        <v>5</v>
      </c>
      <c r="O308" s="181">
        <f t="shared" si="169"/>
        <v>0.61199999999999999</v>
      </c>
      <c r="P308" s="181">
        <f t="shared" si="170"/>
        <v>0.9</v>
      </c>
      <c r="Q308" s="181">
        <f t="shared" si="163"/>
        <v>0.3117625</v>
      </c>
      <c r="R308" s="182">
        <f t="shared" si="164"/>
        <v>0.17815</v>
      </c>
      <c r="S308" s="182">
        <f t="shared" si="165"/>
        <v>2.0019125</v>
      </c>
      <c r="T308" s="180"/>
      <c r="U308" s="362">
        <f t="shared" si="166"/>
        <v>80.5</v>
      </c>
      <c r="V308" s="362">
        <f t="shared" si="167"/>
        <v>87.5</v>
      </c>
      <c r="W308" s="362">
        <v>79</v>
      </c>
      <c r="X308" s="183">
        <f t="shared" si="168"/>
        <v>1.5</v>
      </c>
      <c r="Y308" s="41" t="s">
        <v>418</v>
      </c>
      <c r="Z308" s="98"/>
    </row>
    <row r="309" spans="1:26" ht="12" customHeight="1">
      <c r="A309" s="180">
        <v>38848</v>
      </c>
      <c r="B309" s="300" t="s">
        <v>1026</v>
      </c>
      <c r="C309" s="98" t="s">
        <v>460</v>
      </c>
      <c r="D309" s="98">
        <v>200</v>
      </c>
      <c r="E309" s="181">
        <v>27.45</v>
      </c>
      <c r="F309" s="181">
        <v>27.28</v>
      </c>
      <c r="G309" s="182">
        <f t="shared" si="155"/>
        <v>0.05</v>
      </c>
      <c r="H309" s="182"/>
      <c r="I309" s="182"/>
      <c r="J309" s="182">
        <f t="shared" si="156"/>
        <v>0.05</v>
      </c>
      <c r="K309" s="182">
        <f t="shared" si="157"/>
        <v>-0.16999999999999815</v>
      </c>
      <c r="L309" s="181">
        <f t="shared" si="158"/>
        <v>10946</v>
      </c>
      <c r="M309" s="181">
        <f t="shared" si="159"/>
        <v>-33.999999999999631</v>
      </c>
      <c r="N309" s="181">
        <f t="shared" si="160"/>
        <v>20</v>
      </c>
      <c r="O309" s="181">
        <f t="shared" si="169"/>
        <v>2.448</v>
      </c>
      <c r="P309" s="181">
        <f t="shared" si="170"/>
        <v>1.0900000000000001</v>
      </c>
      <c r="Q309" s="181">
        <f t="shared" si="163"/>
        <v>0.38310999999999995</v>
      </c>
      <c r="R309" s="182">
        <f t="shared" si="164"/>
        <v>0.21892000000000003</v>
      </c>
      <c r="S309" s="182">
        <f t="shared" si="165"/>
        <v>4.1400300000000003</v>
      </c>
      <c r="T309" s="180"/>
      <c r="U309" s="362">
        <f t="shared" si="166"/>
        <v>-58.14</v>
      </c>
      <c r="V309" s="362">
        <f t="shared" si="167"/>
        <v>-33.999999999999631</v>
      </c>
      <c r="W309" s="362">
        <v>-59</v>
      </c>
      <c r="X309" s="183">
        <f t="shared" si="168"/>
        <v>0.85999999999999943</v>
      </c>
      <c r="Y309" s="41" t="s">
        <v>418</v>
      </c>
      <c r="Z309" s="98"/>
    </row>
    <row r="310" spans="1:26" ht="12" customHeight="1">
      <c r="A310" s="180">
        <v>38849</v>
      </c>
      <c r="B310" s="300" t="s">
        <v>1095</v>
      </c>
      <c r="C310" s="98" t="s">
        <v>460</v>
      </c>
      <c r="D310" s="98">
        <v>100</v>
      </c>
      <c r="E310" s="181">
        <v>325.77999999999997</v>
      </c>
      <c r="F310" s="181">
        <v>327.25</v>
      </c>
      <c r="G310" s="182">
        <f t="shared" si="155"/>
        <v>0.16</v>
      </c>
      <c r="H310" s="182"/>
      <c r="I310" s="182"/>
      <c r="J310" s="182">
        <f t="shared" si="156"/>
        <v>0.16</v>
      </c>
      <c r="K310" s="182">
        <f t="shared" si="157"/>
        <v>1.4700000000000273</v>
      </c>
      <c r="L310" s="181">
        <f t="shared" si="158"/>
        <v>65303</v>
      </c>
      <c r="M310" s="181">
        <f t="shared" si="159"/>
        <v>147.00000000000273</v>
      </c>
      <c r="N310" s="181">
        <f t="shared" si="160"/>
        <v>32</v>
      </c>
      <c r="O310" s="181">
        <f t="shared" si="169"/>
        <v>3.9167999999999998</v>
      </c>
      <c r="P310" s="181">
        <f t="shared" si="170"/>
        <v>6.54</v>
      </c>
      <c r="Q310" s="181">
        <f t="shared" si="163"/>
        <v>2.2856049999999999</v>
      </c>
      <c r="R310" s="182">
        <f t="shared" si="164"/>
        <v>1.30606</v>
      </c>
      <c r="S310" s="182">
        <f t="shared" si="165"/>
        <v>14.048465</v>
      </c>
      <c r="T310" s="180"/>
      <c r="U310" s="362">
        <f t="shared" si="166"/>
        <v>100.95</v>
      </c>
      <c r="V310" s="362">
        <f t="shared" si="167"/>
        <v>147.00000000000273</v>
      </c>
      <c r="W310" s="362">
        <v>95</v>
      </c>
      <c r="X310" s="183">
        <f t="shared" si="168"/>
        <v>5.9500000000000028</v>
      </c>
      <c r="Y310" s="41" t="s">
        <v>418</v>
      </c>
      <c r="Z310" s="98"/>
    </row>
    <row r="311" spans="1:26" ht="12" customHeight="1">
      <c r="A311" s="180">
        <v>38849</v>
      </c>
      <c r="B311" s="300" t="s">
        <v>1093</v>
      </c>
      <c r="C311" s="98" t="s">
        <v>460</v>
      </c>
      <c r="D311" s="98">
        <v>75</v>
      </c>
      <c r="E311" s="181">
        <v>366.67</v>
      </c>
      <c r="F311" s="181">
        <v>369.3</v>
      </c>
      <c r="G311" s="182">
        <f t="shared" si="155"/>
        <v>0.18</v>
      </c>
      <c r="H311" s="182"/>
      <c r="I311" s="182"/>
      <c r="J311" s="182">
        <f t="shared" si="156"/>
        <v>0.18</v>
      </c>
      <c r="K311" s="182">
        <f t="shared" si="157"/>
        <v>2.6299999999999955</v>
      </c>
      <c r="L311" s="181">
        <f t="shared" si="158"/>
        <v>55197.75</v>
      </c>
      <c r="M311" s="181">
        <f t="shared" si="159"/>
        <v>197.24999999999966</v>
      </c>
      <c r="N311" s="181">
        <f t="shared" si="160"/>
        <v>27</v>
      </c>
      <c r="O311" s="181">
        <f t="shared" si="169"/>
        <v>3.3047999999999997</v>
      </c>
      <c r="P311" s="181">
        <f t="shared" si="170"/>
        <v>5.54</v>
      </c>
      <c r="Q311" s="181">
        <f t="shared" si="163"/>
        <v>1.9319212499999998</v>
      </c>
      <c r="R311" s="182">
        <f t="shared" si="164"/>
        <v>1.103955</v>
      </c>
      <c r="S311" s="182">
        <f t="shared" si="165"/>
        <v>11.88067625</v>
      </c>
      <c r="T311" s="180"/>
      <c r="U311" s="362">
        <f t="shared" si="166"/>
        <v>158.37</v>
      </c>
      <c r="V311" s="362">
        <f t="shared" si="167"/>
        <v>197.24999999999966</v>
      </c>
      <c r="W311" s="362">
        <v>153</v>
      </c>
      <c r="X311" s="183">
        <f t="shared" si="168"/>
        <v>5.3700000000000045</v>
      </c>
      <c r="Y311" s="41" t="s">
        <v>418</v>
      </c>
      <c r="Z311" s="98"/>
    </row>
    <row r="312" spans="1:26" ht="12" customHeight="1">
      <c r="A312" s="180">
        <v>38849</v>
      </c>
      <c r="B312" s="300" t="s">
        <v>1092</v>
      </c>
      <c r="C312" s="98" t="s">
        <v>460</v>
      </c>
      <c r="D312" s="98">
        <v>50</v>
      </c>
      <c r="E312" s="181">
        <v>271.5</v>
      </c>
      <c r="F312" s="181">
        <v>273.89999999999998</v>
      </c>
      <c r="G312" s="182">
        <f t="shared" si="155"/>
        <v>0.14000000000000001</v>
      </c>
      <c r="H312" s="182"/>
      <c r="I312" s="182"/>
      <c r="J312" s="182">
        <f t="shared" si="156"/>
        <v>0.14000000000000001</v>
      </c>
      <c r="K312" s="182">
        <f t="shared" si="157"/>
        <v>2.3999999999999773</v>
      </c>
      <c r="L312" s="181">
        <f t="shared" si="158"/>
        <v>27270</v>
      </c>
      <c r="M312" s="181">
        <f t="shared" si="159"/>
        <v>119.99999999999886</v>
      </c>
      <c r="N312" s="181">
        <f t="shared" si="160"/>
        <v>14.000000000000002</v>
      </c>
      <c r="O312" s="181">
        <f t="shared" si="169"/>
        <v>1.7136000000000002</v>
      </c>
      <c r="P312" s="181">
        <f t="shared" si="170"/>
        <v>2.74</v>
      </c>
      <c r="Q312" s="181">
        <f t="shared" si="163"/>
        <v>0.95444999999999991</v>
      </c>
      <c r="R312" s="182">
        <f t="shared" si="164"/>
        <v>0.5454</v>
      </c>
      <c r="S312" s="182">
        <f t="shared" si="165"/>
        <v>5.9534500000000001</v>
      </c>
      <c r="T312" s="180"/>
      <c r="U312" s="362">
        <f t="shared" si="166"/>
        <v>100.05</v>
      </c>
      <c r="V312" s="362">
        <f t="shared" si="167"/>
        <v>119.99999999999886</v>
      </c>
      <c r="W312" s="362">
        <v>95</v>
      </c>
      <c r="X312" s="183">
        <f t="shared" si="168"/>
        <v>5.0499999999999972</v>
      </c>
      <c r="Y312" s="41" t="s">
        <v>418</v>
      </c>
      <c r="Z312" s="98"/>
    </row>
    <row r="313" spans="1:26" ht="12" customHeight="1">
      <c r="A313" s="180">
        <v>38849</v>
      </c>
      <c r="B313" s="300" t="s">
        <v>1063</v>
      </c>
      <c r="C313" s="98" t="s">
        <v>460</v>
      </c>
      <c r="D313" s="98">
        <v>200</v>
      </c>
      <c r="E313" s="181">
        <v>85.03</v>
      </c>
      <c r="F313" s="181">
        <v>85.4</v>
      </c>
      <c r="G313" s="182">
        <f t="shared" si="155"/>
        <v>0.05</v>
      </c>
      <c r="H313" s="182"/>
      <c r="I313" s="182"/>
      <c r="J313" s="182">
        <f t="shared" si="156"/>
        <v>0.05</v>
      </c>
      <c r="K313" s="182">
        <f t="shared" si="157"/>
        <v>0.37000000000000455</v>
      </c>
      <c r="L313" s="181">
        <f t="shared" si="158"/>
        <v>34086</v>
      </c>
      <c r="M313" s="181">
        <f t="shared" si="159"/>
        <v>74.000000000000909</v>
      </c>
      <c r="N313" s="181">
        <f t="shared" si="160"/>
        <v>20</v>
      </c>
      <c r="O313" s="181">
        <f t="shared" si="169"/>
        <v>2.448</v>
      </c>
      <c r="P313" s="181">
        <f t="shared" si="170"/>
        <v>3.41</v>
      </c>
      <c r="Q313" s="181">
        <f t="shared" si="163"/>
        <v>1.1930099999999999</v>
      </c>
      <c r="R313" s="182">
        <f t="shared" si="164"/>
        <v>0.6817200000000001</v>
      </c>
      <c r="S313" s="182">
        <f t="shared" si="165"/>
        <v>7.732730000000001</v>
      </c>
      <c r="T313" s="180"/>
      <c r="U313" s="362">
        <f t="shared" si="166"/>
        <v>46.27</v>
      </c>
      <c r="V313" s="362">
        <f t="shared" si="167"/>
        <v>74.000000000000909</v>
      </c>
      <c r="W313" s="362">
        <v>42</v>
      </c>
      <c r="X313" s="183">
        <f t="shared" si="168"/>
        <v>4.2700000000000031</v>
      </c>
      <c r="Y313" s="41" t="s">
        <v>418</v>
      </c>
      <c r="Z313" s="98"/>
    </row>
    <row r="314" spans="1:26" ht="12" customHeight="1">
      <c r="A314" s="180">
        <v>38853</v>
      </c>
      <c r="B314" s="300" t="s">
        <v>1063</v>
      </c>
      <c r="C314" s="98" t="s">
        <v>460</v>
      </c>
      <c r="D314" s="98">
        <v>200</v>
      </c>
      <c r="E314" s="181">
        <v>72.88</v>
      </c>
      <c r="F314" s="181">
        <v>73.650000000000006</v>
      </c>
      <c r="G314" s="182">
        <f t="shared" si="155"/>
        <v>0.05</v>
      </c>
      <c r="H314" s="182"/>
      <c r="I314" s="182"/>
      <c r="J314" s="182">
        <f t="shared" si="156"/>
        <v>0.05</v>
      </c>
      <c r="K314" s="182">
        <f t="shared" si="157"/>
        <v>0.77000000000001023</v>
      </c>
      <c r="L314" s="181">
        <f t="shared" si="158"/>
        <v>29306</v>
      </c>
      <c r="M314" s="181">
        <f t="shared" si="159"/>
        <v>154.00000000000205</v>
      </c>
      <c r="N314" s="181">
        <f t="shared" si="160"/>
        <v>20</v>
      </c>
      <c r="O314" s="181">
        <f t="shared" si="169"/>
        <v>2.448</v>
      </c>
      <c r="P314" s="181">
        <f t="shared" si="170"/>
        <v>2.94</v>
      </c>
      <c r="Q314" s="181">
        <f t="shared" si="163"/>
        <v>1.0257099999999999</v>
      </c>
      <c r="R314" s="182">
        <f t="shared" si="164"/>
        <v>0.58612000000000009</v>
      </c>
      <c r="S314" s="182">
        <f t="shared" si="165"/>
        <v>6.9998300000000002</v>
      </c>
      <c r="T314" s="180"/>
      <c r="U314" s="362">
        <f t="shared" si="166"/>
        <v>127</v>
      </c>
      <c r="V314" s="362">
        <f t="shared" si="167"/>
        <v>154.00000000000205</v>
      </c>
      <c r="W314" s="362">
        <v>127</v>
      </c>
      <c r="X314" s="183">
        <f t="shared" si="168"/>
        <v>0</v>
      </c>
      <c r="Y314" s="41" t="s">
        <v>418</v>
      </c>
      <c r="Z314" s="98"/>
    </row>
    <row r="315" spans="1:26" ht="12" customHeight="1">
      <c r="A315" s="180">
        <v>38853</v>
      </c>
      <c r="B315" s="300" t="s">
        <v>1026</v>
      </c>
      <c r="C315" s="98" t="s">
        <v>460</v>
      </c>
      <c r="D315" s="98">
        <v>200</v>
      </c>
      <c r="E315" s="181">
        <v>23.75</v>
      </c>
      <c r="F315" s="181">
        <v>24.25</v>
      </c>
      <c r="G315" s="182">
        <f t="shared" si="155"/>
        <v>0.05</v>
      </c>
      <c r="H315" s="182"/>
      <c r="I315" s="182"/>
      <c r="J315" s="182">
        <f t="shared" si="156"/>
        <v>0.05</v>
      </c>
      <c r="K315" s="182">
        <f t="shared" si="157"/>
        <v>0.5</v>
      </c>
      <c r="L315" s="181">
        <f t="shared" si="158"/>
        <v>9600</v>
      </c>
      <c r="M315" s="181">
        <f t="shared" si="159"/>
        <v>100</v>
      </c>
      <c r="N315" s="181">
        <f t="shared" si="160"/>
        <v>20</v>
      </c>
      <c r="O315" s="181">
        <f t="shared" si="169"/>
        <v>2.448</v>
      </c>
      <c r="P315" s="181">
        <f t="shared" si="170"/>
        <v>0.97</v>
      </c>
      <c r="Q315" s="181">
        <f t="shared" si="163"/>
        <v>0.33599999999999997</v>
      </c>
      <c r="R315" s="182">
        <f t="shared" si="164"/>
        <v>0.192</v>
      </c>
      <c r="S315" s="182">
        <f t="shared" si="165"/>
        <v>3.9460000000000002</v>
      </c>
      <c r="T315" s="180"/>
      <c r="U315" s="362">
        <f t="shared" si="166"/>
        <v>76.05</v>
      </c>
      <c r="V315" s="362">
        <f t="shared" si="167"/>
        <v>100</v>
      </c>
      <c r="W315" s="362">
        <v>76</v>
      </c>
      <c r="X315" s="183">
        <f t="shared" si="168"/>
        <v>4.9999999999997158E-2</v>
      </c>
      <c r="Y315" s="41" t="s">
        <v>418</v>
      </c>
      <c r="Z315" s="98"/>
    </row>
    <row r="316" spans="1:26" ht="12" customHeight="1">
      <c r="A316" s="180">
        <v>38854</v>
      </c>
      <c r="B316" s="300" t="s">
        <v>297</v>
      </c>
      <c r="C316" s="98" t="s">
        <v>460</v>
      </c>
      <c r="D316" s="98">
        <v>5</v>
      </c>
      <c r="E316" s="181">
        <v>1419.44</v>
      </c>
      <c r="F316" s="181">
        <v>1435</v>
      </c>
      <c r="G316" s="182">
        <f t="shared" si="155"/>
        <v>0.71</v>
      </c>
      <c r="H316" s="182"/>
      <c r="I316" s="182"/>
      <c r="J316" s="182">
        <f t="shared" si="156"/>
        <v>0.72</v>
      </c>
      <c r="K316" s="182">
        <f t="shared" si="157"/>
        <v>15.559999999999945</v>
      </c>
      <c r="L316" s="181">
        <f t="shared" si="158"/>
        <v>14272.15</v>
      </c>
      <c r="M316" s="181">
        <f t="shared" si="159"/>
        <v>77.799999999999727</v>
      </c>
      <c r="N316" s="181">
        <f t="shared" si="160"/>
        <v>7.1499999999999995</v>
      </c>
      <c r="O316" s="181">
        <f t="shared" si="169"/>
        <v>0.87515999999999994</v>
      </c>
      <c r="P316" s="181">
        <f t="shared" si="170"/>
        <v>1.43</v>
      </c>
      <c r="Q316" s="181">
        <f t="shared" si="163"/>
        <v>0.49952524999999992</v>
      </c>
      <c r="R316" s="182">
        <f t="shared" si="164"/>
        <v>0.285443</v>
      </c>
      <c r="S316" s="182">
        <f t="shared" si="165"/>
        <v>3.0901282499999998</v>
      </c>
      <c r="T316" s="180"/>
      <c r="U316" s="362">
        <f t="shared" si="166"/>
        <v>67.56</v>
      </c>
      <c r="V316" s="362">
        <f t="shared" si="167"/>
        <v>77.799999999999727</v>
      </c>
      <c r="W316" s="362">
        <v>65.92</v>
      </c>
      <c r="X316" s="183">
        <f t="shared" si="168"/>
        <v>1.6400000000000006</v>
      </c>
      <c r="Y316" s="41" t="s">
        <v>418</v>
      </c>
      <c r="Z316" s="98"/>
    </row>
    <row r="317" spans="1:26" ht="12" customHeight="1">
      <c r="A317" s="180">
        <v>38856</v>
      </c>
      <c r="B317" s="300" t="s">
        <v>1064</v>
      </c>
      <c r="C317" s="98" t="s">
        <v>460</v>
      </c>
      <c r="D317" s="98">
        <v>50</v>
      </c>
      <c r="E317" s="181">
        <v>162</v>
      </c>
      <c r="F317" s="181">
        <v>162.30000000000001</v>
      </c>
      <c r="G317" s="182">
        <f t="shared" si="155"/>
        <v>0.08</v>
      </c>
      <c r="H317" s="182"/>
      <c r="I317" s="182"/>
      <c r="J317" s="182">
        <f t="shared" si="156"/>
        <v>0.08</v>
      </c>
      <c r="K317" s="182">
        <f t="shared" si="157"/>
        <v>0.30000000000001137</v>
      </c>
      <c r="L317" s="181">
        <f t="shared" si="158"/>
        <v>16215</v>
      </c>
      <c r="M317" s="181">
        <f t="shared" si="159"/>
        <v>15.000000000000568</v>
      </c>
      <c r="N317" s="181">
        <f t="shared" si="160"/>
        <v>8</v>
      </c>
      <c r="O317" s="181">
        <f t="shared" si="169"/>
        <v>0.97919999999999996</v>
      </c>
      <c r="P317" s="181">
        <f t="shared" si="170"/>
        <v>1.62</v>
      </c>
      <c r="Q317" s="181">
        <f t="shared" si="163"/>
        <v>0.56752499999999995</v>
      </c>
      <c r="R317" s="182">
        <f t="shared" si="164"/>
        <v>0.32430000000000003</v>
      </c>
      <c r="S317" s="182">
        <f t="shared" si="165"/>
        <v>3.491025</v>
      </c>
      <c r="T317" s="180"/>
      <c r="U317" s="362">
        <f t="shared" si="166"/>
        <v>3.51</v>
      </c>
      <c r="V317" s="362">
        <f t="shared" si="167"/>
        <v>15.000000000000568</v>
      </c>
      <c r="W317" s="362"/>
      <c r="X317" s="183">
        <f t="shared" si="168"/>
        <v>3.51</v>
      </c>
      <c r="Y317" s="41" t="s">
        <v>418</v>
      </c>
      <c r="Z317" s="98"/>
    </row>
    <row r="318" spans="1:26" ht="12" customHeight="1">
      <c r="A318" s="180">
        <v>38856</v>
      </c>
      <c r="B318" s="300" t="s">
        <v>297</v>
      </c>
      <c r="C318" s="98" t="s">
        <v>460</v>
      </c>
      <c r="D318" s="98">
        <v>30</v>
      </c>
      <c r="E318" s="181">
        <v>1318.33</v>
      </c>
      <c r="F318" s="181">
        <v>1321.67</v>
      </c>
      <c r="G318" s="182">
        <f t="shared" si="155"/>
        <v>0.66</v>
      </c>
      <c r="H318" s="182"/>
      <c r="I318" s="182"/>
      <c r="J318" s="182">
        <f t="shared" si="156"/>
        <v>0.66</v>
      </c>
      <c r="K318" s="182">
        <f t="shared" si="157"/>
        <v>3.3400000000001455</v>
      </c>
      <c r="L318" s="181">
        <f t="shared" si="158"/>
        <v>79200</v>
      </c>
      <c r="M318" s="181">
        <f t="shared" si="159"/>
        <v>100.20000000000437</v>
      </c>
      <c r="N318" s="181">
        <f t="shared" si="160"/>
        <v>39.6</v>
      </c>
      <c r="O318" s="181">
        <f t="shared" si="169"/>
        <v>4.8470399999999998</v>
      </c>
      <c r="P318" s="181">
        <f t="shared" si="170"/>
        <v>7.93</v>
      </c>
      <c r="Q318" s="181">
        <f t="shared" si="163"/>
        <v>2.7719999999999998</v>
      </c>
      <c r="R318" s="182">
        <f t="shared" si="164"/>
        <v>1.5840000000000001</v>
      </c>
      <c r="S318" s="182">
        <f t="shared" si="165"/>
        <v>17.133040000000001</v>
      </c>
      <c r="T318" s="180"/>
      <c r="U318" s="362">
        <f t="shared" si="166"/>
        <v>43.47</v>
      </c>
      <c r="V318" s="362">
        <f t="shared" si="167"/>
        <v>100.20000000000437</v>
      </c>
      <c r="W318" s="362"/>
      <c r="X318" s="183">
        <f t="shared" si="168"/>
        <v>43.47</v>
      </c>
      <c r="Y318" s="41" t="s">
        <v>418</v>
      </c>
      <c r="Z318" s="98"/>
    </row>
    <row r="319" spans="1:26" ht="12" customHeight="1">
      <c r="A319" s="180">
        <v>38891</v>
      </c>
      <c r="B319" s="300" t="s">
        <v>1034</v>
      </c>
      <c r="C319" s="98" t="s">
        <v>460</v>
      </c>
      <c r="D319" s="98">
        <v>25</v>
      </c>
      <c r="E319" s="181">
        <v>170.5</v>
      </c>
      <c r="F319" s="181">
        <v>171.9</v>
      </c>
      <c r="G319" s="182">
        <f t="shared" si="155"/>
        <v>0.09</v>
      </c>
      <c r="H319" s="182"/>
      <c r="I319" s="182"/>
      <c r="J319" s="182">
        <f t="shared" si="156"/>
        <v>0.09</v>
      </c>
      <c r="K319" s="182">
        <f t="shared" si="157"/>
        <v>1.4000000000000057</v>
      </c>
      <c r="L319" s="181">
        <f t="shared" si="158"/>
        <v>8560</v>
      </c>
      <c r="M319" s="181">
        <f t="shared" si="159"/>
        <v>35.000000000000142</v>
      </c>
      <c r="N319" s="181">
        <f t="shared" si="160"/>
        <v>4.5</v>
      </c>
      <c r="O319" s="181">
        <f t="shared" si="169"/>
        <v>0.55079999999999996</v>
      </c>
      <c r="P319" s="181">
        <f t="shared" si="170"/>
        <v>0.86</v>
      </c>
      <c r="Q319" s="181">
        <f t="shared" si="163"/>
        <v>0.29959999999999998</v>
      </c>
      <c r="R319" s="182">
        <f t="shared" si="164"/>
        <v>0.17120000000000002</v>
      </c>
      <c r="S319" s="182">
        <f t="shared" si="165"/>
        <v>1.8815999999999999</v>
      </c>
      <c r="T319" s="180"/>
      <c r="U319" s="362">
        <f t="shared" si="166"/>
        <v>28.62</v>
      </c>
      <c r="V319" s="362">
        <f t="shared" si="167"/>
        <v>35.000000000000142</v>
      </c>
      <c r="W319" s="362"/>
      <c r="X319" s="183">
        <f t="shared" si="168"/>
        <v>28.62</v>
      </c>
      <c r="Y319" s="41" t="s">
        <v>418</v>
      </c>
      <c r="Z319" s="98"/>
    </row>
    <row r="320" spans="1:26" ht="12" customHeight="1">
      <c r="A320" s="180">
        <v>38911</v>
      </c>
      <c r="B320" s="300" t="s">
        <v>1011</v>
      </c>
      <c r="C320" s="98" t="s">
        <v>1058</v>
      </c>
      <c r="D320" s="98">
        <v>50</v>
      </c>
      <c r="E320" s="181">
        <v>109.05</v>
      </c>
      <c r="F320" s="181">
        <v>108.65</v>
      </c>
      <c r="G320" s="182">
        <f t="shared" si="155"/>
        <v>0.05</v>
      </c>
      <c r="H320" s="182"/>
      <c r="I320" s="182"/>
      <c r="J320" s="182">
        <f t="shared" si="156"/>
        <v>0.05</v>
      </c>
      <c r="K320" s="182">
        <f t="shared" si="157"/>
        <v>-0.39999999999999147</v>
      </c>
      <c r="L320" s="181">
        <f t="shared" si="158"/>
        <v>10885</v>
      </c>
      <c r="M320" s="181">
        <f t="shared" si="159"/>
        <v>-19.999999999999574</v>
      </c>
      <c r="N320" s="181">
        <f t="shared" si="160"/>
        <v>5</v>
      </c>
      <c r="O320" s="181">
        <f t="shared" si="169"/>
        <v>0.61199999999999999</v>
      </c>
      <c r="P320" s="181">
        <f t="shared" si="170"/>
        <v>1.0900000000000001</v>
      </c>
      <c r="Q320" s="181">
        <f t="shared" si="163"/>
        <v>0.38097499999999995</v>
      </c>
      <c r="R320" s="182">
        <f t="shared" si="164"/>
        <v>0.2177</v>
      </c>
      <c r="S320" s="182">
        <f t="shared" si="165"/>
        <v>2.300675</v>
      </c>
      <c r="T320" s="180"/>
      <c r="U320" s="362">
        <f t="shared" si="166"/>
        <v>-27.3</v>
      </c>
      <c r="V320" s="362">
        <f t="shared" si="167"/>
        <v>-19.999999999999574</v>
      </c>
      <c r="W320" s="362"/>
      <c r="X320" s="183">
        <f t="shared" si="168"/>
        <v>-27.3</v>
      </c>
      <c r="Y320" s="41" t="s">
        <v>418</v>
      </c>
      <c r="Z320" s="98"/>
    </row>
    <row r="321" spans="1:26" ht="12" customHeight="1">
      <c r="A321" s="180">
        <v>38912</v>
      </c>
      <c r="B321" s="300" t="s">
        <v>1011</v>
      </c>
      <c r="C321" s="98" t="s">
        <v>460</v>
      </c>
      <c r="D321" s="98">
        <v>150</v>
      </c>
      <c r="E321" s="181">
        <v>106.55</v>
      </c>
      <c r="F321" s="181">
        <v>106.75</v>
      </c>
      <c r="G321" s="182">
        <f t="shared" si="155"/>
        <v>0.05</v>
      </c>
      <c r="H321" s="182"/>
      <c r="I321" s="182"/>
      <c r="J321" s="182">
        <f t="shared" si="156"/>
        <v>0.05</v>
      </c>
      <c r="K321" s="182">
        <f t="shared" si="157"/>
        <v>0.20000000000000284</v>
      </c>
      <c r="L321" s="181">
        <f t="shared" si="158"/>
        <v>31995</v>
      </c>
      <c r="M321" s="181">
        <f t="shared" si="159"/>
        <v>30.000000000000426</v>
      </c>
      <c r="N321" s="181">
        <f t="shared" si="160"/>
        <v>15</v>
      </c>
      <c r="O321" s="181">
        <f t="shared" si="169"/>
        <v>1.8359999999999999</v>
      </c>
      <c r="P321" s="181">
        <f t="shared" si="170"/>
        <v>3.2</v>
      </c>
      <c r="Q321" s="181">
        <f t="shared" si="163"/>
        <v>1.1198249999999998</v>
      </c>
      <c r="R321" s="182">
        <f t="shared" si="164"/>
        <v>0.63990000000000002</v>
      </c>
      <c r="S321" s="182">
        <f t="shared" si="165"/>
        <v>6.7957249999999991</v>
      </c>
      <c r="T321" s="180"/>
      <c r="U321" s="362">
        <f t="shared" si="166"/>
        <v>8.1999999999999993</v>
      </c>
      <c r="V321" s="362">
        <f t="shared" si="167"/>
        <v>30.000000000000426</v>
      </c>
      <c r="W321" s="362"/>
      <c r="X321" s="183">
        <f t="shared" si="168"/>
        <v>8.1999999999999993</v>
      </c>
      <c r="Y321" s="41" t="s">
        <v>418</v>
      </c>
      <c r="Z321" s="98"/>
    </row>
    <row r="322" spans="1:26" ht="12" customHeight="1">
      <c r="A322" s="180"/>
      <c r="B322" s="300"/>
      <c r="C322" s="300"/>
      <c r="D322" s="98"/>
      <c r="E322" s="181"/>
      <c r="F322" s="181"/>
      <c r="G322" s="182"/>
      <c r="H322" s="182"/>
      <c r="I322" s="182"/>
      <c r="J322" s="182"/>
      <c r="K322" s="182"/>
      <c r="L322" s="181"/>
      <c r="M322" s="181"/>
      <c r="N322" s="181"/>
      <c r="O322" s="181"/>
      <c r="P322" s="181"/>
      <c r="Q322" s="181"/>
      <c r="R322" s="182"/>
      <c r="S322" s="182"/>
      <c r="T322" s="180"/>
      <c r="U322" s="362"/>
      <c r="V322" s="362"/>
      <c r="W322" s="362"/>
      <c r="X322" s="183"/>
      <c r="Y322" s="98"/>
      <c r="Z322" s="98"/>
    </row>
    <row r="323" spans="1:26" ht="12" customHeight="1">
      <c r="A323" s="180"/>
      <c r="B323" s="300"/>
      <c r="C323" s="98"/>
      <c r="D323" s="98">
        <v>1</v>
      </c>
      <c r="E323" s="181">
        <v>100</v>
      </c>
      <c r="F323" s="181">
        <v>100.14</v>
      </c>
      <c r="G323" s="182">
        <f>IF(E323&lt;100,100*0.05%,ROUND(E323*E$327,2))</f>
        <v>0.05</v>
      </c>
      <c r="H323" s="182"/>
      <c r="I323" s="182"/>
      <c r="J323" s="182">
        <f>IF(F323&lt;100,100*0.05%,ROUND(F323*E$327,2))</f>
        <v>0.05</v>
      </c>
      <c r="K323" s="182">
        <f>F323-E323</f>
        <v>0.14000000000000057</v>
      </c>
      <c r="L323" s="181">
        <f>((E323+G323)*D323)+((F323-J323)*D323)</f>
        <v>200.14</v>
      </c>
      <c r="M323" s="181">
        <f>K323*D323</f>
        <v>0.14000000000000057</v>
      </c>
      <c r="N323" s="181">
        <f>(D323*G323)+(D323*J323)</f>
        <v>0.1</v>
      </c>
      <c r="O323" s="181">
        <f>N323*F$328</f>
        <v>1.2240000000000001E-2</v>
      </c>
      <c r="P323" s="181">
        <f>ROUND(((F323-J323)*D323)*E$330,2)</f>
        <v>0.02</v>
      </c>
      <c r="Q323" s="181">
        <f>L323*E$333</f>
        <v>7.0048999999999988E-3</v>
      </c>
      <c r="R323" s="182">
        <f>L323*E$335</f>
        <v>4.0027999999999999E-3</v>
      </c>
      <c r="S323" s="182">
        <f>SUM(O323:R323)</f>
        <v>4.3247700000000007E-2</v>
      </c>
      <c r="T323" s="180"/>
      <c r="U323" s="362">
        <f>ROUND(M323-N323-S323,2)</f>
        <v>0</v>
      </c>
      <c r="V323" s="362">
        <f>K323*D323</f>
        <v>0.14000000000000057</v>
      </c>
      <c r="W323" s="362"/>
      <c r="X323" s="183">
        <f>U323-W323</f>
        <v>0</v>
      </c>
      <c r="Y323" s="41" t="s">
        <v>418</v>
      </c>
      <c r="Z323" s="98"/>
    </row>
    <row r="324" spans="1:26" ht="12" customHeight="1">
      <c r="A324" s="180"/>
      <c r="B324" s="300"/>
      <c r="C324" s="300"/>
      <c r="D324" s="98"/>
      <c r="E324" s="181"/>
      <c r="F324" s="181"/>
      <c r="G324" s="182"/>
      <c r="H324" s="182"/>
      <c r="I324" s="182"/>
      <c r="J324" s="182"/>
      <c r="K324" s="181"/>
      <c r="L324" s="362"/>
      <c r="M324" s="181"/>
      <c r="N324" s="181"/>
      <c r="O324" s="181"/>
      <c r="P324" s="181"/>
      <c r="Q324" s="181"/>
      <c r="R324" s="182"/>
      <c r="S324" s="182"/>
      <c r="T324" s="180"/>
      <c r="U324" s="362"/>
      <c r="V324" s="362"/>
      <c r="W324" s="362"/>
      <c r="X324" s="41"/>
      <c r="Y324" s="98"/>
      <c r="Z324" s="98"/>
    </row>
    <row r="325" spans="1:26" ht="12" customHeight="1">
      <c r="A325" s="362"/>
      <c r="B325" s="368" t="s">
        <v>1096</v>
      </c>
      <c r="C325" s="368"/>
      <c r="D325" s="98"/>
      <c r="E325" s="98"/>
      <c r="F325" s="327"/>
      <c r="G325" s="180"/>
      <c r="H325" s="98"/>
      <c r="I325" s="98"/>
      <c r="J325" s="98"/>
      <c r="K325" s="181"/>
      <c r="L325" s="98"/>
      <c r="M325" s="98"/>
      <c r="N325" s="98"/>
      <c r="O325" s="98"/>
      <c r="P325" s="98"/>
      <c r="Q325" s="98"/>
      <c r="R325" s="98"/>
      <c r="S325" s="369" t="s">
        <v>1097</v>
      </c>
      <c r="T325" s="98"/>
      <c r="U325" s="370">
        <v>13381.480000000005</v>
      </c>
      <c r="V325" s="98"/>
      <c r="W325" s="98"/>
      <c r="X325" s="362"/>
      <c r="Y325" s="98"/>
      <c r="Z325" s="98"/>
    </row>
    <row r="326" spans="1:26" ht="12" customHeight="1">
      <c r="A326" s="362"/>
      <c r="B326" s="371" t="s">
        <v>973</v>
      </c>
      <c r="C326" s="371"/>
      <c r="D326" s="335">
        <v>7.0000000000000001E-3</v>
      </c>
      <c r="E326" s="335">
        <v>5.0000000000000001E-3</v>
      </c>
      <c r="F326" s="98"/>
      <c r="G326" s="98"/>
      <c r="H326" s="98"/>
      <c r="I326" s="98"/>
      <c r="J326" s="98"/>
      <c r="K326" s="98"/>
      <c r="L326" s="98"/>
      <c r="M326" s="98"/>
      <c r="N326" s="98"/>
      <c r="O326" s="98"/>
      <c r="P326" s="98"/>
      <c r="Q326" s="98"/>
      <c r="R326" s="98"/>
      <c r="S326" s="98" t="s">
        <v>1098</v>
      </c>
      <c r="T326" s="98"/>
      <c r="U326" s="372">
        <v>47291.654760000005</v>
      </c>
      <c r="V326" s="338"/>
      <c r="W326" s="98"/>
      <c r="X326" s="362"/>
      <c r="Y326" s="98"/>
      <c r="Z326" s="98"/>
    </row>
    <row r="327" spans="1:26" ht="12" customHeight="1">
      <c r="A327" s="362"/>
      <c r="B327" s="371" t="s">
        <v>1099</v>
      </c>
      <c r="C327" s="371"/>
      <c r="D327" s="335"/>
      <c r="E327" s="335">
        <v>5.0000000000000001E-4</v>
      </c>
      <c r="F327" s="98"/>
      <c r="G327" s="98"/>
      <c r="H327" s="98"/>
      <c r="I327" s="98"/>
      <c r="J327" s="98"/>
      <c r="K327" s="98"/>
      <c r="L327" s="98"/>
      <c r="M327" s="98"/>
      <c r="N327" s="98"/>
      <c r="O327" s="98"/>
      <c r="P327" s="98"/>
      <c r="Q327" s="98"/>
      <c r="R327" s="98"/>
      <c r="S327" s="98" t="s">
        <v>1100</v>
      </c>
      <c r="T327" s="98"/>
      <c r="U327" s="335">
        <f>(U325/U326)/U328*365</f>
        <v>0.12672283918060551</v>
      </c>
      <c r="V327" s="98"/>
      <c r="W327" s="98"/>
      <c r="X327" s="362"/>
      <c r="Y327" s="98"/>
      <c r="Z327" s="98"/>
    </row>
    <row r="328" spans="1:26" ht="12" customHeight="1">
      <c r="A328" s="362"/>
      <c r="B328" s="371" t="s">
        <v>1101</v>
      </c>
      <c r="C328" s="371"/>
      <c r="D328" s="335">
        <v>0.10199999999999999</v>
      </c>
      <c r="E328" s="335">
        <v>0.10199999999999999</v>
      </c>
      <c r="F328" s="335">
        <v>0.12239999999999999</v>
      </c>
      <c r="G328" s="181"/>
      <c r="H328" s="98"/>
      <c r="I328" s="98"/>
      <c r="J328" s="98"/>
      <c r="K328" s="181"/>
      <c r="L328" s="98"/>
      <c r="M328" s="98"/>
      <c r="N328" s="98"/>
      <c r="O328" s="98"/>
      <c r="P328" s="98"/>
      <c r="Q328" s="98"/>
      <c r="R328" s="98"/>
      <c r="S328" s="98" t="s">
        <v>1073</v>
      </c>
      <c r="T328" s="98"/>
      <c r="U328" s="338">
        <f>MAX(T2:T323)-MIN(T2:T323)+1</f>
        <v>815</v>
      </c>
      <c r="V328" s="98"/>
      <c r="W328" s="98"/>
      <c r="X328" s="362"/>
      <c r="Y328" s="98"/>
      <c r="Z328" s="98"/>
    </row>
    <row r="329" spans="1:26" ht="12" customHeight="1">
      <c r="A329" s="362"/>
      <c r="B329" s="371" t="s">
        <v>1102</v>
      </c>
      <c r="C329" s="371"/>
      <c r="D329" s="373">
        <v>7.5000000000000002E-4</v>
      </c>
      <c r="E329" s="374">
        <v>1E-3</v>
      </c>
      <c r="F329" s="373">
        <v>1.25E-3</v>
      </c>
      <c r="G329" s="246"/>
      <c r="H329" s="98"/>
      <c r="I329" s="98"/>
      <c r="J329" s="98"/>
      <c r="K329" s="98"/>
      <c r="L329" s="98"/>
      <c r="M329" s="98"/>
      <c r="N329" s="98"/>
      <c r="O329" s="98"/>
      <c r="P329" s="98"/>
      <c r="Q329" s="98"/>
      <c r="R329" s="98"/>
      <c r="S329" s="98"/>
      <c r="T329" s="98"/>
      <c r="U329" s="338"/>
      <c r="V329" s="98"/>
      <c r="W329" s="98"/>
      <c r="X329" s="362"/>
      <c r="Y329" s="98"/>
      <c r="Z329" s="98"/>
    </row>
    <row r="330" spans="1:26" ht="12" customHeight="1">
      <c r="A330" s="362"/>
      <c r="B330" s="371" t="s">
        <v>1103</v>
      </c>
      <c r="C330" s="371"/>
      <c r="D330" s="373">
        <v>1.4999999999999999E-4</v>
      </c>
      <c r="E330" s="335">
        <v>2.0000000000000001E-4</v>
      </c>
      <c r="F330" s="373">
        <v>2.5000000000000001E-4</v>
      </c>
      <c r="G330" s="246"/>
      <c r="H330" s="98"/>
      <c r="I330" s="98"/>
      <c r="J330" s="98"/>
      <c r="K330" s="98"/>
      <c r="L330" s="98"/>
      <c r="M330" s="98"/>
      <c r="N330" s="98"/>
      <c r="O330" s="98"/>
      <c r="P330" s="98"/>
      <c r="Q330" s="98"/>
      <c r="R330" s="98"/>
      <c r="S330" s="98"/>
      <c r="T330" s="98"/>
      <c r="U330" s="98"/>
      <c r="V330" s="98"/>
      <c r="W330" s="98"/>
      <c r="X330" s="362"/>
      <c r="Y330" s="98"/>
      <c r="Z330" s="98"/>
    </row>
    <row r="331" spans="1:26" ht="12" customHeight="1">
      <c r="A331" s="362"/>
      <c r="B331" s="371" t="s">
        <v>1104</v>
      </c>
      <c r="C331" s="371"/>
      <c r="D331" s="335">
        <v>1E-4</v>
      </c>
      <c r="E331" s="246">
        <v>1.3300000000000001E-4</v>
      </c>
      <c r="F331" s="373">
        <v>1.7000000000000001E-4</v>
      </c>
      <c r="G331" s="246"/>
      <c r="H331" s="98"/>
      <c r="I331" s="98"/>
      <c r="J331" s="98"/>
      <c r="K331" s="98"/>
      <c r="L331" s="98"/>
      <c r="M331" s="98"/>
      <c r="N331" s="98"/>
      <c r="O331" s="98"/>
      <c r="P331" s="98"/>
      <c r="Q331" s="98"/>
      <c r="R331" s="98"/>
      <c r="S331" s="98"/>
      <c r="T331" s="98"/>
      <c r="U331" s="338"/>
      <c r="V331" s="98"/>
      <c r="W331" s="98"/>
      <c r="X331" s="98"/>
      <c r="Y331" s="98"/>
      <c r="Z331" s="98"/>
    </row>
    <row r="332" spans="1:26" ht="12" customHeight="1">
      <c r="A332" s="98"/>
      <c r="B332" s="371" t="s">
        <v>1105</v>
      </c>
      <c r="C332" s="371"/>
      <c r="D332" s="335"/>
      <c r="E332" s="246">
        <v>3.4999999999999997E-5</v>
      </c>
      <c r="F332" s="246"/>
      <c r="G332" s="246"/>
      <c r="H332" s="98"/>
      <c r="I332" s="98"/>
      <c r="J332" s="98"/>
      <c r="K332" s="98"/>
      <c r="L332" s="98"/>
      <c r="M332" s="98"/>
      <c r="N332" s="98"/>
      <c r="O332" s="98"/>
      <c r="P332" s="98"/>
      <c r="Q332" s="98"/>
      <c r="R332" s="181"/>
      <c r="S332" s="98"/>
      <c r="T332" s="98"/>
      <c r="U332" s="98"/>
      <c r="V332" s="98"/>
      <c r="W332" s="98"/>
      <c r="X332" s="98"/>
      <c r="Y332" s="98"/>
      <c r="Z332" s="98"/>
    </row>
    <row r="333" spans="1:26" ht="12" customHeight="1">
      <c r="A333" s="98"/>
      <c r="B333" s="371" t="s">
        <v>1106</v>
      </c>
      <c r="C333" s="371"/>
      <c r="D333" s="335"/>
      <c r="E333" s="246">
        <v>3.4999999999999997E-5</v>
      </c>
      <c r="F333" s="246"/>
      <c r="G333" s="246"/>
      <c r="H333" s="98"/>
      <c r="I333" s="98"/>
      <c r="J333" s="98"/>
      <c r="K333" s="98"/>
      <c r="L333" s="98"/>
      <c r="M333" s="98"/>
      <c r="N333" s="98"/>
      <c r="O333" s="98"/>
      <c r="P333" s="98"/>
      <c r="Q333" s="98"/>
      <c r="R333" s="181"/>
      <c r="S333" s="98"/>
      <c r="T333" s="98"/>
      <c r="U333" s="98"/>
      <c r="V333" s="98"/>
      <c r="W333" s="98"/>
      <c r="X333" s="98"/>
      <c r="Y333" s="98"/>
      <c r="Z333" s="98"/>
    </row>
    <row r="334" spans="1:26" ht="12" customHeight="1">
      <c r="A334" s="362"/>
      <c r="B334" s="371" t="s">
        <v>1107</v>
      </c>
      <c r="C334" s="371"/>
      <c r="D334" s="335"/>
      <c r="E334" s="373">
        <v>1E-4</v>
      </c>
      <c r="F334" s="373"/>
      <c r="G334" s="373"/>
      <c r="H334" s="98"/>
      <c r="I334" s="98"/>
      <c r="J334" s="98"/>
      <c r="K334" s="98"/>
      <c r="L334" s="98"/>
      <c r="M334" s="98"/>
      <c r="N334" s="98"/>
      <c r="O334" s="98"/>
      <c r="P334" s="98"/>
      <c r="Q334" s="98"/>
      <c r="R334" s="98"/>
      <c r="S334" s="98"/>
      <c r="T334" s="98"/>
      <c r="U334" s="98"/>
      <c r="V334" s="98"/>
      <c r="W334" s="98"/>
      <c r="X334" s="98"/>
      <c r="Y334" s="98"/>
      <c r="Z334" s="98"/>
    </row>
    <row r="335" spans="1:26" ht="12" customHeight="1">
      <c r="A335" s="362"/>
      <c r="B335" s="371" t="s">
        <v>1108</v>
      </c>
      <c r="C335" s="371"/>
      <c r="D335" s="335"/>
      <c r="E335" s="373">
        <v>2.0000000000000002E-5</v>
      </c>
      <c r="F335" s="373"/>
      <c r="G335" s="373"/>
      <c r="H335" s="98"/>
      <c r="I335" s="98"/>
      <c r="J335" s="98"/>
      <c r="K335" s="98"/>
      <c r="L335" s="98"/>
      <c r="M335" s="98"/>
      <c r="N335" s="98"/>
      <c r="O335" s="98"/>
      <c r="P335" s="98"/>
      <c r="Q335" s="98"/>
      <c r="R335" s="98"/>
      <c r="S335" s="98"/>
      <c r="T335" s="98"/>
      <c r="U335" s="98"/>
      <c r="V335" s="98"/>
      <c r="W335" s="98"/>
      <c r="X335" s="98"/>
      <c r="Y335" s="98"/>
      <c r="Z335" s="98"/>
    </row>
    <row r="336" spans="1:26" ht="12" customHeight="1">
      <c r="A336" s="362"/>
      <c r="B336" s="371" t="s">
        <v>1109</v>
      </c>
      <c r="C336" s="371"/>
      <c r="D336" s="98">
        <v>11</v>
      </c>
      <c r="E336" s="98">
        <v>0</v>
      </c>
      <c r="F336" s="98"/>
      <c r="G336" s="373"/>
      <c r="H336" s="98"/>
      <c r="I336" s="98"/>
      <c r="J336" s="98"/>
      <c r="K336" s="98"/>
      <c r="L336" s="98"/>
      <c r="M336" s="98"/>
      <c r="N336" s="98"/>
      <c r="O336" s="98"/>
      <c r="P336" s="98"/>
      <c r="Q336" s="98"/>
      <c r="R336" s="98"/>
      <c r="S336" s="98"/>
      <c r="T336" s="98"/>
      <c r="U336" s="98"/>
      <c r="V336" s="98"/>
      <c r="W336" s="98"/>
      <c r="X336" s="98"/>
      <c r="Y336" s="98"/>
      <c r="Z336" s="98"/>
    </row>
    <row r="337" spans="1:26" ht="12" customHeight="1">
      <c r="A337" s="362"/>
      <c r="B337" s="98" t="s">
        <v>1110</v>
      </c>
      <c r="C337" s="98"/>
      <c r="D337" s="375">
        <v>16</v>
      </c>
      <c r="E337" s="375">
        <f>22+2</f>
        <v>24</v>
      </c>
      <c r="F337" s="98"/>
      <c r="G337" s="373"/>
      <c r="H337" s="98"/>
      <c r="I337" s="98"/>
      <c r="J337" s="98"/>
      <c r="K337" s="98"/>
      <c r="L337" s="98"/>
      <c r="M337" s="98"/>
      <c r="N337" s="98"/>
      <c r="O337" s="98"/>
      <c r="P337" s="98"/>
      <c r="Q337" s="98"/>
      <c r="R337" s="98"/>
      <c r="S337" s="98"/>
      <c r="T337" s="98"/>
      <c r="U337" s="98"/>
      <c r="V337" s="98"/>
      <c r="W337" s="98"/>
      <c r="X337" s="98"/>
      <c r="Y337" s="98"/>
      <c r="Z337" s="98"/>
    </row>
    <row r="338" spans="1:26" ht="12" customHeight="1">
      <c r="A338" s="98"/>
      <c r="B338" s="353" t="s">
        <v>1111</v>
      </c>
      <c r="C338" s="353"/>
      <c r="D338" s="353" t="s">
        <v>988</v>
      </c>
      <c r="E338" s="353" t="s">
        <v>441</v>
      </c>
      <c r="F338" s="353" t="s">
        <v>442</v>
      </c>
      <c r="G338" s="353" t="s">
        <v>443</v>
      </c>
      <c r="H338" s="353"/>
      <c r="I338" s="353"/>
      <c r="J338" s="353" t="s">
        <v>991</v>
      </c>
      <c r="K338" s="353" t="s">
        <v>992</v>
      </c>
      <c r="L338" s="353" t="s">
        <v>442</v>
      </c>
      <c r="M338" s="376" t="s">
        <v>993</v>
      </c>
      <c r="N338" s="377" t="s">
        <v>994</v>
      </c>
      <c r="O338" s="378" t="s">
        <v>995</v>
      </c>
      <c r="P338" s="378" t="s">
        <v>996</v>
      </c>
      <c r="Q338" s="353" t="s">
        <v>450</v>
      </c>
      <c r="R338" s="353" t="s">
        <v>1112</v>
      </c>
      <c r="S338" s="353" t="s">
        <v>998</v>
      </c>
      <c r="T338" s="353" t="s">
        <v>1081</v>
      </c>
      <c r="U338" s="359" t="s">
        <v>1082</v>
      </c>
      <c r="V338" s="359" t="s">
        <v>1072</v>
      </c>
      <c r="W338" s="359" t="s">
        <v>1073</v>
      </c>
      <c r="X338" s="353"/>
      <c r="Y338" s="353"/>
      <c r="Z338" s="98"/>
    </row>
    <row r="339" spans="1:26" ht="12" customHeight="1">
      <c r="A339" s="98"/>
      <c r="B339" s="366" t="s">
        <v>1113</v>
      </c>
      <c r="C339" s="366"/>
      <c r="D339" s="366" t="s">
        <v>988</v>
      </c>
      <c r="E339" s="366" t="s">
        <v>1075</v>
      </c>
      <c r="F339" s="366" t="s">
        <v>1076</v>
      </c>
      <c r="G339" s="366" t="s">
        <v>1077</v>
      </c>
      <c r="H339" s="366"/>
      <c r="I339" s="366"/>
      <c r="J339" s="366" t="s">
        <v>660</v>
      </c>
      <c r="K339" s="366" t="s">
        <v>1078</v>
      </c>
      <c r="L339" s="366" t="s">
        <v>991</v>
      </c>
      <c r="M339" s="366" t="s">
        <v>1079</v>
      </c>
      <c r="N339" s="366" t="s">
        <v>442</v>
      </c>
      <c r="O339" s="376" t="s">
        <v>993</v>
      </c>
      <c r="P339" s="377" t="s">
        <v>994</v>
      </c>
      <c r="Q339" s="378" t="s">
        <v>995</v>
      </c>
      <c r="R339" s="378" t="s">
        <v>996</v>
      </c>
      <c r="S339" s="366" t="s">
        <v>1080</v>
      </c>
      <c r="T339" s="366" t="s">
        <v>1081</v>
      </c>
      <c r="U339" s="366" t="s">
        <v>1082</v>
      </c>
      <c r="V339" s="366" t="s">
        <v>1114</v>
      </c>
      <c r="W339" s="367" t="s">
        <v>1115</v>
      </c>
      <c r="X339" s="366" t="s">
        <v>998</v>
      </c>
      <c r="Y339" s="366"/>
      <c r="Z339" s="98"/>
    </row>
    <row r="340" spans="1:26" ht="12" customHeight="1">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spans="1:26" ht="12" customHeight="1">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spans="1:26" ht="12" customHeight="1">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spans="1:26" ht="12" customHeight="1">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spans="1:26" ht="12" customHeight="1">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spans="1:26" ht="12" customHeight="1">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spans="1:26" ht="12" customHeight="1">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spans="1:26" ht="12" customHeight="1">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spans="1:26" ht="12" customHeight="1">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spans="1:26" ht="12" customHeight="1">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spans="1:26" ht="12" customHeight="1">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spans="1:26" ht="12" customHeight="1">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spans="1:26" ht="12" customHeight="1">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spans="1:26" ht="12" customHeight="1">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2" customHeight="1">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spans="1:26" ht="12" customHeight="1">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spans="1:26" ht="12" customHeight="1">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spans="1:26" ht="12" customHeight="1">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spans="1:26" ht="12" customHeight="1">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spans="1:26" ht="12" customHeight="1">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2" customHeight="1">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spans="1:26" ht="12" customHeight="1">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spans="1:26" ht="12" customHeight="1">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spans="1:26" ht="12" customHeight="1">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spans="1:26" ht="12" customHeight="1">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spans="1:26" ht="12" customHeight="1">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spans="1:26" ht="12" customHeight="1">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spans="1:26" ht="12" customHeight="1">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spans="1:26" ht="12" customHeight="1">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spans="1:26" ht="12" customHeight="1">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spans="1:26" ht="12" customHeight="1">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spans="1:26" ht="12" customHeight="1">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spans="1:26" ht="12" customHeight="1">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spans="1:26" ht="12" customHeight="1">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spans="1:26" ht="12" customHeight="1">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spans="1:26" ht="12" customHeight="1">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spans="1:26" ht="12" customHeight="1">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spans="1:26" ht="12" customHeight="1">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spans="1:26" ht="12" customHeight="1">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spans="1:26" ht="12" customHeight="1">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spans="1:26" ht="12" customHeight="1">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spans="1:26" ht="12" customHeight="1">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spans="1:26" ht="12" customHeight="1">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spans="1:26" ht="12" customHeight="1">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spans="1:26" ht="12" customHeight="1">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spans="1:26" ht="12" customHeight="1">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spans="1:26" ht="12" customHeight="1">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spans="1:26" ht="12" customHeight="1">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spans="1:26" ht="12" customHeight="1">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spans="1:26" ht="12" customHeight="1">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spans="1:26" ht="12" customHeight="1">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spans="1:26" ht="12" customHeight="1">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spans="1:26" ht="12" customHeight="1">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spans="1:26" ht="12" customHeight="1">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spans="1:26" ht="12" customHeight="1">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spans="1:26" ht="12" customHeight="1">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spans="1:26" ht="12" customHeight="1">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spans="1:26" ht="12" customHeight="1">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spans="1:26" ht="12" customHeight="1">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spans="1:26" ht="12" customHeight="1">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spans="1:26" ht="12" customHeight="1">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spans="1:26" ht="12" customHeight="1">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spans="1:26" ht="12" customHeight="1">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spans="1:26" ht="12" customHeight="1">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spans="1:26" ht="12" customHeight="1">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spans="1:26" ht="12" customHeight="1">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spans="1:26" ht="12" customHeight="1">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spans="1:26" ht="12" customHeight="1">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2" customHeight="1">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2" customHeight="1">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spans="1:26" ht="12" customHeight="1">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spans="1:26" ht="12" customHeight="1">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spans="1:26" ht="12" customHeight="1">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spans="1:26" ht="12" customHeight="1">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spans="1:26" ht="12" customHeight="1">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spans="1:26" ht="12" customHeight="1">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spans="1:26" ht="12" customHeight="1">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spans="1:26" ht="12" customHeight="1">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spans="1:26" ht="12" customHeight="1">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spans="1:26" ht="12" customHeight="1">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spans="1:26" ht="12" customHeight="1">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spans="1:26" ht="12" customHeight="1">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spans="1:26" ht="12" customHeight="1">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spans="1:26" ht="12" customHeight="1">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spans="1:26" ht="12" customHeight="1">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spans="1:26" ht="12" customHeight="1">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spans="1:26" ht="12" customHeight="1">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spans="1:26" ht="12" customHeight="1">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spans="1:26" ht="12" customHeight="1">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spans="1:26" ht="12" customHeight="1">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spans="1:26" ht="12" customHeight="1">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spans="1:26" ht="12" customHeight="1">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ht="12" customHeight="1">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ht="12" customHeight="1">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ht="12" customHeight="1">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ht="12" customHeight="1">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ht="12" customHeight="1">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ht="12" customHeight="1">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ht="12" customHeight="1">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spans="1:26" ht="12" customHeight="1">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spans="1:26" ht="12" customHeight="1">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spans="1:26" ht="12" customHeight="1">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spans="1:26" ht="12" customHeight="1">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spans="1:26" ht="12" customHeight="1">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spans="1:26" ht="12" customHeight="1">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spans="1:26" ht="12" customHeight="1">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spans="1:26" ht="12" customHeight="1">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spans="1:26" ht="12" customHeight="1">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spans="1:26" ht="12" customHeight="1">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spans="1:26" ht="12" customHeight="1">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spans="1:26" ht="12" customHeight="1">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spans="1:26" ht="12" customHeight="1">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spans="1:26" ht="12" customHeight="1">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spans="1:26" ht="12" customHeight="1">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spans="1:26" ht="12" customHeight="1">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spans="1:26" ht="12" customHeight="1">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spans="1:26" ht="12" customHeight="1">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spans="1:26" ht="12" customHeight="1">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spans="1:26" ht="12" customHeight="1">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spans="1:26" ht="12" customHeight="1">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spans="1:26" ht="12" customHeight="1">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spans="1:26" ht="12" customHeight="1">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spans="1:26" ht="12" customHeight="1">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spans="1:26" ht="12" customHeight="1">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spans="1:26" ht="12" customHeight="1">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spans="1:26" ht="12" customHeight="1">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spans="1:26" ht="12" customHeight="1">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spans="1:26" ht="12" customHeight="1">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spans="1:26" ht="12" customHeight="1">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spans="1:26" ht="12" customHeight="1">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spans="1:26" ht="12" customHeight="1">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spans="1:26" ht="12" customHeight="1">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spans="1:26" ht="12" customHeight="1">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spans="1:26" ht="12" customHeight="1">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spans="1:26" ht="12" customHeight="1">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spans="1:26" ht="12" customHeight="1">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spans="1:26" ht="12" customHeight="1">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spans="1:26" ht="12" customHeight="1">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spans="1:26" ht="12" customHeight="1">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spans="1:26" ht="12" customHeight="1">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spans="1:26" ht="12" customHeight="1">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spans="1:26" ht="12" customHeight="1">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spans="1:26" ht="12" customHeight="1">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spans="1:26" ht="12" customHeight="1">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spans="1:26" ht="12" customHeight="1">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spans="1:26" ht="12" customHeight="1">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spans="1:26" ht="12" customHeight="1">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spans="1:26" ht="12" customHeight="1">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spans="1:26" ht="12" customHeight="1">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spans="1:26" ht="12" customHeight="1">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spans="1:26" ht="12" customHeight="1">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spans="1:26" ht="12" customHeight="1">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spans="1:26" ht="12" customHeight="1">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spans="1:26" ht="12" customHeight="1">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spans="1:26" ht="12" customHeight="1">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spans="1:26" ht="12" customHeight="1">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spans="1:26" ht="12" customHeight="1">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spans="1:26" ht="12" customHeight="1">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spans="1:26" ht="12" customHeight="1">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spans="1:26" ht="12" customHeight="1">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spans="1:26" ht="12" customHeight="1">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spans="1:26" ht="12" customHeight="1">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spans="1:26" ht="12" customHeight="1">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spans="1:26" ht="12" customHeight="1">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spans="1:26" ht="12" customHeight="1">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spans="1:26" ht="12" customHeight="1">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spans="1:26" ht="12" customHeight="1">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spans="1:26" ht="12" customHeight="1">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spans="1:26" ht="12" customHeight="1">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spans="1:26" ht="12" customHeight="1">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spans="1:26" ht="12" customHeight="1">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spans="1:26" ht="12" customHeight="1">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spans="1:26" ht="12" customHeight="1">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spans="1:26" ht="12" customHeight="1">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spans="1:26" ht="12" customHeight="1">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spans="1:26" ht="12" customHeight="1">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spans="1:26" ht="12" customHeight="1">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spans="1:26" ht="12" customHeight="1">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spans="1:26" ht="12" customHeight="1">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spans="1:26" ht="12" customHeight="1">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spans="1:26" ht="12" customHeight="1">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spans="1:26" ht="12" customHeight="1">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spans="1:26" ht="12" customHeight="1">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spans="1:26" ht="12" customHeight="1">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spans="1:26" ht="12" customHeight="1">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spans="1:26" ht="12" customHeight="1">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spans="1:26" ht="12" customHeight="1">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spans="1:26" ht="12" customHeight="1">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spans="1:26" ht="12" customHeight="1">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spans="1:26" ht="12" customHeight="1">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spans="1:26" ht="12" customHeight="1">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spans="1:26" ht="12" customHeight="1">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spans="1:26" ht="12" customHeight="1">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spans="1:26" ht="12" customHeight="1">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spans="1:26" ht="12" customHeight="1">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spans="1:26" ht="12" customHeight="1">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spans="1:26" ht="12" customHeight="1">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spans="1:26" ht="12" customHeight="1">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spans="1:26" ht="12" customHeight="1">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spans="1:26" ht="12" customHeight="1">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spans="1:26" ht="15.75" customHeight="1"/>
    <row r="541" spans="1:26" ht="15.75" customHeight="1"/>
    <row r="542" spans="1:26" ht="15.75" customHeight="1"/>
    <row r="543" spans="1:26" ht="15.75" customHeight="1"/>
    <row r="544" spans="1:26"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S2:S127 S129 S132:S249">
    <cfRule type="cellIs" dxfId="43" priority="1" stopIfTrue="1" operator="equal">
      <formula>0</formula>
    </cfRule>
  </conditionalFormatting>
  <conditionalFormatting sqref="S2:S129 S132:S249">
    <cfRule type="cellIs" dxfId="42" priority="2" stopIfTrue="1" operator="between">
      <formula>0.001</formula>
      <formula>10</formula>
    </cfRule>
  </conditionalFormatting>
  <conditionalFormatting sqref="S2:S129 S132:S249">
    <cfRule type="cellIs" dxfId="41" priority="3" stopIfTrue="1" operator="between">
      <formula>-0.001</formula>
      <formula>-10</formula>
    </cfRule>
  </conditionalFormatting>
  <conditionalFormatting sqref="S128">
    <cfRule type="cellIs" dxfId="40" priority="4" stopIfTrue="1" operator="greaterThan">
      <formula>10</formula>
    </cfRule>
  </conditionalFormatting>
  <conditionalFormatting sqref="X252:X324">
    <cfRule type="cellIs" dxfId="39" priority="5" stopIfTrue="1" operator="between">
      <formula>0.001</formula>
      <formula>10</formula>
    </cfRule>
  </conditionalFormatting>
  <conditionalFormatting sqref="X252:X324">
    <cfRule type="cellIs" dxfId="38" priority="6" stopIfTrue="1" operator="between">
      <formula>-0.001</formula>
      <formula>-10</formula>
    </cfRule>
  </conditionalFormatting>
  <conditionalFormatting sqref="Y92:Y93 Y96:Y127 Y129 Y208 Y210 Y213 Y220:Y250 Y279:Y280 Y287:Y321 Y323">
    <cfRule type="cellIs" dxfId="37" priority="7" stopIfTrue="1" operator="equal">
      <formula>"NSE"</formula>
    </cfRule>
  </conditionalFormatting>
  <conditionalFormatting sqref="Y92:Y93 Y96:Y127 Y129 Y208 Y210 Y213 Y220:Y250 Y279:Y280 Y287:Y321 Y323">
    <cfRule type="cellIs" dxfId="36" priority="8" stopIfTrue="1" operator="equal">
      <formula>"BSE"</formula>
    </cfRule>
  </conditionalFormatting>
  <pageMargins left="1.69" right="0.75" top="0.49" bottom="1" header="0" footer="0"/>
  <pageSetup paperSize="9" scale="87" orientation="portrait"/>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rgb="FFF4B083"/>
  </sheetPr>
  <dimension ref="A1:AD1212"/>
  <sheetViews>
    <sheetView workbookViewId="0">
      <pane ySplit="1" topLeftCell="A2" activePane="bottomLeft" state="frozen"/>
      <selection pane="bottomLeft" activeCell="B3" sqref="B3"/>
    </sheetView>
  </sheetViews>
  <sheetFormatPr baseColWidth="10" defaultColWidth="14.42578125" defaultRowHeight="15" customHeight="1" outlineLevelCol="1"/>
  <cols>
    <col min="1" max="1" width="12" customWidth="1"/>
    <col min="2" max="2" width="14" hidden="1" customWidth="1" outlineLevel="1"/>
    <col min="3" max="3" width="9.42578125" hidden="1" customWidth="1" outlineLevel="1"/>
    <col min="4" max="4" width="6.85546875" customWidth="1" collapsed="1"/>
    <col min="5" max="5" width="9" customWidth="1"/>
    <col min="6" max="6" width="5.28515625" hidden="1" customWidth="1" outlineLevel="1"/>
    <col min="7" max="7" width="10.85546875" hidden="1" customWidth="1" outlineLevel="1"/>
    <col min="8" max="8" width="7.85546875" hidden="1" customWidth="1" outlineLevel="1"/>
    <col min="9" max="9" width="5.42578125" customWidth="1" collapsed="1"/>
    <col min="10" max="10" width="7.7109375" customWidth="1"/>
    <col min="11" max="11" width="7.42578125" customWidth="1"/>
    <col min="12" max="12" width="9.7109375" customWidth="1"/>
    <col min="13" max="13" width="8.5703125" hidden="1" customWidth="1" outlineLevel="1"/>
    <col min="14" max="14" width="7.85546875" customWidth="1" collapsed="1"/>
    <col min="15" max="15" width="8.7109375" customWidth="1"/>
    <col min="16" max="17" width="9.42578125" customWidth="1"/>
    <col min="18" max="18" width="8.7109375" customWidth="1"/>
    <col min="19" max="19" width="8" customWidth="1"/>
    <col min="20" max="20" width="10.42578125" customWidth="1"/>
    <col min="21" max="21" width="9.42578125" customWidth="1" outlineLevel="1"/>
    <col min="22" max="22" width="10.42578125" customWidth="1"/>
    <col min="23" max="23" width="8.28515625" customWidth="1"/>
    <col min="24" max="26" width="4.7109375" customWidth="1"/>
    <col min="27" max="27" width="8.5703125" customWidth="1"/>
    <col min="28" max="28" width="6.140625" customWidth="1"/>
    <col min="29" max="30" width="6.85546875" customWidth="1"/>
  </cols>
  <sheetData>
    <row r="1" spans="1:30" ht="26.25" customHeight="1">
      <c r="A1" s="379" t="s">
        <v>435</v>
      </c>
      <c r="B1" s="379" t="s">
        <v>1116</v>
      </c>
      <c r="C1" s="379" t="s">
        <v>1117</v>
      </c>
      <c r="D1" s="380" t="s">
        <v>1118</v>
      </c>
      <c r="E1" s="380" t="s">
        <v>1119</v>
      </c>
      <c r="F1" s="379" t="s">
        <v>1120</v>
      </c>
      <c r="G1" s="379" t="s">
        <v>1121</v>
      </c>
      <c r="H1" s="380" t="s">
        <v>1122</v>
      </c>
      <c r="I1" s="380" t="s">
        <v>1123</v>
      </c>
      <c r="J1" s="380" t="s">
        <v>1124</v>
      </c>
      <c r="K1" s="380" t="s">
        <v>8</v>
      </c>
      <c r="L1" s="380" t="s">
        <v>1125</v>
      </c>
      <c r="M1" s="380" t="s">
        <v>1126</v>
      </c>
      <c r="N1" s="380" t="s">
        <v>1127</v>
      </c>
      <c r="O1" s="380" t="s">
        <v>1128</v>
      </c>
      <c r="P1" s="380" t="s">
        <v>1129</v>
      </c>
      <c r="Q1" s="380" t="s">
        <v>1130</v>
      </c>
      <c r="R1" s="381" t="s">
        <v>1131</v>
      </c>
      <c r="S1" s="379" t="s">
        <v>1132</v>
      </c>
      <c r="T1" s="380" t="s">
        <v>1133</v>
      </c>
      <c r="U1" s="380" t="s">
        <v>1134</v>
      </c>
      <c r="V1" s="380" t="s">
        <v>1135</v>
      </c>
      <c r="W1" s="380" t="s">
        <v>1136</v>
      </c>
      <c r="X1" s="379" t="s">
        <v>1137</v>
      </c>
      <c r="Y1" s="379" t="s">
        <v>1138</v>
      </c>
      <c r="Z1" s="379" t="s">
        <v>1139</v>
      </c>
      <c r="AA1" s="380" t="s">
        <v>1140</v>
      </c>
      <c r="AB1" s="379" t="s">
        <v>1141</v>
      </c>
      <c r="AC1" s="98"/>
      <c r="AD1" s="98"/>
    </row>
    <row r="2" spans="1:30" ht="12.75" customHeight="1">
      <c r="A2" s="126" t="s">
        <v>1142</v>
      </c>
      <c r="B2" s="125" t="s">
        <v>1143</v>
      </c>
      <c r="C2" s="382" t="s">
        <v>1144</v>
      </c>
      <c r="D2" s="383"/>
      <c r="E2" s="384" t="str">
        <f t="shared" ref="E2:E79" si="0">IFERROR(IF(D2="","",(D2-J2)/J2),"")</f>
        <v/>
      </c>
      <c r="F2" s="126" t="s">
        <v>1145</v>
      </c>
      <c r="G2" s="126"/>
      <c r="H2" s="385">
        <f t="shared" ref="H2:H79" si="1">ROUND(K2/I2,4)</f>
        <v>0</v>
      </c>
      <c r="I2" s="126">
        <v>95</v>
      </c>
      <c r="J2" s="385">
        <v>0</v>
      </c>
      <c r="K2" s="133">
        <v>0</v>
      </c>
      <c r="L2" s="155"/>
      <c r="M2" s="129">
        <f t="shared" ref="M2:M79" si="2">ROUND(O2/I2,4)</f>
        <v>0</v>
      </c>
      <c r="N2" s="158"/>
      <c r="O2" s="386"/>
      <c r="P2" s="125"/>
      <c r="Q2" s="387"/>
      <c r="R2" s="130">
        <v>47.2</v>
      </c>
      <c r="S2" s="130">
        <f>475+237.5</f>
        <v>712.5</v>
      </c>
      <c r="T2" s="132" t="str">
        <f t="shared" ref="T2:T79" si="3">IF(OR(O2="",K2=""),"",O2-K2)</f>
        <v/>
      </c>
      <c r="U2" s="132" t="str">
        <f t="shared" ref="U2:U79" si="4">CONCATENATE(I2," ",A2)</f>
        <v>95 **DCMSRIND</v>
      </c>
      <c r="V2" s="388" t="str">
        <f t="shared" ref="V2:V79" si="5">IF(T2="","",T2+S2-R2)</f>
        <v/>
      </c>
      <c r="W2" s="389" t="str">
        <f t="shared" ref="W2:W79" si="6">IF(OR(K2="",V2=""),"",V2/K2)</f>
        <v/>
      </c>
      <c r="X2" s="390">
        <f t="shared" ref="X2:X79" si="7">DATEDIF(L2,P2,"Y")</f>
        <v>0</v>
      </c>
      <c r="Y2" s="391">
        <f t="shared" ref="Y2:Y79" si="8">DATEDIF(L2,P2,"YM")</f>
        <v>0</v>
      </c>
      <c r="Z2" s="392">
        <f t="shared" ref="Z2:Z79" si="9">DATEDIF(L2,P2,"MD")</f>
        <v>0</v>
      </c>
      <c r="AA2" s="389" t="str">
        <f t="shared" ref="AA2:AA52" si="10">IF(O2="","",IFERROR(((O2+S2-R2)/K2)^(1/((P2-L2)/365))-1,""))</f>
        <v/>
      </c>
      <c r="AB2" s="125" t="s">
        <v>460</v>
      </c>
      <c r="AC2" s="98"/>
      <c r="AD2" s="98"/>
    </row>
    <row r="3" spans="1:30" ht="12.75" customHeight="1">
      <c r="A3" s="125" t="s">
        <v>1146</v>
      </c>
      <c r="B3" s="125" t="s">
        <v>1147</v>
      </c>
      <c r="C3" s="382" t="s">
        <v>1148</v>
      </c>
      <c r="D3" s="383"/>
      <c r="E3" s="384" t="str">
        <f t="shared" si="0"/>
        <v/>
      </c>
      <c r="F3" s="126" t="s">
        <v>1145</v>
      </c>
      <c r="G3" s="126"/>
      <c r="H3" s="385">
        <f t="shared" si="1"/>
        <v>0</v>
      </c>
      <c r="I3" s="126">
        <v>95</v>
      </c>
      <c r="J3" s="385">
        <v>0</v>
      </c>
      <c r="K3" s="133">
        <v>0</v>
      </c>
      <c r="L3" s="155"/>
      <c r="M3" s="129">
        <f t="shared" si="2"/>
        <v>0</v>
      </c>
      <c r="N3" s="158"/>
      <c r="O3" s="386"/>
      <c r="P3" s="125"/>
      <c r="Q3" s="387"/>
      <c r="R3" s="130">
        <v>472</v>
      </c>
      <c r="S3" s="130"/>
      <c r="T3" s="132" t="str">
        <f t="shared" si="3"/>
        <v/>
      </c>
      <c r="U3" s="132" t="str">
        <f t="shared" si="4"/>
        <v>95 *DCM</v>
      </c>
      <c r="V3" s="388" t="str">
        <f t="shared" si="5"/>
        <v/>
      </c>
      <c r="W3" s="389" t="str">
        <f t="shared" si="6"/>
        <v/>
      </c>
      <c r="X3" s="390">
        <f t="shared" si="7"/>
        <v>0</v>
      </c>
      <c r="Y3" s="391">
        <f t="shared" si="8"/>
        <v>0</v>
      </c>
      <c r="Z3" s="392">
        <f t="shared" si="9"/>
        <v>0</v>
      </c>
      <c r="AA3" s="389" t="str">
        <f t="shared" si="10"/>
        <v/>
      </c>
      <c r="AB3" s="125" t="s">
        <v>460</v>
      </c>
      <c r="AC3" s="98"/>
      <c r="AD3" s="98"/>
    </row>
    <row r="4" spans="1:30" ht="12.75" customHeight="1">
      <c r="A4" s="125" t="s">
        <v>1149</v>
      </c>
      <c r="B4" s="125" t="s">
        <v>1150</v>
      </c>
      <c r="C4" s="382" t="s">
        <v>1151</v>
      </c>
      <c r="D4" s="383"/>
      <c r="E4" s="384" t="str">
        <f t="shared" si="0"/>
        <v/>
      </c>
      <c r="F4" s="126" t="s">
        <v>1145</v>
      </c>
      <c r="G4" s="126"/>
      <c r="H4" s="385">
        <f t="shared" si="1"/>
        <v>0</v>
      </c>
      <c r="I4" s="126">
        <v>949</v>
      </c>
      <c r="J4" s="385">
        <v>0</v>
      </c>
      <c r="K4" s="133">
        <v>0</v>
      </c>
      <c r="L4" s="155"/>
      <c r="M4" s="129">
        <f t="shared" si="2"/>
        <v>0</v>
      </c>
      <c r="N4" s="158"/>
      <c r="O4" s="386"/>
      <c r="P4" s="125"/>
      <c r="Q4" s="387"/>
      <c r="R4" s="130">
        <v>47.2</v>
      </c>
      <c r="S4" s="130">
        <f>4828.04+3606.2+36631.4+4370</f>
        <v>49435.64</v>
      </c>
      <c r="T4" s="132" t="str">
        <f t="shared" si="3"/>
        <v/>
      </c>
      <c r="U4" s="132" t="str">
        <f t="shared" si="4"/>
        <v>949 *DCMSHRIRAM</v>
      </c>
      <c r="V4" s="388" t="str">
        <f t="shared" si="5"/>
        <v/>
      </c>
      <c r="W4" s="389" t="str">
        <f t="shared" si="6"/>
        <v/>
      </c>
      <c r="X4" s="390">
        <f t="shared" si="7"/>
        <v>0</v>
      </c>
      <c r="Y4" s="391">
        <f t="shared" si="8"/>
        <v>0</v>
      </c>
      <c r="Z4" s="392">
        <f t="shared" si="9"/>
        <v>0</v>
      </c>
      <c r="AA4" s="389" t="str">
        <f t="shared" si="10"/>
        <v/>
      </c>
      <c r="AB4" s="125" t="s">
        <v>460</v>
      </c>
      <c r="AC4" s="98"/>
      <c r="AD4" s="98"/>
    </row>
    <row r="5" spans="1:30" ht="12.75" customHeight="1">
      <c r="A5" s="125" t="s">
        <v>1149</v>
      </c>
      <c r="B5" s="125" t="s">
        <v>1150</v>
      </c>
      <c r="C5" s="382" t="s">
        <v>1151</v>
      </c>
      <c r="D5" s="383"/>
      <c r="E5" s="384" t="str">
        <f t="shared" si="0"/>
        <v/>
      </c>
      <c r="F5" s="126" t="s">
        <v>1145</v>
      </c>
      <c r="G5" s="126"/>
      <c r="H5" s="385">
        <f t="shared" si="1"/>
        <v>1126.6777999999999</v>
      </c>
      <c r="I5" s="126">
        <v>360</v>
      </c>
      <c r="J5" s="385">
        <v>1125.3471999999999</v>
      </c>
      <c r="K5" s="133">
        <v>405604</v>
      </c>
      <c r="L5" s="155">
        <v>44687</v>
      </c>
      <c r="M5" s="129">
        <f t="shared" si="2"/>
        <v>0</v>
      </c>
      <c r="N5" s="158"/>
      <c r="O5" s="386"/>
      <c r="P5" s="125"/>
      <c r="Q5" s="387"/>
      <c r="R5" s="130"/>
      <c r="S5" s="130"/>
      <c r="T5" s="132" t="str">
        <f t="shared" si="3"/>
        <v/>
      </c>
      <c r="U5" s="132" t="str">
        <f t="shared" si="4"/>
        <v>360 *DCMSHRIRAM</v>
      </c>
      <c r="V5" s="388" t="str">
        <f t="shared" si="5"/>
        <v/>
      </c>
      <c r="W5" s="389" t="str">
        <f t="shared" si="6"/>
        <v/>
      </c>
      <c r="X5" s="390" t="e">
        <f t="shared" si="7"/>
        <v>#NUM!</v>
      </c>
      <c r="Y5" s="391" t="e">
        <f t="shared" si="8"/>
        <v>#NUM!</v>
      </c>
      <c r="Z5" s="392" t="e">
        <f t="shared" si="9"/>
        <v>#NUM!</v>
      </c>
      <c r="AA5" s="389" t="str">
        <f t="shared" si="10"/>
        <v/>
      </c>
      <c r="AB5" s="125" t="s">
        <v>460</v>
      </c>
      <c r="AC5" s="98"/>
      <c r="AD5" s="98"/>
    </row>
    <row r="6" spans="1:30" ht="12.75" customHeight="1">
      <c r="A6" s="125" t="s">
        <v>1149</v>
      </c>
      <c r="B6" s="125" t="s">
        <v>1150</v>
      </c>
      <c r="C6" s="382" t="s">
        <v>1151</v>
      </c>
      <c r="D6" s="383"/>
      <c r="E6" s="384" t="str">
        <f t="shared" si="0"/>
        <v/>
      </c>
      <c r="F6" s="126" t="s">
        <v>1145</v>
      </c>
      <c r="G6" s="126"/>
      <c r="H6" s="385">
        <f t="shared" si="1"/>
        <v>1048.7789</v>
      </c>
      <c r="I6" s="126">
        <v>190</v>
      </c>
      <c r="J6" s="385">
        <v>1047.5420999999999</v>
      </c>
      <c r="K6" s="133">
        <v>199268</v>
      </c>
      <c r="L6" s="155">
        <v>44854</v>
      </c>
      <c r="M6" s="129">
        <f t="shared" si="2"/>
        <v>0</v>
      </c>
      <c r="N6" s="158"/>
      <c r="O6" s="386"/>
      <c r="P6" s="125"/>
      <c r="Q6" s="387"/>
      <c r="R6" s="130"/>
      <c r="S6" s="130"/>
      <c r="T6" s="132" t="str">
        <f t="shared" si="3"/>
        <v/>
      </c>
      <c r="U6" s="132" t="str">
        <f t="shared" si="4"/>
        <v>190 *DCMSHRIRAM</v>
      </c>
      <c r="V6" s="388" t="str">
        <f t="shared" si="5"/>
        <v/>
      </c>
      <c r="W6" s="389" t="str">
        <f t="shared" si="6"/>
        <v/>
      </c>
      <c r="X6" s="390" t="e">
        <f t="shared" si="7"/>
        <v>#NUM!</v>
      </c>
      <c r="Y6" s="391" t="e">
        <f t="shared" si="8"/>
        <v>#NUM!</v>
      </c>
      <c r="Z6" s="392" t="e">
        <f t="shared" si="9"/>
        <v>#NUM!</v>
      </c>
      <c r="AA6" s="389" t="str">
        <f t="shared" si="10"/>
        <v/>
      </c>
      <c r="AB6" s="125" t="s">
        <v>460</v>
      </c>
      <c r="AC6" s="98"/>
      <c r="AD6" s="98"/>
    </row>
    <row r="7" spans="1:30" ht="12.75" customHeight="1">
      <c r="A7" s="125" t="s">
        <v>1149</v>
      </c>
      <c r="B7" s="125" t="s">
        <v>1150</v>
      </c>
      <c r="C7" s="382" t="s">
        <v>1151</v>
      </c>
      <c r="D7" s="383"/>
      <c r="E7" s="384" t="str">
        <f t="shared" si="0"/>
        <v/>
      </c>
      <c r="F7" s="126" t="s">
        <v>1145</v>
      </c>
      <c r="G7" s="126"/>
      <c r="H7" s="385">
        <f t="shared" si="1"/>
        <v>1054.25</v>
      </c>
      <c r="I7" s="126">
        <v>20</v>
      </c>
      <c r="J7" s="385">
        <v>1053</v>
      </c>
      <c r="K7" s="133">
        <v>21085</v>
      </c>
      <c r="L7" s="155">
        <v>44865</v>
      </c>
      <c r="M7" s="129">
        <f t="shared" si="2"/>
        <v>0</v>
      </c>
      <c r="N7" s="158"/>
      <c r="O7" s="386"/>
      <c r="P7" s="125"/>
      <c r="Q7" s="387"/>
      <c r="R7" s="130"/>
      <c r="S7" s="130"/>
      <c r="T7" s="132" t="str">
        <f t="shared" si="3"/>
        <v/>
      </c>
      <c r="U7" s="132" t="str">
        <f t="shared" si="4"/>
        <v>20 *DCMSHRIRAM</v>
      </c>
      <c r="V7" s="388" t="str">
        <f t="shared" si="5"/>
        <v/>
      </c>
      <c r="W7" s="389" t="str">
        <f t="shared" si="6"/>
        <v/>
      </c>
      <c r="X7" s="390" t="e">
        <f t="shared" si="7"/>
        <v>#NUM!</v>
      </c>
      <c r="Y7" s="391" t="e">
        <f t="shared" si="8"/>
        <v>#NUM!</v>
      </c>
      <c r="Z7" s="392" t="e">
        <f t="shared" si="9"/>
        <v>#NUM!</v>
      </c>
      <c r="AA7" s="389" t="str">
        <f t="shared" si="10"/>
        <v/>
      </c>
      <c r="AB7" s="125" t="s">
        <v>460</v>
      </c>
      <c r="AC7" s="98"/>
      <c r="AD7" s="98"/>
    </row>
    <row r="8" spans="1:30" ht="12.75" customHeight="1">
      <c r="A8" s="125" t="s">
        <v>1149</v>
      </c>
      <c r="B8" s="125" t="s">
        <v>1150</v>
      </c>
      <c r="C8" s="382" t="s">
        <v>1151</v>
      </c>
      <c r="D8" s="383"/>
      <c r="E8" s="384" t="str">
        <f t="shared" si="0"/>
        <v/>
      </c>
      <c r="F8" s="126" t="s">
        <v>1145</v>
      </c>
      <c r="G8" s="126"/>
      <c r="H8" s="385">
        <f t="shared" si="1"/>
        <v>1029.1333</v>
      </c>
      <c r="I8" s="126">
        <v>45</v>
      </c>
      <c r="J8" s="385">
        <v>1027.9111</v>
      </c>
      <c r="K8" s="133">
        <v>46311</v>
      </c>
      <c r="L8" s="155">
        <v>44876</v>
      </c>
      <c r="M8" s="129">
        <f t="shared" si="2"/>
        <v>0</v>
      </c>
      <c r="N8" s="158"/>
      <c r="O8" s="386"/>
      <c r="P8" s="125"/>
      <c r="Q8" s="387"/>
      <c r="R8" s="130"/>
      <c r="S8" s="130"/>
      <c r="T8" s="132" t="str">
        <f t="shared" si="3"/>
        <v/>
      </c>
      <c r="U8" s="132" t="str">
        <f t="shared" si="4"/>
        <v>45 *DCMSHRIRAM</v>
      </c>
      <c r="V8" s="388" t="str">
        <f t="shared" si="5"/>
        <v/>
      </c>
      <c r="W8" s="389" t="str">
        <f t="shared" si="6"/>
        <v/>
      </c>
      <c r="X8" s="390" t="e">
        <f t="shared" si="7"/>
        <v>#NUM!</v>
      </c>
      <c r="Y8" s="391" t="e">
        <f t="shared" si="8"/>
        <v>#NUM!</v>
      </c>
      <c r="Z8" s="392" t="e">
        <f t="shared" si="9"/>
        <v>#NUM!</v>
      </c>
      <c r="AA8" s="389" t="str">
        <f t="shared" si="10"/>
        <v/>
      </c>
      <c r="AB8" s="125" t="s">
        <v>460</v>
      </c>
      <c r="AC8" s="98"/>
      <c r="AD8" s="98"/>
    </row>
    <row r="9" spans="1:30" ht="12.75" customHeight="1">
      <c r="A9" s="125" t="s">
        <v>1149</v>
      </c>
      <c r="B9" s="125" t="s">
        <v>1150</v>
      </c>
      <c r="C9" s="382" t="s">
        <v>1151</v>
      </c>
      <c r="D9" s="383"/>
      <c r="E9" s="384" t="str">
        <f t="shared" si="0"/>
        <v/>
      </c>
      <c r="F9" s="126" t="s">
        <v>1145</v>
      </c>
      <c r="G9" s="126"/>
      <c r="H9" s="385">
        <f t="shared" si="1"/>
        <v>938.66669999999999</v>
      </c>
      <c r="I9" s="126">
        <v>3</v>
      </c>
      <c r="J9" s="385">
        <v>937.4</v>
      </c>
      <c r="K9" s="133">
        <v>2816</v>
      </c>
      <c r="L9" s="155">
        <v>44879</v>
      </c>
      <c r="M9" s="129">
        <f t="shared" si="2"/>
        <v>0</v>
      </c>
      <c r="N9" s="158"/>
      <c r="O9" s="386"/>
      <c r="P9" s="125"/>
      <c r="Q9" s="387"/>
      <c r="R9" s="130"/>
      <c r="S9" s="130"/>
      <c r="T9" s="132" t="str">
        <f t="shared" si="3"/>
        <v/>
      </c>
      <c r="U9" s="132" t="str">
        <f t="shared" si="4"/>
        <v>3 *DCMSHRIRAM</v>
      </c>
      <c r="V9" s="388" t="str">
        <f t="shared" si="5"/>
        <v/>
      </c>
      <c r="W9" s="389" t="str">
        <f t="shared" si="6"/>
        <v/>
      </c>
      <c r="X9" s="390" t="e">
        <f t="shared" si="7"/>
        <v>#NUM!</v>
      </c>
      <c r="Y9" s="391" t="e">
        <f t="shared" si="8"/>
        <v>#NUM!</v>
      </c>
      <c r="Z9" s="392" t="e">
        <f t="shared" si="9"/>
        <v>#NUM!</v>
      </c>
      <c r="AA9" s="389" t="str">
        <f t="shared" si="10"/>
        <v/>
      </c>
      <c r="AB9" s="125" t="s">
        <v>460</v>
      </c>
      <c r="AC9" s="98"/>
      <c r="AD9" s="98"/>
    </row>
    <row r="10" spans="1:30" ht="12.75" customHeight="1">
      <c r="A10" s="125" t="s">
        <v>1149</v>
      </c>
      <c r="B10" s="125" t="s">
        <v>1150</v>
      </c>
      <c r="C10" s="382" t="s">
        <v>1151</v>
      </c>
      <c r="D10" s="383"/>
      <c r="E10" s="384" t="str">
        <f t="shared" si="0"/>
        <v/>
      </c>
      <c r="F10" s="126" t="s">
        <v>1145</v>
      </c>
      <c r="G10" s="126"/>
      <c r="H10" s="385">
        <f t="shared" si="1"/>
        <v>905.125</v>
      </c>
      <c r="I10" s="126">
        <v>8</v>
      </c>
      <c r="J10" s="385">
        <v>904.01250000000005</v>
      </c>
      <c r="K10" s="133">
        <v>7241</v>
      </c>
      <c r="L10" s="155">
        <v>44880</v>
      </c>
      <c r="M10" s="129">
        <f t="shared" si="2"/>
        <v>0</v>
      </c>
      <c r="N10" s="158"/>
      <c r="O10" s="386"/>
      <c r="P10" s="125"/>
      <c r="Q10" s="387"/>
      <c r="R10" s="130"/>
      <c r="S10" s="130"/>
      <c r="T10" s="132" t="str">
        <f t="shared" si="3"/>
        <v/>
      </c>
      <c r="U10" s="132" t="str">
        <f t="shared" si="4"/>
        <v>8 *DCMSHRIRAM</v>
      </c>
      <c r="V10" s="388" t="str">
        <f t="shared" si="5"/>
        <v/>
      </c>
      <c r="W10" s="389" t="str">
        <f t="shared" si="6"/>
        <v/>
      </c>
      <c r="X10" s="390" t="e">
        <f t="shared" si="7"/>
        <v>#NUM!</v>
      </c>
      <c r="Y10" s="391" t="e">
        <f t="shared" si="8"/>
        <v>#NUM!</v>
      </c>
      <c r="Z10" s="392" t="e">
        <f t="shared" si="9"/>
        <v>#NUM!</v>
      </c>
      <c r="AA10" s="389" t="str">
        <f t="shared" si="10"/>
        <v/>
      </c>
      <c r="AB10" s="125" t="s">
        <v>460</v>
      </c>
      <c r="AC10" s="98"/>
      <c r="AD10" s="98"/>
    </row>
    <row r="11" spans="1:30" ht="12.75" customHeight="1">
      <c r="A11" s="125" t="s">
        <v>1149</v>
      </c>
      <c r="B11" s="125" t="s">
        <v>1150</v>
      </c>
      <c r="C11" s="382" t="s">
        <v>1151</v>
      </c>
      <c r="D11" s="383"/>
      <c r="E11" s="384" t="str">
        <f t="shared" si="0"/>
        <v/>
      </c>
      <c r="F11" s="126" t="s">
        <v>1145</v>
      </c>
      <c r="G11" s="126"/>
      <c r="H11" s="385">
        <f t="shared" si="1"/>
        <v>875.2</v>
      </c>
      <c r="I11" s="126">
        <v>5</v>
      </c>
      <c r="J11" s="385">
        <v>874.2</v>
      </c>
      <c r="K11" s="133">
        <v>4376</v>
      </c>
      <c r="L11" s="155">
        <v>45285</v>
      </c>
      <c r="M11" s="129">
        <f t="shared" si="2"/>
        <v>0</v>
      </c>
      <c r="N11" s="158"/>
      <c r="O11" s="386"/>
      <c r="P11" s="125"/>
      <c r="Q11" s="387"/>
      <c r="R11" s="130"/>
      <c r="S11" s="130"/>
      <c r="T11" s="132" t="str">
        <f t="shared" si="3"/>
        <v/>
      </c>
      <c r="U11" s="132" t="str">
        <f t="shared" si="4"/>
        <v>5 *DCMSHRIRAM</v>
      </c>
      <c r="V11" s="388" t="str">
        <f t="shared" si="5"/>
        <v/>
      </c>
      <c r="W11" s="389" t="str">
        <f t="shared" si="6"/>
        <v/>
      </c>
      <c r="X11" s="390" t="e">
        <f t="shared" si="7"/>
        <v>#NUM!</v>
      </c>
      <c r="Y11" s="391" t="e">
        <f t="shared" si="8"/>
        <v>#NUM!</v>
      </c>
      <c r="Z11" s="392" t="e">
        <f t="shared" si="9"/>
        <v>#NUM!</v>
      </c>
      <c r="AA11" s="389" t="str">
        <f t="shared" si="10"/>
        <v/>
      </c>
      <c r="AB11" s="125" t="s">
        <v>460</v>
      </c>
      <c r="AC11" s="98"/>
      <c r="AD11" s="98"/>
    </row>
    <row r="12" spans="1:30" ht="12.75" customHeight="1">
      <c r="A12" s="125" t="s">
        <v>1149</v>
      </c>
      <c r="B12" s="125" t="s">
        <v>1150</v>
      </c>
      <c r="C12" s="382" t="s">
        <v>1151</v>
      </c>
      <c r="D12" s="383"/>
      <c r="E12" s="384" t="str">
        <f t="shared" si="0"/>
        <v/>
      </c>
      <c r="F12" s="126" t="s">
        <v>1145</v>
      </c>
      <c r="G12" s="126"/>
      <c r="H12" s="385">
        <f t="shared" si="1"/>
        <v>854</v>
      </c>
      <c r="I12" s="126">
        <v>10</v>
      </c>
      <c r="J12" s="385">
        <v>853</v>
      </c>
      <c r="K12" s="133">
        <v>8540</v>
      </c>
      <c r="L12" s="155">
        <v>44979</v>
      </c>
      <c r="M12" s="129">
        <f t="shared" si="2"/>
        <v>0</v>
      </c>
      <c r="N12" s="158"/>
      <c r="O12" s="386"/>
      <c r="P12" s="125"/>
      <c r="Q12" s="387"/>
      <c r="R12" s="130"/>
      <c r="S12" s="130"/>
      <c r="T12" s="132" t="str">
        <f t="shared" si="3"/>
        <v/>
      </c>
      <c r="U12" s="132" t="str">
        <f t="shared" si="4"/>
        <v>10 *DCMSHRIRAM</v>
      </c>
      <c r="V12" s="388" t="str">
        <f t="shared" si="5"/>
        <v/>
      </c>
      <c r="W12" s="389" t="str">
        <f t="shared" si="6"/>
        <v/>
      </c>
      <c r="X12" s="390" t="e">
        <f t="shared" si="7"/>
        <v>#NUM!</v>
      </c>
      <c r="Y12" s="391" t="e">
        <f t="shared" si="8"/>
        <v>#NUM!</v>
      </c>
      <c r="Z12" s="392" t="e">
        <f t="shared" si="9"/>
        <v>#NUM!</v>
      </c>
      <c r="AA12" s="389" t="str">
        <f t="shared" si="10"/>
        <v/>
      </c>
      <c r="AB12" s="125" t="s">
        <v>460</v>
      </c>
      <c r="AC12" s="98"/>
      <c r="AD12" s="98"/>
    </row>
    <row r="13" spans="1:30" ht="12.75" customHeight="1">
      <c r="A13" s="125" t="s">
        <v>1149</v>
      </c>
      <c r="B13" s="125" t="s">
        <v>1150</v>
      </c>
      <c r="C13" s="382" t="s">
        <v>1151</v>
      </c>
      <c r="D13" s="383"/>
      <c r="E13" s="384" t="str">
        <f t="shared" si="0"/>
        <v/>
      </c>
      <c r="F13" s="126" t="s">
        <v>1145</v>
      </c>
      <c r="G13" s="126"/>
      <c r="H13" s="385">
        <f t="shared" si="1"/>
        <v>827.25</v>
      </c>
      <c r="I13" s="126">
        <v>20</v>
      </c>
      <c r="J13" s="385">
        <v>826.25</v>
      </c>
      <c r="K13" s="133">
        <v>16545</v>
      </c>
      <c r="L13" s="155">
        <v>45040</v>
      </c>
      <c r="M13" s="129">
        <f t="shared" si="2"/>
        <v>0</v>
      </c>
      <c r="N13" s="158"/>
      <c r="O13" s="386"/>
      <c r="P13" s="125"/>
      <c r="Q13" s="387"/>
      <c r="R13" s="130"/>
      <c r="S13" s="130"/>
      <c r="T13" s="132" t="str">
        <f t="shared" si="3"/>
        <v/>
      </c>
      <c r="U13" s="132" t="str">
        <f t="shared" si="4"/>
        <v>20 *DCMSHRIRAM</v>
      </c>
      <c r="V13" s="388" t="str">
        <f t="shared" si="5"/>
        <v/>
      </c>
      <c r="W13" s="389" t="str">
        <f t="shared" si="6"/>
        <v/>
      </c>
      <c r="X13" s="390" t="e">
        <f t="shared" si="7"/>
        <v>#NUM!</v>
      </c>
      <c r="Y13" s="391" t="e">
        <f t="shared" si="8"/>
        <v>#NUM!</v>
      </c>
      <c r="Z13" s="392" t="e">
        <f t="shared" si="9"/>
        <v>#NUM!</v>
      </c>
      <c r="AA13" s="389" t="str">
        <f t="shared" si="10"/>
        <v/>
      </c>
      <c r="AB13" s="125" t="s">
        <v>460</v>
      </c>
      <c r="AC13" s="98"/>
      <c r="AD13" s="98"/>
    </row>
    <row r="14" spans="1:30" ht="12.75" customHeight="1">
      <c r="A14" s="125" t="s">
        <v>1149</v>
      </c>
      <c r="B14" s="125" t="s">
        <v>1150</v>
      </c>
      <c r="C14" s="382" t="s">
        <v>1151</v>
      </c>
      <c r="D14" s="383"/>
      <c r="E14" s="384" t="str">
        <f t="shared" si="0"/>
        <v/>
      </c>
      <c r="F14" s="126" t="s">
        <v>1145</v>
      </c>
      <c r="G14" s="126"/>
      <c r="H14" s="385">
        <f t="shared" si="1"/>
        <v>0</v>
      </c>
      <c r="I14" s="126">
        <v>-40</v>
      </c>
      <c r="J14" s="385"/>
      <c r="K14" s="133"/>
      <c r="L14" s="155"/>
      <c r="M14" s="129">
        <f t="shared" si="2"/>
        <v>-763.65</v>
      </c>
      <c r="N14" s="158">
        <v>764.45</v>
      </c>
      <c r="O14" s="386">
        <v>30546</v>
      </c>
      <c r="P14" s="125">
        <v>45021</v>
      </c>
      <c r="Q14" s="387">
        <v>45019</v>
      </c>
      <c r="R14" s="130">
        <v>15.93</v>
      </c>
      <c r="S14" s="130"/>
      <c r="T14" s="132" t="str">
        <f t="shared" si="3"/>
        <v/>
      </c>
      <c r="U14" s="132" t="str">
        <f t="shared" si="4"/>
        <v>-40 *DCMSHRIRAM</v>
      </c>
      <c r="V14" s="388" t="str">
        <f t="shared" si="5"/>
        <v/>
      </c>
      <c r="W14" s="389" t="str">
        <f t="shared" si="6"/>
        <v/>
      </c>
      <c r="X14" s="390">
        <f t="shared" si="7"/>
        <v>123</v>
      </c>
      <c r="Y14" s="391">
        <f t="shared" si="8"/>
        <v>3</v>
      </c>
      <c r="Z14" s="392">
        <f t="shared" si="9"/>
        <v>5</v>
      </c>
      <c r="AA14" s="389" t="str">
        <f t="shared" si="10"/>
        <v/>
      </c>
      <c r="AB14" s="125" t="s">
        <v>460</v>
      </c>
      <c r="AC14" s="98"/>
      <c r="AD14" s="98"/>
    </row>
    <row r="15" spans="1:30" ht="12.75" customHeight="1">
      <c r="A15" s="125" t="s">
        <v>1149</v>
      </c>
      <c r="B15" s="125" t="s">
        <v>1150</v>
      </c>
      <c r="C15" s="382" t="s">
        <v>1151</v>
      </c>
      <c r="D15" s="383"/>
      <c r="E15" s="384" t="str">
        <f t="shared" si="0"/>
        <v/>
      </c>
      <c r="F15" s="126" t="s">
        <v>1145</v>
      </c>
      <c r="G15" s="126"/>
      <c r="H15" s="385">
        <f t="shared" si="1"/>
        <v>0</v>
      </c>
      <c r="I15" s="126">
        <v>-30</v>
      </c>
      <c r="J15" s="385"/>
      <c r="K15" s="133"/>
      <c r="L15" s="155"/>
      <c r="M15" s="129">
        <f t="shared" si="2"/>
        <v>-787.36670000000004</v>
      </c>
      <c r="N15" s="158">
        <v>788.16669999999999</v>
      </c>
      <c r="O15" s="386">
        <v>23621</v>
      </c>
      <c r="P15" s="125">
        <v>45022</v>
      </c>
      <c r="Q15" s="387">
        <v>45021</v>
      </c>
      <c r="R15" s="130">
        <v>15.93</v>
      </c>
      <c r="S15" s="130"/>
      <c r="T15" s="132" t="str">
        <f t="shared" si="3"/>
        <v/>
      </c>
      <c r="U15" s="132" t="str">
        <f t="shared" si="4"/>
        <v>-30 *DCMSHRIRAM</v>
      </c>
      <c r="V15" s="388" t="str">
        <f t="shared" si="5"/>
        <v/>
      </c>
      <c r="W15" s="389" t="str">
        <f t="shared" si="6"/>
        <v/>
      </c>
      <c r="X15" s="390">
        <f t="shared" si="7"/>
        <v>123</v>
      </c>
      <c r="Y15" s="391">
        <f t="shared" si="8"/>
        <v>3</v>
      </c>
      <c r="Z15" s="392">
        <f t="shared" si="9"/>
        <v>6</v>
      </c>
      <c r="AA15" s="389" t="str">
        <f t="shared" si="10"/>
        <v/>
      </c>
      <c r="AB15" s="125" t="s">
        <v>460</v>
      </c>
      <c r="AC15" s="98"/>
      <c r="AD15" s="98"/>
    </row>
    <row r="16" spans="1:30" ht="12.75" customHeight="1">
      <c r="A16" s="139" t="s">
        <v>598</v>
      </c>
      <c r="B16" s="139"/>
      <c r="C16" s="138"/>
      <c r="D16" s="393"/>
      <c r="E16" s="394" t="str">
        <f t="shared" si="0"/>
        <v/>
      </c>
      <c r="F16" s="139"/>
      <c r="G16" s="139"/>
      <c r="H16" s="157">
        <f t="shared" si="1"/>
        <v>11.664</v>
      </c>
      <c r="I16" s="395">
        <v>1000</v>
      </c>
      <c r="J16" s="157">
        <v>11.65</v>
      </c>
      <c r="K16" s="148">
        <v>11664</v>
      </c>
      <c r="L16" s="160">
        <v>44823</v>
      </c>
      <c r="M16" s="396">
        <f t="shared" si="2"/>
        <v>0</v>
      </c>
      <c r="N16" s="397"/>
      <c r="O16" s="398"/>
      <c r="P16" s="138"/>
      <c r="Q16" s="399"/>
      <c r="R16" s="144"/>
      <c r="S16" s="144"/>
      <c r="T16" s="147" t="str">
        <f t="shared" si="3"/>
        <v/>
      </c>
      <c r="U16" s="147" t="str">
        <f t="shared" si="4"/>
        <v>1000 A2ZINFRA</v>
      </c>
      <c r="V16" s="400" t="str">
        <f t="shared" si="5"/>
        <v/>
      </c>
      <c r="W16" s="401" t="str">
        <f t="shared" si="6"/>
        <v/>
      </c>
      <c r="X16" s="402" t="e">
        <f t="shared" si="7"/>
        <v>#NUM!</v>
      </c>
      <c r="Y16" s="403" t="e">
        <f t="shared" si="8"/>
        <v>#NUM!</v>
      </c>
      <c r="Z16" s="404" t="e">
        <f t="shared" si="9"/>
        <v>#NUM!</v>
      </c>
      <c r="AA16" s="401" t="str">
        <f t="shared" si="10"/>
        <v/>
      </c>
      <c r="AB16" s="138" t="s">
        <v>485</v>
      </c>
      <c r="AC16" s="98"/>
      <c r="AD16" s="98"/>
    </row>
    <row r="17" spans="1:30" ht="12.75" customHeight="1">
      <c r="A17" s="405" t="s">
        <v>587</v>
      </c>
      <c r="B17" s="139" t="s">
        <v>1152</v>
      </c>
      <c r="C17" s="138" t="s">
        <v>1153</v>
      </c>
      <c r="D17" s="393">
        <v>1227</v>
      </c>
      <c r="E17" s="394">
        <f t="shared" si="0"/>
        <v>0.42882096069868997</v>
      </c>
      <c r="F17" s="139" t="s">
        <v>1154</v>
      </c>
      <c r="G17" s="139" t="s">
        <v>1155</v>
      </c>
      <c r="H17" s="157">
        <f t="shared" si="1"/>
        <v>859.8</v>
      </c>
      <c r="I17" s="395">
        <v>10</v>
      </c>
      <c r="J17" s="157">
        <v>858.75</v>
      </c>
      <c r="K17" s="148">
        <f>11464-2866</f>
        <v>8598</v>
      </c>
      <c r="L17" s="154">
        <v>44487</v>
      </c>
      <c r="M17" s="396">
        <f t="shared" si="2"/>
        <v>0</v>
      </c>
      <c r="N17" s="397"/>
      <c r="O17" s="398"/>
      <c r="P17" s="138"/>
      <c r="Q17" s="399"/>
      <c r="R17" s="144"/>
      <c r="S17" s="144">
        <v>10</v>
      </c>
      <c r="T17" s="147" t="str">
        <f t="shared" si="3"/>
        <v/>
      </c>
      <c r="U17" s="147" t="str">
        <f t="shared" si="4"/>
        <v>10 AARTIIND</v>
      </c>
      <c r="V17" s="400" t="str">
        <f t="shared" si="5"/>
        <v/>
      </c>
      <c r="W17" s="401" t="str">
        <f t="shared" si="6"/>
        <v/>
      </c>
      <c r="X17" s="402" t="e">
        <f t="shared" si="7"/>
        <v>#NUM!</v>
      </c>
      <c r="Y17" s="403" t="e">
        <f t="shared" si="8"/>
        <v>#NUM!</v>
      </c>
      <c r="Z17" s="404" t="e">
        <f t="shared" si="9"/>
        <v>#NUM!</v>
      </c>
      <c r="AA17" s="401" t="str">
        <f t="shared" si="10"/>
        <v/>
      </c>
      <c r="AB17" s="138" t="s">
        <v>485</v>
      </c>
      <c r="AC17" s="98"/>
      <c r="AD17" s="98"/>
    </row>
    <row r="18" spans="1:30" ht="12.75" customHeight="1">
      <c r="A18" s="406" t="s">
        <v>587</v>
      </c>
      <c r="B18" s="139" t="s">
        <v>1152</v>
      </c>
      <c r="C18" s="138" t="s">
        <v>1153</v>
      </c>
      <c r="D18" s="393">
        <v>1227</v>
      </c>
      <c r="E18" s="394">
        <f t="shared" si="0"/>
        <v>0.65419615773508599</v>
      </c>
      <c r="F18" s="139" t="s">
        <v>1154</v>
      </c>
      <c r="G18" s="139" t="s">
        <v>1155</v>
      </c>
      <c r="H18" s="157">
        <f t="shared" si="1"/>
        <v>742.6</v>
      </c>
      <c r="I18" s="395">
        <v>10</v>
      </c>
      <c r="J18" s="157">
        <v>741.75</v>
      </c>
      <c r="K18" s="148">
        <f>9902-2476</f>
        <v>7426</v>
      </c>
      <c r="L18" s="154">
        <v>44497</v>
      </c>
      <c r="M18" s="396">
        <f t="shared" si="2"/>
        <v>0</v>
      </c>
      <c r="N18" s="397"/>
      <c r="O18" s="398"/>
      <c r="P18" s="138"/>
      <c r="Q18" s="399"/>
      <c r="R18" s="144"/>
      <c r="S18" s="144">
        <v>10</v>
      </c>
      <c r="T18" s="147" t="str">
        <f t="shared" si="3"/>
        <v/>
      </c>
      <c r="U18" s="147" t="str">
        <f t="shared" si="4"/>
        <v>10 AARTIIND</v>
      </c>
      <c r="V18" s="400" t="str">
        <f t="shared" si="5"/>
        <v/>
      </c>
      <c r="W18" s="401" t="str">
        <f t="shared" si="6"/>
        <v/>
      </c>
      <c r="X18" s="402" t="e">
        <f t="shared" si="7"/>
        <v>#NUM!</v>
      </c>
      <c r="Y18" s="403" t="e">
        <f t="shared" si="8"/>
        <v>#NUM!</v>
      </c>
      <c r="Z18" s="404" t="e">
        <f t="shared" si="9"/>
        <v>#NUM!</v>
      </c>
      <c r="AA18" s="401" t="str">
        <f t="shared" si="10"/>
        <v/>
      </c>
      <c r="AB18" s="138" t="s">
        <v>485</v>
      </c>
      <c r="AC18" s="98"/>
      <c r="AD18" s="98"/>
    </row>
    <row r="19" spans="1:30" ht="12.75" customHeight="1">
      <c r="A19" s="406" t="s">
        <v>587</v>
      </c>
      <c r="B19" s="139"/>
      <c r="C19" s="138"/>
      <c r="D19" s="393"/>
      <c r="E19" s="394" t="str">
        <f t="shared" si="0"/>
        <v/>
      </c>
      <c r="F19" s="139"/>
      <c r="G19" s="139"/>
      <c r="H19" s="157">
        <f t="shared" si="1"/>
        <v>589.4</v>
      </c>
      <c r="I19" s="395">
        <v>10</v>
      </c>
      <c r="J19" s="157">
        <v>588.75</v>
      </c>
      <c r="K19" s="148">
        <f>7859-1965</f>
        <v>5894</v>
      </c>
      <c r="L19" s="154">
        <v>44797</v>
      </c>
      <c r="M19" s="396">
        <f t="shared" si="2"/>
        <v>0</v>
      </c>
      <c r="N19" s="397"/>
      <c r="O19" s="398"/>
      <c r="P19" s="138"/>
      <c r="Q19" s="399"/>
      <c r="R19" s="144"/>
      <c r="S19" s="144"/>
      <c r="T19" s="147" t="str">
        <f t="shared" si="3"/>
        <v/>
      </c>
      <c r="U19" s="147" t="str">
        <f t="shared" si="4"/>
        <v>10 AARTIIND</v>
      </c>
      <c r="V19" s="400" t="str">
        <f t="shared" si="5"/>
        <v/>
      </c>
      <c r="W19" s="401" t="str">
        <f t="shared" si="6"/>
        <v/>
      </c>
      <c r="X19" s="402" t="e">
        <f t="shared" si="7"/>
        <v>#NUM!</v>
      </c>
      <c r="Y19" s="403" t="e">
        <f t="shared" si="8"/>
        <v>#NUM!</v>
      </c>
      <c r="Z19" s="404" t="e">
        <f t="shared" si="9"/>
        <v>#NUM!</v>
      </c>
      <c r="AA19" s="401" t="str">
        <f t="shared" si="10"/>
        <v/>
      </c>
      <c r="AB19" s="138" t="s">
        <v>485</v>
      </c>
      <c r="AC19" s="98"/>
      <c r="AD19" s="98"/>
    </row>
    <row r="20" spans="1:30" ht="12.75" customHeight="1">
      <c r="A20" s="139" t="s">
        <v>1156</v>
      </c>
      <c r="B20" s="139"/>
      <c r="C20" s="138"/>
      <c r="D20" s="393"/>
      <c r="E20" s="394" t="str">
        <f t="shared" si="0"/>
        <v/>
      </c>
      <c r="F20" s="139"/>
      <c r="G20" s="139"/>
      <c r="H20" s="157">
        <f t="shared" si="1"/>
        <v>1021.1429000000001</v>
      </c>
      <c r="I20" s="395">
        <v>7</v>
      </c>
      <c r="J20" s="157">
        <v>1043.8599999999999</v>
      </c>
      <c r="K20" s="148">
        <f>7307-159</f>
        <v>7148</v>
      </c>
      <c r="L20" s="160">
        <v>44954</v>
      </c>
      <c r="M20" s="396">
        <f t="shared" si="2"/>
        <v>0</v>
      </c>
      <c r="N20" s="397"/>
      <c r="O20" s="398"/>
      <c r="P20" s="138"/>
      <c r="Q20" s="399"/>
      <c r="R20" s="144"/>
      <c r="S20" s="144"/>
      <c r="T20" s="147" t="str">
        <f t="shared" si="3"/>
        <v/>
      </c>
      <c r="U20" s="147" t="str">
        <f t="shared" si="4"/>
        <v>7 AARTIPHARM</v>
      </c>
      <c r="V20" s="400" t="str">
        <f t="shared" si="5"/>
        <v/>
      </c>
      <c r="W20" s="401" t="str">
        <f t="shared" si="6"/>
        <v/>
      </c>
      <c r="X20" s="402" t="e">
        <f t="shared" si="7"/>
        <v>#NUM!</v>
      </c>
      <c r="Y20" s="403" t="e">
        <f t="shared" si="8"/>
        <v>#NUM!</v>
      </c>
      <c r="Z20" s="404" t="e">
        <f t="shared" si="9"/>
        <v>#NUM!</v>
      </c>
      <c r="AA20" s="401" t="str">
        <f t="shared" si="10"/>
        <v/>
      </c>
      <c r="AB20" s="138" t="s">
        <v>485</v>
      </c>
      <c r="AC20" s="98"/>
      <c r="AD20" s="98"/>
    </row>
    <row r="21" spans="1:30" ht="12.75" customHeight="1">
      <c r="A21" s="405" t="s">
        <v>639</v>
      </c>
      <c r="B21" s="139" t="s">
        <v>1157</v>
      </c>
      <c r="C21" s="138" t="s">
        <v>1158</v>
      </c>
      <c r="D21" s="393"/>
      <c r="E21" s="394" t="str">
        <f t="shared" si="0"/>
        <v/>
      </c>
      <c r="F21" s="139" t="s">
        <v>1159</v>
      </c>
      <c r="G21" s="139"/>
      <c r="H21" s="157">
        <f t="shared" si="1"/>
        <v>712</v>
      </c>
      <c r="I21" s="395">
        <v>20</v>
      </c>
      <c r="J21" s="157">
        <v>712</v>
      </c>
      <c r="K21" s="148">
        <v>14240</v>
      </c>
      <c r="L21" s="154">
        <v>44482</v>
      </c>
      <c r="M21" s="396">
        <f t="shared" si="2"/>
        <v>0</v>
      </c>
      <c r="N21" s="397"/>
      <c r="O21" s="398"/>
      <c r="P21" s="138"/>
      <c r="Q21" s="399"/>
      <c r="R21" s="144"/>
      <c r="S21" s="144">
        <v>112</v>
      </c>
      <c r="T21" s="147" t="str">
        <f t="shared" si="3"/>
        <v/>
      </c>
      <c r="U21" s="147" t="str">
        <f t="shared" si="4"/>
        <v>20 ABSLAMC</v>
      </c>
      <c r="V21" s="400" t="str">
        <f t="shared" si="5"/>
        <v/>
      </c>
      <c r="W21" s="401" t="str">
        <f t="shared" si="6"/>
        <v/>
      </c>
      <c r="X21" s="402" t="e">
        <f t="shared" si="7"/>
        <v>#NUM!</v>
      </c>
      <c r="Y21" s="403" t="e">
        <f t="shared" si="8"/>
        <v>#NUM!</v>
      </c>
      <c r="Z21" s="404" t="e">
        <f t="shared" si="9"/>
        <v>#NUM!</v>
      </c>
      <c r="AA21" s="401" t="str">
        <f t="shared" si="10"/>
        <v/>
      </c>
      <c r="AB21" s="138" t="s">
        <v>485</v>
      </c>
      <c r="AC21" s="98"/>
      <c r="AD21" s="98"/>
    </row>
    <row r="22" spans="1:30" ht="12.75" customHeight="1">
      <c r="A22" s="406" t="s">
        <v>639</v>
      </c>
      <c r="B22" s="139"/>
      <c r="C22" s="138"/>
      <c r="D22" s="393"/>
      <c r="E22" s="394" t="str">
        <f t="shared" si="0"/>
        <v/>
      </c>
      <c r="F22" s="139"/>
      <c r="G22" s="139"/>
      <c r="H22" s="157">
        <f t="shared" si="1"/>
        <v>489.6</v>
      </c>
      <c r="I22" s="395">
        <v>5</v>
      </c>
      <c r="J22" s="157">
        <v>488.95</v>
      </c>
      <c r="K22" s="148">
        <v>2448</v>
      </c>
      <c r="L22" s="160">
        <v>44818</v>
      </c>
      <c r="M22" s="396">
        <f t="shared" si="2"/>
        <v>0</v>
      </c>
      <c r="N22" s="397"/>
      <c r="O22" s="398"/>
      <c r="P22" s="138"/>
      <c r="Q22" s="399"/>
      <c r="R22" s="144"/>
      <c r="S22" s="144"/>
      <c r="T22" s="147" t="str">
        <f t="shared" si="3"/>
        <v/>
      </c>
      <c r="U22" s="147" t="str">
        <f t="shared" si="4"/>
        <v>5 ABSLAMC</v>
      </c>
      <c r="V22" s="400" t="str">
        <f t="shared" si="5"/>
        <v/>
      </c>
      <c r="W22" s="401" t="str">
        <f t="shared" si="6"/>
        <v/>
      </c>
      <c r="X22" s="402" t="e">
        <f t="shared" si="7"/>
        <v>#NUM!</v>
      </c>
      <c r="Y22" s="403" t="e">
        <f t="shared" si="8"/>
        <v>#NUM!</v>
      </c>
      <c r="Z22" s="404" t="e">
        <f t="shared" si="9"/>
        <v>#NUM!</v>
      </c>
      <c r="AA22" s="401" t="str">
        <f t="shared" si="10"/>
        <v/>
      </c>
      <c r="AB22" s="138" t="s">
        <v>485</v>
      </c>
      <c r="AC22" s="98"/>
      <c r="AD22" s="98"/>
    </row>
    <row r="23" spans="1:30" ht="12.75" customHeight="1">
      <c r="A23" s="405" t="s">
        <v>635</v>
      </c>
      <c r="B23" s="139"/>
      <c r="C23" s="138"/>
      <c r="D23" s="393"/>
      <c r="E23" s="394" t="str">
        <f t="shared" si="0"/>
        <v/>
      </c>
      <c r="F23" s="139"/>
      <c r="G23" s="139"/>
      <c r="H23" s="157">
        <f t="shared" si="1"/>
        <v>409.5</v>
      </c>
      <c r="I23" s="395">
        <v>20</v>
      </c>
      <c r="J23" s="157">
        <v>409</v>
      </c>
      <c r="K23" s="148">
        <v>8190</v>
      </c>
      <c r="L23" s="160">
        <v>44805</v>
      </c>
      <c r="M23" s="396">
        <f t="shared" si="2"/>
        <v>0</v>
      </c>
      <c r="N23" s="397"/>
      <c r="O23" s="398"/>
      <c r="P23" s="138"/>
      <c r="Q23" s="399"/>
      <c r="R23" s="144"/>
      <c r="S23" s="144"/>
      <c r="T23" s="147" t="str">
        <f t="shared" si="3"/>
        <v/>
      </c>
      <c r="U23" s="147" t="str">
        <f t="shared" si="4"/>
        <v>20 ADANIPOWER</v>
      </c>
      <c r="V23" s="400" t="str">
        <f t="shared" si="5"/>
        <v/>
      </c>
      <c r="W23" s="401" t="str">
        <f t="shared" si="6"/>
        <v/>
      </c>
      <c r="X23" s="402" t="e">
        <f t="shared" si="7"/>
        <v>#NUM!</v>
      </c>
      <c r="Y23" s="403" t="e">
        <f t="shared" si="8"/>
        <v>#NUM!</v>
      </c>
      <c r="Z23" s="404" t="e">
        <f t="shared" si="9"/>
        <v>#NUM!</v>
      </c>
      <c r="AA23" s="401" t="str">
        <f t="shared" si="10"/>
        <v/>
      </c>
      <c r="AB23" s="138" t="s">
        <v>485</v>
      </c>
      <c r="AC23" s="98"/>
      <c r="AD23" s="98"/>
    </row>
    <row r="24" spans="1:30" ht="12.75" customHeight="1">
      <c r="A24" s="405" t="s">
        <v>599</v>
      </c>
      <c r="B24" s="139" t="s">
        <v>1160</v>
      </c>
      <c r="C24" s="138" t="s">
        <v>1161</v>
      </c>
      <c r="D24" s="393">
        <v>115</v>
      </c>
      <c r="E24" s="394">
        <f t="shared" si="0"/>
        <v>0.11922141119221411</v>
      </c>
      <c r="F24" s="139" t="s">
        <v>1162</v>
      </c>
      <c r="G24" s="139" t="s">
        <v>1163</v>
      </c>
      <c r="H24" s="157">
        <f t="shared" si="1"/>
        <v>102.87</v>
      </c>
      <c r="I24" s="395">
        <v>100</v>
      </c>
      <c r="J24" s="157">
        <v>102.75</v>
      </c>
      <c r="K24" s="148">
        <v>10287</v>
      </c>
      <c r="L24" s="154">
        <v>44564</v>
      </c>
      <c r="M24" s="396">
        <f t="shared" si="2"/>
        <v>0</v>
      </c>
      <c r="N24" s="397"/>
      <c r="O24" s="398"/>
      <c r="P24" s="138"/>
      <c r="Q24" s="399"/>
      <c r="R24" s="144"/>
      <c r="S24" s="144"/>
      <c r="T24" s="147" t="str">
        <f t="shared" si="3"/>
        <v/>
      </c>
      <c r="U24" s="147" t="str">
        <f t="shared" si="4"/>
        <v>100 ASHOKA</v>
      </c>
      <c r="V24" s="400" t="str">
        <f t="shared" si="5"/>
        <v/>
      </c>
      <c r="W24" s="401" t="str">
        <f t="shared" si="6"/>
        <v/>
      </c>
      <c r="X24" s="402" t="e">
        <f t="shared" si="7"/>
        <v>#NUM!</v>
      </c>
      <c r="Y24" s="403" t="e">
        <f t="shared" si="8"/>
        <v>#NUM!</v>
      </c>
      <c r="Z24" s="404" t="e">
        <f t="shared" si="9"/>
        <v>#NUM!</v>
      </c>
      <c r="AA24" s="401" t="str">
        <f t="shared" si="10"/>
        <v/>
      </c>
      <c r="AB24" s="138" t="s">
        <v>485</v>
      </c>
      <c r="AC24" s="98"/>
      <c r="AD24" s="98"/>
    </row>
    <row r="25" spans="1:30" ht="12.75" customHeight="1">
      <c r="A25" s="406" t="s">
        <v>599</v>
      </c>
      <c r="B25" s="139"/>
      <c r="C25" s="138"/>
      <c r="D25" s="393"/>
      <c r="E25" s="394" t="str">
        <f t="shared" si="0"/>
        <v/>
      </c>
      <c r="F25" s="139" t="s">
        <v>1162</v>
      </c>
      <c r="G25" s="139"/>
      <c r="H25" s="157">
        <f t="shared" si="1"/>
        <v>99.12</v>
      </c>
      <c r="I25" s="395">
        <v>50</v>
      </c>
      <c r="J25" s="157">
        <v>99</v>
      </c>
      <c r="K25" s="148">
        <v>4956</v>
      </c>
      <c r="L25" s="154">
        <v>44582</v>
      </c>
      <c r="M25" s="396">
        <f t="shared" si="2"/>
        <v>0</v>
      </c>
      <c r="N25" s="397"/>
      <c r="O25" s="398"/>
      <c r="P25" s="138"/>
      <c r="Q25" s="399"/>
      <c r="R25" s="144"/>
      <c r="S25" s="144"/>
      <c r="T25" s="147" t="str">
        <f t="shared" si="3"/>
        <v/>
      </c>
      <c r="U25" s="147" t="str">
        <f t="shared" si="4"/>
        <v>50 ASHOKA</v>
      </c>
      <c r="V25" s="400" t="str">
        <f t="shared" si="5"/>
        <v/>
      </c>
      <c r="W25" s="401" t="str">
        <f t="shared" si="6"/>
        <v/>
      </c>
      <c r="X25" s="402" t="e">
        <f t="shared" si="7"/>
        <v>#NUM!</v>
      </c>
      <c r="Y25" s="403" t="e">
        <f t="shared" si="8"/>
        <v>#NUM!</v>
      </c>
      <c r="Z25" s="404" t="e">
        <f t="shared" si="9"/>
        <v>#NUM!</v>
      </c>
      <c r="AA25" s="401" t="str">
        <f t="shared" si="10"/>
        <v/>
      </c>
      <c r="AB25" s="138" t="s">
        <v>485</v>
      </c>
      <c r="AC25" s="98"/>
      <c r="AD25" s="98"/>
    </row>
    <row r="26" spans="1:30" ht="12.75" customHeight="1">
      <c r="A26" s="140" t="s">
        <v>498</v>
      </c>
      <c r="B26" s="139"/>
      <c r="C26" s="138"/>
      <c r="D26" s="393"/>
      <c r="E26" s="394" t="str">
        <f t="shared" si="0"/>
        <v/>
      </c>
      <c r="F26" s="139"/>
      <c r="G26" s="139"/>
      <c r="H26" s="157">
        <f t="shared" si="1"/>
        <v>7088.5</v>
      </c>
      <c r="I26" s="395">
        <v>2</v>
      </c>
      <c r="J26" s="157">
        <v>7080</v>
      </c>
      <c r="K26" s="148">
        <v>14177</v>
      </c>
      <c r="L26" s="154">
        <v>44671</v>
      </c>
      <c r="M26" s="396">
        <f t="shared" si="2"/>
        <v>0</v>
      </c>
      <c r="N26" s="397"/>
      <c r="O26" s="398"/>
      <c r="P26" s="138"/>
      <c r="Q26" s="399"/>
      <c r="R26" s="144"/>
      <c r="S26" s="144"/>
      <c r="T26" s="147" t="str">
        <f t="shared" si="3"/>
        <v/>
      </c>
      <c r="U26" s="147" t="str">
        <f t="shared" si="4"/>
        <v>2 BAJFINANCE</v>
      </c>
      <c r="V26" s="400" t="str">
        <f t="shared" si="5"/>
        <v/>
      </c>
      <c r="W26" s="401" t="str">
        <f t="shared" si="6"/>
        <v/>
      </c>
      <c r="X26" s="402" t="e">
        <f t="shared" si="7"/>
        <v>#NUM!</v>
      </c>
      <c r="Y26" s="403" t="e">
        <f t="shared" si="8"/>
        <v>#NUM!</v>
      </c>
      <c r="Z26" s="404" t="e">
        <f t="shared" si="9"/>
        <v>#NUM!</v>
      </c>
      <c r="AA26" s="401" t="str">
        <f t="shared" si="10"/>
        <v/>
      </c>
      <c r="AB26" s="138" t="s">
        <v>485</v>
      </c>
      <c r="AC26" s="98"/>
      <c r="AD26" s="98"/>
    </row>
    <row r="27" spans="1:30" ht="12.75" customHeight="1">
      <c r="A27" s="405" t="s">
        <v>484</v>
      </c>
      <c r="B27" s="139" t="s">
        <v>1164</v>
      </c>
      <c r="C27" s="138" t="s">
        <v>1165</v>
      </c>
      <c r="D27" s="393" t="s">
        <v>1166</v>
      </c>
      <c r="E27" s="394">
        <f t="shared" si="0"/>
        <v>0.1944196712957065</v>
      </c>
      <c r="F27" s="139" t="s">
        <v>1162</v>
      </c>
      <c r="G27" s="139" t="s">
        <v>1163</v>
      </c>
      <c r="H27" s="157">
        <f t="shared" si="1"/>
        <v>3143.5</v>
      </c>
      <c r="I27" s="395">
        <v>2</v>
      </c>
      <c r="J27" s="157">
        <v>3139.6</v>
      </c>
      <c r="K27" s="148">
        <v>6287</v>
      </c>
      <c r="L27" s="154">
        <v>44473</v>
      </c>
      <c r="M27" s="396">
        <f t="shared" si="2"/>
        <v>0</v>
      </c>
      <c r="N27" s="397"/>
      <c r="O27" s="398"/>
      <c r="P27" s="138"/>
      <c r="Q27" s="399"/>
      <c r="R27" s="144"/>
      <c r="S27" s="144">
        <v>19</v>
      </c>
      <c r="T27" s="147" t="str">
        <f t="shared" si="3"/>
        <v/>
      </c>
      <c r="U27" s="147" t="str">
        <f t="shared" si="4"/>
        <v>2 CAMS</v>
      </c>
      <c r="V27" s="400" t="str">
        <f t="shared" si="5"/>
        <v/>
      </c>
      <c r="W27" s="401" t="str">
        <f t="shared" si="6"/>
        <v/>
      </c>
      <c r="X27" s="402" t="e">
        <f t="shared" si="7"/>
        <v>#NUM!</v>
      </c>
      <c r="Y27" s="403" t="e">
        <f t="shared" si="8"/>
        <v>#NUM!</v>
      </c>
      <c r="Z27" s="404" t="e">
        <f t="shared" si="9"/>
        <v>#NUM!</v>
      </c>
      <c r="AA27" s="401" t="str">
        <f t="shared" si="10"/>
        <v/>
      </c>
      <c r="AB27" s="138" t="s">
        <v>485</v>
      </c>
      <c r="AC27" s="98"/>
      <c r="AD27" s="98"/>
    </row>
    <row r="28" spans="1:30" ht="12.75" customHeight="1">
      <c r="A28" s="406" t="s">
        <v>484</v>
      </c>
      <c r="B28" s="139"/>
      <c r="C28" s="138"/>
      <c r="D28" s="393"/>
      <c r="E28" s="394" t="str">
        <f t="shared" si="0"/>
        <v/>
      </c>
      <c r="F28" s="139" t="s">
        <v>1162</v>
      </c>
      <c r="G28" s="139"/>
      <c r="H28" s="157">
        <f t="shared" si="1"/>
        <v>2224.6667000000002</v>
      </c>
      <c r="I28" s="395">
        <v>3</v>
      </c>
      <c r="J28" s="157">
        <v>2222</v>
      </c>
      <c r="K28" s="148">
        <v>6674</v>
      </c>
      <c r="L28" s="154">
        <v>44796</v>
      </c>
      <c r="M28" s="396">
        <f t="shared" si="2"/>
        <v>0</v>
      </c>
      <c r="N28" s="397"/>
      <c r="O28" s="398"/>
      <c r="P28" s="138"/>
      <c r="Q28" s="399"/>
      <c r="R28" s="144"/>
      <c r="S28" s="144"/>
      <c r="T28" s="147" t="str">
        <f t="shared" si="3"/>
        <v/>
      </c>
      <c r="U28" s="147" t="str">
        <f t="shared" si="4"/>
        <v>3 CAMS</v>
      </c>
      <c r="V28" s="400" t="str">
        <f t="shared" si="5"/>
        <v/>
      </c>
      <c r="W28" s="401" t="str">
        <f t="shared" si="6"/>
        <v/>
      </c>
      <c r="X28" s="402" t="e">
        <f t="shared" si="7"/>
        <v>#NUM!</v>
      </c>
      <c r="Y28" s="403" t="e">
        <f t="shared" si="8"/>
        <v>#NUM!</v>
      </c>
      <c r="Z28" s="404" t="e">
        <f t="shared" si="9"/>
        <v>#NUM!</v>
      </c>
      <c r="AA28" s="401" t="str">
        <f t="shared" si="10"/>
        <v/>
      </c>
      <c r="AB28" s="138" t="s">
        <v>485</v>
      </c>
      <c r="AC28" s="98"/>
      <c r="AD28" s="98"/>
    </row>
    <row r="29" spans="1:30" ht="12.75" customHeight="1">
      <c r="A29" s="139" t="s">
        <v>583</v>
      </c>
      <c r="B29" s="139" t="s">
        <v>1167</v>
      </c>
      <c r="C29" s="138" t="s">
        <v>1168</v>
      </c>
      <c r="D29" s="393" t="s">
        <v>1169</v>
      </c>
      <c r="E29" s="394">
        <f t="shared" si="0"/>
        <v>6.3333333333333339E-2</v>
      </c>
      <c r="F29" s="139" t="s">
        <v>1170</v>
      </c>
      <c r="G29" s="139" t="s">
        <v>1171</v>
      </c>
      <c r="H29" s="157">
        <f t="shared" si="1"/>
        <v>901.1</v>
      </c>
      <c r="I29" s="395">
        <v>10</v>
      </c>
      <c r="J29" s="157">
        <v>900</v>
      </c>
      <c r="K29" s="148">
        <v>9011</v>
      </c>
      <c r="L29" s="154">
        <v>44463</v>
      </c>
      <c r="M29" s="396">
        <f t="shared" si="2"/>
        <v>0</v>
      </c>
      <c r="N29" s="397"/>
      <c r="O29" s="398"/>
      <c r="P29" s="138"/>
      <c r="Q29" s="399"/>
      <c r="R29" s="144"/>
      <c r="S29" s="144"/>
      <c r="T29" s="147" t="str">
        <f t="shared" si="3"/>
        <v/>
      </c>
      <c r="U29" s="147" t="str">
        <f t="shared" si="4"/>
        <v>10 CAPLIPOINT</v>
      </c>
      <c r="V29" s="400" t="str">
        <f t="shared" si="5"/>
        <v/>
      </c>
      <c r="W29" s="401" t="str">
        <f t="shared" si="6"/>
        <v/>
      </c>
      <c r="X29" s="402" t="e">
        <f t="shared" si="7"/>
        <v>#NUM!</v>
      </c>
      <c r="Y29" s="403" t="e">
        <f t="shared" si="8"/>
        <v>#NUM!</v>
      </c>
      <c r="Z29" s="404" t="e">
        <f t="shared" si="9"/>
        <v>#NUM!</v>
      </c>
      <c r="AA29" s="401" t="str">
        <f t="shared" si="10"/>
        <v/>
      </c>
      <c r="AB29" s="138" t="s">
        <v>485</v>
      </c>
      <c r="AC29" s="98"/>
      <c r="AD29" s="98"/>
    </row>
    <row r="30" spans="1:30" ht="12.75" customHeight="1">
      <c r="A30" s="405" t="s">
        <v>576</v>
      </c>
      <c r="B30" s="139"/>
      <c r="C30" s="138"/>
      <c r="D30" s="393"/>
      <c r="E30" s="394" t="str">
        <f t="shared" si="0"/>
        <v/>
      </c>
      <c r="F30" s="139"/>
      <c r="G30" s="139"/>
      <c r="H30" s="157">
        <f t="shared" si="1"/>
        <v>1258.1667</v>
      </c>
      <c r="I30" s="395">
        <v>6</v>
      </c>
      <c r="J30" s="157">
        <v>1256.67</v>
      </c>
      <c r="K30" s="148">
        <v>7549</v>
      </c>
      <c r="L30" s="154">
        <v>44803</v>
      </c>
      <c r="M30" s="396">
        <f t="shared" si="2"/>
        <v>0</v>
      </c>
      <c r="N30" s="397"/>
      <c r="O30" s="398"/>
      <c r="P30" s="138"/>
      <c r="Q30" s="399"/>
      <c r="R30" s="144"/>
      <c r="S30" s="144"/>
      <c r="T30" s="147" t="str">
        <f t="shared" si="3"/>
        <v/>
      </c>
      <c r="U30" s="147" t="str">
        <f t="shared" si="4"/>
        <v>6 CDSL</v>
      </c>
      <c r="V30" s="400" t="str">
        <f t="shared" si="5"/>
        <v/>
      </c>
      <c r="W30" s="401" t="str">
        <f t="shared" si="6"/>
        <v/>
      </c>
      <c r="X30" s="402" t="e">
        <f t="shared" si="7"/>
        <v>#NUM!</v>
      </c>
      <c r="Y30" s="403" t="e">
        <f t="shared" si="8"/>
        <v>#NUM!</v>
      </c>
      <c r="Z30" s="404" t="e">
        <f t="shared" si="9"/>
        <v>#NUM!</v>
      </c>
      <c r="AA30" s="401" t="str">
        <f t="shared" si="10"/>
        <v/>
      </c>
      <c r="AB30" s="138" t="s">
        <v>485</v>
      </c>
      <c r="AC30" s="98"/>
      <c r="AD30" s="98"/>
    </row>
    <row r="31" spans="1:30" ht="12.75" customHeight="1">
      <c r="A31" s="406" t="s">
        <v>576</v>
      </c>
      <c r="B31" s="139"/>
      <c r="C31" s="138"/>
      <c r="D31" s="393"/>
      <c r="E31" s="394" t="str">
        <f t="shared" si="0"/>
        <v/>
      </c>
      <c r="F31" s="139"/>
      <c r="G31" s="139"/>
      <c r="H31" s="157">
        <f t="shared" si="1"/>
        <v>1244.4000000000001</v>
      </c>
      <c r="I31" s="395">
        <v>5</v>
      </c>
      <c r="J31" s="157">
        <v>1243</v>
      </c>
      <c r="K31" s="148">
        <v>6222</v>
      </c>
      <c r="L31" s="160">
        <v>44805</v>
      </c>
      <c r="M31" s="396">
        <f t="shared" si="2"/>
        <v>0</v>
      </c>
      <c r="N31" s="397"/>
      <c r="O31" s="398"/>
      <c r="P31" s="138"/>
      <c r="Q31" s="399"/>
      <c r="R31" s="144"/>
      <c r="S31" s="144"/>
      <c r="T31" s="147" t="str">
        <f t="shared" si="3"/>
        <v/>
      </c>
      <c r="U31" s="147" t="str">
        <f t="shared" si="4"/>
        <v>5 CDSL</v>
      </c>
      <c r="V31" s="400" t="str">
        <f t="shared" si="5"/>
        <v/>
      </c>
      <c r="W31" s="401" t="str">
        <f t="shared" si="6"/>
        <v/>
      </c>
      <c r="X31" s="402" t="e">
        <f t="shared" si="7"/>
        <v>#NUM!</v>
      </c>
      <c r="Y31" s="403" t="e">
        <f t="shared" si="8"/>
        <v>#NUM!</v>
      </c>
      <c r="Z31" s="404" t="e">
        <f t="shared" si="9"/>
        <v>#NUM!</v>
      </c>
      <c r="AA31" s="401" t="str">
        <f t="shared" si="10"/>
        <v/>
      </c>
      <c r="AB31" s="138" t="s">
        <v>485</v>
      </c>
      <c r="AC31" s="98"/>
      <c r="AD31" s="98"/>
    </row>
    <row r="32" spans="1:30" ht="12.75" customHeight="1">
      <c r="A32" s="139" t="s">
        <v>1172</v>
      </c>
      <c r="B32" s="139"/>
      <c r="C32" s="138"/>
      <c r="D32" s="393"/>
      <c r="E32" s="394" t="str">
        <f t="shared" si="0"/>
        <v/>
      </c>
      <c r="F32" s="139"/>
      <c r="G32" s="139"/>
      <c r="H32" s="157">
        <f t="shared" si="1"/>
        <v>247</v>
      </c>
      <c r="I32" s="395">
        <v>60</v>
      </c>
      <c r="J32" s="157">
        <v>247</v>
      </c>
      <c r="K32" s="148">
        <v>14820</v>
      </c>
      <c r="L32" s="160">
        <v>44922</v>
      </c>
      <c r="M32" s="396">
        <f t="shared" si="2"/>
        <v>0</v>
      </c>
      <c r="N32" s="397"/>
      <c r="O32" s="398"/>
      <c r="P32" s="138"/>
      <c r="Q32" s="399"/>
      <c r="R32" s="144"/>
      <c r="S32" s="144"/>
      <c r="T32" s="147" t="str">
        <f t="shared" si="3"/>
        <v/>
      </c>
      <c r="U32" s="147" t="str">
        <f t="shared" si="4"/>
        <v>60 ELIN</v>
      </c>
      <c r="V32" s="400" t="str">
        <f t="shared" si="5"/>
        <v/>
      </c>
      <c r="W32" s="401" t="str">
        <f t="shared" si="6"/>
        <v/>
      </c>
      <c r="X32" s="402" t="e">
        <f t="shared" si="7"/>
        <v>#NUM!</v>
      </c>
      <c r="Y32" s="403" t="e">
        <f t="shared" si="8"/>
        <v>#NUM!</v>
      </c>
      <c r="Z32" s="404" t="e">
        <f t="shared" si="9"/>
        <v>#NUM!</v>
      </c>
      <c r="AA32" s="401" t="str">
        <f t="shared" si="10"/>
        <v/>
      </c>
      <c r="AB32" s="138" t="s">
        <v>485</v>
      </c>
      <c r="AC32" s="98"/>
      <c r="AD32" s="98"/>
    </row>
    <row r="33" spans="1:30" ht="12.75" customHeight="1">
      <c r="A33" s="139" t="s">
        <v>622</v>
      </c>
      <c r="B33" s="139"/>
      <c r="C33" s="138"/>
      <c r="D33" s="393"/>
      <c r="E33" s="394" t="str">
        <f t="shared" si="0"/>
        <v/>
      </c>
      <c r="F33" s="139"/>
      <c r="G33" s="139"/>
      <c r="H33" s="157">
        <f t="shared" si="1"/>
        <v>56.57</v>
      </c>
      <c r="I33" s="395">
        <v>100</v>
      </c>
      <c r="J33" s="157">
        <v>1202.0995</v>
      </c>
      <c r="K33" s="148">
        <v>5657</v>
      </c>
      <c r="L33" s="154">
        <v>44680</v>
      </c>
      <c r="M33" s="396">
        <f t="shared" si="2"/>
        <v>0</v>
      </c>
      <c r="N33" s="397"/>
      <c r="O33" s="398"/>
      <c r="P33" s="138"/>
      <c r="Q33" s="399"/>
      <c r="R33" s="144"/>
      <c r="S33" s="144"/>
      <c r="T33" s="147" t="str">
        <f t="shared" si="3"/>
        <v/>
      </c>
      <c r="U33" s="147" t="str">
        <f t="shared" si="4"/>
        <v>100 GODREJAGRO</v>
      </c>
      <c r="V33" s="400" t="str">
        <f t="shared" si="5"/>
        <v/>
      </c>
      <c r="W33" s="401" t="str">
        <f t="shared" si="6"/>
        <v/>
      </c>
      <c r="X33" s="402" t="e">
        <f t="shared" si="7"/>
        <v>#NUM!</v>
      </c>
      <c r="Y33" s="403" t="e">
        <f t="shared" si="8"/>
        <v>#NUM!</v>
      </c>
      <c r="Z33" s="404" t="e">
        <f t="shared" si="9"/>
        <v>#NUM!</v>
      </c>
      <c r="AA33" s="401" t="str">
        <f t="shared" si="10"/>
        <v/>
      </c>
      <c r="AB33" s="138" t="s">
        <v>485</v>
      </c>
      <c r="AC33" s="98"/>
      <c r="AD33" s="98"/>
    </row>
    <row r="34" spans="1:30" ht="12.75" customHeight="1">
      <c r="A34" s="405" t="s">
        <v>554</v>
      </c>
      <c r="B34" s="138" t="s">
        <v>1173</v>
      </c>
      <c r="C34" s="138" t="s">
        <v>1174</v>
      </c>
      <c r="D34" s="393" t="s">
        <v>1175</v>
      </c>
      <c r="E34" s="394">
        <f t="shared" si="0"/>
        <v>0.12</v>
      </c>
      <c r="F34" s="139" t="s">
        <v>1162</v>
      </c>
      <c r="G34" s="139" t="s">
        <v>1163</v>
      </c>
      <c r="H34" s="157">
        <f t="shared" si="1"/>
        <v>250.3</v>
      </c>
      <c r="I34" s="395">
        <v>50</v>
      </c>
      <c r="J34" s="157">
        <v>250</v>
      </c>
      <c r="K34" s="148">
        <v>12515</v>
      </c>
      <c r="L34" s="154">
        <v>44376</v>
      </c>
      <c r="M34" s="396">
        <f t="shared" si="2"/>
        <v>0</v>
      </c>
      <c r="N34" s="397"/>
      <c r="O34" s="398"/>
      <c r="P34" s="138"/>
      <c r="Q34" s="399"/>
      <c r="R34" s="144"/>
      <c r="S34" s="144">
        <v>140</v>
      </c>
      <c r="T34" s="147" t="str">
        <f t="shared" si="3"/>
        <v/>
      </c>
      <c r="U34" s="147" t="str">
        <f t="shared" si="4"/>
        <v>50 GUJAPOLLO</v>
      </c>
      <c r="V34" s="400" t="str">
        <f t="shared" si="5"/>
        <v/>
      </c>
      <c r="W34" s="401" t="str">
        <f t="shared" si="6"/>
        <v/>
      </c>
      <c r="X34" s="402" t="e">
        <f t="shared" si="7"/>
        <v>#NUM!</v>
      </c>
      <c r="Y34" s="403" t="e">
        <f t="shared" si="8"/>
        <v>#NUM!</v>
      </c>
      <c r="Z34" s="404" t="e">
        <f t="shared" si="9"/>
        <v>#NUM!</v>
      </c>
      <c r="AA34" s="401" t="str">
        <f t="shared" si="10"/>
        <v/>
      </c>
      <c r="AB34" s="138" t="s">
        <v>485</v>
      </c>
      <c r="AC34" s="98"/>
      <c r="AD34" s="98"/>
    </row>
    <row r="35" spans="1:30" ht="12.75" customHeight="1">
      <c r="A35" s="406" t="s">
        <v>554</v>
      </c>
      <c r="B35" s="138" t="s">
        <v>1173</v>
      </c>
      <c r="C35" s="138" t="s">
        <v>1174</v>
      </c>
      <c r="D35" s="393" t="s">
        <v>1175</v>
      </c>
      <c r="E35" s="394">
        <f t="shared" si="0"/>
        <v>0.22807017543859648</v>
      </c>
      <c r="F35" s="139" t="s">
        <v>1162</v>
      </c>
      <c r="G35" s="139" t="s">
        <v>1163</v>
      </c>
      <c r="H35" s="157">
        <f t="shared" si="1"/>
        <v>228.25</v>
      </c>
      <c r="I35" s="395">
        <v>20</v>
      </c>
      <c r="J35" s="157">
        <v>228</v>
      </c>
      <c r="K35" s="148">
        <v>4565</v>
      </c>
      <c r="L35" s="154">
        <v>44376</v>
      </c>
      <c r="M35" s="396">
        <f t="shared" si="2"/>
        <v>0</v>
      </c>
      <c r="N35" s="397"/>
      <c r="O35" s="398"/>
      <c r="P35" s="138"/>
      <c r="Q35" s="399"/>
      <c r="R35" s="144"/>
      <c r="S35" s="144"/>
      <c r="T35" s="147" t="str">
        <f t="shared" si="3"/>
        <v/>
      </c>
      <c r="U35" s="147" t="str">
        <f t="shared" si="4"/>
        <v>20 GUJAPOLLO</v>
      </c>
      <c r="V35" s="400" t="str">
        <f t="shared" si="5"/>
        <v/>
      </c>
      <c r="W35" s="401" t="str">
        <f t="shared" si="6"/>
        <v/>
      </c>
      <c r="X35" s="402" t="e">
        <f t="shared" si="7"/>
        <v>#NUM!</v>
      </c>
      <c r="Y35" s="403" t="e">
        <f t="shared" si="8"/>
        <v>#NUM!</v>
      </c>
      <c r="Z35" s="404" t="e">
        <f t="shared" si="9"/>
        <v>#NUM!</v>
      </c>
      <c r="AA35" s="401" t="str">
        <f t="shared" si="10"/>
        <v/>
      </c>
      <c r="AB35" s="138" t="s">
        <v>485</v>
      </c>
      <c r="AC35" s="98"/>
      <c r="AD35" s="98"/>
    </row>
    <row r="36" spans="1:30" ht="12.75" customHeight="1">
      <c r="A36" s="139" t="s">
        <v>554</v>
      </c>
      <c r="B36" s="139"/>
      <c r="C36" s="138"/>
      <c r="D36" s="393"/>
      <c r="E36" s="394" t="str">
        <f t="shared" si="0"/>
        <v/>
      </c>
      <c r="F36" s="139"/>
      <c r="G36" s="139"/>
      <c r="H36" s="157">
        <f t="shared" si="1"/>
        <v>235.2</v>
      </c>
      <c r="I36" s="395">
        <v>5</v>
      </c>
      <c r="J36" s="157">
        <v>235</v>
      </c>
      <c r="K36" s="148">
        <v>1176</v>
      </c>
      <c r="L36" s="160">
        <v>44818</v>
      </c>
      <c r="M36" s="396">
        <f t="shared" si="2"/>
        <v>0</v>
      </c>
      <c r="N36" s="397"/>
      <c r="O36" s="398"/>
      <c r="P36" s="138"/>
      <c r="Q36" s="399"/>
      <c r="R36" s="144"/>
      <c r="S36" s="144"/>
      <c r="T36" s="147" t="str">
        <f t="shared" si="3"/>
        <v/>
      </c>
      <c r="U36" s="147" t="str">
        <f t="shared" si="4"/>
        <v>5 GUJAPOLLO</v>
      </c>
      <c r="V36" s="400" t="str">
        <f t="shared" si="5"/>
        <v/>
      </c>
      <c r="W36" s="401" t="str">
        <f t="shared" si="6"/>
        <v/>
      </c>
      <c r="X36" s="402" t="e">
        <f t="shared" si="7"/>
        <v>#NUM!</v>
      </c>
      <c r="Y36" s="403" t="e">
        <f t="shared" si="8"/>
        <v>#NUM!</v>
      </c>
      <c r="Z36" s="404" t="e">
        <f t="shared" si="9"/>
        <v>#NUM!</v>
      </c>
      <c r="AA36" s="401" t="str">
        <f t="shared" si="10"/>
        <v/>
      </c>
      <c r="AB36" s="138" t="s">
        <v>485</v>
      </c>
      <c r="AC36" s="98"/>
      <c r="AD36" s="98"/>
    </row>
    <row r="37" spans="1:30" ht="12.75" customHeight="1">
      <c r="A37" s="405" t="s">
        <v>472</v>
      </c>
      <c r="B37" s="139"/>
      <c r="C37" s="138"/>
      <c r="D37" s="393"/>
      <c r="E37" s="394" t="str">
        <f t="shared" si="0"/>
        <v/>
      </c>
      <c r="F37" s="139"/>
      <c r="G37" s="139"/>
      <c r="H37" s="157">
        <f t="shared" si="1"/>
        <v>1832.2</v>
      </c>
      <c r="I37" s="395">
        <v>10</v>
      </c>
      <c r="J37" s="157">
        <v>1830</v>
      </c>
      <c r="K37" s="148">
        <v>18322</v>
      </c>
      <c r="L37" s="154">
        <v>44657</v>
      </c>
      <c r="M37" s="396">
        <f t="shared" si="2"/>
        <v>0</v>
      </c>
      <c r="N37" s="397"/>
      <c r="O37" s="398"/>
      <c r="P37" s="138"/>
      <c r="Q37" s="399"/>
      <c r="R37" s="144"/>
      <c r="S37" s="144"/>
      <c r="T37" s="147" t="str">
        <f t="shared" si="3"/>
        <v/>
      </c>
      <c r="U37" s="147" t="str">
        <f t="shared" si="4"/>
        <v>10 INFY</v>
      </c>
      <c r="V37" s="400" t="str">
        <f t="shared" si="5"/>
        <v/>
      </c>
      <c r="W37" s="401" t="str">
        <f t="shared" si="6"/>
        <v/>
      </c>
      <c r="X37" s="402" t="e">
        <f t="shared" si="7"/>
        <v>#NUM!</v>
      </c>
      <c r="Y37" s="403" t="e">
        <f t="shared" si="8"/>
        <v>#NUM!</v>
      </c>
      <c r="Z37" s="404" t="e">
        <f t="shared" si="9"/>
        <v>#NUM!</v>
      </c>
      <c r="AA37" s="401" t="str">
        <f t="shared" si="10"/>
        <v/>
      </c>
      <c r="AB37" s="138" t="s">
        <v>485</v>
      </c>
      <c r="AC37" s="98"/>
      <c r="AD37" s="98"/>
    </row>
    <row r="38" spans="1:30" ht="12.75" customHeight="1">
      <c r="A38" s="406" t="s">
        <v>472</v>
      </c>
      <c r="B38" s="139"/>
      <c r="C38" s="138"/>
      <c r="D38" s="393"/>
      <c r="E38" s="394" t="str">
        <f t="shared" si="0"/>
        <v/>
      </c>
      <c r="F38" s="139"/>
      <c r="G38" s="139"/>
      <c r="H38" s="157">
        <f t="shared" si="1"/>
        <v>1601.2</v>
      </c>
      <c r="I38" s="395">
        <v>10</v>
      </c>
      <c r="J38" s="157">
        <v>1599.3</v>
      </c>
      <c r="K38" s="148">
        <v>16012</v>
      </c>
      <c r="L38" s="154">
        <v>44670</v>
      </c>
      <c r="M38" s="396">
        <f t="shared" si="2"/>
        <v>0</v>
      </c>
      <c r="N38" s="397"/>
      <c r="O38" s="398"/>
      <c r="P38" s="138"/>
      <c r="Q38" s="399"/>
      <c r="R38" s="144"/>
      <c r="S38" s="144"/>
      <c r="T38" s="147" t="str">
        <f t="shared" si="3"/>
        <v/>
      </c>
      <c r="U38" s="147" t="str">
        <f t="shared" si="4"/>
        <v>10 INFY</v>
      </c>
      <c r="V38" s="400" t="str">
        <f t="shared" si="5"/>
        <v/>
      </c>
      <c r="W38" s="401" t="str">
        <f t="shared" si="6"/>
        <v/>
      </c>
      <c r="X38" s="402" t="e">
        <f t="shared" si="7"/>
        <v>#NUM!</v>
      </c>
      <c r="Y38" s="403" t="e">
        <f t="shared" si="8"/>
        <v>#NUM!</v>
      </c>
      <c r="Z38" s="404" t="e">
        <f t="shared" si="9"/>
        <v>#NUM!</v>
      </c>
      <c r="AA38" s="401" t="str">
        <f t="shared" si="10"/>
        <v/>
      </c>
      <c r="AB38" s="138" t="s">
        <v>485</v>
      </c>
      <c r="AC38" s="98"/>
      <c r="AD38" s="98"/>
    </row>
    <row r="39" spans="1:30" ht="12.75" customHeight="1">
      <c r="A39" s="406" t="s">
        <v>472</v>
      </c>
      <c r="B39" s="139"/>
      <c r="C39" s="138"/>
      <c r="D39" s="393"/>
      <c r="E39" s="394" t="str">
        <f t="shared" si="0"/>
        <v/>
      </c>
      <c r="F39" s="139"/>
      <c r="G39" s="139"/>
      <c r="H39" s="157">
        <f t="shared" si="1"/>
        <v>1546.6667</v>
      </c>
      <c r="I39" s="395">
        <v>3</v>
      </c>
      <c r="J39" s="157">
        <v>1545</v>
      </c>
      <c r="K39" s="148">
        <v>4640</v>
      </c>
      <c r="L39" s="154">
        <v>44796</v>
      </c>
      <c r="M39" s="396">
        <f t="shared" si="2"/>
        <v>0</v>
      </c>
      <c r="N39" s="397"/>
      <c r="O39" s="398"/>
      <c r="P39" s="138"/>
      <c r="Q39" s="399"/>
      <c r="R39" s="144"/>
      <c r="S39" s="144"/>
      <c r="T39" s="147" t="str">
        <f t="shared" si="3"/>
        <v/>
      </c>
      <c r="U39" s="147" t="str">
        <f t="shared" si="4"/>
        <v>3 INFY</v>
      </c>
      <c r="V39" s="400" t="str">
        <f t="shared" si="5"/>
        <v/>
      </c>
      <c r="W39" s="407" t="str">
        <f t="shared" si="6"/>
        <v/>
      </c>
      <c r="X39" s="402" t="e">
        <f t="shared" si="7"/>
        <v>#NUM!</v>
      </c>
      <c r="Y39" s="403" t="e">
        <f t="shared" si="8"/>
        <v>#NUM!</v>
      </c>
      <c r="Z39" s="404" t="e">
        <f t="shared" si="9"/>
        <v>#NUM!</v>
      </c>
      <c r="AA39" s="401" t="str">
        <f t="shared" si="10"/>
        <v/>
      </c>
      <c r="AB39" s="138" t="s">
        <v>485</v>
      </c>
      <c r="AC39" s="98"/>
      <c r="AD39" s="98"/>
    </row>
    <row r="40" spans="1:30" ht="12.75" customHeight="1">
      <c r="A40" s="139" t="s">
        <v>602</v>
      </c>
      <c r="B40" s="139"/>
      <c r="C40" s="139"/>
      <c r="D40" s="393"/>
      <c r="E40" s="394" t="str">
        <f t="shared" si="0"/>
        <v/>
      </c>
      <c r="F40" s="139"/>
      <c r="G40" s="139"/>
      <c r="H40" s="157">
        <f t="shared" si="1"/>
        <v>10.162000000000001</v>
      </c>
      <c r="I40" s="395">
        <v>1000</v>
      </c>
      <c r="J40" s="157">
        <v>10.15</v>
      </c>
      <c r="K40" s="148">
        <v>10162</v>
      </c>
      <c r="L40" s="154">
        <v>44572</v>
      </c>
      <c r="M40" s="396">
        <f t="shared" si="2"/>
        <v>0</v>
      </c>
      <c r="N40" s="397"/>
      <c r="O40" s="398"/>
      <c r="P40" s="138"/>
      <c r="Q40" s="399"/>
      <c r="R40" s="144"/>
      <c r="S40" s="144"/>
      <c r="T40" s="147" t="str">
        <f t="shared" si="3"/>
        <v/>
      </c>
      <c r="U40" s="147" t="str">
        <f t="shared" si="4"/>
        <v>1000 JPPOWER</v>
      </c>
      <c r="V40" s="400" t="str">
        <f t="shared" si="5"/>
        <v/>
      </c>
      <c r="W40" s="401" t="str">
        <f t="shared" si="6"/>
        <v/>
      </c>
      <c r="X40" s="402" t="e">
        <f t="shared" si="7"/>
        <v>#NUM!</v>
      </c>
      <c r="Y40" s="403" t="e">
        <f t="shared" si="8"/>
        <v>#NUM!</v>
      </c>
      <c r="Z40" s="404" t="e">
        <f t="shared" si="9"/>
        <v>#NUM!</v>
      </c>
      <c r="AA40" s="401" t="str">
        <f t="shared" si="10"/>
        <v/>
      </c>
      <c r="AB40" s="138" t="s">
        <v>485</v>
      </c>
      <c r="AC40" s="98"/>
      <c r="AD40" s="98"/>
    </row>
    <row r="41" spans="1:30" ht="12.75" customHeight="1">
      <c r="A41" s="139" t="s">
        <v>548</v>
      </c>
      <c r="B41" s="139" t="s">
        <v>1176</v>
      </c>
      <c r="C41" s="139" t="s">
        <v>1168</v>
      </c>
      <c r="D41" s="393" t="s">
        <v>1177</v>
      </c>
      <c r="E41" s="394">
        <f t="shared" si="0"/>
        <v>0.14361702127659576</v>
      </c>
      <c r="F41" s="139" t="s">
        <v>1162</v>
      </c>
      <c r="G41" s="139" t="s">
        <v>1163</v>
      </c>
      <c r="H41" s="157">
        <f t="shared" si="1"/>
        <v>752.88</v>
      </c>
      <c r="I41" s="395">
        <v>25</v>
      </c>
      <c r="J41" s="157">
        <v>752</v>
      </c>
      <c r="K41" s="148">
        <v>18822</v>
      </c>
      <c r="L41" s="154">
        <v>44368</v>
      </c>
      <c r="M41" s="396">
        <f t="shared" si="2"/>
        <v>0</v>
      </c>
      <c r="N41" s="397"/>
      <c r="O41" s="398"/>
      <c r="P41" s="138"/>
      <c r="Q41" s="399"/>
      <c r="R41" s="144"/>
      <c r="S41" s="144">
        <v>125</v>
      </c>
      <c r="T41" s="147" t="str">
        <f t="shared" si="3"/>
        <v/>
      </c>
      <c r="U41" s="147" t="str">
        <f t="shared" si="4"/>
        <v>25 JUBLPHARMA</v>
      </c>
      <c r="V41" s="400" t="str">
        <f t="shared" si="5"/>
        <v/>
      </c>
      <c r="W41" s="401" t="str">
        <f t="shared" si="6"/>
        <v/>
      </c>
      <c r="X41" s="402" t="e">
        <f t="shared" si="7"/>
        <v>#NUM!</v>
      </c>
      <c r="Y41" s="403" t="e">
        <f t="shared" si="8"/>
        <v>#NUM!</v>
      </c>
      <c r="Z41" s="404" t="e">
        <f t="shared" si="9"/>
        <v>#NUM!</v>
      </c>
      <c r="AA41" s="401" t="str">
        <f t="shared" si="10"/>
        <v/>
      </c>
      <c r="AB41" s="138" t="s">
        <v>485</v>
      </c>
      <c r="AC41" s="98"/>
      <c r="AD41" s="98"/>
    </row>
    <row r="42" spans="1:30" ht="12.75" customHeight="1">
      <c r="A42" s="139" t="s">
        <v>1178</v>
      </c>
      <c r="B42" s="139"/>
      <c r="C42" s="138"/>
      <c r="D42" s="393"/>
      <c r="E42" s="394" t="str">
        <f t="shared" si="0"/>
        <v/>
      </c>
      <c r="F42" s="139" t="s">
        <v>1159</v>
      </c>
      <c r="G42" s="139"/>
      <c r="H42" s="157">
        <f t="shared" si="1"/>
        <v>904</v>
      </c>
      <c r="I42" s="395">
        <v>15</v>
      </c>
      <c r="J42" s="157">
        <v>904</v>
      </c>
      <c r="K42" s="148">
        <v>13560</v>
      </c>
      <c r="L42" s="154">
        <v>44694</v>
      </c>
      <c r="M42" s="396">
        <f t="shared" si="2"/>
        <v>0</v>
      </c>
      <c r="N42" s="397"/>
      <c r="O42" s="398"/>
      <c r="P42" s="138"/>
      <c r="Q42" s="399"/>
      <c r="R42" s="144"/>
      <c r="S42" s="144"/>
      <c r="T42" s="147" t="str">
        <f t="shared" si="3"/>
        <v/>
      </c>
      <c r="U42" s="147" t="str">
        <f t="shared" si="4"/>
        <v>15 LICI</v>
      </c>
      <c r="V42" s="400" t="str">
        <f t="shared" si="5"/>
        <v/>
      </c>
      <c r="W42" s="401" t="str">
        <f t="shared" si="6"/>
        <v/>
      </c>
      <c r="X42" s="402" t="e">
        <f t="shared" si="7"/>
        <v>#NUM!</v>
      </c>
      <c r="Y42" s="403" t="e">
        <f t="shared" si="8"/>
        <v>#NUM!</v>
      </c>
      <c r="Z42" s="404" t="e">
        <f t="shared" si="9"/>
        <v>#NUM!</v>
      </c>
      <c r="AA42" s="401" t="str">
        <f t="shared" si="10"/>
        <v/>
      </c>
      <c r="AB42" s="138" t="s">
        <v>485</v>
      </c>
      <c r="AC42" s="98"/>
      <c r="AD42" s="98"/>
    </row>
    <row r="43" spans="1:30" ht="12.75" customHeight="1">
      <c r="A43" s="405" t="s">
        <v>625</v>
      </c>
      <c r="B43" s="139"/>
      <c r="C43" s="138"/>
      <c r="D43" s="393">
        <v>1150</v>
      </c>
      <c r="E43" s="394">
        <f t="shared" si="0"/>
        <v>0.40243902439024393</v>
      </c>
      <c r="F43" s="139" t="s">
        <v>1179</v>
      </c>
      <c r="G43" s="139"/>
      <c r="H43" s="157">
        <f t="shared" si="1"/>
        <v>820.9375</v>
      </c>
      <c r="I43" s="395">
        <v>16</v>
      </c>
      <c r="J43" s="157">
        <v>820</v>
      </c>
      <c r="K43" s="148">
        <v>13135</v>
      </c>
      <c r="L43" s="154">
        <v>44740</v>
      </c>
      <c r="M43" s="396">
        <f t="shared" si="2"/>
        <v>0</v>
      </c>
      <c r="N43" s="397"/>
      <c r="O43" s="398"/>
      <c r="P43" s="138"/>
      <c r="Q43" s="399"/>
      <c r="R43" s="144"/>
      <c r="S43" s="144"/>
      <c r="T43" s="147" t="str">
        <f t="shared" si="3"/>
        <v/>
      </c>
      <c r="U43" s="147" t="str">
        <f t="shared" si="4"/>
        <v>16 MATRIMONY</v>
      </c>
      <c r="V43" s="400" t="str">
        <f t="shared" si="5"/>
        <v/>
      </c>
      <c r="W43" s="401" t="str">
        <f t="shared" si="6"/>
        <v/>
      </c>
      <c r="X43" s="402" t="e">
        <f t="shared" si="7"/>
        <v>#NUM!</v>
      </c>
      <c r="Y43" s="403" t="e">
        <f t="shared" si="8"/>
        <v>#NUM!</v>
      </c>
      <c r="Z43" s="404" t="e">
        <f t="shared" si="9"/>
        <v>#NUM!</v>
      </c>
      <c r="AA43" s="401" t="str">
        <f t="shared" si="10"/>
        <v/>
      </c>
      <c r="AB43" s="138" t="s">
        <v>485</v>
      </c>
      <c r="AC43" s="98"/>
      <c r="AD43" s="98"/>
    </row>
    <row r="44" spans="1:30" ht="12.75" customHeight="1">
      <c r="A44" s="406" t="s">
        <v>625</v>
      </c>
      <c r="B44" s="139"/>
      <c r="C44" s="138"/>
      <c r="D44" s="393">
        <v>1150</v>
      </c>
      <c r="E44" s="394">
        <f t="shared" si="0"/>
        <v>0.49739583333333331</v>
      </c>
      <c r="F44" s="139" t="s">
        <v>1179</v>
      </c>
      <c r="G44" s="139"/>
      <c r="H44" s="157">
        <f t="shared" si="1"/>
        <v>768.9</v>
      </c>
      <c r="I44" s="395">
        <v>20</v>
      </c>
      <c r="J44" s="157">
        <v>768</v>
      </c>
      <c r="K44" s="148">
        <v>15378</v>
      </c>
      <c r="L44" s="154">
        <v>44749</v>
      </c>
      <c r="M44" s="396">
        <f t="shared" si="2"/>
        <v>0</v>
      </c>
      <c r="N44" s="397"/>
      <c r="O44" s="398"/>
      <c r="P44" s="138"/>
      <c r="Q44" s="399"/>
      <c r="R44" s="144"/>
      <c r="S44" s="144"/>
      <c r="T44" s="147" t="str">
        <f t="shared" si="3"/>
        <v/>
      </c>
      <c r="U44" s="147" t="str">
        <f t="shared" si="4"/>
        <v>20 MATRIMONY</v>
      </c>
      <c r="V44" s="400" t="str">
        <f t="shared" si="5"/>
        <v/>
      </c>
      <c r="W44" s="401" t="str">
        <f t="shared" si="6"/>
        <v/>
      </c>
      <c r="X44" s="402" t="e">
        <f t="shared" si="7"/>
        <v>#NUM!</v>
      </c>
      <c r="Y44" s="403" t="e">
        <f t="shared" si="8"/>
        <v>#NUM!</v>
      </c>
      <c r="Z44" s="404" t="e">
        <f t="shared" si="9"/>
        <v>#NUM!</v>
      </c>
      <c r="AA44" s="401" t="str">
        <f t="shared" si="10"/>
        <v/>
      </c>
      <c r="AB44" s="138" t="s">
        <v>485</v>
      </c>
      <c r="AC44" s="98"/>
      <c r="AD44" s="98"/>
    </row>
    <row r="45" spans="1:30" ht="12.75" customHeight="1">
      <c r="A45" s="406" t="s">
        <v>625</v>
      </c>
      <c r="B45" s="139"/>
      <c r="C45" s="138"/>
      <c r="D45" s="393">
        <v>1150</v>
      </c>
      <c r="E45" s="394">
        <f t="shared" si="0"/>
        <v>0.4935064935064935</v>
      </c>
      <c r="F45" s="139" t="s">
        <v>1179</v>
      </c>
      <c r="G45" s="139"/>
      <c r="H45" s="157">
        <f t="shared" si="1"/>
        <v>770.9</v>
      </c>
      <c r="I45" s="395">
        <v>20</v>
      </c>
      <c r="J45" s="157">
        <v>770</v>
      </c>
      <c r="K45" s="148">
        <v>15418</v>
      </c>
      <c r="L45" s="154">
        <v>44750</v>
      </c>
      <c r="M45" s="396">
        <f t="shared" si="2"/>
        <v>0</v>
      </c>
      <c r="N45" s="397"/>
      <c r="O45" s="398"/>
      <c r="P45" s="138"/>
      <c r="Q45" s="399"/>
      <c r="R45" s="144"/>
      <c r="S45" s="144"/>
      <c r="T45" s="147" t="str">
        <f t="shared" si="3"/>
        <v/>
      </c>
      <c r="U45" s="147" t="str">
        <f t="shared" si="4"/>
        <v>20 MATRIMONY</v>
      </c>
      <c r="V45" s="400" t="str">
        <f t="shared" si="5"/>
        <v/>
      </c>
      <c r="W45" s="401" t="str">
        <f t="shared" si="6"/>
        <v/>
      </c>
      <c r="X45" s="402" t="e">
        <f t="shared" si="7"/>
        <v>#NUM!</v>
      </c>
      <c r="Y45" s="403" t="e">
        <f t="shared" si="8"/>
        <v>#NUM!</v>
      </c>
      <c r="Z45" s="404" t="e">
        <f t="shared" si="9"/>
        <v>#NUM!</v>
      </c>
      <c r="AA45" s="401" t="str">
        <f t="shared" si="10"/>
        <v/>
      </c>
      <c r="AB45" s="138" t="s">
        <v>485</v>
      </c>
      <c r="AC45" s="98"/>
      <c r="AD45" s="98"/>
    </row>
    <row r="46" spans="1:30" ht="12.75" customHeight="1">
      <c r="A46" s="406" t="s">
        <v>625</v>
      </c>
      <c r="B46" s="139"/>
      <c r="C46" s="138"/>
      <c r="D46" s="393">
        <v>1150</v>
      </c>
      <c r="E46" s="394">
        <f t="shared" si="0"/>
        <v>0.51315789473684215</v>
      </c>
      <c r="F46" s="139" t="s">
        <v>1179</v>
      </c>
      <c r="G46" s="139"/>
      <c r="H46" s="157">
        <f t="shared" si="1"/>
        <v>760.9</v>
      </c>
      <c r="I46" s="395">
        <v>10</v>
      </c>
      <c r="J46" s="157">
        <v>760</v>
      </c>
      <c r="K46" s="148">
        <v>7609</v>
      </c>
      <c r="L46" s="154">
        <v>44753</v>
      </c>
      <c r="M46" s="396">
        <f t="shared" si="2"/>
        <v>0</v>
      </c>
      <c r="N46" s="397"/>
      <c r="O46" s="398"/>
      <c r="P46" s="138"/>
      <c r="Q46" s="399"/>
      <c r="R46" s="144"/>
      <c r="S46" s="144"/>
      <c r="T46" s="147" t="str">
        <f t="shared" si="3"/>
        <v/>
      </c>
      <c r="U46" s="147" t="str">
        <f t="shared" si="4"/>
        <v>10 MATRIMONY</v>
      </c>
      <c r="V46" s="400" t="str">
        <f t="shared" si="5"/>
        <v/>
      </c>
      <c r="W46" s="401" t="str">
        <f t="shared" si="6"/>
        <v/>
      </c>
      <c r="X46" s="402" t="e">
        <f t="shared" si="7"/>
        <v>#NUM!</v>
      </c>
      <c r="Y46" s="403" t="e">
        <f t="shared" si="8"/>
        <v>#NUM!</v>
      </c>
      <c r="Z46" s="404" t="e">
        <f t="shared" si="9"/>
        <v>#NUM!</v>
      </c>
      <c r="AA46" s="401" t="str">
        <f t="shared" si="10"/>
        <v/>
      </c>
      <c r="AB46" s="138" t="s">
        <v>485</v>
      </c>
      <c r="AC46" s="98"/>
      <c r="AD46" s="98"/>
    </row>
    <row r="47" spans="1:30" ht="12.75" customHeight="1">
      <c r="A47" s="406" t="s">
        <v>625</v>
      </c>
      <c r="B47" s="139"/>
      <c r="C47" s="138"/>
      <c r="D47" s="393"/>
      <c r="E47" s="394" t="str">
        <f t="shared" si="0"/>
        <v/>
      </c>
      <c r="F47" s="139"/>
      <c r="G47" s="139"/>
      <c r="H47" s="157">
        <f t="shared" si="1"/>
        <v>690.75</v>
      </c>
      <c r="I47" s="395">
        <v>4</v>
      </c>
      <c r="J47" s="157">
        <v>690</v>
      </c>
      <c r="K47" s="148">
        <v>2763</v>
      </c>
      <c r="L47" s="160">
        <v>44818</v>
      </c>
      <c r="M47" s="396">
        <f t="shared" si="2"/>
        <v>0</v>
      </c>
      <c r="N47" s="397"/>
      <c r="O47" s="398"/>
      <c r="P47" s="138"/>
      <c r="Q47" s="399"/>
      <c r="R47" s="144"/>
      <c r="S47" s="144"/>
      <c r="T47" s="147" t="str">
        <f t="shared" si="3"/>
        <v/>
      </c>
      <c r="U47" s="147" t="str">
        <f t="shared" si="4"/>
        <v>4 MATRIMONY</v>
      </c>
      <c r="V47" s="400" t="str">
        <f t="shared" si="5"/>
        <v/>
      </c>
      <c r="W47" s="401" t="str">
        <f t="shared" si="6"/>
        <v/>
      </c>
      <c r="X47" s="402" t="e">
        <f t="shared" si="7"/>
        <v>#NUM!</v>
      </c>
      <c r="Y47" s="403" t="e">
        <f t="shared" si="8"/>
        <v>#NUM!</v>
      </c>
      <c r="Z47" s="404" t="e">
        <f t="shared" si="9"/>
        <v>#NUM!</v>
      </c>
      <c r="AA47" s="401" t="str">
        <f t="shared" si="10"/>
        <v/>
      </c>
      <c r="AB47" s="138" t="s">
        <v>485</v>
      </c>
      <c r="AC47" s="98"/>
      <c r="AD47" s="98"/>
    </row>
    <row r="48" spans="1:30" ht="12.75" customHeight="1">
      <c r="A48" s="139" t="s">
        <v>603</v>
      </c>
      <c r="B48" s="139"/>
      <c r="C48" s="139"/>
      <c r="D48" s="393"/>
      <c r="E48" s="394" t="str">
        <f t="shared" si="0"/>
        <v/>
      </c>
      <c r="F48" s="139" t="s">
        <v>1154</v>
      </c>
      <c r="G48" s="139"/>
      <c r="H48" s="157">
        <f t="shared" si="1"/>
        <v>1638.8</v>
      </c>
      <c r="I48" s="395">
        <v>30</v>
      </c>
      <c r="J48" s="157">
        <v>1636.875</v>
      </c>
      <c r="K48" s="148">
        <v>49164</v>
      </c>
      <c r="L48" s="154">
        <v>44575</v>
      </c>
      <c r="M48" s="396">
        <f t="shared" si="2"/>
        <v>0</v>
      </c>
      <c r="N48" s="397"/>
      <c r="O48" s="398"/>
      <c r="P48" s="138"/>
      <c r="Q48" s="399"/>
      <c r="R48" s="144"/>
      <c r="S48" s="144"/>
      <c r="T48" s="147" t="str">
        <f t="shared" si="3"/>
        <v/>
      </c>
      <c r="U48" s="147" t="str">
        <f t="shared" si="4"/>
        <v>30 MCX</v>
      </c>
      <c r="V48" s="400" t="str">
        <f t="shared" si="5"/>
        <v/>
      </c>
      <c r="W48" s="401" t="str">
        <f t="shared" si="6"/>
        <v/>
      </c>
      <c r="X48" s="402" t="e">
        <f t="shared" si="7"/>
        <v>#NUM!</v>
      </c>
      <c r="Y48" s="403" t="e">
        <f t="shared" si="8"/>
        <v>#NUM!</v>
      </c>
      <c r="Z48" s="404" t="e">
        <f t="shared" si="9"/>
        <v>#NUM!</v>
      </c>
      <c r="AA48" s="401" t="str">
        <f t="shared" si="10"/>
        <v/>
      </c>
      <c r="AB48" s="138" t="s">
        <v>485</v>
      </c>
      <c r="AC48" s="98"/>
      <c r="AD48" s="98"/>
    </row>
    <row r="49" spans="1:30" ht="12.75" customHeight="1">
      <c r="A49" s="139" t="s">
        <v>631</v>
      </c>
      <c r="B49" s="139"/>
      <c r="C49" s="138"/>
      <c r="D49" s="393"/>
      <c r="E49" s="394" t="str">
        <f t="shared" si="0"/>
        <v/>
      </c>
      <c r="F49" s="139"/>
      <c r="G49" s="139"/>
      <c r="H49" s="157">
        <f t="shared" si="1"/>
        <v>88.906700000000001</v>
      </c>
      <c r="I49" s="395">
        <f>50+25</f>
        <v>75</v>
      </c>
      <c r="J49" s="157">
        <f>133.2/75*50</f>
        <v>88.799999999999983</v>
      </c>
      <c r="K49" s="148">
        <v>6668</v>
      </c>
      <c r="L49" s="154">
        <v>44775</v>
      </c>
      <c r="M49" s="396">
        <f t="shared" si="2"/>
        <v>0</v>
      </c>
      <c r="N49" s="397"/>
      <c r="O49" s="398"/>
      <c r="P49" s="138"/>
      <c r="Q49" s="399"/>
      <c r="R49" s="144"/>
      <c r="S49" s="144"/>
      <c r="T49" s="147" t="str">
        <f t="shared" si="3"/>
        <v/>
      </c>
      <c r="U49" s="147" t="str">
        <f t="shared" si="4"/>
        <v>75 MOTHERSON</v>
      </c>
      <c r="V49" s="400" t="str">
        <f t="shared" si="5"/>
        <v/>
      </c>
      <c r="W49" s="401" t="str">
        <f t="shared" si="6"/>
        <v/>
      </c>
      <c r="X49" s="402" t="e">
        <f t="shared" si="7"/>
        <v>#NUM!</v>
      </c>
      <c r="Y49" s="403" t="e">
        <f t="shared" si="8"/>
        <v>#NUM!</v>
      </c>
      <c r="Z49" s="404" t="e">
        <f t="shared" si="9"/>
        <v>#NUM!</v>
      </c>
      <c r="AA49" s="401" t="str">
        <f t="shared" si="10"/>
        <v/>
      </c>
      <c r="AB49" s="138" t="s">
        <v>485</v>
      </c>
      <c r="AC49" s="98"/>
      <c r="AD49" s="98"/>
    </row>
    <row r="50" spans="1:30" ht="12.75" customHeight="1">
      <c r="A50" s="139" t="s">
        <v>646</v>
      </c>
      <c r="B50" s="139"/>
      <c r="C50" s="138"/>
      <c r="D50" s="393"/>
      <c r="E50" s="394" t="str">
        <f t="shared" si="0"/>
        <v/>
      </c>
      <c r="F50" s="139"/>
      <c r="G50" s="139"/>
      <c r="H50" s="157">
        <f t="shared" si="1"/>
        <v>51.96</v>
      </c>
      <c r="I50" s="395">
        <v>200</v>
      </c>
      <c r="J50" s="157">
        <v>51.9</v>
      </c>
      <c r="K50" s="148">
        <v>10392</v>
      </c>
      <c r="L50" s="160">
        <v>44943</v>
      </c>
      <c r="M50" s="396">
        <f t="shared" si="2"/>
        <v>0</v>
      </c>
      <c r="N50" s="397"/>
      <c r="O50" s="398"/>
      <c r="P50" s="138"/>
      <c r="Q50" s="399"/>
      <c r="R50" s="144"/>
      <c r="S50" s="144"/>
      <c r="T50" s="147" t="str">
        <f t="shared" si="3"/>
        <v/>
      </c>
      <c r="U50" s="147" t="str">
        <f t="shared" si="4"/>
        <v>200 MSUMI</v>
      </c>
      <c r="V50" s="400" t="str">
        <f t="shared" si="5"/>
        <v/>
      </c>
      <c r="W50" s="401" t="str">
        <f t="shared" si="6"/>
        <v/>
      </c>
      <c r="X50" s="402" t="e">
        <f t="shared" si="7"/>
        <v>#NUM!</v>
      </c>
      <c r="Y50" s="403" t="e">
        <f t="shared" si="8"/>
        <v>#NUM!</v>
      </c>
      <c r="Z50" s="404" t="e">
        <f t="shared" si="9"/>
        <v>#NUM!</v>
      </c>
      <c r="AA50" s="401" t="str">
        <f t="shared" si="10"/>
        <v/>
      </c>
      <c r="AB50" s="138" t="s">
        <v>485</v>
      </c>
      <c r="AC50" s="98"/>
      <c r="AD50" s="98"/>
    </row>
    <row r="51" spans="1:30" ht="12.75" customHeight="1">
      <c r="A51" s="140" t="s">
        <v>649</v>
      </c>
      <c r="B51" s="139"/>
      <c r="C51" s="138"/>
      <c r="D51" s="393"/>
      <c r="E51" s="394" t="str">
        <f t="shared" si="0"/>
        <v/>
      </c>
      <c r="F51" s="139"/>
      <c r="G51" s="139"/>
      <c r="H51" s="157">
        <f t="shared" si="1"/>
        <v>142.16</v>
      </c>
      <c r="I51" s="395">
        <v>50</v>
      </c>
      <c r="J51" s="157">
        <v>142</v>
      </c>
      <c r="K51" s="148">
        <v>7108</v>
      </c>
      <c r="L51" s="160">
        <v>44944</v>
      </c>
      <c r="M51" s="396">
        <f t="shared" si="2"/>
        <v>0</v>
      </c>
      <c r="N51" s="397"/>
      <c r="O51" s="398"/>
      <c r="P51" s="138"/>
      <c r="Q51" s="399"/>
      <c r="R51" s="144"/>
      <c r="S51" s="144"/>
      <c r="T51" s="147" t="str">
        <f t="shared" si="3"/>
        <v/>
      </c>
      <c r="U51" s="147" t="str">
        <f t="shared" si="4"/>
        <v>50 MUKANDLTD</v>
      </c>
      <c r="V51" s="400" t="str">
        <f t="shared" si="5"/>
        <v/>
      </c>
      <c r="W51" s="401" t="str">
        <f t="shared" si="6"/>
        <v/>
      </c>
      <c r="X51" s="402" t="e">
        <f t="shared" si="7"/>
        <v>#NUM!</v>
      </c>
      <c r="Y51" s="403" t="e">
        <f t="shared" si="8"/>
        <v>#NUM!</v>
      </c>
      <c r="Z51" s="404" t="e">
        <f t="shared" si="9"/>
        <v>#NUM!</v>
      </c>
      <c r="AA51" s="401" t="str">
        <f t="shared" si="10"/>
        <v/>
      </c>
      <c r="AB51" s="138" t="s">
        <v>485</v>
      </c>
      <c r="AC51" s="98"/>
      <c r="AD51" s="98"/>
    </row>
    <row r="52" spans="1:30" ht="12.75" customHeight="1">
      <c r="A52" s="139" t="s">
        <v>553</v>
      </c>
      <c r="B52" s="139" t="s">
        <v>553</v>
      </c>
      <c r="C52" s="139" t="s">
        <v>1180</v>
      </c>
      <c r="D52" s="393" t="s">
        <v>1181</v>
      </c>
      <c r="E52" s="394">
        <f t="shared" si="0"/>
        <v>0.45819831497083591</v>
      </c>
      <c r="F52" s="139" t="s">
        <v>1162</v>
      </c>
      <c r="G52" s="139" t="s">
        <v>1163</v>
      </c>
      <c r="H52" s="157">
        <f t="shared" si="1"/>
        <v>154.46</v>
      </c>
      <c r="I52" s="395">
        <v>50</v>
      </c>
      <c r="J52" s="157">
        <v>154.30000000000001</v>
      </c>
      <c r="K52" s="148">
        <f>9236-1513</f>
        <v>7723</v>
      </c>
      <c r="L52" s="154">
        <v>44375</v>
      </c>
      <c r="M52" s="396">
        <f t="shared" si="2"/>
        <v>0</v>
      </c>
      <c r="N52" s="397"/>
      <c r="O52" s="398"/>
      <c r="P52" s="138"/>
      <c r="Q52" s="399"/>
      <c r="R52" s="144"/>
      <c r="S52" s="144"/>
      <c r="T52" s="147" t="str">
        <f t="shared" si="3"/>
        <v/>
      </c>
      <c r="U52" s="147" t="str">
        <f t="shared" si="4"/>
        <v>50 NMDC</v>
      </c>
      <c r="V52" s="400" t="str">
        <f t="shared" si="5"/>
        <v/>
      </c>
      <c r="W52" s="401" t="str">
        <f t="shared" si="6"/>
        <v/>
      </c>
      <c r="X52" s="402" t="e">
        <f t="shared" si="7"/>
        <v>#NUM!</v>
      </c>
      <c r="Y52" s="403" t="e">
        <f t="shared" si="8"/>
        <v>#NUM!</v>
      </c>
      <c r="Z52" s="404" t="e">
        <f t="shared" si="9"/>
        <v>#NUM!</v>
      </c>
      <c r="AA52" s="401" t="str">
        <f t="shared" si="10"/>
        <v/>
      </c>
      <c r="AB52" s="138" t="s">
        <v>485</v>
      </c>
      <c r="AC52" s="98"/>
      <c r="AD52" s="98"/>
    </row>
    <row r="53" spans="1:30" ht="12.75" customHeight="1">
      <c r="A53" s="139" t="s">
        <v>566</v>
      </c>
      <c r="B53" s="139" t="s">
        <v>566</v>
      </c>
      <c r="C53" s="138" t="s">
        <v>1153</v>
      </c>
      <c r="D53" s="393" t="s">
        <v>1182</v>
      </c>
      <c r="E53" s="394">
        <f t="shared" si="0"/>
        <v>0.15087719298245614</v>
      </c>
      <c r="F53" s="139" t="s">
        <v>1183</v>
      </c>
      <c r="G53" s="139" t="s">
        <v>1171</v>
      </c>
      <c r="H53" s="157">
        <f t="shared" si="1"/>
        <v>285.33999999999997</v>
      </c>
      <c r="I53" s="395">
        <v>50</v>
      </c>
      <c r="J53" s="157">
        <v>285</v>
      </c>
      <c r="K53" s="148">
        <v>14267</v>
      </c>
      <c r="L53" s="154">
        <v>44489</v>
      </c>
      <c r="M53" s="396">
        <f t="shared" si="2"/>
        <v>0</v>
      </c>
      <c r="N53" s="397"/>
      <c r="O53" s="398"/>
      <c r="P53" s="138"/>
      <c r="Q53" s="399"/>
      <c r="R53" s="144"/>
      <c r="S53" s="144"/>
      <c r="T53" s="147" t="str">
        <f t="shared" si="3"/>
        <v/>
      </c>
      <c r="U53" s="147" t="str">
        <f t="shared" si="4"/>
        <v>50 NOCIL</v>
      </c>
      <c r="V53" s="400" t="str">
        <f t="shared" si="5"/>
        <v/>
      </c>
      <c r="W53" s="401" t="str">
        <f t="shared" si="6"/>
        <v/>
      </c>
      <c r="X53" s="402" t="e">
        <f t="shared" si="7"/>
        <v>#NUM!</v>
      </c>
      <c r="Y53" s="403" t="e">
        <f t="shared" si="8"/>
        <v>#NUM!</v>
      </c>
      <c r="Z53" s="404" t="e">
        <f t="shared" si="9"/>
        <v>#NUM!</v>
      </c>
      <c r="AA53" s="401" t="s">
        <v>132</v>
      </c>
      <c r="AB53" s="138" t="s">
        <v>485</v>
      </c>
      <c r="AC53" s="98"/>
      <c r="AD53" s="98"/>
    </row>
    <row r="54" spans="1:30" ht="12.75" customHeight="1">
      <c r="A54" s="139" t="s">
        <v>1184</v>
      </c>
      <c r="B54" s="139" t="s">
        <v>553</v>
      </c>
      <c r="C54" s="139" t="s">
        <v>1180</v>
      </c>
      <c r="D54" s="393"/>
      <c r="E54" s="394" t="str">
        <f t="shared" si="0"/>
        <v/>
      </c>
      <c r="F54" s="139" t="s">
        <v>1162</v>
      </c>
      <c r="G54" s="139" t="s">
        <v>1163</v>
      </c>
      <c r="H54" s="157">
        <f t="shared" si="1"/>
        <v>30.26</v>
      </c>
      <c r="I54" s="395">
        <v>50</v>
      </c>
      <c r="J54" s="157">
        <v>30.25</v>
      </c>
      <c r="K54" s="148">
        <v>1513</v>
      </c>
      <c r="L54" s="154">
        <v>44375</v>
      </c>
      <c r="M54" s="396">
        <f t="shared" si="2"/>
        <v>0</v>
      </c>
      <c r="N54" s="397"/>
      <c r="O54" s="398"/>
      <c r="P54" s="138"/>
      <c r="Q54" s="399"/>
      <c r="R54" s="144"/>
      <c r="S54" s="144"/>
      <c r="T54" s="147" t="str">
        <f t="shared" si="3"/>
        <v/>
      </c>
      <c r="U54" s="147" t="str">
        <f t="shared" si="4"/>
        <v>50 NSL</v>
      </c>
      <c r="V54" s="400" t="str">
        <f t="shared" si="5"/>
        <v/>
      </c>
      <c r="W54" s="401" t="str">
        <f t="shared" si="6"/>
        <v/>
      </c>
      <c r="X54" s="402" t="e">
        <f t="shared" si="7"/>
        <v>#NUM!</v>
      </c>
      <c r="Y54" s="403" t="e">
        <f t="shared" si="8"/>
        <v>#NUM!</v>
      </c>
      <c r="Z54" s="404" t="e">
        <f t="shared" si="9"/>
        <v>#NUM!</v>
      </c>
      <c r="AA54" s="401" t="str">
        <f t="shared" ref="AA54:AA79" si="11">IF(O54="","",IFERROR(((O54+S54-R54)/K54)^(1/((P54-L54)/365))-1,""))</f>
        <v/>
      </c>
      <c r="AB54" s="138" t="s">
        <v>485</v>
      </c>
      <c r="AC54" s="98"/>
      <c r="AD54" s="98"/>
    </row>
    <row r="55" spans="1:30" ht="12.75" customHeight="1">
      <c r="A55" s="139" t="s">
        <v>1185</v>
      </c>
      <c r="B55" s="138" t="s">
        <v>1186</v>
      </c>
      <c r="C55" s="138" t="s">
        <v>1187</v>
      </c>
      <c r="D55" s="393" t="s">
        <v>1188</v>
      </c>
      <c r="E55" s="394">
        <f t="shared" si="0"/>
        <v>0.45087719298245615</v>
      </c>
      <c r="F55" s="139" t="s">
        <v>1170</v>
      </c>
      <c r="G55" s="139" t="s">
        <v>1171</v>
      </c>
      <c r="H55" s="157">
        <f t="shared" si="1"/>
        <v>570</v>
      </c>
      <c r="I55" s="395">
        <v>26</v>
      </c>
      <c r="J55" s="157">
        <v>570</v>
      </c>
      <c r="K55" s="148">
        <v>14820</v>
      </c>
      <c r="L55" s="154">
        <v>44425</v>
      </c>
      <c r="M55" s="396">
        <f t="shared" si="2"/>
        <v>0</v>
      </c>
      <c r="N55" s="397"/>
      <c r="O55" s="398"/>
      <c r="P55" s="138"/>
      <c r="Q55" s="399"/>
      <c r="R55" s="144"/>
      <c r="S55" s="144"/>
      <c r="T55" s="147" t="str">
        <f t="shared" si="3"/>
        <v/>
      </c>
      <c r="U55" s="147" t="str">
        <f t="shared" si="4"/>
        <v>26 NUVOCO</v>
      </c>
      <c r="V55" s="400" t="str">
        <f t="shared" si="5"/>
        <v/>
      </c>
      <c r="W55" s="401" t="str">
        <f t="shared" si="6"/>
        <v/>
      </c>
      <c r="X55" s="402" t="e">
        <f t="shared" si="7"/>
        <v>#NUM!</v>
      </c>
      <c r="Y55" s="403" t="e">
        <f t="shared" si="8"/>
        <v>#NUM!</v>
      </c>
      <c r="Z55" s="404" t="e">
        <f t="shared" si="9"/>
        <v>#NUM!</v>
      </c>
      <c r="AA55" s="401" t="str">
        <f t="shared" si="11"/>
        <v/>
      </c>
      <c r="AB55" s="138" t="s">
        <v>485</v>
      </c>
      <c r="AC55" s="98"/>
      <c r="AD55" s="98"/>
    </row>
    <row r="56" spans="1:30" ht="12.75" customHeight="1">
      <c r="A56" s="139" t="s">
        <v>647</v>
      </c>
      <c r="B56" s="139"/>
      <c r="C56" s="138"/>
      <c r="D56" s="393"/>
      <c r="E56" s="394" t="str">
        <f t="shared" si="0"/>
        <v/>
      </c>
      <c r="F56" s="139"/>
      <c r="G56" s="139"/>
      <c r="H56" s="157">
        <f t="shared" si="1"/>
        <v>1151.4000000000001</v>
      </c>
      <c r="I56" s="395">
        <v>10</v>
      </c>
      <c r="J56" s="157">
        <v>1150</v>
      </c>
      <c r="K56" s="148">
        <v>11514</v>
      </c>
      <c r="L56" s="160">
        <v>44943</v>
      </c>
      <c r="M56" s="396">
        <f t="shared" si="2"/>
        <v>0</v>
      </c>
      <c r="N56" s="397"/>
      <c r="O56" s="398"/>
      <c r="P56" s="138"/>
      <c r="Q56" s="399"/>
      <c r="R56" s="144"/>
      <c r="S56" s="144"/>
      <c r="T56" s="147" t="str">
        <f t="shared" si="3"/>
        <v/>
      </c>
      <c r="U56" s="147" t="str">
        <f t="shared" si="4"/>
        <v>10 PATANJALI</v>
      </c>
      <c r="V56" s="400" t="str">
        <f t="shared" si="5"/>
        <v/>
      </c>
      <c r="W56" s="401" t="str">
        <f t="shared" si="6"/>
        <v/>
      </c>
      <c r="X56" s="402" t="e">
        <f t="shared" si="7"/>
        <v>#NUM!</v>
      </c>
      <c r="Y56" s="403" t="e">
        <f t="shared" si="8"/>
        <v>#NUM!</v>
      </c>
      <c r="Z56" s="404" t="e">
        <f t="shared" si="9"/>
        <v>#NUM!</v>
      </c>
      <c r="AA56" s="401" t="str">
        <f t="shared" si="11"/>
        <v/>
      </c>
      <c r="AB56" s="138" t="s">
        <v>485</v>
      </c>
      <c r="AC56" s="98"/>
      <c r="AD56" s="98"/>
    </row>
    <row r="57" spans="1:30" ht="12.75" customHeight="1">
      <c r="A57" s="139" t="s">
        <v>727</v>
      </c>
      <c r="B57" s="139"/>
      <c r="C57" s="138"/>
      <c r="D57" s="393"/>
      <c r="E57" s="394" t="str">
        <f t="shared" si="0"/>
        <v/>
      </c>
      <c r="F57" s="139"/>
      <c r="G57" s="139"/>
      <c r="H57" s="157">
        <f t="shared" si="1"/>
        <v>2150</v>
      </c>
      <c r="I57" s="395">
        <v>6</v>
      </c>
      <c r="J57" s="157">
        <v>2150</v>
      </c>
      <c r="K57" s="148">
        <v>12900</v>
      </c>
      <c r="L57" s="154">
        <v>44516</v>
      </c>
      <c r="M57" s="396">
        <f t="shared" si="2"/>
        <v>0</v>
      </c>
      <c r="N57" s="397"/>
      <c r="O57" s="398"/>
      <c r="P57" s="138"/>
      <c r="Q57" s="399"/>
      <c r="R57" s="144"/>
      <c r="S57" s="144"/>
      <c r="T57" s="147" t="str">
        <f t="shared" si="3"/>
        <v/>
      </c>
      <c r="U57" s="147" t="str">
        <f t="shared" si="4"/>
        <v>6 PAYTM</v>
      </c>
      <c r="V57" s="400" t="str">
        <f t="shared" si="5"/>
        <v/>
      </c>
      <c r="W57" s="401" t="str">
        <f t="shared" si="6"/>
        <v/>
      </c>
      <c r="X57" s="402" t="e">
        <f t="shared" si="7"/>
        <v>#NUM!</v>
      </c>
      <c r="Y57" s="403" t="e">
        <f t="shared" si="8"/>
        <v>#NUM!</v>
      </c>
      <c r="Z57" s="404" t="e">
        <f t="shared" si="9"/>
        <v>#NUM!</v>
      </c>
      <c r="AA57" s="401" t="str">
        <f t="shared" si="11"/>
        <v/>
      </c>
      <c r="AB57" s="138" t="s">
        <v>485</v>
      </c>
      <c r="AC57" s="98"/>
      <c r="AD57" s="98"/>
    </row>
    <row r="58" spans="1:30" ht="12.75" customHeight="1">
      <c r="A58" s="139" t="s">
        <v>555</v>
      </c>
      <c r="B58" s="139" t="s">
        <v>1189</v>
      </c>
      <c r="C58" s="139" t="s">
        <v>1158</v>
      </c>
      <c r="D58" s="393" t="s">
        <v>1190</v>
      </c>
      <c r="E58" s="394">
        <f t="shared" si="0"/>
        <v>0.20240480961923857</v>
      </c>
      <c r="F58" s="139" t="s">
        <v>1162</v>
      </c>
      <c r="G58" s="139" t="s">
        <v>1163</v>
      </c>
      <c r="H58" s="157">
        <f t="shared" si="1"/>
        <v>74.94</v>
      </c>
      <c r="I58" s="395">
        <v>200</v>
      </c>
      <c r="J58" s="157">
        <v>74.849999999999994</v>
      </c>
      <c r="K58" s="148">
        <v>14988</v>
      </c>
      <c r="L58" s="154">
        <v>44377</v>
      </c>
      <c r="M58" s="396">
        <f t="shared" si="2"/>
        <v>0</v>
      </c>
      <c r="N58" s="397"/>
      <c r="O58" s="398"/>
      <c r="P58" s="138"/>
      <c r="Q58" s="399"/>
      <c r="R58" s="144"/>
      <c r="S58" s="144">
        <v>600</v>
      </c>
      <c r="T58" s="147" t="str">
        <f t="shared" si="3"/>
        <v/>
      </c>
      <c r="U58" s="147" t="str">
        <f t="shared" si="4"/>
        <v>200 PNBGILTS</v>
      </c>
      <c r="V58" s="400" t="str">
        <f t="shared" si="5"/>
        <v/>
      </c>
      <c r="W58" s="401" t="str">
        <f t="shared" si="6"/>
        <v/>
      </c>
      <c r="X58" s="402" t="e">
        <f t="shared" si="7"/>
        <v>#NUM!</v>
      </c>
      <c r="Y58" s="403" t="e">
        <f t="shared" si="8"/>
        <v>#NUM!</v>
      </c>
      <c r="Z58" s="404" t="e">
        <f t="shared" si="9"/>
        <v>#NUM!</v>
      </c>
      <c r="AA58" s="401" t="str">
        <f t="shared" si="11"/>
        <v/>
      </c>
      <c r="AB58" s="138" t="s">
        <v>485</v>
      </c>
      <c r="AC58" s="98"/>
      <c r="AD58" s="98"/>
    </row>
    <row r="59" spans="1:30" ht="12.75" customHeight="1">
      <c r="A59" s="139" t="s">
        <v>610</v>
      </c>
      <c r="B59" s="139"/>
      <c r="C59" s="138"/>
      <c r="D59" s="393"/>
      <c r="E59" s="394" t="str">
        <f t="shared" si="0"/>
        <v/>
      </c>
      <c r="F59" s="139"/>
      <c r="G59" s="139"/>
      <c r="H59" s="157">
        <f t="shared" si="1"/>
        <v>2733.2</v>
      </c>
      <c r="I59" s="395">
        <v>10</v>
      </c>
      <c r="J59" s="157">
        <v>2730</v>
      </c>
      <c r="K59" s="148">
        <v>27332</v>
      </c>
      <c r="L59" s="154">
        <v>44663</v>
      </c>
      <c r="M59" s="396">
        <f t="shared" si="2"/>
        <v>0</v>
      </c>
      <c r="N59" s="397"/>
      <c r="O59" s="398"/>
      <c r="P59" s="138"/>
      <c r="Q59" s="399"/>
      <c r="R59" s="144"/>
      <c r="S59" s="144"/>
      <c r="T59" s="147" t="str">
        <f t="shared" si="3"/>
        <v/>
      </c>
      <c r="U59" s="147" t="str">
        <f t="shared" si="4"/>
        <v>10 POLYPLEX</v>
      </c>
      <c r="V59" s="400" t="str">
        <f t="shared" si="5"/>
        <v/>
      </c>
      <c r="W59" s="401" t="str">
        <f t="shared" si="6"/>
        <v/>
      </c>
      <c r="X59" s="402" t="e">
        <f t="shared" si="7"/>
        <v>#NUM!</v>
      </c>
      <c r="Y59" s="403" t="e">
        <f t="shared" si="8"/>
        <v>#NUM!</v>
      </c>
      <c r="Z59" s="404" t="e">
        <f t="shared" si="9"/>
        <v>#NUM!</v>
      </c>
      <c r="AA59" s="401" t="str">
        <f t="shared" si="11"/>
        <v/>
      </c>
      <c r="AB59" s="138" t="s">
        <v>485</v>
      </c>
      <c r="AC59" s="98"/>
      <c r="AD59" s="98"/>
    </row>
    <row r="60" spans="1:30" ht="12.75" customHeight="1">
      <c r="A60" s="139" t="s">
        <v>613</v>
      </c>
      <c r="B60" s="139"/>
      <c r="C60" s="138"/>
      <c r="D60" s="393">
        <v>1865</v>
      </c>
      <c r="E60" s="394">
        <f t="shared" si="0"/>
        <v>0.19169329073482427</v>
      </c>
      <c r="F60" s="139" t="s">
        <v>1191</v>
      </c>
      <c r="G60" s="139"/>
      <c r="H60" s="157">
        <f t="shared" si="1"/>
        <v>1566.85</v>
      </c>
      <c r="I60" s="395">
        <v>20</v>
      </c>
      <c r="J60" s="157">
        <v>1565</v>
      </c>
      <c r="K60" s="148">
        <v>31337</v>
      </c>
      <c r="L60" s="154">
        <v>44651</v>
      </c>
      <c r="M60" s="396">
        <f t="shared" si="2"/>
        <v>0</v>
      </c>
      <c r="N60" s="397"/>
      <c r="O60" s="398"/>
      <c r="P60" s="138"/>
      <c r="Q60" s="399"/>
      <c r="R60" s="144"/>
      <c r="S60" s="144"/>
      <c r="T60" s="147" t="str">
        <f t="shared" si="3"/>
        <v/>
      </c>
      <c r="U60" s="147" t="str">
        <f t="shared" si="4"/>
        <v>20 ROUTE</v>
      </c>
      <c r="V60" s="400" t="str">
        <f t="shared" si="5"/>
        <v/>
      </c>
      <c r="W60" s="401" t="str">
        <f t="shared" si="6"/>
        <v/>
      </c>
      <c r="X60" s="402" t="e">
        <f t="shared" si="7"/>
        <v>#NUM!</v>
      </c>
      <c r="Y60" s="403" t="e">
        <f t="shared" si="8"/>
        <v>#NUM!</v>
      </c>
      <c r="Z60" s="404" t="e">
        <f t="shared" si="9"/>
        <v>#NUM!</v>
      </c>
      <c r="AA60" s="401" t="str">
        <f t="shared" si="11"/>
        <v/>
      </c>
      <c r="AB60" s="138" t="s">
        <v>485</v>
      </c>
      <c r="AC60" s="98"/>
      <c r="AD60" s="98"/>
    </row>
    <row r="61" spans="1:30" ht="12.75" customHeight="1">
      <c r="A61" s="408" t="s">
        <v>495</v>
      </c>
      <c r="B61" s="138" t="s">
        <v>1192</v>
      </c>
      <c r="C61" s="138" t="s">
        <v>1193</v>
      </c>
      <c r="D61" s="393" t="s">
        <v>1194</v>
      </c>
      <c r="E61" s="394">
        <f t="shared" si="0"/>
        <v>6.3829787234042548E-2</v>
      </c>
      <c r="F61" s="139" t="s">
        <v>1195</v>
      </c>
      <c r="G61" s="139"/>
      <c r="H61" s="157">
        <f t="shared" si="1"/>
        <v>141.16999999999999</v>
      </c>
      <c r="I61" s="395">
        <v>100</v>
      </c>
      <c r="J61" s="157">
        <v>141</v>
      </c>
      <c r="K61" s="148">
        <v>14117</v>
      </c>
      <c r="L61" s="154">
        <v>44327</v>
      </c>
      <c r="M61" s="396">
        <f t="shared" si="2"/>
        <v>0</v>
      </c>
      <c r="N61" s="397"/>
      <c r="O61" s="398"/>
      <c r="P61" s="138"/>
      <c r="Q61" s="399"/>
      <c r="R61" s="144"/>
      <c r="S61" s="144">
        <f>180+200</f>
        <v>380</v>
      </c>
      <c r="T61" s="147" t="str">
        <f t="shared" si="3"/>
        <v/>
      </c>
      <c r="U61" s="147" t="str">
        <f t="shared" si="4"/>
        <v>100 SAIL</v>
      </c>
      <c r="V61" s="400" t="str">
        <f t="shared" si="5"/>
        <v/>
      </c>
      <c r="W61" s="401" t="str">
        <f t="shared" si="6"/>
        <v/>
      </c>
      <c r="X61" s="402" t="e">
        <f t="shared" si="7"/>
        <v>#NUM!</v>
      </c>
      <c r="Y61" s="403" t="e">
        <f t="shared" si="8"/>
        <v>#NUM!</v>
      </c>
      <c r="Z61" s="404" t="e">
        <f t="shared" si="9"/>
        <v>#NUM!</v>
      </c>
      <c r="AA61" s="401" t="str">
        <f t="shared" si="11"/>
        <v/>
      </c>
      <c r="AB61" s="139" t="s">
        <v>485</v>
      </c>
      <c r="AC61" s="98"/>
      <c r="AD61" s="98"/>
    </row>
    <row r="62" spans="1:30" ht="12.75" customHeight="1">
      <c r="A62" s="406" t="s">
        <v>495</v>
      </c>
      <c r="B62" s="138" t="s">
        <v>1192</v>
      </c>
      <c r="C62" s="138" t="s">
        <v>1193</v>
      </c>
      <c r="D62" s="393" t="s">
        <v>1194</v>
      </c>
      <c r="E62" s="394">
        <f t="shared" si="0"/>
        <v>0.28644939965694688</v>
      </c>
      <c r="F62" s="139" t="s">
        <v>1195</v>
      </c>
      <c r="G62" s="139"/>
      <c r="H62" s="157">
        <f t="shared" si="1"/>
        <v>116.74</v>
      </c>
      <c r="I62" s="395">
        <v>100</v>
      </c>
      <c r="J62" s="157">
        <v>116.6</v>
      </c>
      <c r="K62" s="148">
        <v>11674</v>
      </c>
      <c r="L62" s="154">
        <v>44515</v>
      </c>
      <c r="M62" s="396">
        <f t="shared" si="2"/>
        <v>0</v>
      </c>
      <c r="N62" s="397"/>
      <c r="O62" s="398"/>
      <c r="P62" s="138"/>
      <c r="Q62" s="399"/>
      <c r="R62" s="144"/>
      <c r="S62" s="144">
        <v>200</v>
      </c>
      <c r="T62" s="147" t="str">
        <f t="shared" si="3"/>
        <v/>
      </c>
      <c r="U62" s="147" t="str">
        <f t="shared" si="4"/>
        <v>100 SAIL</v>
      </c>
      <c r="V62" s="400" t="str">
        <f t="shared" si="5"/>
        <v/>
      </c>
      <c r="W62" s="401" t="str">
        <f t="shared" si="6"/>
        <v/>
      </c>
      <c r="X62" s="402" t="e">
        <f t="shared" si="7"/>
        <v>#NUM!</v>
      </c>
      <c r="Y62" s="403" t="e">
        <f t="shared" si="8"/>
        <v>#NUM!</v>
      </c>
      <c r="Z62" s="404" t="e">
        <f t="shared" si="9"/>
        <v>#NUM!</v>
      </c>
      <c r="AA62" s="401" t="str">
        <f t="shared" si="11"/>
        <v/>
      </c>
      <c r="AB62" s="139" t="s">
        <v>485</v>
      </c>
      <c r="AC62" s="98"/>
      <c r="AD62" s="98"/>
    </row>
    <row r="63" spans="1:30" ht="12.75" customHeight="1">
      <c r="A63" s="406" t="s">
        <v>495</v>
      </c>
      <c r="B63" s="138" t="s">
        <v>1192</v>
      </c>
      <c r="C63" s="138" t="s">
        <v>1193</v>
      </c>
      <c r="D63" s="393"/>
      <c r="E63" s="394" t="str">
        <f t="shared" si="0"/>
        <v/>
      </c>
      <c r="F63" s="139"/>
      <c r="G63" s="139"/>
      <c r="H63" s="157">
        <f t="shared" si="1"/>
        <v>106.13</v>
      </c>
      <c r="I63" s="395">
        <v>100</v>
      </c>
      <c r="J63" s="157">
        <v>106</v>
      </c>
      <c r="K63" s="148">
        <v>10613</v>
      </c>
      <c r="L63" s="154">
        <v>44572</v>
      </c>
      <c r="M63" s="396">
        <f t="shared" si="2"/>
        <v>0</v>
      </c>
      <c r="N63" s="397"/>
      <c r="O63" s="398"/>
      <c r="P63" s="138"/>
      <c r="Q63" s="399"/>
      <c r="R63" s="144"/>
      <c r="S63" s="144"/>
      <c r="T63" s="147" t="str">
        <f t="shared" si="3"/>
        <v/>
      </c>
      <c r="U63" s="147" t="str">
        <f t="shared" si="4"/>
        <v>100 SAIL</v>
      </c>
      <c r="V63" s="400" t="str">
        <f t="shared" si="5"/>
        <v/>
      </c>
      <c r="W63" s="401" t="str">
        <f t="shared" si="6"/>
        <v/>
      </c>
      <c r="X63" s="402" t="e">
        <f t="shared" si="7"/>
        <v>#NUM!</v>
      </c>
      <c r="Y63" s="403" t="e">
        <f t="shared" si="8"/>
        <v>#NUM!</v>
      </c>
      <c r="Z63" s="404" t="e">
        <f t="shared" si="9"/>
        <v>#NUM!</v>
      </c>
      <c r="AA63" s="401" t="str">
        <f t="shared" si="11"/>
        <v/>
      </c>
      <c r="AB63" s="138" t="s">
        <v>485</v>
      </c>
      <c r="AC63" s="98"/>
      <c r="AD63" s="98"/>
    </row>
    <row r="64" spans="1:30" ht="12.75" customHeight="1">
      <c r="A64" s="406" t="s">
        <v>495</v>
      </c>
      <c r="B64" s="139"/>
      <c r="C64" s="138"/>
      <c r="D64" s="393"/>
      <c r="E64" s="394" t="str">
        <f t="shared" si="0"/>
        <v/>
      </c>
      <c r="F64" s="139"/>
      <c r="G64" s="139"/>
      <c r="H64" s="157">
        <f t="shared" si="1"/>
        <v>103.5217</v>
      </c>
      <c r="I64" s="395">
        <v>600</v>
      </c>
      <c r="J64" s="157">
        <v>103.4</v>
      </c>
      <c r="K64" s="148">
        <v>62113</v>
      </c>
      <c r="L64" s="154">
        <v>44645</v>
      </c>
      <c r="M64" s="396">
        <f t="shared" si="2"/>
        <v>0</v>
      </c>
      <c r="N64" s="397"/>
      <c r="O64" s="398"/>
      <c r="P64" s="138"/>
      <c r="Q64" s="399"/>
      <c r="R64" s="144"/>
      <c r="S64" s="144"/>
      <c r="T64" s="147" t="str">
        <f t="shared" si="3"/>
        <v/>
      </c>
      <c r="U64" s="147" t="str">
        <f t="shared" si="4"/>
        <v>600 SAIL</v>
      </c>
      <c r="V64" s="400" t="str">
        <f t="shared" si="5"/>
        <v/>
      </c>
      <c r="W64" s="401" t="str">
        <f t="shared" si="6"/>
        <v/>
      </c>
      <c r="X64" s="402" t="e">
        <f t="shared" si="7"/>
        <v>#NUM!</v>
      </c>
      <c r="Y64" s="403" t="e">
        <f t="shared" si="8"/>
        <v>#NUM!</v>
      </c>
      <c r="Z64" s="404" t="e">
        <f t="shared" si="9"/>
        <v>#NUM!</v>
      </c>
      <c r="AA64" s="401" t="str">
        <f t="shared" si="11"/>
        <v/>
      </c>
      <c r="AB64" s="138" t="s">
        <v>485</v>
      </c>
      <c r="AC64" s="98"/>
      <c r="AD64" s="98"/>
    </row>
    <row r="65" spans="1:30" ht="12.75" customHeight="1">
      <c r="A65" s="405" t="s">
        <v>620</v>
      </c>
      <c r="B65" s="139"/>
      <c r="C65" s="138"/>
      <c r="D65" s="393">
        <v>1500</v>
      </c>
      <c r="E65" s="394">
        <f t="shared" si="0"/>
        <v>0.1787819253438114</v>
      </c>
      <c r="F65" s="139"/>
      <c r="G65" s="139" t="s">
        <v>1196</v>
      </c>
      <c r="H65" s="157">
        <f t="shared" si="1"/>
        <v>1274</v>
      </c>
      <c r="I65" s="395">
        <v>4</v>
      </c>
      <c r="J65" s="157">
        <v>1272.5</v>
      </c>
      <c r="K65" s="148">
        <v>5096</v>
      </c>
      <c r="L65" s="154">
        <v>44676</v>
      </c>
      <c r="M65" s="396">
        <f t="shared" si="2"/>
        <v>0</v>
      </c>
      <c r="N65" s="397"/>
      <c r="O65" s="398"/>
      <c r="P65" s="138"/>
      <c r="Q65" s="399"/>
      <c r="R65" s="144"/>
      <c r="S65" s="144"/>
      <c r="T65" s="147" t="str">
        <f t="shared" si="3"/>
        <v/>
      </c>
      <c r="U65" s="147" t="str">
        <f t="shared" si="4"/>
        <v>4 SARDAEN</v>
      </c>
      <c r="V65" s="400" t="str">
        <f t="shared" si="5"/>
        <v/>
      </c>
      <c r="W65" s="401" t="str">
        <f t="shared" si="6"/>
        <v/>
      </c>
      <c r="X65" s="402" t="e">
        <f t="shared" si="7"/>
        <v>#NUM!</v>
      </c>
      <c r="Y65" s="403" t="e">
        <f t="shared" si="8"/>
        <v>#NUM!</v>
      </c>
      <c r="Z65" s="404" t="e">
        <f t="shared" si="9"/>
        <v>#NUM!</v>
      </c>
      <c r="AA65" s="401" t="str">
        <f t="shared" si="11"/>
        <v/>
      </c>
      <c r="AB65" s="138" t="s">
        <v>485</v>
      </c>
      <c r="AC65" s="98"/>
      <c r="AD65" s="98"/>
    </row>
    <row r="66" spans="1:30" ht="12.75" customHeight="1">
      <c r="A66" s="406" t="s">
        <v>620</v>
      </c>
      <c r="B66" s="139"/>
      <c r="C66" s="138"/>
      <c r="D66" s="393">
        <v>1500</v>
      </c>
      <c r="E66" s="394">
        <f t="shared" si="0"/>
        <v>0.25523012552301255</v>
      </c>
      <c r="F66" s="139"/>
      <c r="G66" s="139" t="s">
        <v>1196</v>
      </c>
      <c r="H66" s="157">
        <f t="shared" si="1"/>
        <v>1196.4000000000001</v>
      </c>
      <c r="I66" s="395">
        <v>5</v>
      </c>
      <c r="J66" s="157">
        <v>1195</v>
      </c>
      <c r="K66" s="148">
        <v>5982</v>
      </c>
      <c r="L66" s="154">
        <v>44678</v>
      </c>
      <c r="M66" s="396">
        <f t="shared" si="2"/>
        <v>0</v>
      </c>
      <c r="N66" s="397"/>
      <c r="O66" s="398"/>
      <c r="P66" s="138"/>
      <c r="Q66" s="399"/>
      <c r="R66" s="144"/>
      <c r="S66" s="144"/>
      <c r="T66" s="147" t="str">
        <f t="shared" si="3"/>
        <v/>
      </c>
      <c r="U66" s="147" t="str">
        <f t="shared" si="4"/>
        <v>5 SARDAEN</v>
      </c>
      <c r="V66" s="400" t="str">
        <f t="shared" si="5"/>
        <v/>
      </c>
      <c r="W66" s="401" t="str">
        <f t="shared" si="6"/>
        <v/>
      </c>
      <c r="X66" s="402" t="e">
        <f t="shared" si="7"/>
        <v>#NUM!</v>
      </c>
      <c r="Y66" s="403" t="e">
        <f t="shared" si="8"/>
        <v>#NUM!</v>
      </c>
      <c r="Z66" s="404" t="e">
        <f t="shared" si="9"/>
        <v>#NUM!</v>
      </c>
      <c r="AA66" s="401" t="str">
        <f t="shared" si="11"/>
        <v/>
      </c>
      <c r="AB66" s="138" t="s">
        <v>485</v>
      </c>
      <c r="AC66" s="98"/>
      <c r="AD66" s="98"/>
    </row>
    <row r="67" spans="1:30" ht="12.75" customHeight="1">
      <c r="A67" s="406" t="s">
        <v>620</v>
      </c>
      <c r="B67" s="139"/>
      <c r="C67" s="138"/>
      <c r="D67" s="393"/>
      <c r="E67" s="394" t="str">
        <f t="shared" si="0"/>
        <v/>
      </c>
      <c r="F67" s="139"/>
      <c r="G67" s="139"/>
      <c r="H67" s="157">
        <f t="shared" si="1"/>
        <v>904</v>
      </c>
      <c r="I67" s="395">
        <v>1</v>
      </c>
      <c r="J67" s="157">
        <v>903</v>
      </c>
      <c r="K67" s="148">
        <v>904</v>
      </c>
      <c r="L67" s="154">
        <v>44768</v>
      </c>
      <c r="M67" s="396">
        <f t="shared" si="2"/>
        <v>0</v>
      </c>
      <c r="N67" s="397"/>
      <c r="O67" s="398"/>
      <c r="P67" s="138"/>
      <c r="Q67" s="399"/>
      <c r="R67" s="144"/>
      <c r="S67" s="144"/>
      <c r="T67" s="147" t="str">
        <f t="shared" si="3"/>
        <v/>
      </c>
      <c r="U67" s="147" t="str">
        <f t="shared" si="4"/>
        <v>1 SARDAEN</v>
      </c>
      <c r="V67" s="400" t="str">
        <f t="shared" si="5"/>
        <v/>
      </c>
      <c r="W67" s="401" t="str">
        <f t="shared" si="6"/>
        <v/>
      </c>
      <c r="X67" s="402" t="e">
        <f t="shared" si="7"/>
        <v>#NUM!</v>
      </c>
      <c r="Y67" s="403" t="e">
        <f t="shared" si="8"/>
        <v>#NUM!</v>
      </c>
      <c r="Z67" s="404" t="e">
        <f t="shared" si="9"/>
        <v>#NUM!</v>
      </c>
      <c r="AA67" s="401" t="str">
        <f t="shared" si="11"/>
        <v/>
      </c>
      <c r="AB67" s="138" t="s">
        <v>485</v>
      </c>
      <c r="AC67" s="98"/>
      <c r="AD67" s="98"/>
    </row>
    <row r="68" spans="1:30" ht="12.75" customHeight="1">
      <c r="A68" s="140" t="s">
        <v>636</v>
      </c>
      <c r="B68" s="139"/>
      <c r="C68" s="138"/>
      <c r="D68" s="393"/>
      <c r="E68" s="394" t="str">
        <f t="shared" si="0"/>
        <v/>
      </c>
      <c r="F68" s="139"/>
      <c r="G68" s="139"/>
      <c r="H68" s="157">
        <f t="shared" si="1"/>
        <v>515.6</v>
      </c>
      <c r="I68" s="395">
        <v>10</v>
      </c>
      <c r="J68" s="157">
        <v>515</v>
      </c>
      <c r="K68" s="148">
        <v>5156</v>
      </c>
      <c r="L68" s="160">
        <v>44805</v>
      </c>
      <c r="M68" s="396">
        <f t="shared" si="2"/>
        <v>0</v>
      </c>
      <c r="N68" s="397"/>
      <c r="O68" s="398"/>
      <c r="P68" s="138"/>
      <c r="Q68" s="399"/>
      <c r="R68" s="144"/>
      <c r="S68" s="144"/>
      <c r="T68" s="147" t="str">
        <f t="shared" si="3"/>
        <v/>
      </c>
      <c r="U68" s="147" t="str">
        <f t="shared" si="4"/>
        <v>10 SHAKTIPUMP</v>
      </c>
      <c r="V68" s="400" t="str">
        <f t="shared" si="5"/>
        <v/>
      </c>
      <c r="W68" s="401" t="str">
        <f t="shared" si="6"/>
        <v/>
      </c>
      <c r="X68" s="402" t="e">
        <f t="shared" si="7"/>
        <v>#NUM!</v>
      </c>
      <c r="Y68" s="403" t="e">
        <f t="shared" si="8"/>
        <v>#NUM!</v>
      </c>
      <c r="Z68" s="404" t="e">
        <f t="shared" si="9"/>
        <v>#NUM!</v>
      </c>
      <c r="AA68" s="401" t="str">
        <f t="shared" si="11"/>
        <v/>
      </c>
      <c r="AB68" s="138" t="s">
        <v>485</v>
      </c>
      <c r="AC68" s="98"/>
      <c r="AD68" s="98"/>
    </row>
    <row r="69" spans="1:30" ht="12.75" customHeight="1">
      <c r="A69" s="139" t="s">
        <v>651</v>
      </c>
      <c r="B69" s="139"/>
      <c r="C69" s="138"/>
      <c r="D69" s="393"/>
      <c r="E69" s="394" t="str">
        <f t="shared" si="0"/>
        <v/>
      </c>
      <c r="F69" s="139"/>
      <c r="G69" s="139"/>
      <c r="H69" s="157">
        <f t="shared" si="1"/>
        <v>16.72</v>
      </c>
      <c r="I69" s="395">
        <v>75</v>
      </c>
      <c r="J69" s="157">
        <v>16.7</v>
      </c>
      <c r="K69" s="148">
        <v>1254</v>
      </c>
      <c r="L69" s="160">
        <v>44953</v>
      </c>
      <c r="M69" s="396">
        <f t="shared" si="2"/>
        <v>0</v>
      </c>
      <c r="N69" s="397"/>
      <c r="O69" s="398"/>
      <c r="P69" s="138"/>
      <c r="Q69" s="399"/>
      <c r="R69" s="144"/>
      <c r="S69" s="144"/>
      <c r="T69" s="147" t="str">
        <f t="shared" si="3"/>
        <v/>
      </c>
      <c r="U69" s="147" t="str">
        <f t="shared" si="4"/>
        <v>75 SOUTHBANK</v>
      </c>
      <c r="V69" s="400" t="str">
        <f t="shared" si="5"/>
        <v/>
      </c>
      <c r="W69" s="401" t="str">
        <f t="shared" si="6"/>
        <v/>
      </c>
      <c r="X69" s="402" t="e">
        <f t="shared" si="7"/>
        <v>#NUM!</v>
      </c>
      <c r="Y69" s="403" t="e">
        <f t="shared" si="8"/>
        <v>#NUM!</v>
      </c>
      <c r="Z69" s="404" t="e">
        <f t="shared" si="9"/>
        <v>#NUM!</v>
      </c>
      <c r="AA69" s="401" t="str">
        <f t="shared" si="11"/>
        <v/>
      </c>
      <c r="AB69" s="138" t="s">
        <v>485</v>
      </c>
      <c r="AC69" s="98"/>
      <c r="AD69" s="98"/>
    </row>
    <row r="70" spans="1:30" ht="12.75" customHeight="1">
      <c r="A70" s="139" t="s">
        <v>648</v>
      </c>
      <c r="B70" s="139"/>
      <c r="C70" s="138"/>
      <c r="D70" s="393"/>
      <c r="E70" s="394" t="str">
        <f t="shared" si="0"/>
        <v/>
      </c>
      <c r="F70" s="139"/>
      <c r="G70" s="139"/>
      <c r="H70" s="157">
        <f t="shared" si="1"/>
        <v>1403.6</v>
      </c>
      <c r="I70" s="395">
        <v>5</v>
      </c>
      <c r="J70" s="157">
        <v>1402</v>
      </c>
      <c r="K70" s="148">
        <v>7018</v>
      </c>
      <c r="L70" s="160">
        <v>44943</v>
      </c>
      <c r="M70" s="396">
        <f t="shared" si="2"/>
        <v>0</v>
      </c>
      <c r="N70" s="397"/>
      <c r="O70" s="398"/>
      <c r="P70" s="138"/>
      <c r="Q70" s="399"/>
      <c r="R70" s="144"/>
      <c r="S70" s="144"/>
      <c r="T70" s="147" t="str">
        <f t="shared" si="3"/>
        <v/>
      </c>
      <c r="U70" s="147" t="str">
        <f t="shared" si="4"/>
        <v>5 TATACOMM</v>
      </c>
      <c r="V70" s="400" t="str">
        <f t="shared" si="5"/>
        <v/>
      </c>
      <c r="W70" s="401" t="str">
        <f t="shared" si="6"/>
        <v/>
      </c>
      <c r="X70" s="402" t="e">
        <f t="shared" si="7"/>
        <v>#NUM!</v>
      </c>
      <c r="Y70" s="403" t="e">
        <f t="shared" si="8"/>
        <v>#NUM!</v>
      </c>
      <c r="Z70" s="404" t="e">
        <f t="shared" si="9"/>
        <v>#NUM!</v>
      </c>
      <c r="AA70" s="401" t="str">
        <f t="shared" si="11"/>
        <v/>
      </c>
      <c r="AB70" s="138" t="s">
        <v>485</v>
      </c>
      <c r="AC70" s="98"/>
      <c r="AD70" s="98"/>
    </row>
    <row r="71" spans="1:30" ht="12.75" customHeight="1">
      <c r="A71" s="139" t="s">
        <v>644</v>
      </c>
      <c r="B71" s="139"/>
      <c r="C71" s="138"/>
      <c r="D71" s="393"/>
      <c r="E71" s="394" t="str">
        <f t="shared" si="0"/>
        <v/>
      </c>
      <c r="F71" s="139"/>
      <c r="G71" s="139"/>
      <c r="H71" s="157">
        <f t="shared" si="1"/>
        <v>785.9</v>
      </c>
      <c r="I71" s="395">
        <v>10</v>
      </c>
      <c r="J71" s="157">
        <v>785</v>
      </c>
      <c r="K71" s="148">
        <v>7859</v>
      </c>
      <c r="L71" s="160">
        <v>44890</v>
      </c>
      <c r="M71" s="396">
        <f t="shared" si="2"/>
        <v>0</v>
      </c>
      <c r="N71" s="397"/>
      <c r="O71" s="398"/>
      <c r="P71" s="138"/>
      <c r="Q71" s="399"/>
      <c r="R71" s="144"/>
      <c r="S71" s="144"/>
      <c r="T71" s="147" t="str">
        <f t="shared" si="3"/>
        <v/>
      </c>
      <c r="U71" s="147" t="str">
        <f t="shared" si="4"/>
        <v>10 TATACONSUM</v>
      </c>
      <c r="V71" s="400" t="str">
        <f t="shared" si="5"/>
        <v/>
      </c>
      <c r="W71" s="401" t="str">
        <f t="shared" si="6"/>
        <v/>
      </c>
      <c r="X71" s="402" t="e">
        <f t="shared" si="7"/>
        <v>#NUM!</v>
      </c>
      <c r="Y71" s="403" t="e">
        <f t="shared" si="8"/>
        <v>#NUM!</v>
      </c>
      <c r="Z71" s="404" t="e">
        <f t="shared" si="9"/>
        <v>#NUM!</v>
      </c>
      <c r="AA71" s="401" t="str">
        <f t="shared" si="11"/>
        <v/>
      </c>
      <c r="AB71" s="138" t="s">
        <v>485</v>
      </c>
      <c r="AC71" s="98"/>
      <c r="AD71" s="98"/>
    </row>
    <row r="72" spans="1:30" ht="12.75" customHeight="1">
      <c r="A72" s="405" t="s">
        <v>634</v>
      </c>
      <c r="B72" s="139"/>
      <c r="C72" s="138"/>
      <c r="D72" s="393"/>
      <c r="E72" s="394" t="str">
        <f t="shared" si="0"/>
        <v/>
      </c>
      <c r="F72" s="139"/>
      <c r="G72" s="139"/>
      <c r="H72" s="157">
        <f t="shared" si="1"/>
        <v>9812</v>
      </c>
      <c r="I72" s="395">
        <v>1</v>
      </c>
      <c r="J72" s="157">
        <v>9800</v>
      </c>
      <c r="K72" s="148">
        <v>9812</v>
      </c>
      <c r="L72" s="154">
        <v>44795</v>
      </c>
      <c r="M72" s="396">
        <f t="shared" si="2"/>
        <v>0</v>
      </c>
      <c r="N72" s="397"/>
      <c r="O72" s="398"/>
      <c r="P72" s="138"/>
      <c r="Q72" s="399"/>
      <c r="R72" s="144"/>
      <c r="S72" s="144"/>
      <c r="T72" s="147" t="str">
        <f t="shared" si="3"/>
        <v/>
      </c>
      <c r="U72" s="147" t="str">
        <f t="shared" si="4"/>
        <v>1 TATAELXSI</v>
      </c>
      <c r="V72" s="400" t="str">
        <f t="shared" si="5"/>
        <v/>
      </c>
      <c r="W72" s="401" t="str">
        <f t="shared" si="6"/>
        <v/>
      </c>
      <c r="X72" s="402" t="e">
        <f t="shared" si="7"/>
        <v>#NUM!</v>
      </c>
      <c r="Y72" s="403" t="e">
        <f t="shared" si="8"/>
        <v>#NUM!</v>
      </c>
      <c r="Z72" s="404" t="e">
        <f t="shared" si="9"/>
        <v>#NUM!</v>
      </c>
      <c r="AA72" s="401" t="str">
        <f t="shared" si="11"/>
        <v/>
      </c>
      <c r="AB72" s="138" t="s">
        <v>485</v>
      </c>
      <c r="AC72" s="98"/>
      <c r="AD72" s="98"/>
    </row>
    <row r="73" spans="1:30" ht="12.75" customHeight="1">
      <c r="A73" s="406" t="s">
        <v>634</v>
      </c>
      <c r="B73" s="139"/>
      <c r="C73" s="138"/>
      <c r="D73" s="393"/>
      <c r="E73" s="394" t="str">
        <f t="shared" si="0"/>
        <v/>
      </c>
      <c r="F73" s="139"/>
      <c r="G73" s="139"/>
      <c r="H73" s="157">
        <f t="shared" si="1"/>
        <v>9001</v>
      </c>
      <c r="I73" s="395">
        <v>1</v>
      </c>
      <c r="J73" s="157">
        <v>8990</v>
      </c>
      <c r="K73" s="148">
        <v>9001</v>
      </c>
      <c r="L73" s="154">
        <v>44803</v>
      </c>
      <c r="M73" s="396">
        <f t="shared" si="2"/>
        <v>0</v>
      </c>
      <c r="N73" s="397"/>
      <c r="O73" s="398"/>
      <c r="P73" s="138"/>
      <c r="Q73" s="399"/>
      <c r="R73" s="144"/>
      <c r="S73" s="144"/>
      <c r="T73" s="147" t="str">
        <f t="shared" si="3"/>
        <v/>
      </c>
      <c r="U73" s="147" t="str">
        <f t="shared" si="4"/>
        <v>1 TATAELXSI</v>
      </c>
      <c r="V73" s="400" t="str">
        <f t="shared" si="5"/>
        <v/>
      </c>
      <c r="W73" s="401" t="str">
        <f t="shared" si="6"/>
        <v/>
      </c>
      <c r="X73" s="402" t="e">
        <f t="shared" si="7"/>
        <v>#NUM!</v>
      </c>
      <c r="Y73" s="403" t="e">
        <f t="shared" si="8"/>
        <v>#NUM!</v>
      </c>
      <c r="Z73" s="404" t="e">
        <f t="shared" si="9"/>
        <v>#NUM!</v>
      </c>
      <c r="AA73" s="401" t="str">
        <f t="shared" si="11"/>
        <v/>
      </c>
      <c r="AB73" s="138" t="s">
        <v>485</v>
      </c>
      <c r="AC73" s="98"/>
      <c r="AD73" s="98"/>
    </row>
    <row r="74" spans="1:30" ht="12.75" customHeight="1">
      <c r="A74" s="406" t="s">
        <v>634</v>
      </c>
      <c r="B74" s="139"/>
      <c r="C74" s="138"/>
      <c r="D74" s="393"/>
      <c r="E74" s="394" t="str">
        <f t="shared" si="0"/>
        <v/>
      </c>
      <c r="F74" s="139"/>
      <c r="G74" s="139"/>
      <c r="H74" s="157">
        <f t="shared" si="1"/>
        <v>8910.5</v>
      </c>
      <c r="I74" s="395">
        <v>2</v>
      </c>
      <c r="J74" s="157">
        <v>8900</v>
      </c>
      <c r="K74" s="148">
        <v>17821</v>
      </c>
      <c r="L74" s="160">
        <v>44805</v>
      </c>
      <c r="M74" s="396">
        <f t="shared" si="2"/>
        <v>0</v>
      </c>
      <c r="N74" s="397"/>
      <c r="O74" s="398"/>
      <c r="P74" s="138"/>
      <c r="Q74" s="399"/>
      <c r="R74" s="144"/>
      <c r="S74" s="144"/>
      <c r="T74" s="147" t="str">
        <f t="shared" si="3"/>
        <v/>
      </c>
      <c r="U74" s="147" t="str">
        <f t="shared" si="4"/>
        <v>2 TATAELXSI</v>
      </c>
      <c r="V74" s="400" t="str">
        <f t="shared" si="5"/>
        <v/>
      </c>
      <c r="W74" s="401" t="str">
        <f t="shared" si="6"/>
        <v/>
      </c>
      <c r="X74" s="402" t="e">
        <f t="shared" si="7"/>
        <v>#NUM!</v>
      </c>
      <c r="Y74" s="403" t="e">
        <f t="shared" si="8"/>
        <v>#NUM!</v>
      </c>
      <c r="Z74" s="404" t="e">
        <f t="shared" si="9"/>
        <v>#NUM!</v>
      </c>
      <c r="AA74" s="401" t="str">
        <f t="shared" si="11"/>
        <v/>
      </c>
      <c r="AB74" s="138" t="s">
        <v>485</v>
      </c>
      <c r="AC74" s="98"/>
      <c r="AD74" s="98"/>
    </row>
    <row r="75" spans="1:30" ht="12.75" customHeight="1">
      <c r="A75" s="406" t="s">
        <v>634</v>
      </c>
      <c r="B75" s="139"/>
      <c r="C75" s="138"/>
      <c r="D75" s="393"/>
      <c r="E75" s="394" t="str">
        <f t="shared" si="0"/>
        <v/>
      </c>
      <c r="F75" s="139"/>
      <c r="G75" s="139"/>
      <c r="H75" s="157">
        <f t="shared" si="1"/>
        <v>6776.5</v>
      </c>
      <c r="I75" s="395">
        <v>2</v>
      </c>
      <c r="J75" s="157">
        <v>6768.7</v>
      </c>
      <c r="K75" s="148">
        <v>13553</v>
      </c>
      <c r="L75" s="160">
        <v>44890</v>
      </c>
      <c r="M75" s="396">
        <f t="shared" si="2"/>
        <v>0</v>
      </c>
      <c r="N75" s="397"/>
      <c r="O75" s="398"/>
      <c r="P75" s="138"/>
      <c r="Q75" s="399"/>
      <c r="R75" s="144"/>
      <c r="S75" s="144"/>
      <c r="T75" s="147" t="str">
        <f t="shared" si="3"/>
        <v/>
      </c>
      <c r="U75" s="147" t="str">
        <f t="shared" si="4"/>
        <v>2 TATAELXSI</v>
      </c>
      <c r="V75" s="400" t="str">
        <f t="shared" si="5"/>
        <v/>
      </c>
      <c r="W75" s="401" t="str">
        <f t="shared" si="6"/>
        <v/>
      </c>
      <c r="X75" s="402" t="e">
        <f t="shared" si="7"/>
        <v>#NUM!</v>
      </c>
      <c r="Y75" s="403" t="e">
        <f t="shared" si="8"/>
        <v>#NUM!</v>
      </c>
      <c r="Z75" s="404" t="e">
        <f t="shared" si="9"/>
        <v>#NUM!</v>
      </c>
      <c r="AA75" s="401" t="str">
        <f t="shared" si="11"/>
        <v/>
      </c>
      <c r="AB75" s="138" t="s">
        <v>485</v>
      </c>
      <c r="AC75" s="98"/>
      <c r="AD75" s="98"/>
    </row>
    <row r="76" spans="1:30" ht="12.75" customHeight="1">
      <c r="A76" s="405" t="s">
        <v>588</v>
      </c>
      <c r="B76" s="139"/>
      <c r="C76" s="138"/>
      <c r="D76" s="393"/>
      <c r="E76" s="394" t="str">
        <f t="shared" si="0"/>
        <v/>
      </c>
      <c r="F76" s="139"/>
      <c r="G76" s="139"/>
      <c r="H76" s="157">
        <f t="shared" si="1"/>
        <v>3504.1</v>
      </c>
      <c r="I76" s="395">
        <v>10</v>
      </c>
      <c r="J76" s="157">
        <v>3500</v>
      </c>
      <c r="K76" s="148">
        <v>35041</v>
      </c>
      <c r="L76" s="154">
        <v>44670</v>
      </c>
      <c r="M76" s="396">
        <f t="shared" si="2"/>
        <v>0</v>
      </c>
      <c r="N76" s="397"/>
      <c r="O76" s="398"/>
      <c r="P76" s="138"/>
      <c r="Q76" s="399"/>
      <c r="R76" s="144"/>
      <c r="S76" s="144"/>
      <c r="T76" s="147" t="str">
        <f t="shared" si="3"/>
        <v/>
      </c>
      <c r="U76" s="147" t="str">
        <f t="shared" si="4"/>
        <v>10 TCS</v>
      </c>
      <c r="V76" s="400" t="str">
        <f t="shared" si="5"/>
        <v/>
      </c>
      <c r="W76" s="401" t="str">
        <f t="shared" si="6"/>
        <v/>
      </c>
      <c r="X76" s="402" t="e">
        <f t="shared" si="7"/>
        <v>#NUM!</v>
      </c>
      <c r="Y76" s="403" t="e">
        <f t="shared" si="8"/>
        <v>#NUM!</v>
      </c>
      <c r="Z76" s="404" t="e">
        <f t="shared" si="9"/>
        <v>#NUM!</v>
      </c>
      <c r="AA76" s="401" t="str">
        <f t="shared" si="11"/>
        <v/>
      </c>
      <c r="AB76" s="138" t="s">
        <v>485</v>
      </c>
      <c r="AC76" s="98"/>
      <c r="AD76" s="98"/>
    </row>
    <row r="77" spans="1:30" ht="12.75" customHeight="1">
      <c r="A77" s="406" t="s">
        <v>588</v>
      </c>
      <c r="B77" s="139"/>
      <c r="C77" s="138"/>
      <c r="D77" s="393"/>
      <c r="E77" s="394" t="str">
        <f t="shared" si="0"/>
        <v/>
      </c>
      <c r="F77" s="139"/>
      <c r="G77" s="139"/>
      <c r="H77" s="157">
        <f t="shared" si="1"/>
        <v>3704.4</v>
      </c>
      <c r="I77" s="395">
        <v>10</v>
      </c>
      <c r="J77" s="157">
        <v>3700</v>
      </c>
      <c r="K77" s="148">
        <v>37044</v>
      </c>
      <c r="L77" s="154">
        <v>44663</v>
      </c>
      <c r="M77" s="396">
        <f t="shared" si="2"/>
        <v>0</v>
      </c>
      <c r="N77" s="397"/>
      <c r="O77" s="398"/>
      <c r="P77" s="138"/>
      <c r="Q77" s="399"/>
      <c r="R77" s="144"/>
      <c r="S77" s="144"/>
      <c r="T77" s="147" t="str">
        <f t="shared" si="3"/>
        <v/>
      </c>
      <c r="U77" s="147" t="str">
        <f t="shared" si="4"/>
        <v>10 TCS</v>
      </c>
      <c r="V77" s="400" t="str">
        <f t="shared" si="5"/>
        <v/>
      </c>
      <c r="W77" s="401" t="str">
        <f t="shared" si="6"/>
        <v/>
      </c>
      <c r="X77" s="402" t="e">
        <f t="shared" si="7"/>
        <v>#NUM!</v>
      </c>
      <c r="Y77" s="403" t="e">
        <f t="shared" si="8"/>
        <v>#NUM!</v>
      </c>
      <c r="Z77" s="404" t="e">
        <f t="shared" si="9"/>
        <v>#NUM!</v>
      </c>
      <c r="AA77" s="401" t="str">
        <f t="shared" si="11"/>
        <v/>
      </c>
      <c r="AB77" s="138" t="s">
        <v>485</v>
      </c>
      <c r="AC77" s="98"/>
      <c r="AD77" s="98"/>
    </row>
    <row r="78" spans="1:30" ht="12.75" customHeight="1">
      <c r="A78" s="405" t="s">
        <v>618</v>
      </c>
      <c r="B78" s="139"/>
      <c r="C78" s="138"/>
      <c r="D78" s="393"/>
      <c r="E78" s="394" t="str">
        <f t="shared" si="0"/>
        <v/>
      </c>
      <c r="F78" s="139" t="s">
        <v>1191</v>
      </c>
      <c r="G78" s="139"/>
      <c r="H78" s="157">
        <f t="shared" si="1"/>
        <v>131.655</v>
      </c>
      <c r="I78" s="395">
        <v>200</v>
      </c>
      <c r="J78" s="157">
        <v>131.5</v>
      </c>
      <c r="K78" s="148">
        <v>26331</v>
      </c>
      <c r="L78" s="154">
        <v>44672</v>
      </c>
      <c r="M78" s="396">
        <f t="shared" si="2"/>
        <v>0</v>
      </c>
      <c r="N78" s="397"/>
      <c r="O78" s="398"/>
      <c r="P78" s="138"/>
      <c r="Q78" s="399"/>
      <c r="R78" s="144"/>
      <c r="S78" s="144"/>
      <c r="T78" s="147" t="str">
        <f t="shared" si="3"/>
        <v/>
      </c>
      <c r="U78" s="147" t="str">
        <f t="shared" si="4"/>
        <v>200 TNPETRO</v>
      </c>
      <c r="V78" s="400" t="str">
        <f t="shared" si="5"/>
        <v/>
      </c>
      <c r="W78" s="401" t="str">
        <f t="shared" si="6"/>
        <v/>
      </c>
      <c r="X78" s="402" t="e">
        <f t="shared" si="7"/>
        <v>#NUM!</v>
      </c>
      <c r="Y78" s="403" t="e">
        <f t="shared" si="8"/>
        <v>#NUM!</v>
      </c>
      <c r="Z78" s="404" t="e">
        <f t="shared" si="9"/>
        <v>#NUM!</v>
      </c>
      <c r="AA78" s="401" t="str">
        <f t="shared" si="11"/>
        <v/>
      </c>
      <c r="AB78" s="138" t="s">
        <v>485</v>
      </c>
      <c r="AC78" s="98"/>
      <c r="AD78" s="98"/>
    </row>
    <row r="79" spans="1:30" ht="12.75" customHeight="1">
      <c r="A79" s="406" t="s">
        <v>618</v>
      </c>
      <c r="B79" s="139"/>
      <c r="C79" s="138"/>
      <c r="D79" s="393"/>
      <c r="E79" s="394" t="str">
        <f t="shared" si="0"/>
        <v/>
      </c>
      <c r="F79" s="139"/>
      <c r="G79" s="139"/>
      <c r="H79" s="157">
        <f t="shared" si="1"/>
        <v>120.9</v>
      </c>
      <c r="I79" s="395">
        <v>50</v>
      </c>
      <c r="J79" s="157">
        <v>120.75</v>
      </c>
      <c r="K79" s="148">
        <v>6045</v>
      </c>
      <c r="L79" s="154">
        <v>44676</v>
      </c>
      <c r="M79" s="396">
        <f t="shared" si="2"/>
        <v>0</v>
      </c>
      <c r="N79" s="397"/>
      <c r="O79" s="398"/>
      <c r="P79" s="138"/>
      <c r="Q79" s="399"/>
      <c r="R79" s="144"/>
      <c r="S79" s="144"/>
      <c r="T79" s="147" t="str">
        <f t="shared" si="3"/>
        <v/>
      </c>
      <c r="U79" s="147" t="str">
        <f t="shared" si="4"/>
        <v>50 TNPETRO</v>
      </c>
      <c r="V79" s="400" t="str">
        <f t="shared" si="5"/>
        <v/>
      </c>
      <c r="W79" s="401" t="str">
        <f t="shared" si="6"/>
        <v/>
      </c>
      <c r="X79" s="402" t="e">
        <f t="shared" si="7"/>
        <v>#NUM!</v>
      </c>
      <c r="Y79" s="403" t="e">
        <f t="shared" si="8"/>
        <v>#NUM!</v>
      </c>
      <c r="Z79" s="404" t="e">
        <f t="shared" si="9"/>
        <v>#NUM!</v>
      </c>
      <c r="AA79" s="401" t="str">
        <f t="shared" si="11"/>
        <v/>
      </c>
      <c r="AB79" s="138" t="s">
        <v>485</v>
      </c>
      <c r="AC79" s="98"/>
      <c r="AD79" s="98"/>
    </row>
    <row r="80" spans="1:30" ht="3.75" customHeight="1">
      <c r="A80" s="70"/>
      <c r="B80" s="70"/>
      <c r="C80" s="176"/>
      <c r="D80" s="240"/>
      <c r="E80" s="409"/>
      <c r="F80" s="70"/>
      <c r="G80" s="70"/>
      <c r="H80" s="410"/>
      <c r="I80" s="241"/>
      <c r="J80" s="410"/>
      <c r="K80" s="174"/>
      <c r="L80" s="165"/>
      <c r="M80" s="242"/>
      <c r="N80" s="411"/>
      <c r="O80" s="412"/>
      <c r="P80" s="176"/>
      <c r="Q80" s="413"/>
      <c r="R80" s="170"/>
      <c r="S80" s="170"/>
      <c r="T80" s="173"/>
      <c r="U80" s="173"/>
      <c r="V80" s="173"/>
      <c r="W80" s="414"/>
      <c r="X80" s="415"/>
      <c r="Y80" s="416"/>
      <c r="Z80" s="417"/>
      <c r="AA80" s="418"/>
      <c r="AB80" s="176"/>
      <c r="AC80" s="98"/>
      <c r="AD80" s="98"/>
    </row>
    <row r="81" spans="1:30" ht="12.75" customHeight="1">
      <c r="A81" s="139"/>
      <c r="B81" s="139"/>
      <c r="C81" s="138"/>
      <c r="D81" s="393"/>
      <c r="E81" s="394" t="str">
        <f>IFERROR(IF(D81="","",(D81-J81)/J81),"")</f>
        <v/>
      </c>
      <c r="F81" s="139"/>
      <c r="G81" s="139"/>
      <c r="H81" s="157" t="e">
        <f>ROUND(K81/I81,4)</f>
        <v>#DIV/0!</v>
      </c>
      <c r="I81" s="395"/>
      <c r="J81" s="157"/>
      <c r="K81" s="148"/>
      <c r="L81" s="160"/>
      <c r="M81" s="396" t="e">
        <f>ROUND(O81/I81,4)</f>
        <v>#DIV/0!</v>
      </c>
      <c r="N81" s="397"/>
      <c r="O81" s="398"/>
      <c r="P81" s="138"/>
      <c r="Q81" s="399"/>
      <c r="R81" s="144"/>
      <c r="S81" s="144"/>
      <c r="T81" s="147" t="str">
        <f>IF(OR(O81="",K81=""),"",O81-K81)</f>
        <v/>
      </c>
      <c r="U81" s="147" t="str">
        <f>CONCATENATE(I81," ",A81)</f>
        <v xml:space="preserve"> </v>
      </c>
      <c r="V81" s="400" t="str">
        <f>IF(T81="","",T81+S81-R81)</f>
        <v/>
      </c>
      <c r="W81" s="401" t="str">
        <f>IF(OR(K81="",V81=""),"",V81/K81)</f>
        <v/>
      </c>
      <c r="X81" s="402">
        <f>DATEDIF(L81,P81,"Y")</f>
        <v>0</v>
      </c>
      <c r="Y81" s="403">
        <f>DATEDIF(L81,P81,"YM")</f>
        <v>0</v>
      </c>
      <c r="Z81" s="404">
        <f>DATEDIF(L81,P81,"MD")</f>
        <v>0</v>
      </c>
      <c r="AA81" s="401" t="str">
        <f>IF(O81="","",IFERROR(((O81+S81-R81)/K81)^(1/((P81-L81)/365))-1,""))</f>
        <v/>
      </c>
      <c r="AB81" s="138" t="s">
        <v>485</v>
      </c>
      <c r="AC81" s="98"/>
      <c r="AD81" s="98"/>
    </row>
    <row r="82" spans="1:30" ht="12.75" customHeight="1">
      <c r="A82" s="419">
        <f ca="1">IFERROR(__xludf.DUMMYFUNCTION("COUNTUNIQUE(A16:A80)"),40)</f>
        <v>40</v>
      </c>
      <c r="B82" s="420" t="s">
        <v>1197</v>
      </c>
      <c r="C82" s="421"/>
      <c r="D82" s="420" t="s">
        <v>1198</v>
      </c>
      <c r="E82" s="420"/>
      <c r="F82" s="422"/>
      <c r="G82" s="422"/>
      <c r="H82" s="423"/>
      <c r="I82" s="422"/>
      <c r="J82" s="424">
        <f>ROUND(SUM(K16:K80),0)</f>
        <v>801485</v>
      </c>
      <c r="K82" s="425"/>
      <c r="L82" s="425"/>
      <c r="M82" s="426"/>
      <c r="N82" s="427"/>
      <c r="O82" s="428"/>
      <c r="P82" s="429"/>
      <c r="Q82" s="429"/>
      <c r="R82" s="130">
        <v>0</v>
      </c>
      <c r="S82" s="430"/>
      <c r="T82" s="428"/>
      <c r="U82" s="428"/>
      <c r="V82" s="428"/>
      <c r="W82" s="431"/>
      <c r="X82" s="432"/>
      <c r="Y82" s="432"/>
      <c r="Z82" s="432"/>
      <c r="AA82" s="433"/>
      <c r="AB82" s="432"/>
      <c r="AC82" s="98"/>
      <c r="AD82" s="98"/>
    </row>
    <row r="83" spans="1:30" ht="3.75" customHeight="1">
      <c r="A83" s="180"/>
      <c r="B83" s="180"/>
      <c r="C83" s="180"/>
      <c r="D83" s="98"/>
      <c r="E83" s="98"/>
      <c r="F83" s="98"/>
      <c r="G83" s="98"/>
      <c r="H83" s="219"/>
      <c r="I83" s="98"/>
      <c r="J83" s="219"/>
      <c r="K83" s="268"/>
      <c r="L83" s="180"/>
      <c r="M83" s="219"/>
      <c r="N83" s="219"/>
      <c r="O83" s="268"/>
      <c r="P83" s="180"/>
      <c r="Q83" s="180"/>
      <c r="R83" s="181"/>
      <c r="S83" s="181"/>
      <c r="T83" s="268"/>
      <c r="U83" s="268"/>
      <c r="V83" s="268"/>
      <c r="W83" s="431"/>
      <c r="X83" s="98"/>
      <c r="Y83" s="98"/>
      <c r="Z83" s="98"/>
      <c r="AA83" s="431"/>
      <c r="AB83" s="98"/>
      <c r="AC83" s="98"/>
      <c r="AD83" s="98"/>
    </row>
    <row r="84" spans="1:30" ht="26.25" customHeight="1">
      <c r="A84" s="379" t="s">
        <v>435</v>
      </c>
      <c r="B84" s="379" t="s">
        <v>1116</v>
      </c>
      <c r="C84" s="379" t="s">
        <v>1117</v>
      </c>
      <c r="D84" s="380" t="s">
        <v>1118</v>
      </c>
      <c r="E84" s="380" t="s">
        <v>1119</v>
      </c>
      <c r="F84" s="379" t="s">
        <v>1120</v>
      </c>
      <c r="G84" s="379" t="s">
        <v>1121</v>
      </c>
      <c r="H84" s="380" t="s">
        <v>1122</v>
      </c>
      <c r="I84" s="380" t="s">
        <v>1123</v>
      </c>
      <c r="J84" s="380" t="s">
        <v>1124</v>
      </c>
      <c r="K84" s="380" t="s">
        <v>8</v>
      </c>
      <c r="L84" s="380" t="s">
        <v>1125</v>
      </c>
      <c r="M84" s="380" t="s">
        <v>1126</v>
      </c>
      <c r="N84" s="380" t="s">
        <v>1127</v>
      </c>
      <c r="O84" s="380" t="s">
        <v>1128</v>
      </c>
      <c r="P84" s="380" t="s">
        <v>1129</v>
      </c>
      <c r="Q84" s="380" t="s">
        <v>1130</v>
      </c>
      <c r="R84" s="434" t="s">
        <v>1131</v>
      </c>
      <c r="S84" s="435" t="s">
        <v>1132</v>
      </c>
      <c r="T84" s="436" t="s">
        <v>1133</v>
      </c>
      <c r="U84" s="380" t="s">
        <v>1134</v>
      </c>
      <c r="V84" s="380" t="s">
        <v>1135</v>
      </c>
      <c r="W84" s="380" t="s">
        <v>1136</v>
      </c>
      <c r="X84" s="379" t="s">
        <v>1137</v>
      </c>
      <c r="Y84" s="379" t="s">
        <v>1138</v>
      </c>
      <c r="Z84" s="379" t="s">
        <v>1139</v>
      </c>
      <c r="AA84" s="380" t="s">
        <v>1140</v>
      </c>
      <c r="AB84" s="379" t="s">
        <v>1141</v>
      </c>
      <c r="AC84" s="98"/>
      <c r="AD84" s="98"/>
    </row>
    <row r="85" spans="1:30" ht="12.75" customHeight="1">
      <c r="A85" s="125" t="s">
        <v>598</v>
      </c>
      <c r="B85" s="125" t="s">
        <v>1199</v>
      </c>
      <c r="C85" s="382" t="s">
        <v>1174</v>
      </c>
      <c r="D85" s="383"/>
      <c r="E85" s="384" t="str">
        <f t="shared" ref="E85:E92" si="12">IFERROR(IF(D85="","",(D85-J85)/J85),"")</f>
        <v/>
      </c>
      <c r="F85" s="126" t="s">
        <v>1162</v>
      </c>
      <c r="G85" s="126" t="s">
        <v>1163</v>
      </c>
      <c r="H85" s="385">
        <f t="shared" ref="H85:H92" si="13">ROUND(K85/I85,4)</f>
        <v>7.6589999999999998</v>
      </c>
      <c r="I85" s="126">
        <v>1000</v>
      </c>
      <c r="J85" s="385">
        <v>7.65</v>
      </c>
      <c r="K85" s="133">
        <v>7659</v>
      </c>
      <c r="L85" s="155">
        <v>44547</v>
      </c>
      <c r="M85" s="129">
        <f t="shared" ref="M85:M563" si="14">ROUND(O85/I85,4)</f>
        <v>8.6509999999999998</v>
      </c>
      <c r="N85" s="158">
        <v>8.66</v>
      </c>
      <c r="O85" s="386">
        <v>8651</v>
      </c>
      <c r="P85" s="125">
        <v>44561</v>
      </c>
      <c r="Q85" s="437">
        <v>44559</v>
      </c>
      <c r="R85" s="438">
        <v>15.93</v>
      </c>
      <c r="S85" s="439"/>
      <c r="T85" s="440">
        <f t="shared" ref="T85:T88" si="15">IF(O85="","",O85-K85)</f>
        <v>992</v>
      </c>
      <c r="U85" s="441" t="str">
        <f t="shared" ref="U85:U563" si="16">CONCATENATE(I85," ",A85)</f>
        <v>1000 A2ZINFRA</v>
      </c>
      <c r="V85" s="132">
        <f t="shared" ref="V85:V563" si="17">IF(T85="","",T85+S85-R85)</f>
        <v>976.07</v>
      </c>
      <c r="W85" s="389">
        <f t="shared" ref="W85:W88" si="18">IF(M85=0,"",V85/K85)</f>
        <v>0.12744091918004963</v>
      </c>
      <c r="X85" s="442">
        <f t="shared" ref="X85:X563" si="19">DATEDIF(L85,P85,"Y")</f>
        <v>0</v>
      </c>
      <c r="Y85" s="391">
        <f t="shared" ref="Y85:Y563" si="20">DATEDIF(L85,P85,"YM")</f>
        <v>0</v>
      </c>
      <c r="Z85" s="392">
        <f t="shared" ref="Z85:Z563" si="21">DATEDIF(L85,P85,"MD")</f>
        <v>14</v>
      </c>
      <c r="AA85" s="389">
        <f t="shared" ref="AA85:AA377" si="22">IF(O85="","",IFERROR(((O85+S85-R85)/K85)^(1/((P85-L85)/365))-1,""))</f>
        <v>21.811802506152283</v>
      </c>
      <c r="AB85" s="125" t="s">
        <v>485</v>
      </c>
      <c r="AC85" s="98"/>
      <c r="AD85" s="98"/>
    </row>
    <row r="86" spans="1:30" ht="12.75" customHeight="1">
      <c r="A86" s="125" t="s">
        <v>598</v>
      </c>
      <c r="B86" s="125" t="s">
        <v>1199</v>
      </c>
      <c r="C86" s="382" t="s">
        <v>1174</v>
      </c>
      <c r="D86" s="383"/>
      <c r="E86" s="384" t="str">
        <f t="shared" si="12"/>
        <v/>
      </c>
      <c r="F86" s="126" t="s">
        <v>1162</v>
      </c>
      <c r="G86" s="126" t="s">
        <v>1163</v>
      </c>
      <c r="H86" s="385">
        <f t="shared" si="13"/>
        <v>10.412000000000001</v>
      </c>
      <c r="I86" s="126">
        <v>1000</v>
      </c>
      <c r="J86" s="385">
        <v>10.4</v>
      </c>
      <c r="K86" s="133">
        <v>10412</v>
      </c>
      <c r="L86" s="155">
        <v>44565</v>
      </c>
      <c r="M86" s="129">
        <f t="shared" si="14"/>
        <v>11.388</v>
      </c>
      <c r="N86" s="158">
        <v>11.4</v>
      </c>
      <c r="O86" s="386">
        <v>11388</v>
      </c>
      <c r="P86" s="125">
        <v>44585</v>
      </c>
      <c r="Q86" s="437">
        <v>44581</v>
      </c>
      <c r="R86" s="438">
        <v>15.93</v>
      </c>
      <c r="S86" s="439"/>
      <c r="T86" s="440">
        <f t="shared" si="15"/>
        <v>976</v>
      </c>
      <c r="U86" s="441" t="str">
        <f t="shared" si="16"/>
        <v>1000 A2ZINFRA</v>
      </c>
      <c r="V86" s="132">
        <f t="shared" si="17"/>
        <v>960.07</v>
      </c>
      <c r="W86" s="389">
        <f t="shared" si="18"/>
        <v>9.2208029197080293E-2</v>
      </c>
      <c r="X86" s="442">
        <f t="shared" si="19"/>
        <v>0</v>
      </c>
      <c r="Y86" s="391">
        <f t="shared" si="20"/>
        <v>0</v>
      </c>
      <c r="Z86" s="392">
        <f t="shared" si="21"/>
        <v>20</v>
      </c>
      <c r="AA86" s="389">
        <f t="shared" si="22"/>
        <v>4.0011848704687019</v>
      </c>
      <c r="AB86" s="125" t="s">
        <v>485</v>
      </c>
      <c r="AC86" s="98"/>
      <c r="AD86" s="98"/>
    </row>
    <row r="87" spans="1:30" ht="12.75" customHeight="1">
      <c r="A87" s="125" t="s">
        <v>598</v>
      </c>
      <c r="B87" s="125"/>
      <c r="C87" s="382"/>
      <c r="D87" s="383"/>
      <c r="E87" s="384" t="str">
        <f t="shared" si="12"/>
        <v/>
      </c>
      <c r="F87" s="126"/>
      <c r="G87" s="126"/>
      <c r="H87" s="385">
        <f t="shared" si="13"/>
        <v>12.064</v>
      </c>
      <c r="I87" s="126">
        <v>1000</v>
      </c>
      <c r="J87" s="385">
        <v>12.05</v>
      </c>
      <c r="K87" s="133">
        <v>12064</v>
      </c>
      <c r="L87" s="155">
        <v>44585</v>
      </c>
      <c r="M87" s="129">
        <f t="shared" si="14"/>
        <v>12.847</v>
      </c>
      <c r="N87" s="158">
        <v>12.86</v>
      </c>
      <c r="O87" s="386">
        <v>12847</v>
      </c>
      <c r="P87" s="125">
        <v>44593</v>
      </c>
      <c r="Q87" s="437">
        <v>44589</v>
      </c>
      <c r="R87" s="438">
        <v>15.93</v>
      </c>
      <c r="S87" s="439"/>
      <c r="T87" s="440">
        <f t="shared" si="15"/>
        <v>783</v>
      </c>
      <c r="U87" s="441" t="str">
        <f t="shared" si="16"/>
        <v>1000 A2ZINFRA</v>
      </c>
      <c r="V87" s="132">
        <f t="shared" si="17"/>
        <v>767.07</v>
      </c>
      <c r="W87" s="389">
        <f t="shared" si="18"/>
        <v>6.3583388594164458E-2</v>
      </c>
      <c r="X87" s="442">
        <f t="shared" si="19"/>
        <v>0</v>
      </c>
      <c r="Y87" s="391">
        <f t="shared" si="20"/>
        <v>0</v>
      </c>
      <c r="Z87" s="392">
        <f t="shared" si="21"/>
        <v>8</v>
      </c>
      <c r="AA87" s="389">
        <f t="shared" si="22"/>
        <v>15.65143916447331</v>
      </c>
      <c r="AB87" s="125" t="s">
        <v>485</v>
      </c>
      <c r="AC87" s="98"/>
      <c r="AD87" s="98"/>
    </row>
    <row r="88" spans="1:30" ht="12.75" customHeight="1">
      <c r="A88" s="125" t="s">
        <v>598</v>
      </c>
      <c r="B88" s="125"/>
      <c r="C88" s="382"/>
      <c r="D88" s="383"/>
      <c r="E88" s="384" t="str">
        <f t="shared" si="12"/>
        <v/>
      </c>
      <c r="F88" s="126"/>
      <c r="G88" s="126"/>
      <c r="H88" s="385">
        <f t="shared" si="13"/>
        <v>11.85</v>
      </c>
      <c r="I88" s="126">
        <v>100</v>
      </c>
      <c r="J88" s="385">
        <v>11.84</v>
      </c>
      <c r="K88" s="133">
        <v>1185</v>
      </c>
      <c r="L88" s="155">
        <v>44593</v>
      </c>
      <c r="M88" s="129">
        <f t="shared" si="14"/>
        <v>12.13</v>
      </c>
      <c r="N88" s="158">
        <v>12.14</v>
      </c>
      <c r="O88" s="386">
        <v>1213</v>
      </c>
      <c r="P88" s="125">
        <v>44670</v>
      </c>
      <c r="Q88" s="437">
        <v>44664</v>
      </c>
      <c r="R88" s="438">
        <v>15.93</v>
      </c>
      <c r="S88" s="439"/>
      <c r="T88" s="440">
        <f t="shared" si="15"/>
        <v>28</v>
      </c>
      <c r="U88" s="441" t="str">
        <f t="shared" si="16"/>
        <v>100 A2ZINFRA</v>
      </c>
      <c r="V88" s="132">
        <f t="shared" si="17"/>
        <v>12.07</v>
      </c>
      <c r="W88" s="389">
        <f t="shared" si="18"/>
        <v>1.018565400843882E-2</v>
      </c>
      <c r="X88" s="442">
        <f t="shared" si="19"/>
        <v>0</v>
      </c>
      <c r="Y88" s="391">
        <f t="shared" si="20"/>
        <v>2</v>
      </c>
      <c r="Z88" s="392">
        <f t="shared" si="21"/>
        <v>18</v>
      </c>
      <c r="AA88" s="389">
        <f t="shared" si="22"/>
        <v>4.9210952168375011E-2</v>
      </c>
      <c r="AB88" s="125" t="s">
        <v>485</v>
      </c>
      <c r="AC88" s="98"/>
      <c r="AD88" s="98"/>
    </row>
    <row r="89" spans="1:30" ht="12.75" customHeight="1">
      <c r="A89" s="125" t="s">
        <v>598</v>
      </c>
      <c r="B89" s="125"/>
      <c r="C89" s="382"/>
      <c r="D89" s="383"/>
      <c r="E89" s="384" t="str">
        <f t="shared" si="12"/>
        <v/>
      </c>
      <c r="F89" s="126" t="s">
        <v>1162</v>
      </c>
      <c r="G89" s="126" t="s">
        <v>1163</v>
      </c>
      <c r="H89" s="385">
        <f t="shared" si="13"/>
        <v>12.637600000000001</v>
      </c>
      <c r="I89" s="126">
        <v>1250</v>
      </c>
      <c r="J89" s="385">
        <v>12.622199999999999</v>
      </c>
      <c r="K89" s="133">
        <v>15797</v>
      </c>
      <c r="L89" s="155">
        <v>44592</v>
      </c>
      <c r="M89" s="129">
        <f t="shared" si="14"/>
        <v>13.036799999999999</v>
      </c>
      <c r="N89" s="158">
        <v>13.05</v>
      </c>
      <c r="O89" s="386">
        <v>16296</v>
      </c>
      <c r="P89" s="125">
        <v>44777</v>
      </c>
      <c r="Q89" s="437">
        <v>44775</v>
      </c>
      <c r="R89" s="438">
        <v>15.93</v>
      </c>
      <c r="S89" s="439"/>
      <c r="T89" s="440">
        <f t="shared" ref="T89:T90" si="23">IF(OR(O89="",K89=""),"",O89-K89)</f>
        <v>499</v>
      </c>
      <c r="U89" s="441" t="str">
        <f t="shared" si="16"/>
        <v>1250 A2ZINFRA</v>
      </c>
      <c r="V89" s="132">
        <f t="shared" si="17"/>
        <v>483.07</v>
      </c>
      <c r="W89" s="389">
        <f t="shared" ref="W89:W90" si="24">IF(OR(K89="",V89=""),"",V89/K89)</f>
        <v>3.0579856934861049E-2</v>
      </c>
      <c r="X89" s="442">
        <f t="shared" si="19"/>
        <v>0</v>
      </c>
      <c r="Y89" s="391">
        <f t="shared" si="20"/>
        <v>6</v>
      </c>
      <c r="Z89" s="392">
        <f t="shared" si="21"/>
        <v>4</v>
      </c>
      <c r="AA89" s="389">
        <f t="shared" si="22"/>
        <v>6.1230544501944539E-2</v>
      </c>
      <c r="AB89" s="125" t="s">
        <v>485</v>
      </c>
      <c r="AC89" s="98"/>
      <c r="AD89" s="98"/>
    </row>
    <row r="90" spans="1:30" ht="12.75" customHeight="1">
      <c r="A90" s="125" t="s">
        <v>598</v>
      </c>
      <c r="B90" s="125"/>
      <c r="C90" s="382"/>
      <c r="D90" s="383"/>
      <c r="E90" s="384" t="str">
        <f t="shared" si="12"/>
        <v/>
      </c>
      <c r="F90" s="126" t="s">
        <v>1162</v>
      </c>
      <c r="G90" s="126" t="s">
        <v>1163</v>
      </c>
      <c r="H90" s="385">
        <f t="shared" si="13"/>
        <v>12.637</v>
      </c>
      <c r="I90" s="126">
        <v>1000</v>
      </c>
      <c r="J90" s="385">
        <v>12.622199999999999</v>
      </c>
      <c r="K90" s="133">
        <v>12637</v>
      </c>
      <c r="L90" s="155">
        <v>44592</v>
      </c>
      <c r="M90" s="129">
        <f t="shared" si="14"/>
        <v>13.476000000000001</v>
      </c>
      <c r="N90" s="158">
        <v>13.49</v>
      </c>
      <c r="O90" s="386">
        <v>13476</v>
      </c>
      <c r="P90" s="125">
        <v>44792</v>
      </c>
      <c r="Q90" s="437">
        <v>44790</v>
      </c>
      <c r="R90" s="438">
        <v>15.93</v>
      </c>
      <c r="S90" s="439"/>
      <c r="T90" s="440">
        <f t="shared" si="23"/>
        <v>839</v>
      </c>
      <c r="U90" s="441" t="str">
        <f t="shared" si="16"/>
        <v>1000 A2ZINFRA</v>
      </c>
      <c r="V90" s="132">
        <f t="shared" si="17"/>
        <v>823.07</v>
      </c>
      <c r="W90" s="389">
        <f t="shared" si="24"/>
        <v>6.5131755954736095E-2</v>
      </c>
      <c r="X90" s="442">
        <f t="shared" si="19"/>
        <v>0</v>
      </c>
      <c r="Y90" s="391">
        <f t="shared" si="20"/>
        <v>6</v>
      </c>
      <c r="Z90" s="392">
        <f t="shared" si="21"/>
        <v>19</v>
      </c>
      <c r="AA90" s="389">
        <f t="shared" si="22"/>
        <v>0.12204708727489977</v>
      </c>
      <c r="AB90" s="125" t="s">
        <v>485</v>
      </c>
      <c r="AC90" s="98"/>
      <c r="AD90" s="98"/>
    </row>
    <row r="91" spans="1:30" ht="12.75" customHeight="1">
      <c r="A91" s="125" t="s">
        <v>519</v>
      </c>
      <c r="B91" s="125" t="s">
        <v>1200</v>
      </c>
      <c r="C91" s="382" t="s">
        <v>1201</v>
      </c>
      <c r="D91" s="383">
        <v>1550</v>
      </c>
      <c r="E91" s="384">
        <f t="shared" si="12"/>
        <v>6.0191518467852256E-2</v>
      </c>
      <c r="F91" s="126" t="s">
        <v>1154</v>
      </c>
      <c r="G91" s="126" t="s">
        <v>1155</v>
      </c>
      <c r="H91" s="385">
        <f t="shared" si="13"/>
        <v>1463.7</v>
      </c>
      <c r="I91" s="126">
        <v>10</v>
      </c>
      <c r="J91" s="385">
        <v>1462</v>
      </c>
      <c r="K91" s="133">
        <v>14637</v>
      </c>
      <c r="L91" s="155">
        <v>44334</v>
      </c>
      <c r="M91" s="129">
        <f t="shared" si="14"/>
        <v>1513.4</v>
      </c>
      <c r="N91" s="158">
        <v>1515</v>
      </c>
      <c r="O91" s="386">
        <v>15134</v>
      </c>
      <c r="P91" s="125">
        <v>44347</v>
      </c>
      <c r="Q91" s="437">
        <v>44343</v>
      </c>
      <c r="R91" s="438">
        <v>15.93</v>
      </c>
      <c r="S91" s="439"/>
      <c r="T91" s="440">
        <f>IF(O91="","",O91-K91)</f>
        <v>497</v>
      </c>
      <c r="U91" s="441" t="str">
        <f t="shared" si="16"/>
        <v>10 ABB</v>
      </c>
      <c r="V91" s="132">
        <f t="shared" si="17"/>
        <v>481.07</v>
      </c>
      <c r="W91" s="389">
        <f>IF(M91=0,"",V91/K91)</f>
        <v>3.2866707658673222E-2</v>
      </c>
      <c r="X91" s="442">
        <f t="shared" si="19"/>
        <v>0</v>
      </c>
      <c r="Y91" s="391">
        <f t="shared" si="20"/>
        <v>0</v>
      </c>
      <c r="Z91" s="392">
        <f t="shared" si="21"/>
        <v>13</v>
      </c>
      <c r="AA91" s="389">
        <f t="shared" si="22"/>
        <v>1.4792489773559114</v>
      </c>
      <c r="AB91" s="125" t="s">
        <v>485</v>
      </c>
      <c r="AC91" s="98"/>
      <c r="AD91" s="98"/>
    </row>
    <row r="92" spans="1:30" ht="12.75" customHeight="1">
      <c r="A92" s="125" t="s">
        <v>642</v>
      </c>
      <c r="B92" s="125"/>
      <c r="C92" s="382"/>
      <c r="D92" s="383"/>
      <c r="E92" s="384" t="str">
        <f t="shared" si="12"/>
        <v/>
      </c>
      <c r="F92" s="126"/>
      <c r="G92" s="126"/>
      <c r="H92" s="385">
        <f t="shared" si="13"/>
        <v>407</v>
      </c>
      <c r="I92" s="126">
        <v>36</v>
      </c>
      <c r="J92" s="385">
        <v>207</v>
      </c>
      <c r="K92" s="133">
        <v>14652</v>
      </c>
      <c r="L92" s="155">
        <v>44884</v>
      </c>
      <c r="M92" s="129">
        <f t="shared" si="14"/>
        <v>474.5</v>
      </c>
      <c r="N92" s="158">
        <v>475</v>
      </c>
      <c r="O92" s="386">
        <v>17082</v>
      </c>
      <c r="P92" s="125">
        <v>44893</v>
      </c>
      <c r="Q92" s="437">
        <v>44889</v>
      </c>
      <c r="R92" s="438">
        <v>15.93</v>
      </c>
      <c r="S92" s="439"/>
      <c r="T92" s="440">
        <f>IF(OR(O92="",K92=""),"",O92-K92)</f>
        <v>2430</v>
      </c>
      <c r="U92" s="441" t="str">
        <f t="shared" si="16"/>
        <v>36 ACI</v>
      </c>
      <c r="V92" s="132">
        <f t="shared" si="17"/>
        <v>2414.0700000000002</v>
      </c>
      <c r="W92" s="389">
        <f>IF(OR(K92="",V92=""),"",V92/K92)</f>
        <v>0.16476044226044226</v>
      </c>
      <c r="X92" s="442">
        <f t="shared" si="19"/>
        <v>0</v>
      </c>
      <c r="Y92" s="391">
        <f t="shared" si="20"/>
        <v>0</v>
      </c>
      <c r="Z92" s="392">
        <f t="shared" si="21"/>
        <v>9</v>
      </c>
      <c r="AA92" s="389">
        <f t="shared" si="22"/>
        <v>484.58205013975396</v>
      </c>
      <c r="AB92" s="125" t="s">
        <v>485</v>
      </c>
      <c r="AC92" s="98"/>
      <c r="AD92" s="98"/>
    </row>
    <row r="93" spans="1:30" ht="12.75" customHeight="1">
      <c r="A93" s="125" t="s">
        <v>480</v>
      </c>
      <c r="B93" s="125" t="s">
        <v>1202</v>
      </c>
      <c r="C93" s="382" t="s">
        <v>1201</v>
      </c>
      <c r="D93" s="383"/>
      <c r="E93" s="384"/>
      <c r="F93" s="126"/>
      <c r="G93" s="126"/>
      <c r="H93" s="385">
        <v>220.43799999999999</v>
      </c>
      <c r="I93" s="126">
        <v>20</v>
      </c>
      <c r="J93" s="385">
        <v>219.2</v>
      </c>
      <c r="K93" s="133">
        <v>4408.76</v>
      </c>
      <c r="L93" s="155">
        <v>41208</v>
      </c>
      <c r="M93" s="129">
        <f t="shared" si="14"/>
        <v>224.86600000000001</v>
      </c>
      <c r="N93" s="158">
        <v>226.15</v>
      </c>
      <c r="O93" s="386">
        <v>4497.32</v>
      </c>
      <c r="P93" s="125">
        <v>41221</v>
      </c>
      <c r="Q93" s="437">
        <v>41219</v>
      </c>
      <c r="R93" s="438">
        <v>11</v>
      </c>
      <c r="S93" s="439"/>
      <c r="T93" s="440">
        <f>IF(O93="","",O93-K93)</f>
        <v>88.559999999999491</v>
      </c>
      <c r="U93" s="441" t="str">
        <f t="shared" si="16"/>
        <v>20 ADANIENT</v>
      </c>
      <c r="V93" s="132">
        <f t="shared" si="17"/>
        <v>77.559999999999491</v>
      </c>
      <c r="W93" s="389">
        <f>IF(M93=0,"",V93/K93)</f>
        <v>1.759224816048038E-2</v>
      </c>
      <c r="X93" s="442">
        <f t="shared" si="19"/>
        <v>0</v>
      </c>
      <c r="Y93" s="391">
        <f t="shared" si="20"/>
        <v>0</v>
      </c>
      <c r="Z93" s="392">
        <f t="shared" si="21"/>
        <v>13</v>
      </c>
      <c r="AA93" s="389">
        <f t="shared" si="22"/>
        <v>0.63173157500376798</v>
      </c>
      <c r="AB93" s="125" t="s">
        <v>460</v>
      </c>
      <c r="AC93" s="98"/>
      <c r="AD93" s="98"/>
    </row>
    <row r="94" spans="1:30" ht="12.75" customHeight="1">
      <c r="A94" s="125" t="s">
        <v>480</v>
      </c>
      <c r="B94" s="125"/>
      <c r="C94" s="382"/>
      <c r="D94" s="383"/>
      <c r="E94" s="384" t="str">
        <f t="shared" ref="E94:E99" si="25">IFERROR(IF(D94="","",(D94-J94)/J94),"")</f>
        <v/>
      </c>
      <c r="F94" s="126"/>
      <c r="G94" s="126"/>
      <c r="H94" s="385">
        <f t="shared" ref="H94:H111" si="26">ROUND(K94/I94,4)</f>
        <v>3054</v>
      </c>
      <c r="I94" s="126">
        <v>1</v>
      </c>
      <c r="J94" s="385">
        <v>3050</v>
      </c>
      <c r="K94" s="133">
        <v>3054</v>
      </c>
      <c r="L94" s="155">
        <v>44796</v>
      </c>
      <c r="M94" s="129">
        <f t="shared" si="14"/>
        <v>4056</v>
      </c>
      <c r="N94" s="158">
        <v>4060</v>
      </c>
      <c r="O94" s="386">
        <v>4056</v>
      </c>
      <c r="P94" s="125">
        <v>44881</v>
      </c>
      <c r="Q94" s="437">
        <v>44879</v>
      </c>
      <c r="R94" s="438">
        <v>15.93</v>
      </c>
      <c r="S94" s="439"/>
      <c r="T94" s="440">
        <f>IF(OR(O94="",K94=""),"",O94-K94)</f>
        <v>1002</v>
      </c>
      <c r="U94" s="441" t="str">
        <f t="shared" si="16"/>
        <v>1 ADANIENT</v>
      </c>
      <c r="V94" s="132">
        <f t="shared" si="17"/>
        <v>986.07</v>
      </c>
      <c r="W94" s="389">
        <f>IF(OR(K94="",V94=""),"",V94/K94)</f>
        <v>0.32287819253438116</v>
      </c>
      <c r="X94" s="442">
        <f t="shared" si="19"/>
        <v>0</v>
      </c>
      <c r="Y94" s="391">
        <f t="shared" si="20"/>
        <v>2</v>
      </c>
      <c r="Z94" s="392">
        <f t="shared" si="21"/>
        <v>24</v>
      </c>
      <c r="AA94" s="389">
        <f t="shared" si="22"/>
        <v>2.3252213738575156</v>
      </c>
      <c r="AB94" s="125" t="s">
        <v>485</v>
      </c>
      <c r="AC94" s="98"/>
      <c r="AD94" s="98"/>
    </row>
    <row r="95" spans="1:30" ht="12.75" customHeight="1">
      <c r="A95" s="125" t="s">
        <v>546</v>
      </c>
      <c r="B95" s="125" t="s">
        <v>1203</v>
      </c>
      <c r="C95" s="382" t="s">
        <v>1201</v>
      </c>
      <c r="D95" s="383"/>
      <c r="E95" s="384" t="str">
        <f t="shared" si="25"/>
        <v/>
      </c>
      <c r="F95" s="126" t="s">
        <v>1145</v>
      </c>
      <c r="G95" s="126"/>
      <c r="H95" s="385">
        <f t="shared" si="26"/>
        <v>655.75</v>
      </c>
      <c r="I95" s="126">
        <v>8</v>
      </c>
      <c r="J95" s="385">
        <v>655</v>
      </c>
      <c r="K95" s="133">
        <v>5246</v>
      </c>
      <c r="L95" s="155">
        <v>44364</v>
      </c>
      <c r="M95" s="129">
        <f t="shared" si="14"/>
        <v>713.25</v>
      </c>
      <c r="N95" s="158">
        <v>714</v>
      </c>
      <c r="O95" s="386">
        <v>5706</v>
      </c>
      <c r="P95" s="125">
        <v>44370</v>
      </c>
      <c r="Q95" s="437">
        <v>44368</v>
      </c>
      <c r="R95" s="438">
        <v>15.93</v>
      </c>
      <c r="S95" s="439"/>
      <c r="T95" s="440">
        <f t="shared" ref="T95:T96" si="27">IF(O95="","",O95-K95)</f>
        <v>460</v>
      </c>
      <c r="U95" s="441" t="str">
        <f t="shared" si="16"/>
        <v>8 ADANIPORTS</v>
      </c>
      <c r="V95" s="132">
        <f t="shared" si="17"/>
        <v>444.07</v>
      </c>
      <c r="W95" s="389">
        <f t="shared" ref="W95:W96" si="28">IF(M95=0,"",V95/K95)</f>
        <v>8.4649256576439194E-2</v>
      </c>
      <c r="X95" s="442">
        <f t="shared" si="19"/>
        <v>0</v>
      </c>
      <c r="Y95" s="391">
        <f t="shared" si="20"/>
        <v>0</v>
      </c>
      <c r="Z95" s="392">
        <f t="shared" si="21"/>
        <v>6</v>
      </c>
      <c r="AA95" s="389">
        <f t="shared" si="22"/>
        <v>139.20617598912108</v>
      </c>
      <c r="AB95" s="125" t="s">
        <v>485</v>
      </c>
      <c r="AC95" s="98"/>
      <c r="AD95" s="98"/>
    </row>
    <row r="96" spans="1:30" ht="12.75" customHeight="1">
      <c r="A96" s="125" t="s">
        <v>546</v>
      </c>
      <c r="B96" s="125" t="s">
        <v>1203</v>
      </c>
      <c r="C96" s="382" t="s">
        <v>1204</v>
      </c>
      <c r="D96" s="383"/>
      <c r="E96" s="384" t="str">
        <f t="shared" si="25"/>
        <v/>
      </c>
      <c r="F96" s="126" t="s">
        <v>1205</v>
      </c>
      <c r="G96" s="126" t="s">
        <v>1163</v>
      </c>
      <c r="H96" s="385">
        <f t="shared" si="26"/>
        <v>760.9</v>
      </c>
      <c r="I96" s="126">
        <v>10</v>
      </c>
      <c r="J96" s="385">
        <v>760</v>
      </c>
      <c r="K96" s="133">
        <v>7609</v>
      </c>
      <c r="L96" s="155">
        <v>44649</v>
      </c>
      <c r="M96" s="129">
        <f t="shared" si="14"/>
        <v>777.2</v>
      </c>
      <c r="N96" s="158">
        <v>778</v>
      </c>
      <c r="O96" s="386">
        <v>7772</v>
      </c>
      <c r="P96" s="125">
        <v>44655</v>
      </c>
      <c r="Q96" s="437">
        <v>44651</v>
      </c>
      <c r="R96" s="438">
        <v>15.93</v>
      </c>
      <c r="S96" s="439"/>
      <c r="T96" s="440">
        <f t="shared" si="27"/>
        <v>163</v>
      </c>
      <c r="U96" s="441" t="str">
        <f t="shared" si="16"/>
        <v>10 ADANIPORTS</v>
      </c>
      <c r="V96" s="132">
        <f t="shared" si="17"/>
        <v>147.07</v>
      </c>
      <c r="W96" s="389">
        <f t="shared" si="28"/>
        <v>1.9328426862925484E-2</v>
      </c>
      <c r="X96" s="442">
        <f t="shared" si="19"/>
        <v>0</v>
      </c>
      <c r="Y96" s="391">
        <f t="shared" si="20"/>
        <v>0</v>
      </c>
      <c r="Z96" s="392">
        <f t="shared" si="21"/>
        <v>6</v>
      </c>
      <c r="AA96" s="389">
        <f t="shared" si="22"/>
        <v>2.2046204621351939</v>
      </c>
      <c r="AB96" s="125" t="s">
        <v>485</v>
      </c>
      <c r="AC96" s="98"/>
      <c r="AD96" s="98"/>
    </row>
    <row r="97" spans="1:30" ht="12.75" customHeight="1">
      <c r="A97" s="125" t="s">
        <v>635</v>
      </c>
      <c r="B97" s="125"/>
      <c r="C97" s="382"/>
      <c r="D97" s="383"/>
      <c r="E97" s="384" t="str">
        <f t="shared" si="25"/>
        <v/>
      </c>
      <c r="F97" s="126"/>
      <c r="G97" s="126"/>
      <c r="H97" s="385">
        <f t="shared" si="26"/>
        <v>182.7</v>
      </c>
      <c r="I97" s="126">
        <v>10</v>
      </c>
      <c r="J97" s="385">
        <v>182.45</v>
      </c>
      <c r="K97" s="133">
        <v>1827</v>
      </c>
      <c r="L97" s="155">
        <v>44963</v>
      </c>
      <c r="M97" s="129">
        <f t="shared" si="14"/>
        <v>204.3</v>
      </c>
      <c r="N97" s="158">
        <v>204.5</v>
      </c>
      <c r="O97" s="386">
        <v>2043</v>
      </c>
      <c r="P97" s="125">
        <v>45042</v>
      </c>
      <c r="Q97" s="437">
        <v>45041</v>
      </c>
      <c r="R97" s="438">
        <v>15.93</v>
      </c>
      <c r="S97" s="439"/>
      <c r="T97" s="440">
        <f>IF(OR(O97="",K97=""),"",O97-K97)</f>
        <v>216</v>
      </c>
      <c r="U97" s="441" t="str">
        <f t="shared" si="16"/>
        <v>10 ADANIPOWER</v>
      </c>
      <c r="V97" s="132">
        <f t="shared" si="17"/>
        <v>200.07</v>
      </c>
      <c r="W97" s="389">
        <f>IF(OR(K97="",V97=""),"",V97/K97)</f>
        <v>0.10950738916256157</v>
      </c>
      <c r="X97" s="442">
        <f t="shared" si="19"/>
        <v>0</v>
      </c>
      <c r="Y97" s="391">
        <f t="shared" si="20"/>
        <v>2</v>
      </c>
      <c r="Z97" s="392">
        <f t="shared" si="21"/>
        <v>20</v>
      </c>
      <c r="AA97" s="389">
        <f t="shared" si="22"/>
        <v>0.61626639902393276</v>
      </c>
      <c r="AB97" s="125" t="s">
        <v>485</v>
      </c>
      <c r="AC97" s="98"/>
      <c r="AD97" s="98"/>
    </row>
    <row r="98" spans="1:30" ht="12.75" customHeight="1">
      <c r="A98" s="125" t="s">
        <v>536</v>
      </c>
      <c r="B98" s="125" t="s">
        <v>1206</v>
      </c>
      <c r="C98" s="382" t="s">
        <v>1201</v>
      </c>
      <c r="D98" s="383" t="s">
        <v>1207</v>
      </c>
      <c r="E98" s="384">
        <f t="shared" si="25"/>
        <v>9.1703056768558958E-2</v>
      </c>
      <c r="F98" s="126" t="s">
        <v>1154</v>
      </c>
      <c r="G98" s="126" t="s">
        <v>1208</v>
      </c>
      <c r="H98" s="385">
        <f t="shared" si="26"/>
        <v>229.27</v>
      </c>
      <c r="I98" s="126">
        <v>100</v>
      </c>
      <c r="J98" s="385">
        <v>229</v>
      </c>
      <c r="K98" s="133">
        <v>22927</v>
      </c>
      <c r="L98" s="155">
        <v>44351</v>
      </c>
      <c r="M98" s="129">
        <f t="shared" si="14"/>
        <v>237.75</v>
      </c>
      <c r="N98" s="158">
        <v>238</v>
      </c>
      <c r="O98" s="386">
        <v>23775</v>
      </c>
      <c r="P98" s="125">
        <v>44356</v>
      </c>
      <c r="Q98" s="437">
        <v>44354</v>
      </c>
      <c r="R98" s="438">
        <v>15.93</v>
      </c>
      <c r="S98" s="439"/>
      <c r="T98" s="440">
        <f t="shared" ref="T98:T121" si="29">IF(O98="","",O98-K98)</f>
        <v>848</v>
      </c>
      <c r="U98" s="441" t="str">
        <f t="shared" si="16"/>
        <v>100 APTECHT</v>
      </c>
      <c r="V98" s="132">
        <f t="shared" si="17"/>
        <v>832.07</v>
      </c>
      <c r="W98" s="389">
        <f t="shared" ref="W98:W121" si="30">IF(M98=0,"",V98/K98)</f>
        <v>3.6292144632965505E-2</v>
      </c>
      <c r="X98" s="442">
        <f t="shared" si="19"/>
        <v>0</v>
      </c>
      <c r="Y98" s="391">
        <f t="shared" si="20"/>
        <v>0</v>
      </c>
      <c r="Z98" s="392">
        <f t="shared" si="21"/>
        <v>5</v>
      </c>
      <c r="AA98" s="389">
        <f t="shared" si="22"/>
        <v>12.495874944468017</v>
      </c>
      <c r="AB98" s="125" t="s">
        <v>485</v>
      </c>
      <c r="AC98" s="98"/>
      <c r="AD98" s="98"/>
    </row>
    <row r="99" spans="1:30" ht="12.75" customHeight="1">
      <c r="A99" s="125" t="s">
        <v>586</v>
      </c>
      <c r="B99" s="125" t="s">
        <v>1209</v>
      </c>
      <c r="C99" s="382" t="s">
        <v>1210</v>
      </c>
      <c r="D99" s="383">
        <v>140</v>
      </c>
      <c r="E99" s="384">
        <f t="shared" si="25"/>
        <v>0.15942028985507245</v>
      </c>
      <c r="F99" s="126" t="s">
        <v>1162</v>
      </c>
      <c r="G99" s="126" t="s">
        <v>1211</v>
      </c>
      <c r="H99" s="385">
        <f t="shared" si="26"/>
        <v>120.9</v>
      </c>
      <c r="I99" s="126">
        <v>50</v>
      </c>
      <c r="J99" s="385">
        <v>120.75</v>
      </c>
      <c r="K99" s="133">
        <v>6045</v>
      </c>
      <c r="L99" s="155">
        <v>44482</v>
      </c>
      <c r="M99" s="129">
        <f t="shared" si="14"/>
        <v>134.36000000000001</v>
      </c>
      <c r="N99" s="158">
        <v>134.5</v>
      </c>
      <c r="O99" s="386">
        <v>6718</v>
      </c>
      <c r="P99" s="125">
        <v>44490</v>
      </c>
      <c r="Q99" s="437">
        <v>44488</v>
      </c>
      <c r="R99" s="438">
        <v>15.93</v>
      </c>
      <c r="S99" s="439"/>
      <c r="T99" s="440">
        <f t="shared" si="29"/>
        <v>673</v>
      </c>
      <c r="U99" s="441" t="str">
        <f t="shared" si="16"/>
        <v>50 ARVIND</v>
      </c>
      <c r="V99" s="132">
        <f t="shared" si="17"/>
        <v>657.07</v>
      </c>
      <c r="W99" s="389">
        <f t="shared" si="30"/>
        <v>0.10869644334160464</v>
      </c>
      <c r="X99" s="442">
        <f t="shared" si="19"/>
        <v>0</v>
      </c>
      <c r="Y99" s="391">
        <f t="shared" si="20"/>
        <v>0</v>
      </c>
      <c r="Z99" s="392">
        <f t="shared" si="21"/>
        <v>8</v>
      </c>
      <c r="AA99" s="389">
        <f t="shared" si="22"/>
        <v>109.80959148576727</v>
      </c>
      <c r="AB99" s="125" t="s">
        <v>485</v>
      </c>
      <c r="AC99" s="98"/>
      <c r="AD99" s="98"/>
    </row>
    <row r="100" spans="1:30" ht="12.75" customHeight="1">
      <c r="A100" s="125" t="s">
        <v>586</v>
      </c>
      <c r="B100" s="125" t="s">
        <v>1209</v>
      </c>
      <c r="C100" s="382" t="s">
        <v>1210</v>
      </c>
      <c r="D100" s="383">
        <v>147</v>
      </c>
      <c r="E100" s="384">
        <v>0.15942028985507245</v>
      </c>
      <c r="F100" s="126" t="s">
        <v>1154</v>
      </c>
      <c r="G100" s="126" t="s">
        <v>1155</v>
      </c>
      <c r="H100" s="385">
        <f t="shared" si="26"/>
        <v>134.16</v>
      </c>
      <c r="I100" s="126">
        <v>50</v>
      </c>
      <c r="J100" s="385">
        <v>134</v>
      </c>
      <c r="K100" s="133">
        <v>6708</v>
      </c>
      <c r="L100" s="155">
        <v>44491</v>
      </c>
      <c r="M100" s="129">
        <f t="shared" si="14"/>
        <v>144.84</v>
      </c>
      <c r="N100" s="158">
        <v>145</v>
      </c>
      <c r="O100" s="386">
        <v>7242</v>
      </c>
      <c r="P100" s="125">
        <v>44503</v>
      </c>
      <c r="Q100" s="437">
        <v>44501</v>
      </c>
      <c r="R100" s="438">
        <v>15.93</v>
      </c>
      <c r="S100" s="439"/>
      <c r="T100" s="440">
        <f t="shared" si="29"/>
        <v>534</v>
      </c>
      <c r="U100" s="441" t="str">
        <f t="shared" si="16"/>
        <v>50 ARVIND</v>
      </c>
      <c r="V100" s="132">
        <f t="shared" si="17"/>
        <v>518.07000000000005</v>
      </c>
      <c r="W100" s="389">
        <f t="shared" si="30"/>
        <v>7.7231663685152066E-2</v>
      </c>
      <c r="X100" s="442">
        <f t="shared" si="19"/>
        <v>0</v>
      </c>
      <c r="Y100" s="391">
        <f t="shared" si="20"/>
        <v>0</v>
      </c>
      <c r="Z100" s="392">
        <f t="shared" si="21"/>
        <v>12</v>
      </c>
      <c r="AA100" s="389">
        <f t="shared" si="22"/>
        <v>8.6102667203738221</v>
      </c>
      <c r="AB100" s="125" t="s">
        <v>485</v>
      </c>
      <c r="AC100" s="98"/>
      <c r="AD100" s="98"/>
    </row>
    <row r="101" spans="1:30" ht="12.75" customHeight="1">
      <c r="A101" s="125" t="s">
        <v>608</v>
      </c>
      <c r="B101" s="125"/>
      <c r="C101" s="382"/>
      <c r="D101" s="383"/>
      <c r="E101" s="384" t="str">
        <f t="shared" ref="E101:E109" si="31">IFERROR(IF(D101="","",(D101-J101)/J101),"")</f>
        <v/>
      </c>
      <c r="F101" s="126"/>
      <c r="G101" s="126"/>
      <c r="H101" s="385">
        <f t="shared" si="26"/>
        <v>1357</v>
      </c>
      <c r="I101" s="126">
        <v>1</v>
      </c>
      <c r="J101" s="385">
        <v>1355</v>
      </c>
      <c r="K101" s="133">
        <v>1357</v>
      </c>
      <c r="L101" s="155">
        <v>44596</v>
      </c>
      <c r="M101" s="129">
        <f t="shared" si="14"/>
        <v>1401</v>
      </c>
      <c r="N101" s="158">
        <v>1402</v>
      </c>
      <c r="O101" s="386">
        <v>1401</v>
      </c>
      <c r="P101" s="125">
        <v>44669</v>
      </c>
      <c r="Q101" s="437">
        <v>44663</v>
      </c>
      <c r="R101" s="438">
        <v>15.93</v>
      </c>
      <c r="S101" s="439"/>
      <c r="T101" s="440">
        <f t="shared" si="29"/>
        <v>44</v>
      </c>
      <c r="U101" s="441" t="str">
        <f t="shared" si="16"/>
        <v>1 AUBANK</v>
      </c>
      <c r="V101" s="132">
        <f t="shared" si="17"/>
        <v>28.07</v>
      </c>
      <c r="W101" s="389">
        <f t="shared" si="30"/>
        <v>2.068533529845247E-2</v>
      </c>
      <c r="X101" s="442">
        <f t="shared" si="19"/>
        <v>0</v>
      </c>
      <c r="Y101" s="391">
        <f t="shared" si="20"/>
        <v>2</v>
      </c>
      <c r="Z101" s="392">
        <f t="shared" si="21"/>
        <v>14</v>
      </c>
      <c r="AA101" s="389">
        <f t="shared" si="22"/>
        <v>0.10779493571640764</v>
      </c>
      <c r="AB101" s="125" t="s">
        <v>485</v>
      </c>
      <c r="AC101" s="98"/>
      <c r="AD101" s="98"/>
    </row>
    <row r="102" spans="1:30" ht="12.75" customHeight="1">
      <c r="A102" s="125" t="s">
        <v>608</v>
      </c>
      <c r="B102" s="125"/>
      <c r="C102" s="382"/>
      <c r="D102" s="383"/>
      <c r="E102" s="384" t="str">
        <f t="shared" si="31"/>
        <v/>
      </c>
      <c r="F102" s="126"/>
      <c r="G102" s="126"/>
      <c r="H102" s="385">
        <f t="shared" si="26"/>
        <v>1337</v>
      </c>
      <c r="I102" s="126">
        <v>1</v>
      </c>
      <c r="J102" s="385">
        <v>1335</v>
      </c>
      <c r="K102" s="133">
        <v>1337</v>
      </c>
      <c r="L102" s="155">
        <v>44599</v>
      </c>
      <c r="M102" s="129">
        <f t="shared" si="14"/>
        <v>1400</v>
      </c>
      <c r="N102" s="158">
        <v>1402</v>
      </c>
      <c r="O102" s="386">
        <v>1400</v>
      </c>
      <c r="P102" s="125">
        <v>44669</v>
      </c>
      <c r="Q102" s="437">
        <v>44663</v>
      </c>
      <c r="R102" s="438">
        <v>0</v>
      </c>
      <c r="S102" s="439"/>
      <c r="T102" s="440">
        <f t="shared" si="29"/>
        <v>63</v>
      </c>
      <c r="U102" s="441" t="str">
        <f t="shared" si="16"/>
        <v>1 AUBANK</v>
      </c>
      <c r="V102" s="132">
        <f t="shared" si="17"/>
        <v>63</v>
      </c>
      <c r="W102" s="389">
        <f t="shared" si="30"/>
        <v>4.712041884816754E-2</v>
      </c>
      <c r="X102" s="442">
        <f t="shared" si="19"/>
        <v>0</v>
      </c>
      <c r="Y102" s="391">
        <f t="shared" si="20"/>
        <v>2</v>
      </c>
      <c r="Z102" s="392">
        <f t="shared" si="21"/>
        <v>11</v>
      </c>
      <c r="AA102" s="389">
        <f t="shared" si="22"/>
        <v>0.27135880125205181</v>
      </c>
      <c r="AB102" s="125" t="s">
        <v>485</v>
      </c>
      <c r="AC102" s="98"/>
      <c r="AD102" s="98"/>
    </row>
    <row r="103" spans="1:30" ht="12.75" customHeight="1">
      <c r="A103" s="125" t="s">
        <v>607</v>
      </c>
      <c r="B103" s="125"/>
      <c r="C103" s="382"/>
      <c r="D103" s="383"/>
      <c r="E103" s="384" t="str">
        <f t="shared" si="31"/>
        <v/>
      </c>
      <c r="F103" s="126"/>
      <c r="G103" s="126"/>
      <c r="H103" s="385">
        <f t="shared" si="26"/>
        <v>609.70000000000005</v>
      </c>
      <c r="I103" s="126">
        <v>20</v>
      </c>
      <c r="J103" s="385">
        <v>609</v>
      </c>
      <c r="K103" s="133">
        <v>12194</v>
      </c>
      <c r="L103" s="155">
        <v>44586</v>
      </c>
      <c r="M103" s="129">
        <f t="shared" si="14"/>
        <v>633.35</v>
      </c>
      <c r="N103" s="158">
        <v>634</v>
      </c>
      <c r="O103" s="386">
        <v>12667</v>
      </c>
      <c r="P103" s="125">
        <v>44616</v>
      </c>
      <c r="Q103" s="437">
        <v>44614</v>
      </c>
      <c r="R103" s="438">
        <v>15.93</v>
      </c>
      <c r="S103" s="439"/>
      <c r="T103" s="440">
        <f t="shared" si="29"/>
        <v>473</v>
      </c>
      <c r="U103" s="441" t="str">
        <f t="shared" si="16"/>
        <v>20 AUROPHARMA</v>
      </c>
      <c r="V103" s="132">
        <f t="shared" si="17"/>
        <v>457.07</v>
      </c>
      <c r="W103" s="389">
        <f t="shared" si="30"/>
        <v>3.7483188453337708E-2</v>
      </c>
      <c r="X103" s="442">
        <f t="shared" si="19"/>
        <v>0</v>
      </c>
      <c r="Y103" s="391">
        <f t="shared" si="20"/>
        <v>0</v>
      </c>
      <c r="Z103" s="392">
        <f t="shared" si="21"/>
        <v>30</v>
      </c>
      <c r="AA103" s="389">
        <f t="shared" si="22"/>
        <v>0.5647188990015255</v>
      </c>
      <c r="AB103" s="125" t="s">
        <v>485</v>
      </c>
      <c r="AC103" s="98"/>
      <c r="AD103" s="98"/>
    </row>
    <row r="104" spans="1:30" ht="12.75" customHeight="1">
      <c r="A104" s="125" t="s">
        <v>607</v>
      </c>
      <c r="B104" s="125"/>
      <c r="C104" s="382"/>
      <c r="D104" s="383"/>
      <c r="E104" s="384" t="str">
        <f t="shared" si="31"/>
        <v/>
      </c>
      <c r="F104" s="126"/>
      <c r="G104" s="126"/>
      <c r="H104" s="385">
        <f t="shared" si="26"/>
        <v>626.25</v>
      </c>
      <c r="I104" s="126">
        <v>20</v>
      </c>
      <c r="J104" s="385">
        <v>625.5</v>
      </c>
      <c r="K104" s="133">
        <v>12525</v>
      </c>
      <c r="L104" s="155">
        <v>44616</v>
      </c>
      <c r="M104" s="129">
        <f t="shared" si="14"/>
        <v>711.25</v>
      </c>
      <c r="N104" s="158">
        <v>712</v>
      </c>
      <c r="O104" s="386">
        <v>14225</v>
      </c>
      <c r="P104" s="125">
        <v>44648</v>
      </c>
      <c r="Q104" s="437">
        <v>44644</v>
      </c>
      <c r="R104" s="438">
        <v>15.93</v>
      </c>
      <c r="S104" s="439"/>
      <c r="T104" s="440">
        <f t="shared" si="29"/>
        <v>1700</v>
      </c>
      <c r="U104" s="441" t="str">
        <f t="shared" si="16"/>
        <v>20 AUROPHARMA</v>
      </c>
      <c r="V104" s="132">
        <f t="shared" si="17"/>
        <v>1684.07</v>
      </c>
      <c r="W104" s="389">
        <f t="shared" si="30"/>
        <v>0.13445668662674651</v>
      </c>
      <c r="X104" s="442">
        <f t="shared" si="19"/>
        <v>0</v>
      </c>
      <c r="Y104" s="391">
        <f t="shared" si="20"/>
        <v>1</v>
      </c>
      <c r="Z104" s="392">
        <f t="shared" si="21"/>
        <v>4</v>
      </c>
      <c r="AA104" s="389">
        <f t="shared" si="22"/>
        <v>3.2162339782934071</v>
      </c>
      <c r="AB104" s="125" t="s">
        <v>485</v>
      </c>
      <c r="AC104" s="98"/>
      <c r="AD104" s="98"/>
    </row>
    <row r="105" spans="1:30" ht="12.75" customHeight="1">
      <c r="A105" s="125" t="s">
        <v>593</v>
      </c>
      <c r="B105" s="125" t="s">
        <v>1212</v>
      </c>
      <c r="C105" s="382" t="s">
        <v>1144</v>
      </c>
      <c r="D105" s="383">
        <v>680</v>
      </c>
      <c r="E105" s="384">
        <f t="shared" si="31"/>
        <v>0.49450549450549453</v>
      </c>
      <c r="F105" s="126" t="s">
        <v>1213</v>
      </c>
      <c r="G105" s="126"/>
      <c r="H105" s="385">
        <f t="shared" si="26"/>
        <v>455.5</v>
      </c>
      <c r="I105" s="126">
        <v>10</v>
      </c>
      <c r="J105" s="385">
        <v>455</v>
      </c>
      <c r="K105" s="133">
        <v>4555</v>
      </c>
      <c r="L105" s="155">
        <v>44515</v>
      </c>
      <c r="M105" s="129">
        <f t="shared" si="14"/>
        <v>469.5</v>
      </c>
      <c r="N105" s="158">
        <v>470</v>
      </c>
      <c r="O105" s="386">
        <v>4695</v>
      </c>
      <c r="P105" s="125">
        <v>44560</v>
      </c>
      <c r="Q105" s="437">
        <v>44558</v>
      </c>
      <c r="R105" s="438">
        <v>15.93</v>
      </c>
      <c r="S105" s="439"/>
      <c r="T105" s="440">
        <f t="shared" si="29"/>
        <v>140</v>
      </c>
      <c r="U105" s="441" t="str">
        <f t="shared" si="16"/>
        <v>10 AVADHSUGAR</v>
      </c>
      <c r="V105" s="132">
        <f t="shared" si="17"/>
        <v>124.07</v>
      </c>
      <c r="W105" s="389">
        <f t="shared" si="30"/>
        <v>2.723819978046103E-2</v>
      </c>
      <c r="X105" s="442">
        <f t="shared" si="19"/>
        <v>0</v>
      </c>
      <c r="Y105" s="391">
        <f t="shared" si="20"/>
        <v>1</v>
      </c>
      <c r="Z105" s="392">
        <f t="shared" si="21"/>
        <v>15</v>
      </c>
      <c r="AA105" s="389">
        <f t="shared" si="22"/>
        <v>0.24355811049214515</v>
      </c>
      <c r="AB105" s="125" t="s">
        <v>485</v>
      </c>
      <c r="AC105" s="98"/>
      <c r="AD105" s="98"/>
    </row>
    <row r="106" spans="1:30" ht="12.75" customHeight="1">
      <c r="A106" s="125" t="s">
        <v>562</v>
      </c>
      <c r="B106" s="125" t="s">
        <v>1214</v>
      </c>
      <c r="C106" s="382" t="s">
        <v>1144</v>
      </c>
      <c r="D106" s="383"/>
      <c r="E106" s="384" t="str">
        <f t="shared" si="31"/>
        <v/>
      </c>
      <c r="F106" s="126" t="s">
        <v>1145</v>
      </c>
      <c r="G106" s="126"/>
      <c r="H106" s="385">
        <f t="shared" si="26"/>
        <v>24.33</v>
      </c>
      <c r="I106" s="126">
        <v>100</v>
      </c>
      <c r="J106" s="385">
        <v>24.3</v>
      </c>
      <c r="K106" s="133">
        <v>2433</v>
      </c>
      <c r="L106" s="155">
        <v>44389</v>
      </c>
      <c r="M106" s="129">
        <f t="shared" si="14"/>
        <v>13.24</v>
      </c>
      <c r="N106" s="158">
        <v>13.2</v>
      </c>
      <c r="O106" s="386">
        <v>1324</v>
      </c>
      <c r="P106" s="125">
        <v>44537</v>
      </c>
      <c r="Q106" s="437">
        <v>44533</v>
      </c>
      <c r="R106" s="438">
        <v>15.93</v>
      </c>
      <c r="S106" s="439"/>
      <c r="T106" s="440">
        <f t="shared" si="29"/>
        <v>-1109</v>
      </c>
      <c r="U106" s="441" t="str">
        <f t="shared" si="16"/>
        <v>100 BAJAJHIND</v>
      </c>
      <c r="V106" s="132">
        <f t="shared" si="17"/>
        <v>-1124.93</v>
      </c>
      <c r="W106" s="389">
        <f t="shared" si="30"/>
        <v>-0.46236333744348546</v>
      </c>
      <c r="X106" s="442">
        <f t="shared" si="19"/>
        <v>0</v>
      </c>
      <c r="Y106" s="391">
        <f t="shared" si="20"/>
        <v>4</v>
      </c>
      <c r="Z106" s="392">
        <f t="shared" si="21"/>
        <v>25</v>
      </c>
      <c r="AA106" s="389">
        <f t="shared" si="22"/>
        <v>-0.78356509753270109</v>
      </c>
      <c r="AB106" s="125" t="s">
        <v>485</v>
      </c>
      <c r="AC106" s="98"/>
      <c r="AD106" s="98"/>
    </row>
    <row r="107" spans="1:30" ht="12.75" customHeight="1">
      <c r="A107" s="125" t="s">
        <v>562</v>
      </c>
      <c r="B107" s="125" t="s">
        <v>1214</v>
      </c>
      <c r="C107" s="382" t="s">
        <v>1144</v>
      </c>
      <c r="D107" s="383"/>
      <c r="E107" s="384" t="str">
        <f t="shared" si="31"/>
        <v/>
      </c>
      <c r="F107" s="126" t="s">
        <v>1145</v>
      </c>
      <c r="G107" s="126"/>
      <c r="H107" s="385">
        <f t="shared" si="26"/>
        <v>13.52</v>
      </c>
      <c r="I107" s="126">
        <v>100</v>
      </c>
      <c r="J107" s="385">
        <v>13.5</v>
      </c>
      <c r="K107" s="133">
        <v>1352</v>
      </c>
      <c r="L107" s="155">
        <v>44554</v>
      </c>
      <c r="M107" s="129">
        <f t="shared" si="14"/>
        <v>14.23</v>
      </c>
      <c r="N107" s="158">
        <v>14.25</v>
      </c>
      <c r="O107" s="386">
        <v>1423</v>
      </c>
      <c r="P107" s="125">
        <v>44559</v>
      </c>
      <c r="Q107" s="437">
        <v>44557</v>
      </c>
      <c r="R107" s="438">
        <v>15.93</v>
      </c>
      <c r="S107" s="439"/>
      <c r="T107" s="440">
        <f t="shared" si="29"/>
        <v>71</v>
      </c>
      <c r="U107" s="441" t="str">
        <f t="shared" si="16"/>
        <v>100 BAJAJHIND</v>
      </c>
      <c r="V107" s="132">
        <f t="shared" si="17"/>
        <v>55.07</v>
      </c>
      <c r="W107" s="389">
        <f t="shared" si="30"/>
        <v>4.0732248520710057E-2</v>
      </c>
      <c r="X107" s="442">
        <f t="shared" si="19"/>
        <v>0</v>
      </c>
      <c r="Y107" s="391">
        <f t="shared" si="20"/>
        <v>0</v>
      </c>
      <c r="Z107" s="392">
        <f t="shared" si="21"/>
        <v>5</v>
      </c>
      <c r="AA107" s="389">
        <f t="shared" si="22"/>
        <v>17.43944624892406</v>
      </c>
      <c r="AB107" s="125" t="s">
        <v>485</v>
      </c>
      <c r="AC107" s="98"/>
      <c r="AD107" s="98"/>
    </row>
    <row r="108" spans="1:30" ht="12.75" customHeight="1">
      <c r="A108" s="125" t="s">
        <v>562</v>
      </c>
      <c r="B108" s="125" t="s">
        <v>1214</v>
      </c>
      <c r="C108" s="382" t="s">
        <v>1144</v>
      </c>
      <c r="D108" s="383"/>
      <c r="E108" s="384" t="str">
        <f t="shared" si="31"/>
        <v/>
      </c>
      <c r="F108" s="126" t="s">
        <v>1145</v>
      </c>
      <c r="G108" s="126"/>
      <c r="H108" s="385">
        <f t="shared" si="26"/>
        <v>24.33</v>
      </c>
      <c r="I108" s="126">
        <v>100</v>
      </c>
      <c r="J108" s="385">
        <v>24.3</v>
      </c>
      <c r="K108" s="133">
        <v>2433</v>
      </c>
      <c r="L108" s="155">
        <v>44389</v>
      </c>
      <c r="M108" s="129">
        <f t="shared" si="14"/>
        <v>14.73</v>
      </c>
      <c r="N108" s="158">
        <v>14.75</v>
      </c>
      <c r="O108" s="386">
        <v>1473</v>
      </c>
      <c r="P108" s="125">
        <v>44560</v>
      </c>
      <c r="Q108" s="437">
        <v>44558</v>
      </c>
      <c r="R108" s="438">
        <v>15.93</v>
      </c>
      <c r="S108" s="439"/>
      <c r="T108" s="440">
        <f t="shared" si="29"/>
        <v>-960</v>
      </c>
      <c r="U108" s="441" t="str">
        <f t="shared" si="16"/>
        <v>100 BAJAJHIND</v>
      </c>
      <c r="V108" s="132">
        <f t="shared" si="17"/>
        <v>-975.93</v>
      </c>
      <c r="W108" s="389">
        <f t="shared" si="30"/>
        <v>-0.40112207151664608</v>
      </c>
      <c r="X108" s="442">
        <f t="shared" si="19"/>
        <v>0</v>
      </c>
      <c r="Y108" s="391">
        <f t="shared" si="20"/>
        <v>5</v>
      </c>
      <c r="Z108" s="392">
        <f t="shared" si="21"/>
        <v>18</v>
      </c>
      <c r="AA108" s="389">
        <f t="shared" si="22"/>
        <v>-0.66524431096109593</v>
      </c>
      <c r="AB108" s="125" t="s">
        <v>485</v>
      </c>
      <c r="AC108" s="98"/>
      <c r="AD108" s="98"/>
    </row>
    <row r="109" spans="1:30" ht="12.75" customHeight="1">
      <c r="A109" s="125" t="s">
        <v>562</v>
      </c>
      <c r="B109" s="125" t="s">
        <v>1214</v>
      </c>
      <c r="C109" s="382" t="s">
        <v>1144</v>
      </c>
      <c r="D109" s="383"/>
      <c r="E109" s="384" t="str">
        <f t="shared" si="31"/>
        <v/>
      </c>
      <c r="F109" s="126" t="s">
        <v>1145</v>
      </c>
      <c r="G109" s="126"/>
      <c r="H109" s="385">
        <f t="shared" si="26"/>
        <v>15.02</v>
      </c>
      <c r="I109" s="126">
        <v>200</v>
      </c>
      <c r="J109" s="385">
        <v>15</v>
      </c>
      <c r="K109" s="133">
        <v>3004</v>
      </c>
      <c r="L109" s="155">
        <v>44554</v>
      </c>
      <c r="M109" s="129">
        <f t="shared" si="14"/>
        <v>15.835000000000001</v>
      </c>
      <c r="N109" s="158">
        <v>15.85</v>
      </c>
      <c r="O109" s="386">
        <v>3167</v>
      </c>
      <c r="P109" s="125">
        <v>44567</v>
      </c>
      <c r="Q109" s="437">
        <v>44565</v>
      </c>
      <c r="R109" s="438">
        <v>15.93</v>
      </c>
      <c r="S109" s="439"/>
      <c r="T109" s="440">
        <f t="shared" si="29"/>
        <v>163</v>
      </c>
      <c r="U109" s="441" t="str">
        <f t="shared" si="16"/>
        <v>200 BAJAJHIND</v>
      </c>
      <c r="V109" s="132">
        <f t="shared" si="17"/>
        <v>147.07</v>
      </c>
      <c r="W109" s="389">
        <f t="shared" si="30"/>
        <v>4.8958055925432752E-2</v>
      </c>
      <c r="X109" s="442">
        <f t="shared" si="19"/>
        <v>0</v>
      </c>
      <c r="Y109" s="391">
        <f t="shared" si="20"/>
        <v>0</v>
      </c>
      <c r="Z109" s="392">
        <f t="shared" si="21"/>
        <v>13</v>
      </c>
      <c r="AA109" s="389">
        <f t="shared" si="22"/>
        <v>2.8266982093448685</v>
      </c>
      <c r="AB109" s="125" t="s">
        <v>485</v>
      </c>
      <c r="AC109" s="98"/>
      <c r="AD109" s="98"/>
    </row>
    <row r="110" spans="1:30" ht="12.75" customHeight="1">
      <c r="A110" s="125" t="s">
        <v>498</v>
      </c>
      <c r="B110" s="125" t="s">
        <v>1215</v>
      </c>
      <c r="C110" s="382" t="s">
        <v>1216</v>
      </c>
      <c r="D110" s="383"/>
      <c r="E110" s="384"/>
      <c r="F110" s="126"/>
      <c r="G110" s="126"/>
      <c r="H110" s="385">
        <f t="shared" si="26"/>
        <v>4565</v>
      </c>
      <c r="I110" s="126">
        <v>2</v>
      </c>
      <c r="J110" s="385">
        <v>4560</v>
      </c>
      <c r="K110" s="133">
        <v>9130</v>
      </c>
      <c r="L110" s="155">
        <v>44299</v>
      </c>
      <c r="M110" s="129">
        <f t="shared" si="14"/>
        <v>4808</v>
      </c>
      <c r="N110" s="158">
        <v>4813</v>
      </c>
      <c r="O110" s="386">
        <v>9616</v>
      </c>
      <c r="P110" s="125">
        <v>44315</v>
      </c>
      <c r="Q110" s="437">
        <v>44313</v>
      </c>
      <c r="R110" s="438">
        <v>15.93</v>
      </c>
      <c r="S110" s="439"/>
      <c r="T110" s="440">
        <f t="shared" si="29"/>
        <v>486</v>
      </c>
      <c r="U110" s="441" t="str">
        <f t="shared" si="16"/>
        <v>2 BAJFINANCE</v>
      </c>
      <c r="V110" s="132">
        <f t="shared" si="17"/>
        <v>470.07</v>
      </c>
      <c r="W110" s="389">
        <f t="shared" si="30"/>
        <v>5.1486308871851037E-2</v>
      </c>
      <c r="X110" s="442">
        <f t="shared" si="19"/>
        <v>0</v>
      </c>
      <c r="Y110" s="391">
        <f t="shared" si="20"/>
        <v>0</v>
      </c>
      <c r="Z110" s="392">
        <f t="shared" si="21"/>
        <v>16</v>
      </c>
      <c r="AA110" s="389">
        <f t="shared" si="22"/>
        <v>2.1433673075314372</v>
      </c>
      <c r="AB110" s="125" t="s">
        <v>485</v>
      </c>
      <c r="AC110" s="98"/>
      <c r="AD110" s="98"/>
    </row>
    <row r="111" spans="1:30" ht="12.75" customHeight="1">
      <c r="A111" s="125" t="s">
        <v>498</v>
      </c>
      <c r="B111" s="125" t="s">
        <v>1215</v>
      </c>
      <c r="C111" s="382" t="s">
        <v>1216</v>
      </c>
      <c r="D111" s="383"/>
      <c r="E111" s="384"/>
      <c r="F111" s="126"/>
      <c r="G111" s="126"/>
      <c r="H111" s="385">
        <f t="shared" si="26"/>
        <v>5406.5</v>
      </c>
      <c r="I111" s="126">
        <v>2</v>
      </c>
      <c r="J111" s="385">
        <v>5400</v>
      </c>
      <c r="K111" s="133">
        <v>10813</v>
      </c>
      <c r="L111" s="155">
        <v>44327</v>
      </c>
      <c r="M111" s="129">
        <f t="shared" si="14"/>
        <v>5644</v>
      </c>
      <c r="N111" s="158">
        <v>5650</v>
      </c>
      <c r="O111" s="386">
        <v>11288</v>
      </c>
      <c r="P111" s="125">
        <v>44336</v>
      </c>
      <c r="Q111" s="437">
        <v>44334</v>
      </c>
      <c r="R111" s="438">
        <v>15.93</v>
      </c>
      <c r="S111" s="439"/>
      <c r="T111" s="440">
        <f t="shared" si="29"/>
        <v>475</v>
      </c>
      <c r="U111" s="441" t="str">
        <f t="shared" si="16"/>
        <v>2 BAJFINANCE</v>
      </c>
      <c r="V111" s="132">
        <f t="shared" si="17"/>
        <v>459.07</v>
      </c>
      <c r="W111" s="389">
        <f t="shared" si="30"/>
        <v>4.2455377785998331E-2</v>
      </c>
      <c r="X111" s="442">
        <f t="shared" si="19"/>
        <v>0</v>
      </c>
      <c r="Y111" s="391">
        <f t="shared" si="20"/>
        <v>0</v>
      </c>
      <c r="Z111" s="392">
        <f t="shared" si="21"/>
        <v>9</v>
      </c>
      <c r="AA111" s="389">
        <f t="shared" si="22"/>
        <v>4.3992183887893272</v>
      </c>
      <c r="AB111" s="125" t="s">
        <v>485</v>
      </c>
      <c r="AC111" s="98"/>
      <c r="AD111" s="98"/>
    </row>
    <row r="112" spans="1:30" ht="12.75" customHeight="1">
      <c r="A112" s="125" t="s">
        <v>498</v>
      </c>
      <c r="B112" s="125" t="s">
        <v>1215</v>
      </c>
      <c r="C112" s="382" t="s">
        <v>1216</v>
      </c>
      <c r="D112" s="383"/>
      <c r="E112" s="384" t="str">
        <f t="shared" ref="E112:E124" si="32">IFERROR(IF(D112="","",(D112-J112)/J112),"")</f>
        <v/>
      </c>
      <c r="F112" s="126" t="s">
        <v>1145</v>
      </c>
      <c r="G112" s="126"/>
      <c r="H112" s="385">
        <v>5406.5</v>
      </c>
      <c r="I112" s="126">
        <v>2</v>
      </c>
      <c r="J112" s="385">
        <v>5980</v>
      </c>
      <c r="K112" s="133">
        <v>11974</v>
      </c>
      <c r="L112" s="155">
        <v>44379</v>
      </c>
      <c r="M112" s="129">
        <f t="shared" si="14"/>
        <v>6108.5</v>
      </c>
      <c r="N112" s="158">
        <v>6115</v>
      </c>
      <c r="O112" s="386">
        <v>12217</v>
      </c>
      <c r="P112" s="125">
        <v>44385</v>
      </c>
      <c r="Q112" s="437">
        <v>44383</v>
      </c>
      <c r="R112" s="438">
        <v>15.93</v>
      </c>
      <c r="S112" s="439"/>
      <c r="T112" s="440">
        <f t="shared" si="29"/>
        <v>243</v>
      </c>
      <c r="U112" s="441" t="str">
        <f t="shared" si="16"/>
        <v>2 BAJFINANCE</v>
      </c>
      <c r="V112" s="132">
        <f t="shared" si="17"/>
        <v>227.07</v>
      </c>
      <c r="W112" s="389">
        <f t="shared" si="30"/>
        <v>1.8963587773509271E-2</v>
      </c>
      <c r="X112" s="442">
        <f t="shared" si="19"/>
        <v>0</v>
      </c>
      <c r="Y112" s="391">
        <f t="shared" si="20"/>
        <v>0</v>
      </c>
      <c r="Z112" s="392">
        <f t="shared" si="21"/>
        <v>6</v>
      </c>
      <c r="AA112" s="389">
        <f t="shared" si="22"/>
        <v>2.1355864921308525</v>
      </c>
      <c r="AB112" s="125" t="s">
        <v>485</v>
      </c>
      <c r="AC112" s="98"/>
      <c r="AD112" s="98"/>
    </row>
    <row r="113" spans="1:30" ht="12.75" customHeight="1">
      <c r="A113" s="125" t="s">
        <v>498</v>
      </c>
      <c r="B113" s="125" t="s">
        <v>1215</v>
      </c>
      <c r="C113" s="382" t="s">
        <v>1216</v>
      </c>
      <c r="D113" s="383"/>
      <c r="E113" s="384" t="str">
        <f t="shared" si="32"/>
        <v/>
      </c>
      <c r="F113" s="126" t="s">
        <v>1145</v>
      </c>
      <c r="G113" s="126"/>
      <c r="H113" s="385">
        <f t="shared" ref="H113:H124" si="33">ROUND(K113/I113,4)</f>
        <v>7555</v>
      </c>
      <c r="I113" s="126">
        <v>2</v>
      </c>
      <c r="J113" s="385">
        <v>7546</v>
      </c>
      <c r="K113" s="133">
        <v>15110</v>
      </c>
      <c r="L113" s="155">
        <v>44445</v>
      </c>
      <c r="M113" s="129">
        <f t="shared" si="14"/>
        <v>7792</v>
      </c>
      <c r="N113" s="158">
        <v>7800</v>
      </c>
      <c r="O113" s="386">
        <v>15584</v>
      </c>
      <c r="P113" s="125">
        <v>44461</v>
      </c>
      <c r="Q113" s="437">
        <v>44459</v>
      </c>
      <c r="R113" s="438">
        <v>15.93</v>
      </c>
      <c r="S113" s="439"/>
      <c r="T113" s="440">
        <f t="shared" si="29"/>
        <v>474</v>
      </c>
      <c r="U113" s="441" t="str">
        <f t="shared" si="16"/>
        <v>2 BAJFINANCE</v>
      </c>
      <c r="V113" s="132">
        <f t="shared" si="17"/>
        <v>458.07</v>
      </c>
      <c r="W113" s="389">
        <f t="shared" si="30"/>
        <v>3.0315684976836531E-2</v>
      </c>
      <c r="X113" s="442">
        <f t="shared" si="19"/>
        <v>0</v>
      </c>
      <c r="Y113" s="391">
        <f t="shared" si="20"/>
        <v>0</v>
      </c>
      <c r="Z113" s="392">
        <f t="shared" si="21"/>
        <v>16</v>
      </c>
      <c r="AA113" s="389">
        <f t="shared" si="22"/>
        <v>0.97644724869996735</v>
      </c>
      <c r="AB113" s="125" t="s">
        <v>485</v>
      </c>
      <c r="AC113" s="98"/>
      <c r="AD113" s="98"/>
    </row>
    <row r="114" spans="1:30" ht="12.75" customHeight="1">
      <c r="A114" s="125" t="s">
        <v>498</v>
      </c>
      <c r="B114" s="125" t="s">
        <v>1215</v>
      </c>
      <c r="C114" s="382" t="s">
        <v>1216</v>
      </c>
      <c r="D114" s="383"/>
      <c r="E114" s="384" t="str">
        <f t="shared" si="32"/>
        <v/>
      </c>
      <c r="F114" s="126" t="s">
        <v>1145</v>
      </c>
      <c r="G114" s="126"/>
      <c r="H114" s="385">
        <f t="shared" si="33"/>
        <v>7639</v>
      </c>
      <c r="I114" s="126">
        <v>1</v>
      </c>
      <c r="J114" s="385">
        <v>7630</v>
      </c>
      <c r="K114" s="133">
        <v>7639</v>
      </c>
      <c r="L114" s="155">
        <v>44467</v>
      </c>
      <c r="M114" s="129">
        <f t="shared" si="14"/>
        <v>7642</v>
      </c>
      <c r="N114" s="158">
        <v>7630</v>
      </c>
      <c r="O114" s="386">
        <v>7642</v>
      </c>
      <c r="P114" s="125">
        <v>44473</v>
      </c>
      <c r="Q114" s="437">
        <v>44469</v>
      </c>
      <c r="R114" s="438">
        <v>15.93</v>
      </c>
      <c r="S114" s="439"/>
      <c r="T114" s="440">
        <f t="shared" si="29"/>
        <v>3</v>
      </c>
      <c r="U114" s="441" t="str">
        <f t="shared" si="16"/>
        <v>1 BAJFINANCE</v>
      </c>
      <c r="V114" s="132">
        <f t="shared" si="17"/>
        <v>-12.93</v>
      </c>
      <c r="W114" s="389">
        <f t="shared" si="30"/>
        <v>-1.6926299253829035E-3</v>
      </c>
      <c r="X114" s="442">
        <f t="shared" si="19"/>
        <v>0</v>
      </c>
      <c r="Y114" s="391">
        <f t="shared" si="20"/>
        <v>0</v>
      </c>
      <c r="Z114" s="392">
        <f t="shared" si="21"/>
        <v>6</v>
      </c>
      <c r="AA114" s="389">
        <f t="shared" si="22"/>
        <v>-9.7923149601690573E-2</v>
      </c>
      <c r="AB114" s="125" t="s">
        <v>485</v>
      </c>
      <c r="AC114" s="98"/>
      <c r="AD114" s="98"/>
    </row>
    <row r="115" spans="1:30" ht="12.75" customHeight="1">
      <c r="A115" s="125" t="s">
        <v>498</v>
      </c>
      <c r="B115" s="125" t="s">
        <v>1215</v>
      </c>
      <c r="C115" s="382" t="s">
        <v>1216</v>
      </c>
      <c r="D115" s="383"/>
      <c r="E115" s="384" t="str">
        <f t="shared" si="32"/>
        <v/>
      </c>
      <c r="F115" s="126" t="s">
        <v>1145</v>
      </c>
      <c r="G115" s="126"/>
      <c r="H115" s="385">
        <f t="shared" si="33"/>
        <v>7484</v>
      </c>
      <c r="I115" s="126">
        <v>2</v>
      </c>
      <c r="J115" s="385">
        <v>7475</v>
      </c>
      <c r="K115" s="133">
        <v>14968</v>
      </c>
      <c r="L115" s="155">
        <v>44497</v>
      </c>
      <c r="M115" s="129">
        <f t="shared" si="14"/>
        <v>7627</v>
      </c>
      <c r="N115" s="158">
        <v>7635</v>
      </c>
      <c r="O115" s="386">
        <v>15254</v>
      </c>
      <c r="P115" s="125">
        <v>44510</v>
      </c>
      <c r="Q115" s="437">
        <v>44508</v>
      </c>
      <c r="R115" s="438">
        <v>15.93</v>
      </c>
      <c r="S115" s="439"/>
      <c r="T115" s="440">
        <f t="shared" si="29"/>
        <v>286</v>
      </c>
      <c r="U115" s="441" t="str">
        <f t="shared" si="16"/>
        <v>2 BAJFINANCE</v>
      </c>
      <c r="V115" s="132">
        <f t="shared" si="17"/>
        <v>270.07</v>
      </c>
      <c r="W115" s="389">
        <f t="shared" si="30"/>
        <v>1.8043158738642436E-2</v>
      </c>
      <c r="X115" s="442">
        <f t="shared" si="19"/>
        <v>0</v>
      </c>
      <c r="Y115" s="391">
        <f t="shared" si="20"/>
        <v>0</v>
      </c>
      <c r="Z115" s="392">
        <f t="shared" si="21"/>
        <v>13</v>
      </c>
      <c r="AA115" s="389">
        <f t="shared" si="22"/>
        <v>0.65215471233458011</v>
      </c>
      <c r="AB115" s="125" t="s">
        <v>485</v>
      </c>
      <c r="AC115" s="98"/>
      <c r="AD115" s="98"/>
    </row>
    <row r="116" spans="1:30" ht="12.75" customHeight="1">
      <c r="A116" s="125" t="s">
        <v>498</v>
      </c>
      <c r="B116" s="125" t="s">
        <v>1215</v>
      </c>
      <c r="C116" s="382" t="s">
        <v>1216</v>
      </c>
      <c r="D116" s="383"/>
      <c r="E116" s="384" t="str">
        <f t="shared" si="32"/>
        <v/>
      </c>
      <c r="F116" s="126" t="s">
        <v>1145</v>
      </c>
      <c r="G116" s="126"/>
      <c r="H116" s="385">
        <f t="shared" si="33"/>
        <v>7709</v>
      </c>
      <c r="I116" s="126">
        <v>2</v>
      </c>
      <c r="J116" s="385">
        <v>7700</v>
      </c>
      <c r="K116" s="133">
        <v>15418</v>
      </c>
      <c r="L116" s="155">
        <v>44467</v>
      </c>
      <c r="M116" s="129">
        <f t="shared" si="14"/>
        <v>7727</v>
      </c>
      <c r="N116" s="158">
        <v>7750</v>
      </c>
      <c r="O116" s="386">
        <v>15454</v>
      </c>
      <c r="P116" s="125">
        <v>44510</v>
      </c>
      <c r="Q116" s="437">
        <v>44508</v>
      </c>
      <c r="R116" s="438">
        <v>15.93</v>
      </c>
      <c r="S116" s="439"/>
      <c r="T116" s="440">
        <f t="shared" si="29"/>
        <v>36</v>
      </c>
      <c r="U116" s="441" t="str">
        <f t="shared" si="16"/>
        <v>2 BAJFINANCE</v>
      </c>
      <c r="V116" s="132">
        <f t="shared" si="17"/>
        <v>20.07</v>
      </c>
      <c r="W116" s="389">
        <f t="shared" si="30"/>
        <v>1.3017252561940589E-3</v>
      </c>
      <c r="X116" s="442">
        <f t="shared" si="19"/>
        <v>0</v>
      </c>
      <c r="Y116" s="391">
        <f t="shared" si="20"/>
        <v>1</v>
      </c>
      <c r="Z116" s="392">
        <f t="shared" si="21"/>
        <v>13</v>
      </c>
      <c r="AA116" s="389">
        <f t="shared" si="22"/>
        <v>1.1103534541009985E-2</v>
      </c>
      <c r="AB116" s="125" t="s">
        <v>485</v>
      </c>
      <c r="AC116" s="98"/>
      <c r="AD116" s="98"/>
    </row>
    <row r="117" spans="1:30" ht="12.75" customHeight="1">
      <c r="A117" s="125" t="s">
        <v>498</v>
      </c>
      <c r="B117" s="125" t="s">
        <v>1215</v>
      </c>
      <c r="C117" s="382" t="s">
        <v>1216</v>
      </c>
      <c r="D117" s="383"/>
      <c r="E117" s="384" t="str">
        <f t="shared" si="32"/>
        <v/>
      </c>
      <c r="F117" s="126" t="s">
        <v>1145</v>
      </c>
      <c r="G117" s="126"/>
      <c r="H117" s="385">
        <f t="shared" si="33"/>
        <v>6658</v>
      </c>
      <c r="I117" s="126">
        <v>1</v>
      </c>
      <c r="J117" s="385">
        <v>6650</v>
      </c>
      <c r="K117" s="133">
        <v>6658</v>
      </c>
      <c r="L117" s="155">
        <v>44550</v>
      </c>
      <c r="M117" s="129">
        <f t="shared" si="14"/>
        <v>6888</v>
      </c>
      <c r="N117" s="158">
        <v>6895</v>
      </c>
      <c r="O117" s="386">
        <v>6888</v>
      </c>
      <c r="P117" s="125">
        <v>44559</v>
      </c>
      <c r="Q117" s="437">
        <v>44557</v>
      </c>
      <c r="R117" s="438">
        <v>15.93</v>
      </c>
      <c r="S117" s="439"/>
      <c r="T117" s="440">
        <f t="shared" si="29"/>
        <v>230</v>
      </c>
      <c r="U117" s="441" t="str">
        <f t="shared" si="16"/>
        <v>1 BAJFINANCE</v>
      </c>
      <c r="V117" s="132">
        <f t="shared" si="17"/>
        <v>214.07</v>
      </c>
      <c r="W117" s="389">
        <f t="shared" si="30"/>
        <v>3.2152297987383595E-2</v>
      </c>
      <c r="X117" s="442">
        <f t="shared" si="19"/>
        <v>0</v>
      </c>
      <c r="Y117" s="391">
        <f t="shared" si="20"/>
        <v>0</v>
      </c>
      <c r="Z117" s="392">
        <f t="shared" si="21"/>
        <v>9</v>
      </c>
      <c r="AA117" s="389">
        <f t="shared" si="22"/>
        <v>2.6089992197653729</v>
      </c>
      <c r="AB117" s="125" t="s">
        <v>485</v>
      </c>
      <c r="AC117" s="98"/>
      <c r="AD117" s="98"/>
    </row>
    <row r="118" spans="1:30" ht="12.75" customHeight="1">
      <c r="A118" s="125" t="s">
        <v>498</v>
      </c>
      <c r="B118" s="125" t="s">
        <v>1215</v>
      </c>
      <c r="C118" s="382" t="s">
        <v>1216</v>
      </c>
      <c r="D118" s="383"/>
      <c r="E118" s="384" t="str">
        <f t="shared" si="32"/>
        <v/>
      </c>
      <c r="F118" s="126" t="s">
        <v>1145</v>
      </c>
      <c r="G118" s="126"/>
      <c r="H118" s="385">
        <f t="shared" si="33"/>
        <v>7659</v>
      </c>
      <c r="I118" s="126">
        <v>2</v>
      </c>
      <c r="J118" s="385">
        <v>7650</v>
      </c>
      <c r="K118" s="133">
        <v>15318</v>
      </c>
      <c r="L118" s="155">
        <v>44509</v>
      </c>
      <c r="M118" s="129">
        <f t="shared" si="14"/>
        <v>7577</v>
      </c>
      <c r="N118" s="158">
        <v>7585</v>
      </c>
      <c r="O118" s="386">
        <v>15154</v>
      </c>
      <c r="P118" s="125">
        <v>44568</v>
      </c>
      <c r="Q118" s="437">
        <v>44566</v>
      </c>
      <c r="R118" s="438">
        <v>0</v>
      </c>
      <c r="S118" s="439"/>
      <c r="T118" s="440">
        <f t="shared" si="29"/>
        <v>-164</v>
      </c>
      <c r="U118" s="441" t="str">
        <f t="shared" si="16"/>
        <v>2 BAJFINANCE</v>
      </c>
      <c r="V118" s="132">
        <f t="shared" si="17"/>
        <v>-164</v>
      </c>
      <c r="W118" s="389">
        <f t="shared" si="30"/>
        <v>-1.070635853244549E-2</v>
      </c>
      <c r="X118" s="442">
        <f t="shared" si="19"/>
        <v>0</v>
      </c>
      <c r="Y118" s="391">
        <f t="shared" si="20"/>
        <v>1</v>
      </c>
      <c r="Z118" s="392">
        <f t="shared" si="21"/>
        <v>29</v>
      </c>
      <c r="AA118" s="389">
        <f t="shared" si="22"/>
        <v>-6.4422568936938762E-2</v>
      </c>
      <c r="AB118" s="125" t="s">
        <v>485</v>
      </c>
      <c r="AC118" s="98"/>
      <c r="AD118" s="98"/>
    </row>
    <row r="119" spans="1:30" ht="12.75" customHeight="1">
      <c r="A119" s="125" t="s">
        <v>498</v>
      </c>
      <c r="B119" s="125" t="s">
        <v>1215</v>
      </c>
      <c r="C119" s="382" t="s">
        <v>1216</v>
      </c>
      <c r="D119" s="383"/>
      <c r="E119" s="384" t="str">
        <f t="shared" si="32"/>
        <v/>
      </c>
      <c r="F119" s="126" t="s">
        <v>1145</v>
      </c>
      <c r="G119" s="126"/>
      <c r="H119" s="385">
        <f t="shared" si="33"/>
        <v>7469</v>
      </c>
      <c r="I119" s="126">
        <v>1</v>
      </c>
      <c r="J119" s="385">
        <v>7460</v>
      </c>
      <c r="K119" s="133">
        <v>7469</v>
      </c>
      <c r="L119" s="155">
        <v>44511</v>
      </c>
      <c r="M119" s="129">
        <f t="shared" si="14"/>
        <v>7520</v>
      </c>
      <c r="N119" s="158">
        <v>7528</v>
      </c>
      <c r="O119" s="386">
        <v>7520</v>
      </c>
      <c r="P119" s="125">
        <v>44568</v>
      </c>
      <c r="Q119" s="437">
        <v>44566</v>
      </c>
      <c r="R119" s="438">
        <v>15.93</v>
      </c>
      <c r="S119" s="439"/>
      <c r="T119" s="440">
        <f t="shared" si="29"/>
        <v>51</v>
      </c>
      <c r="U119" s="441" t="str">
        <f t="shared" si="16"/>
        <v>1 BAJFINANCE</v>
      </c>
      <c r="V119" s="132">
        <f t="shared" si="17"/>
        <v>35.07</v>
      </c>
      <c r="W119" s="389">
        <f t="shared" si="30"/>
        <v>4.6954076850984064E-3</v>
      </c>
      <c r="X119" s="442">
        <f t="shared" si="19"/>
        <v>0</v>
      </c>
      <c r="Y119" s="391">
        <f t="shared" si="20"/>
        <v>1</v>
      </c>
      <c r="Z119" s="392">
        <f t="shared" si="21"/>
        <v>27</v>
      </c>
      <c r="AA119" s="389">
        <f t="shared" si="22"/>
        <v>3.0451149818903289E-2</v>
      </c>
      <c r="AB119" s="125" t="s">
        <v>485</v>
      </c>
      <c r="AC119" s="98"/>
      <c r="AD119" s="98"/>
    </row>
    <row r="120" spans="1:30" ht="12.75" customHeight="1">
      <c r="A120" s="126" t="s">
        <v>498</v>
      </c>
      <c r="B120" s="125"/>
      <c r="C120" s="382"/>
      <c r="D120" s="383"/>
      <c r="E120" s="384" t="str">
        <f t="shared" si="32"/>
        <v/>
      </c>
      <c r="F120" s="126"/>
      <c r="G120" s="126"/>
      <c r="H120" s="385">
        <f t="shared" si="33"/>
        <v>7010.3333000000002</v>
      </c>
      <c r="I120" s="126">
        <v>3</v>
      </c>
      <c r="J120" s="385">
        <v>7002</v>
      </c>
      <c r="K120" s="133">
        <v>21031</v>
      </c>
      <c r="L120" s="155">
        <v>44585</v>
      </c>
      <c r="M120" s="129">
        <f t="shared" si="14"/>
        <v>6999.6666999999998</v>
      </c>
      <c r="N120" s="158">
        <v>7007</v>
      </c>
      <c r="O120" s="386">
        <v>20999</v>
      </c>
      <c r="P120" s="125">
        <v>44615</v>
      </c>
      <c r="Q120" s="437">
        <v>44613</v>
      </c>
      <c r="R120" s="438">
        <v>15.93</v>
      </c>
      <c r="S120" s="439"/>
      <c r="T120" s="440">
        <f t="shared" si="29"/>
        <v>-32</v>
      </c>
      <c r="U120" s="441" t="str">
        <f t="shared" si="16"/>
        <v>3 BAJFINANCE</v>
      </c>
      <c r="V120" s="132">
        <f t="shared" si="17"/>
        <v>-47.93</v>
      </c>
      <c r="W120" s="389">
        <f t="shared" si="30"/>
        <v>-2.2790166896486139E-3</v>
      </c>
      <c r="X120" s="442">
        <f t="shared" si="19"/>
        <v>0</v>
      </c>
      <c r="Y120" s="391">
        <f t="shared" si="20"/>
        <v>0</v>
      </c>
      <c r="Z120" s="392">
        <f t="shared" si="21"/>
        <v>30</v>
      </c>
      <c r="AA120" s="389">
        <f t="shared" si="22"/>
        <v>-2.7377921530061133E-2</v>
      </c>
      <c r="AB120" s="125" t="s">
        <v>460</v>
      </c>
      <c r="AC120" s="98"/>
      <c r="AD120" s="98"/>
    </row>
    <row r="121" spans="1:30" ht="12.75" customHeight="1">
      <c r="A121" s="126" t="s">
        <v>498</v>
      </c>
      <c r="B121" s="125"/>
      <c r="C121" s="382"/>
      <c r="D121" s="383"/>
      <c r="E121" s="384" t="str">
        <f t="shared" si="32"/>
        <v/>
      </c>
      <c r="F121" s="126"/>
      <c r="G121" s="126"/>
      <c r="H121" s="385">
        <f t="shared" si="33"/>
        <v>7010</v>
      </c>
      <c r="I121" s="126">
        <v>2</v>
      </c>
      <c r="J121" s="385">
        <v>7002</v>
      </c>
      <c r="K121" s="133">
        <v>14020</v>
      </c>
      <c r="L121" s="155">
        <v>44585</v>
      </c>
      <c r="M121" s="129">
        <f t="shared" si="14"/>
        <v>6893</v>
      </c>
      <c r="N121" s="158">
        <v>6900</v>
      </c>
      <c r="O121" s="386">
        <v>13786</v>
      </c>
      <c r="P121" s="125">
        <v>44616</v>
      </c>
      <c r="Q121" s="437">
        <v>44614</v>
      </c>
      <c r="R121" s="438">
        <v>15.93</v>
      </c>
      <c r="S121" s="439"/>
      <c r="T121" s="440">
        <f t="shared" si="29"/>
        <v>-234</v>
      </c>
      <c r="U121" s="441" t="str">
        <f t="shared" si="16"/>
        <v>2 BAJFINANCE</v>
      </c>
      <c r="V121" s="132">
        <f t="shared" si="17"/>
        <v>-249.93</v>
      </c>
      <c r="W121" s="389">
        <f t="shared" si="30"/>
        <v>-1.7826676176890158E-2</v>
      </c>
      <c r="X121" s="442">
        <f t="shared" si="19"/>
        <v>0</v>
      </c>
      <c r="Y121" s="391">
        <f t="shared" si="20"/>
        <v>1</v>
      </c>
      <c r="Z121" s="392">
        <f t="shared" si="21"/>
        <v>0</v>
      </c>
      <c r="AA121" s="389">
        <f t="shared" si="22"/>
        <v>-0.19086389226145484</v>
      </c>
      <c r="AB121" s="125" t="s">
        <v>460</v>
      </c>
      <c r="AC121" s="98"/>
      <c r="AD121" s="98"/>
    </row>
    <row r="122" spans="1:30" ht="12.75" customHeight="1">
      <c r="A122" s="125" t="s">
        <v>498</v>
      </c>
      <c r="B122" s="125"/>
      <c r="C122" s="382"/>
      <c r="D122" s="383"/>
      <c r="E122" s="384" t="str">
        <f t="shared" si="32"/>
        <v/>
      </c>
      <c r="F122" s="126"/>
      <c r="G122" s="126"/>
      <c r="H122" s="385">
        <f t="shared" si="33"/>
        <v>7409</v>
      </c>
      <c r="I122" s="126">
        <v>2</v>
      </c>
      <c r="J122" s="385">
        <v>7400</v>
      </c>
      <c r="K122" s="133">
        <v>14818</v>
      </c>
      <c r="L122" s="155">
        <v>44582</v>
      </c>
      <c r="M122" s="129">
        <f t="shared" si="14"/>
        <v>7602.5</v>
      </c>
      <c r="N122" s="158">
        <v>7610.35</v>
      </c>
      <c r="O122" s="386">
        <v>15205</v>
      </c>
      <c r="P122" s="125">
        <v>44826</v>
      </c>
      <c r="Q122" s="437">
        <v>44824</v>
      </c>
      <c r="R122" s="438">
        <v>15.93</v>
      </c>
      <c r="S122" s="439"/>
      <c r="T122" s="440">
        <f t="shared" ref="T122:T124" si="34">IF(OR(O122="",K122=""),"",O122-K122)</f>
        <v>387</v>
      </c>
      <c r="U122" s="441" t="str">
        <f t="shared" si="16"/>
        <v>2 BAJFINANCE</v>
      </c>
      <c r="V122" s="132">
        <f t="shared" si="17"/>
        <v>371.07</v>
      </c>
      <c r="W122" s="389">
        <f t="shared" ref="W122:W124" si="35">IF(OR(K122="",V122=""),"",V122/K122)</f>
        <v>2.50418410041841E-2</v>
      </c>
      <c r="X122" s="442">
        <f t="shared" si="19"/>
        <v>0</v>
      </c>
      <c r="Y122" s="391">
        <f t="shared" si="20"/>
        <v>8</v>
      </c>
      <c r="Z122" s="392">
        <f t="shared" si="21"/>
        <v>1</v>
      </c>
      <c r="AA122" s="389">
        <f t="shared" si="22"/>
        <v>3.7691756771177198E-2</v>
      </c>
      <c r="AB122" s="125" t="s">
        <v>485</v>
      </c>
      <c r="AC122" s="98"/>
      <c r="AD122" s="98"/>
    </row>
    <row r="123" spans="1:30" ht="12.75" customHeight="1">
      <c r="A123" s="125" t="s">
        <v>498</v>
      </c>
      <c r="B123" s="125"/>
      <c r="C123" s="382"/>
      <c r="D123" s="383"/>
      <c r="E123" s="384" t="str">
        <f t="shared" si="32"/>
        <v/>
      </c>
      <c r="F123" s="126"/>
      <c r="G123" s="126"/>
      <c r="H123" s="385">
        <f t="shared" si="33"/>
        <v>7584</v>
      </c>
      <c r="I123" s="126">
        <v>1</v>
      </c>
      <c r="J123" s="385">
        <v>7575</v>
      </c>
      <c r="K123" s="133">
        <v>7584</v>
      </c>
      <c r="L123" s="155">
        <v>44580</v>
      </c>
      <c r="M123" s="129">
        <f t="shared" si="14"/>
        <v>7647</v>
      </c>
      <c r="N123" s="158">
        <v>7655</v>
      </c>
      <c r="O123" s="386">
        <v>7647</v>
      </c>
      <c r="P123" s="125">
        <v>44826</v>
      </c>
      <c r="Q123" s="437">
        <v>44824</v>
      </c>
      <c r="R123" s="438">
        <v>0</v>
      </c>
      <c r="S123" s="439"/>
      <c r="T123" s="440">
        <f t="shared" si="34"/>
        <v>63</v>
      </c>
      <c r="U123" s="441" t="str">
        <f t="shared" si="16"/>
        <v>1 BAJFINANCE</v>
      </c>
      <c r="V123" s="132">
        <f t="shared" si="17"/>
        <v>63</v>
      </c>
      <c r="W123" s="389">
        <f t="shared" si="35"/>
        <v>8.3069620253164549E-3</v>
      </c>
      <c r="X123" s="442">
        <f t="shared" si="19"/>
        <v>0</v>
      </c>
      <c r="Y123" s="391">
        <f t="shared" si="20"/>
        <v>8</v>
      </c>
      <c r="Z123" s="392">
        <f t="shared" si="21"/>
        <v>3</v>
      </c>
      <c r="AA123" s="389">
        <f t="shared" si="22"/>
        <v>1.2350099381390534E-2</v>
      </c>
      <c r="AB123" s="125" t="s">
        <v>485</v>
      </c>
      <c r="AC123" s="98"/>
      <c r="AD123" s="98"/>
    </row>
    <row r="124" spans="1:30" ht="12.75" customHeight="1">
      <c r="A124" s="125" t="s">
        <v>637</v>
      </c>
      <c r="B124" s="125"/>
      <c r="C124" s="382"/>
      <c r="D124" s="383"/>
      <c r="E124" s="384" t="str">
        <f t="shared" si="32"/>
        <v/>
      </c>
      <c r="F124" s="126"/>
      <c r="G124" s="126"/>
      <c r="H124" s="385">
        <f t="shared" si="33"/>
        <v>132.16</v>
      </c>
      <c r="I124" s="126">
        <v>25</v>
      </c>
      <c r="J124" s="385">
        <v>132</v>
      </c>
      <c r="K124" s="133">
        <v>3304</v>
      </c>
      <c r="L124" s="155">
        <v>44806</v>
      </c>
      <c r="M124" s="129">
        <f t="shared" si="14"/>
        <v>147.96</v>
      </c>
      <c r="N124" s="158">
        <v>148.1</v>
      </c>
      <c r="O124" s="386">
        <v>3699</v>
      </c>
      <c r="P124" s="125">
        <v>44861</v>
      </c>
      <c r="Q124" s="437">
        <v>44859</v>
      </c>
      <c r="R124" s="438">
        <v>15.93</v>
      </c>
      <c r="S124" s="439"/>
      <c r="T124" s="440">
        <f t="shared" si="34"/>
        <v>395</v>
      </c>
      <c r="U124" s="441" t="str">
        <f t="shared" si="16"/>
        <v>25 BANKBARODA</v>
      </c>
      <c r="V124" s="132">
        <f t="shared" si="17"/>
        <v>379.07</v>
      </c>
      <c r="W124" s="389">
        <f t="shared" si="35"/>
        <v>0.11473062953995157</v>
      </c>
      <c r="X124" s="442">
        <f t="shared" si="19"/>
        <v>0</v>
      </c>
      <c r="Y124" s="391">
        <f t="shared" si="20"/>
        <v>1</v>
      </c>
      <c r="Z124" s="392">
        <f t="shared" si="21"/>
        <v>25</v>
      </c>
      <c r="AA124" s="389">
        <f t="shared" si="22"/>
        <v>1.0560649876129209</v>
      </c>
      <c r="AB124" s="125" t="s">
        <v>485</v>
      </c>
      <c r="AC124" s="98"/>
      <c r="AD124" s="98"/>
    </row>
    <row r="125" spans="1:30" ht="12.75" customHeight="1">
      <c r="A125" s="125" t="s">
        <v>488</v>
      </c>
      <c r="B125" s="125" t="s">
        <v>1217</v>
      </c>
      <c r="C125" s="382" t="s">
        <v>1201</v>
      </c>
      <c r="D125" s="383"/>
      <c r="E125" s="384"/>
      <c r="F125" s="126" t="s">
        <v>1159</v>
      </c>
      <c r="G125" s="126"/>
      <c r="H125" s="385">
        <v>288</v>
      </c>
      <c r="I125" s="126">
        <v>50</v>
      </c>
      <c r="J125" s="385">
        <v>288</v>
      </c>
      <c r="K125" s="133">
        <v>14400</v>
      </c>
      <c r="L125" s="155">
        <v>44188</v>
      </c>
      <c r="M125" s="129">
        <f t="shared" si="14"/>
        <v>389.61360000000002</v>
      </c>
      <c r="N125" s="158">
        <v>390</v>
      </c>
      <c r="O125" s="386">
        <v>19480.68</v>
      </c>
      <c r="P125" s="125">
        <v>44231</v>
      </c>
      <c r="Q125" s="437">
        <v>44229</v>
      </c>
      <c r="R125" s="438">
        <v>15.93</v>
      </c>
      <c r="S125" s="439"/>
      <c r="T125" s="440">
        <f t="shared" ref="T125:T141" si="36">IF(O125="","",O125-K125)</f>
        <v>5080.68</v>
      </c>
      <c r="U125" s="441" t="str">
        <f t="shared" si="16"/>
        <v>50 BECTORFOOD</v>
      </c>
      <c r="V125" s="132">
        <f t="shared" si="17"/>
        <v>5064.75</v>
      </c>
      <c r="W125" s="389">
        <f t="shared" ref="W125:W141" si="37">IF(M125=0,"",V125/K125)</f>
        <v>0.35171875000000002</v>
      </c>
      <c r="X125" s="442">
        <f t="shared" si="19"/>
        <v>0</v>
      </c>
      <c r="Y125" s="391">
        <f t="shared" si="20"/>
        <v>1</v>
      </c>
      <c r="Z125" s="392">
        <f t="shared" si="21"/>
        <v>12</v>
      </c>
      <c r="AA125" s="389">
        <f t="shared" si="22"/>
        <v>11.912547708092719</v>
      </c>
      <c r="AB125" s="125" t="s">
        <v>485</v>
      </c>
      <c r="AC125" s="98"/>
      <c r="AD125" s="98"/>
    </row>
    <row r="126" spans="1:30" ht="12.75" customHeight="1">
      <c r="A126" s="125" t="s">
        <v>494</v>
      </c>
      <c r="B126" s="125" t="s">
        <v>1218</v>
      </c>
      <c r="C126" s="382" t="s">
        <v>1201</v>
      </c>
      <c r="D126" s="383">
        <v>175</v>
      </c>
      <c r="E126" s="384"/>
      <c r="F126" s="126"/>
      <c r="G126" s="126"/>
      <c r="H126" s="385">
        <f t="shared" ref="H126:H139" si="38">ROUND(K126/I126,4)</f>
        <v>150.02420000000001</v>
      </c>
      <c r="I126" s="126">
        <v>100</v>
      </c>
      <c r="J126" s="385">
        <v>149.85</v>
      </c>
      <c r="K126" s="133">
        <v>15002.42</v>
      </c>
      <c r="L126" s="155">
        <v>44257</v>
      </c>
      <c r="M126" s="129">
        <f t="shared" si="14"/>
        <v>150.44</v>
      </c>
      <c r="N126" s="158">
        <v>150.6</v>
      </c>
      <c r="O126" s="386">
        <v>15044</v>
      </c>
      <c r="P126" s="125">
        <v>44336</v>
      </c>
      <c r="Q126" s="437">
        <v>44334</v>
      </c>
      <c r="R126" s="438">
        <v>15.93</v>
      </c>
      <c r="S126" s="439">
        <v>140</v>
      </c>
      <c r="T126" s="440">
        <f t="shared" si="36"/>
        <v>41.579999999999927</v>
      </c>
      <c r="U126" s="441" t="str">
        <f t="shared" si="16"/>
        <v>100 BEL</v>
      </c>
      <c r="V126" s="132">
        <f t="shared" si="17"/>
        <v>165.64999999999992</v>
      </c>
      <c r="W126" s="389">
        <f t="shared" si="37"/>
        <v>1.1041551962949972E-2</v>
      </c>
      <c r="X126" s="442">
        <f t="shared" si="19"/>
        <v>0</v>
      </c>
      <c r="Y126" s="391">
        <f t="shared" si="20"/>
        <v>2</v>
      </c>
      <c r="Z126" s="392">
        <f t="shared" si="21"/>
        <v>18</v>
      </c>
      <c r="AA126" s="389">
        <f t="shared" si="22"/>
        <v>5.2044254513500698E-2</v>
      </c>
      <c r="AB126" s="125" t="s">
        <v>485</v>
      </c>
      <c r="AC126" s="98"/>
      <c r="AD126" s="98"/>
    </row>
    <row r="127" spans="1:30" ht="12.75" customHeight="1">
      <c r="A127" s="125" t="s">
        <v>471</v>
      </c>
      <c r="B127" s="125" t="s">
        <v>1219</v>
      </c>
      <c r="C127" s="382" t="s">
        <v>1201</v>
      </c>
      <c r="D127" s="383"/>
      <c r="E127" s="384"/>
      <c r="F127" s="126"/>
      <c r="G127" s="126"/>
      <c r="H127" s="385">
        <f t="shared" si="38"/>
        <v>171.46610000000001</v>
      </c>
      <c r="I127" s="126">
        <f>48+24</f>
        <v>72</v>
      </c>
      <c r="J127" s="385">
        <v>170.47</v>
      </c>
      <c r="K127" s="133">
        <v>12345.56</v>
      </c>
      <c r="L127" s="155">
        <v>41018</v>
      </c>
      <c r="M127" s="129">
        <f t="shared" si="14"/>
        <v>70.180599999999998</v>
      </c>
      <c r="N127" s="158">
        <v>70.25</v>
      </c>
      <c r="O127" s="386">
        <v>5053</v>
      </c>
      <c r="P127" s="125">
        <v>44329</v>
      </c>
      <c r="Q127" s="437">
        <v>44327</v>
      </c>
      <c r="R127" s="438">
        <f>35.4+29.5+15.93</f>
        <v>80.830000000000013</v>
      </c>
      <c r="S127" s="439">
        <f>177+102+158+63+73+26+30+19+38+37+58+58+86</f>
        <v>925</v>
      </c>
      <c r="T127" s="440">
        <f t="shared" si="36"/>
        <v>-7292.5599999999995</v>
      </c>
      <c r="U127" s="441" t="str">
        <f t="shared" si="16"/>
        <v>72 BHEL</v>
      </c>
      <c r="V127" s="132">
        <f t="shared" si="17"/>
        <v>-6448.3899999999994</v>
      </c>
      <c r="W127" s="389">
        <f t="shared" si="37"/>
        <v>-0.52232462520938694</v>
      </c>
      <c r="X127" s="442">
        <f t="shared" si="19"/>
        <v>9</v>
      </c>
      <c r="Y127" s="391">
        <f t="shared" si="20"/>
        <v>0</v>
      </c>
      <c r="Z127" s="392">
        <f t="shared" si="21"/>
        <v>24</v>
      </c>
      <c r="AA127" s="389">
        <f t="shared" si="22"/>
        <v>-7.8218356267088507E-2</v>
      </c>
      <c r="AB127" s="125" t="s">
        <v>460</v>
      </c>
      <c r="AC127" s="98"/>
      <c r="AD127" s="98"/>
    </row>
    <row r="128" spans="1:30" ht="12.75" customHeight="1">
      <c r="A128" s="125" t="s">
        <v>471</v>
      </c>
      <c r="B128" s="125"/>
      <c r="C128" s="382"/>
      <c r="D128" s="383"/>
      <c r="E128" s="384" t="str">
        <f t="shared" ref="E128:E130" si="39">IFERROR(IF(D128="","",(D128-J128)/J128),"")</f>
        <v/>
      </c>
      <c r="F128" s="126"/>
      <c r="G128" s="126"/>
      <c r="H128" s="385">
        <f t="shared" si="38"/>
        <v>50.06</v>
      </c>
      <c r="I128" s="126">
        <v>100</v>
      </c>
      <c r="J128" s="385">
        <v>50</v>
      </c>
      <c r="K128" s="133">
        <v>5006</v>
      </c>
      <c r="L128" s="155">
        <v>44650</v>
      </c>
      <c r="M128" s="129">
        <f t="shared" si="14"/>
        <v>52.2</v>
      </c>
      <c r="N128" s="158">
        <v>52.25</v>
      </c>
      <c r="O128" s="386">
        <v>5220</v>
      </c>
      <c r="P128" s="125">
        <v>44656</v>
      </c>
      <c r="Q128" s="437">
        <v>44652</v>
      </c>
      <c r="R128" s="438">
        <v>15.93</v>
      </c>
      <c r="S128" s="439"/>
      <c r="T128" s="440">
        <f t="shared" si="36"/>
        <v>214</v>
      </c>
      <c r="U128" s="441" t="str">
        <f t="shared" si="16"/>
        <v>100 BHEL</v>
      </c>
      <c r="V128" s="132">
        <f t="shared" si="17"/>
        <v>198.07</v>
      </c>
      <c r="W128" s="389">
        <f t="shared" si="37"/>
        <v>3.9566520175789051E-2</v>
      </c>
      <c r="X128" s="442">
        <f t="shared" si="19"/>
        <v>0</v>
      </c>
      <c r="Y128" s="391">
        <f t="shared" si="20"/>
        <v>0</v>
      </c>
      <c r="Z128" s="392">
        <f t="shared" si="21"/>
        <v>6</v>
      </c>
      <c r="AA128" s="389">
        <f t="shared" si="22"/>
        <v>9.5969438140217491</v>
      </c>
      <c r="AB128" s="125" t="s">
        <v>485</v>
      </c>
      <c r="AC128" s="98"/>
      <c r="AD128" s="98"/>
    </row>
    <row r="129" spans="1:30" ht="12.75" customHeight="1">
      <c r="A129" s="125" t="s">
        <v>508</v>
      </c>
      <c r="B129" s="125" t="s">
        <v>1220</v>
      </c>
      <c r="C129" s="382" t="s">
        <v>1201</v>
      </c>
      <c r="D129" s="383">
        <v>425</v>
      </c>
      <c r="E129" s="384">
        <f t="shared" si="39"/>
        <v>0.11842105263157894</v>
      </c>
      <c r="F129" s="126" t="s">
        <v>1162</v>
      </c>
      <c r="G129" s="126" t="s">
        <v>1221</v>
      </c>
      <c r="H129" s="385">
        <f t="shared" si="38"/>
        <v>380.44</v>
      </c>
      <c r="I129" s="126">
        <v>25</v>
      </c>
      <c r="J129" s="385">
        <v>380</v>
      </c>
      <c r="K129" s="133">
        <v>9511</v>
      </c>
      <c r="L129" s="155">
        <v>44321</v>
      </c>
      <c r="M129" s="129">
        <f t="shared" si="14"/>
        <v>390.6</v>
      </c>
      <c r="N129" s="158">
        <v>391</v>
      </c>
      <c r="O129" s="386">
        <v>9765</v>
      </c>
      <c r="P129" s="125">
        <v>44334</v>
      </c>
      <c r="Q129" s="437">
        <v>44330</v>
      </c>
      <c r="R129" s="438">
        <v>15.93</v>
      </c>
      <c r="S129" s="439"/>
      <c r="T129" s="440">
        <f t="shared" si="36"/>
        <v>254</v>
      </c>
      <c r="U129" s="441" t="str">
        <f t="shared" si="16"/>
        <v>25 BIOCON</v>
      </c>
      <c r="V129" s="132">
        <f t="shared" si="17"/>
        <v>238.07</v>
      </c>
      <c r="W129" s="389">
        <f t="shared" si="37"/>
        <v>2.5031016717485016E-2</v>
      </c>
      <c r="X129" s="442">
        <f t="shared" si="19"/>
        <v>0</v>
      </c>
      <c r="Y129" s="391">
        <f t="shared" si="20"/>
        <v>0</v>
      </c>
      <c r="Z129" s="392">
        <f t="shared" si="21"/>
        <v>13</v>
      </c>
      <c r="AA129" s="389">
        <f t="shared" si="22"/>
        <v>1.0019909993691551</v>
      </c>
      <c r="AB129" s="125" t="s">
        <v>485</v>
      </c>
      <c r="AC129" s="98"/>
      <c r="AD129" s="98"/>
    </row>
    <row r="130" spans="1:30" ht="12.75" customHeight="1">
      <c r="A130" s="125" t="s">
        <v>508</v>
      </c>
      <c r="B130" s="125" t="s">
        <v>1220</v>
      </c>
      <c r="C130" s="382" t="s">
        <v>1201</v>
      </c>
      <c r="D130" s="383" t="s">
        <v>1222</v>
      </c>
      <c r="E130" s="384">
        <f t="shared" si="39"/>
        <v>8.2926829268292687E-2</v>
      </c>
      <c r="F130" s="126" t="s">
        <v>1154</v>
      </c>
      <c r="G130" s="126" t="s">
        <v>1223</v>
      </c>
      <c r="H130" s="385">
        <f t="shared" si="38"/>
        <v>410.48</v>
      </c>
      <c r="I130" s="126">
        <v>50</v>
      </c>
      <c r="J130" s="385">
        <v>410</v>
      </c>
      <c r="K130" s="133">
        <v>20524</v>
      </c>
      <c r="L130" s="155">
        <v>44356</v>
      </c>
      <c r="M130" s="129">
        <f t="shared" si="14"/>
        <v>416.56</v>
      </c>
      <c r="N130" s="158">
        <v>417</v>
      </c>
      <c r="O130" s="386">
        <v>20828</v>
      </c>
      <c r="P130" s="125">
        <v>44362</v>
      </c>
      <c r="Q130" s="437">
        <v>44358</v>
      </c>
      <c r="R130" s="438">
        <v>15.93</v>
      </c>
      <c r="S130" s="439"/>
      <c r="T130" s="440">
        <f t="shared" si="36"/>
        <v>304</v>
      </c>
      <c r="U130" s="441" t="str">
        <f t="shared" si="16"/>
        <v>50 BIOCON</v>
      </c>
      <c r="V130" s="132">
        <f t="shared" si="17"/>
        <v>288.07</v>
      </c>
      <c r="W130" s="389">
        <f t="shared" si="37"/>
        <v>1.4035763009160008E-2</v>
      </c>
      <c r="X130" s="442">
        <f t="shared" si="19"/>
        <v>0</v>
      </c>
      <c r="Y130" s="391">
        <f t="shared" si="20"/>
        <v>0</v>
      </c>
      <c r="Z130" s="392">
        <f t="shared" si="21"/>
        <v>6</v>
      </c>
      <c r="AA130" s="389">
        <f t="shared" si="22"/>
        <v>1.334751758127275</v>
      </c>
      <c r="AB130" s="125" t="s">
        <v>485</v>
      </c>
      <c r="AC130" s="98"/>
      <c r="AD130" s="98"/>
    </row>
    <row r="131" spans="1:30" ht="12.75" customHeight="1">
      <c r="A131" s="125" t="s">
        <v>527</v>
      </c>
      <c r="B131" s="125" t="s">
        <v>1224</v>
      </c>
      <c r="C131" s="382" t="s">
        <v>1201</v>
      </c>
      <c r="D131" s="383"/>
      <c r="E131" s="384"/>
      <c r="F131" s="126" t="s">
        <v>1145</v>
      </c>
      <c r="G131" s="126"/>
      <c r="H131" s="385">
        <f t="shared" si="38"/>
        <v>475.56</v>
      </c>
      <c r="I131" s="126">
        <v>50</v>
      </c>
      <c r="J131" s="385">
        <v>475</v>
      </c>
      <c r="K131" s="133">
        <v>23778</v>
      </c>
      <c r="L131" s="155">
        <v>44343</v>
      </c>
      <c r="M131" s="129">
        <f t="shared" si="14"/>
        <v>481.5</v>
      </c>
      <c r="N131" s="158">
        <v>482</v>
      </c>
      <c r="O131" s="386">
        <v>24075</v>
      </c>
      <c r="P131" s="125">
        <v>44355</v>
      </c>
      <c r="Q131" s="437">
        <v>44351</v>
      </c>
      <c r="R131" s="438">
        <v>15.93</v>
      </c>
      <c r="S131" s="439"/>
      <c r="T131" s="440">
        <f t="shared" si="36"/>
        <v>297</v>
      </c>
      <c r="U131" s="441" t="str">
        <f t="shared" si="16"/>
        <v>50 BPCL</v>
      </c>
      <c r="V131" s="132">
        <f t="shared" si="17"/>
        <v>281.07</v>
      </c>
      <c r="W131" s="389">
        <f t="shared" si="37"/>
        <v>1.1820590461771386E-2</v>
      </c>
      <c r="X131" s="442">
        <f t="shared" si="19"/>
        <v>0</v>
      </c>
      <c r="Y131" s="391">
        <f t="shared" si="20"/>
        <v>0</v>
      </c>
      <c r="Z131" s="392">
        <f t="shared" si="21"/>
        <v>12</v>
      </c>
      <c r="AA131" s="389">
        <f t="shared" si="22"/>
        <v>0.4296569975463036</v>
      </c>
      <c r="AB131" s="125" t="s">
        <v>485</v>
      </c>
      <c r="AC131" s="98"/>
      <c r="AD131" s="98"/>
    </row>
    <row r="132" spans="1:30" ht="12.75" customHeight="1">
      <c r="A132" s="125" t="s">
        <v>527</v>
      </c>
      <c r="B132" s="125"/>
      <c r="C132" s="382"/>
      <c r="D132" s="383"/>
      <c r="E132" s="384" t="str">
        <f t="shared" ref="E132:E136" si="40">IFERROR(IF(D132="","",(D132-J132)/J132),"")</f>
        <v/>
      </c>
      <c r="F132" s="126"/>
      <c r="G132" s="126"/>
      <c r="H132" s="385">
        <f t="shared" si="38"/>
        <v>345.4</v>
      </c>
      <c r="I132" s="126">
        <v>10</v>
      </c>
      <c r="J132" s="385">
        <v>345</v>
      </c>
      <c r="K132" s="133">
        <v>3454</v>
      </c>
      <c r="L132" s="155">
        <v>44616</v>
      </c>
      <c r="M132" s="129">
        <f t="shared" si="14"/>
        <v>348</v>
      </c>
      <c r="N132" s="158">
        <v>348.35</v>
      </c>
      <c r="O132" s="386">
        <v>3480</v>
      </c>
      <c r="P132" s="125">
        <v>44623</v>
      </c>
      <c r="Q132" s="437">
        <v>44620</v>
      </c>
      <c r="R132" s="438">
        <v>15.93</v>
      </c>
      <c r="S132" s="439"/>
      <c r="T132" s="440">
        <f t="shared" si="36"/>
        <v>26</v>
      </c>
      <c r="U132" s="441" t="str">
        <f t="shared" si="16"/>
        <v>10 BPCL</v>
      </c>
      <c r="V132" s="132">
        <f t="shared" si="17"/>
        <v>10.07</v>
      </c>
      <c r="W132" s="389">
        <f t="shared" si="37"/>
        <v>2.9154603358425017E-3</v>
      </c>
      <c r="X132" s="442">
        <f t="shared" si="19"/>
        <v>0</v>
      </c>
      <c r="Y132" s="391">
        <f t="shared" si="20"/>
        <v>0</v>
      </c>
      <c r="Z132" s="392">
        <f t="shared" si="21"/>
        <v>7</v>
      </c>
      <c r="AA132" s="389">
        <f t="shared" si="22"/>
        <v>0.16392656264554772</v>
      </c>
      <c r="AB132" s="125" t="s">
        <v>485</v>
      </c>
      <c r="AC132" s="98"/>
      <c r="AD132" s="98"/>
    </row>
    <row r="133" spans="1:30" ht="12.75" customHeight="1">
      <c r="A133" s="125" t="s">
        <v>527</v>
      </c>
      <c r="B133" s="125"/>
      <c r="C133" s="382"/>
      <c r="D133" s="383"/>
      <c r="E133" s="384" t="str">
        <f t="shared" si="40"/>
        <v/>
      </c>
      <c r="F133" s="126"/>
      <c r="G133" s="126"/>
      <c r="H133" s="385">
        <f t="shared" si="38"/>
        <v>384.7</v>
      </c>
      <c r="I133" s="126">
        <v>40</v>
      </c>
      <c r="J133" s="385">
        <v>384.25</v>
      </c>
      <c r="K133" s="133">
        <v>15388</v>
      </c>
      <c r="L133" s="155">
        <v>44593</v>
      </c>
      <c r="M133" s="129">
        <f t="shared" si="14"/>
        <v>371.625</v>
      </c>
      <c r="N133" s="158">
        <v>372</v>
      </c>
      <c r="O133" s="386">
        <v>14865</v>
      </c>
      <c r="P133" s="125">
        <v>44656</v>
      </c>
      <c r="Q133" s="437">
        <v>44652</v>
      </c>
      <c r="R133" s="438">
        <v>0</v>
      </c>
      <c r="S133" s="439"/>
      <c r="T133" s="440">
        <f t="shared" si="36"/>
        <v>-523</v>
      </c>
      <c r="U133" s="441" t="str">
        <f t="shared" si="16"/>
        <v>40 BPCL</v>
      </c>
      <c r="V133" s="132">
        <f t="shared" si="17"/>
        <v>-523</v>
      </c>
      <c r="W133" s="389">
        <f t="shared" si="37"/>
        <v>-3.3987522744996099E-2</v>
      </c>
      <c r="X133" s="442">
        <f t="shared" si="19"/>
        <v>0</v>
      </c>
      <c r="Y133" s="391">
        <f t="shared" si="20"/>
        <v>2</v>
      </c>
      <c r="Z133" s="392">
        <f t="shared" si="21"/>
        <v>4</v>
      </c>
      <c r="AA133" s="389">
        <f t="shared" si="22"/>
        <v>-0.18154422773648271</v>
      </c>
      <c r="AB133" s="125" t="s">
        <v>485</v>
      </c>
      <c r="AC133" s="98"/>
      <c r="AD133" s="98"/>
    </row>
    <row r="134" spans="1:30" ht="12.75" customHeight="1">
      <c r="A134" s="125" t="s">
        <v>527</v>
      </c>
      <c r="B134" s="125"/>
      <c r="C134" s="382"/>
      <c r="D134" s="383"/>
      <c r="E134" s="384" t="str">
        <f t="shared" si="40"/>
        <v/>
      </c>
      <c r="F134" s="126"/>
      <c r="G134" s="126"/>
      <c r="H134" s="385">
        <f t="shared" si="38"/>
        <v>371.2</v>
      </c>
      <c r="I134" s="126">
        <v>20</v>
      </c>
      <c r="J134" s="385">
        <v>370.75</v>
      </c>
      <c r="K134" s="133">
        <v>7424</v>
      </c>
      <c r="L134" s="155">
        <v>44599</v>
      </c>
      <c r="M134" s="129">
        <f t="shared" si="14"/>
        <v>371.6</v>
      </c>
      <c r="N134" s="158">
        <v>372</v>
      </c>
      <c r="O134" s="386">
        <v>7432</v>
      </c>
      <c r="P134" s="125">
        <v>44656</v>
      </c>
      <c r="Q134" s="437">
        <v>44652</v>
      </c>
      <c r="R134" s="438">
        <v>0</v>
      </c>
      <c r="S134" s="439"/>
      <c r="T134" s="440">
        <f t="shared" si="36"/>
        <v>8</v>
      </c>
      <c r="U134" s="441" t="str">
        <f t="shared" si="16"/>
        <v>20 BPCL</v>
      </c>
      <c r="V134" s="132">
        <f t="shared" si="17"/>
        <v>8</v>
      </c>
      <c r="W134" s="389">
        <f t="shared" si="37"/>
        <v>1.0775862068965517E-3</v>
      </c>
      <c r="X134" s="442">
        <f t="shared" si="19"/>
        <v>0</v>
      </c>
      <c r="Y134" s="391">
        <f t="shared" si="20"/>
        <v>1</v>
      </c>
      <c r="Z134" s="392">
        <f t="shared" si="21"/>
        <v>29</v>
      </c>
      <c r="AA134" s="389">
        <f t="shared" si="22"/>
        <v>6.9204539775964413E-3</v>
      </c>
      <c r="AB134" s="125" t="s">
        <v>485</v>
      </c>
      <c r="AC134" s="98"/>
      <c r="AD134" s="98"/>
    </row>
    <row r="135" spans="1:30" ht="12.75" customHeight="1">
      <c r="A135" s="125" t="s">
        <v>527</v>
      </c>
      <c r="B135" s="125"/>
      <c r="C135" s="382"/>
      <c r="D135" s="383"/>
      <c r="E135" s="384" t="str">
        <f t="shared" si="40"/>
        <v/>
      </c>
      <c r="F135" s="126"/>
      <c r="G135" s="126"/>
      <c r="H135" s="385">
        <f t="shared" si="38"/>
        <v>371.2</v>
      </c>
      <c r="I135" s="126">
        <v>20</v>
      </c>
      <c r="J135" s="385">
        <v>370.75</v>
      </c>
      <c r="K135" s="133">
        <v>7424</v>
      </c>
      <c r="L135" s="155">
        <v>44603</v>
      </c>
      <c r="M135" s="129">
        <f t="shared" si="14"/>
        <v>371.6</v>
      </c>
      <c r="N135" s="158">
        <v>372</v>
      </c>
      <c r="O135" s="386">
        <v>7432</v>
      </c>
      <c r="P135" s="125">
        <v>44656</v>
      </c>
      <c r="Q135" s="437">
        <v>44652</v>
      </c>
      <c r="R135" s="438">
        <v>15.93</v>
      </c>
      <c r="S135" s="439"/>
      <c r="T135" s="440">
        <f t="shared" si="36"/>
        <v>8</v>
      </c>
      <c r="U135" s="441" t="str">
        <f t="shared" si="16"/>
        <v>20 BPCL</v>
      </c>
      <c r="V135" s="132">
        <f t="shared" si="17"/>
        <v>-7.93</v>
      </c>
      <c r="W135" s="389">
        <f t="shared" si="37"/>
        <v>-1.0681573275862068E-3</v>
      </c>
      <c r="X135" s="442">
        <f t="shared" si="19"/>
        <v>0</v>
      </c>
      <c r="Y135" s="391">
        <f t="shared" si="20"/>
        <v>1</v>
      </c>
      <c r="Z135" s="392">
        <f t="shared" si="21"/>
        <v>25</v>
      </c>
      <c r="AA135" s="389">
        <f t="shared" si="22"/>
        <v>-7.3330901233497059E-3</v>
      </c>
      <c r="AB135" s="125" t="s">
        <v>485</v>
      </c>
      <c r="AC135" s="98"/>
      <c r="AD135" s="98"/>
    </row>
    <row r="136" spans="1:30" ht="12.75" customHeight="1">
      <c r="A136" s="125" t="s">
        <v>565</v>
      </c>
      <c r="B136" s="125" t="s">
        <v>1225</v>
      </c>
      <c r="C136" s="382" t="s">
        <v>1226</v>
      </c>
      <c r="D136" s="383" t="s">
        <v>1227</v>
      </c>
      <c r="E136" s="384">
        <f t="shared" si="40"/>
        <v>0.23287671232876711</v>
      </c>
      <c r="F136" s="126" t="s">
        <v>1162</v>
      </c>
      <c r="G136" s="126" t="s">
        <v>1163</v>
      </c>
      <c r="H136" s="385">
        <f t="shared" si="38"/>
        <v>36.54</v>
      </c>
      <c r="I136" s="126">
        <v>100</v>
      </c>
      <c r="J136" s="385">
        <v>36.5</v>
      </c>
      <c r="K136" s="133">
        <v>3654</v>
      </c>
      <c r="L136" s="155">
        <v>44391</v>
      </c>
      <c r="M136" s="129">
        <f t="shared" si="14"/>
        <v>34.76</v>
      </c>
      <c r="N136" s="158">
        <v>34.799999999999997</v>
      </c>
      <c r="O136" s="386">
        <v>3476</v>
      </c>
      <c r="P136" s="125">
        <v>44580</v>
      </c>
      <c r="Q136" s="437">
        <v>44578</v>
      </c>
      <c r="R136" s="438">
        <v>15.93</v>
      </c>
      <c r="S136" s="439"/>
      <c r="T136" s="440">
        <f t="shared" si="36"/>
        <v>-178</v>
      </c>
      <c r="U136" s="441" t="str">
        <f t="shared" si="16"/>
        <v>100 BRNL</v>
      </c>
      <c r="V136" s="132">
        <f t="shared" si="17"/>
        <v>-193.93</v>
      </c>
      <c r="W136" s="389">
        <f t="shared" si="37"/>
        <v>-5.3073344280240832E-2</v>
      </c>
      <c r="X136" s="442">
        <f t="shared" si="19"/>
        <v>0</v>
      </c>
      <c r="Y136" s="391">
        <f t="shared" si="20"/>
        <v>6</v>
      </c>
      <c r="Z136" s="392">
        <f t="shared" si="21"/>
        <v>5</v>
      </c>
      <c r="AA136" s="389">
        <f t="shared" si="22"/>
        <v>-9.9960191337526871E-2</v>
      </c>
      <c r="AB136" s="125" t="s">
        <v>485</v>
      </c>
      <c r="AC136" s="98"/>
      <c r="AD136" s="98"/>
    </row>
    <row r="137" spans="1:30" ht="12.75" customHeight="1">
      <c r="A137" s="125" t="s">
        <v>499</v>
      </c>
      <c r="B137" s="125" t="s">
        <v>1228</v>
      </c>
      <c r="C137" s="382" t="s">
        <v>1201</v>
      </c>
      <c r="D137" s="383"/>
      <c r="E137" s="384"/>
      <c r="F137" s="126"/>
      <c r="G137" s="126"/>
      <c r="H137" s="385">
        <f t="shared" si="38"/>
        <v>259.27999999999997</v>
      </c>
      <c r="I137" s="126">
        <v>25</v>
      </c>
      <c r="J137" s="385">
        <v>259</v>
      </c>
      <c r="K137" s="133">
        <v>6482</v>
      </c>
      <c r="L137" s="155">
        <v>44299</v>
      </c>
      <c r="M137" s="129">
        <f t="shared" si="14"/>
        <v>270.24</v>
      </c>
      <c r="N137" s="158">
        <v>270.5</v>
      </c>
      <c r="O137" s="386">
        <v>6756</v>
      </c>
      <c r="P137" s="125">
        <v>44337</v>
      </c>
      <c r="Q137" s="437">
        <v>44335</v>
      </c>
      <c r="R137" s="438">
        <v>15.93</v>
      </c>
      <c r="S137" s="439"/>
      <c r="T137" s="440">
        <f t="shared" si="36"/>
        <v>274</v>
      </c>
      <c r="U137" s="441" t="str">
        <f t="shared" si="16"/>
        <v>25 BSOFT</v>
      </c>
      <c r="V137" s="132">
        <f t="shared" si="17"/>
        <v>258.07</v>
      </c>
      <c r="W137" s="389">
        <f t="shared" si="37"/>
        <v>3.9813329219376734E-2</v>
      </c>
      <c r="X137" s="442">
        <f t="shared" si="19"/>
        <v>0</v>
      </c>
      <c r="Y137" s="391">
        <f t="shared" si="20"/>
        <v>1</v>
      </c>
      <c r="Z137" s="392">
        <f t="shared" si="21"/>
        <v>8</v>
      </c>
      <c r="AA137" s="389">
        <f t="shared" si="22"/>
        <v>0.45499295217260749</v>
      </c>
      <c r="AB137" s="125" t="s">
        <v>485</v>
      </c>
      <c r="AC137" s="98"/>
      <c r="AD137" s="98"/>
    </row>
    <row r="138" spans="1:30" ht="12.75" customHeight="1">
      <c r="A138" s="125" t="s">
        <v>520</v>
      </c>
      <c r="B138" s="125" t="s">
        <v>1229</v>
      </c>
      <c r="C138" s="382" t="s">
        <v>1201</v>
      </c>
      <c r="D138" s="383" t="s">
        <v>1230</v>
      </c>
      <c r="E138" s="384" t="str">
        <f t="shared" ref="E138:E139" si="41">IFERROR(IF(D138="","",(D138-J138)/J138),"")</f>
        <v/>
      </c>
      <c r="F138" s="126" t="s">
        <v>1162</v>
      </c>
      <c r="G138" s="126" t="s">
        <v>1163</v>
      </c>
      <c r="H138" s="385">
        <f t="shared" si="38"/>
        <v>144.66999999999999</v>
      </c>
      <c r="I138" s="126">
        <v>100</v>
      </c>
      <c r="J138" s="385">
        <v>144.5</v>
      </c>
      <c r="K138" s="133">
        <v>14467</v>
      </c>
      <c r="L138" s="155">
        <v>44334</v>
      </c>
      <c r="M138" s="129">
        <f t="shared" si="14"/>
        <v>153.84</v>
      </c>
      <c r="N138" s="158">
        <v>154</v>
      </c>
      <c r="O138" s="386">
        <v>15384</v>
      </c>
      <c r="P138" s="125">
        <v>44344</v>
      </c>
      <c r="Q138" s="437">
        <v>44341</v>
      </c>
      <c r="R138" s="438">
        <v>15.93</v>
      </c>
      <c r="S138" s="439"/>
      <c r="T138" s="440">
        <f t="shared" si="36"/>
        <v>917</v>
      </c>
      <c r="U138" s="441" t="str">
        <f t="shared" si="16"/>
        <v>100 BURGERKING</v>
      </c>
      <c r="V138" s="132">
        <f t="shared" si="17"/>
        <v>901.07</v>
      </c>
      <c r="W138" s="389">
        <f t="shared" si="37"/>
        <v>6.2284509573512135E-2</v>
      </c>
      <c r="X138" s="442">
        <f t="shared" si="19"/>
        <v>0</v>
      </c>
      <c r="Y138" s="391">
        <f t="shared" si="20"/>
        <v>0</v>
      </c>
      <c r="Z138" s="392">
        <f t="shared" si="21"/>
        <v>10</v>
      </c>
      <c r="AA138" s="389">
        <f t="shared" si="22"/>
        <v>8.0738369808912651</v>
      </c>
      <c r="AB138" s="125" t="s">
        <v>485</v>
      </c>
      <c r="AC138" s="98"/>
      <c r="AD138" s="98"/>
    </row>
    <row r="139" spans="1:30" ht="12.75" customHeight="1">
      <c r="A139" s="126" t="s">
        <v>1231</v>
      </c>
      <c r="B139" s="125"/>
      <c r="C139" s="382"/>
      <c r="D139" s="383"/>
      <c r="E139" s="384" t="str">
        <f t="shared" si="41"/>
        <v/>
      </c>
      <c r="F139" s="126" t="s">
        <v>1159</v>
      </c>
      <c r="G139" s="126"/>
      <c r="H139" s="385">
        <f t="shared" si="38"/>
        <v>292</v>
      </c>
      <c r="I139" s="126">
        <v>51</v>
      </c>
      <c r="J139" s="385">
        <v>292</v>
      </c>
      <c r="K139" s="133">
        <v>14892</v>
      </c>
      <c r="L139" s="155">
        <v>44686</v>
      </c>
      <c r="M139" s="129">
        <f t="shared" si="14"/>
        <v>364.6275</v>
      </c>
      <c r="N139" s="158">
        <v>365</v>
      </c>
      <c r="O139" s="386">
        <v>18596</v>
      </c>
      <c r="P139" s="125">
        <v>44692</v>
      </c>
      <c r="Q139" s="437">
        <v>44690</v>
      </c>
      <c r="R139" s="438">
        <v>15.93</v>
      </c>
      <c r="S139" s="439"/>
      <c r="T139" s="440">
        <f t="shared" si="36"/>
        <v>3704</v>
      </c>
      <c r="U139" s="441" t="str">
        <f t="shared" si="16"/>
        <v>51 CAMPUS</v>
      </c>
      <c r="V139" s="132">
        <f t="shared" si="17"/>
        <v>3688.07</v>
      </c>
      <c r="W139" s="389">
        <f t="shared" si="37"/>
        <v>0.24765444533977976</v>
      </c>
      <c r="X139" s="442">
        <f t="shared" si="19"/>
        <v>0</v>
      </c>
      <c r="Y139" s="391">
        <f t="shared" si="20"/>
        <v>0</v>
      </c>
      <c r="Z139" s="392">
        <f t="shared" si="21"/>
        <v>6</v>
      </c>
      <c r="AA139" s="389">
        <f t="shared" si="22"/>
        <v>701030.7651114834</v>
      </c>
      <c r="AB139" s="125" t="s">
        <v>485</v>
      </c>
      <c r="AC139" s="98"/>
      <c r="AD139" s="98"/>
    </row>
    <row r="140" spans="1:30" ht="12.75" customHeight="1">
      <c r="A140" s="125" t="s">
        <v>484</v>
      </c>
      <c r="B140" s="125" t="s">
        <v>1164</v>
      </c>
      <c r="C140" s="382" t="s">
        <v>1201</v>
      </c>
      <c r="D140" s="383"/>
      <c r="E140" s="384"/>
      <c r="F140" s="126" t="s">
        <v>1159</v>
      </c>
      <c r="G140" s="126"/>
      <c r="H140" s="385">
        <v>1230</v>
      </c>
      <c r="I140" s="126">
        <v>12</v>
      </c>
      <c r="J140" s="385">
        <v>1230</v>
      </c>
      <c r="K140" s="133">
        <v>14760</v>
      </c>
      <c r="L140" s="155">
        <v>44103</v>
      </c>
      <c r="M140" s="129">
        <f t="shared" si="14"/>
        <v>1311.6183000000001</v>
      </c>
      <c r="N140" s="158">
        <v>1313</v>
      </c>
      <c r="O140" s="386">
        <v>15739.42</v>
      </c>
      <c r="P140" s="125">
        <v>44152</v>
      </c>
      <c r="Q140" s="437">
        <v>44148</v>
      </c>
      <c r="R140" s="438">
        <v>15.93</v>
      </c>
      <c r="S140" s="439"/>
      <c r="T140" s="440">
        <f t="shared" si="36"/>
        <v>979.42000000000007</v>
      </c>
      <c r="U140" s="441" t="str">
        <f t="shared" si="16"/>
        <v>12 CAMS</v>
      </c>
      <c r="V140" s="132">
        <f t="shared" si="17"/>
        <v>963.49000000000012</v>
      </c>
      <c r="W140" s="389">
        <f t="shared" si="37"/>
        <v>6.5277100271002725E-2</v>
      </c>
      <c r="X140" s="442">
        <f t="shared" si="19"/>
        <v>0</v>
      </c>
      <c r="Y140" s="391">
        <f t="shared" si="20"/>
        <v>1</v>
      </c>
      <c r="Z140" s="392">
        <f t="shared" si="21"/>
        <v>19</v>
      </c>
      <c r="AA140" s="389">
        <f t="shared" si="22"/>
        <v>0.60165244931410844</v>
      </c>
      <c r="AB140" s="125" t="s">
        <v>485</v>
      </c>
      <c r="AC140" s="98"/>
      <c r="AD140" s="98"/>
    </row>
    <row r="141" spans="1:30" ht="12" customHeight="1">
      <c r="A141" s="125" t="s">
        <v>611</v>
      </c>
      <c r="B141" s="125" t="s">
        <v>1232</v>
      </c>
      <c r="C141" s="382"/>
      <c r="D141" s="383">
        <v>240</v>
      </c>
      <c r="E141" s="384">
        <f t="shared" ref="E141:E145" si="42">IFERROR(IF(D141="","",(D141-J141)/J141),"")</f>
        <v>4.3478260869565216E-2</v>
      </c>
      <c r="F141" s="126" t="s">
        <v>1205</v>
      </c>
      <c r="G141" s="126" t="s">
        <v>1163</v>
      </c>
      <c r="H141" s="385">
        <f t="shared" ref="H141:H149" si="43">ROUND(K141/I141,4)</f>
        <v>230.28</v>
      </c>
      <c r="I141" s="126">
        <v>50</v>
      </c>
      <c r="J141" s="385">
        <v>230</v>
      </c>
      <c r="K141" s="133">
        <v>11514</v>
      </c>
      <c r="L141" s="155">
        <v>44649</v>
      </c>
      <c r="M141" s="129">
        <f t="shared" si="14"/>
        <v>238.26</v>
      </c>
      <c r="N141" s="158">
        <v>238.5</v>
      </c>
      <c r="O141" s="386">
        <v>11913</v>
      </c>
      <c r="P141" s="125">
        <v>44656</v>
      </c>
      <c r="Q141" s="437">
        <v>44652</v>
      </c>
      <c r="R141" s="438">
        <v>15.93</v>
      </c>
      <c r="S141" s="439"/>
      <c r="T141" s="440">
        <f t="shared" si="36"/>
        <v>399</v>
      </c>
      <c r="U141" s="441" t="str">
        <f t="shared" si="16"/>
        <v>50 CANBK</v>
      </c>
      <c r="V141" s="132">
        <f t="shared" si="17"/>
        <v>383.07</v>
      </c>
      <c r="W141" s="389">
        <f t="shared" si="37"/>
        <v>3.3269932256383535E-2</v>
      </c>
      <c r="X141" s="442">
        <f t="shared" si="19"/>
        <v>0</v>
      </c>
      <c r="Y141" s="391">
        <f t="shared" si="20"/>
        <v>0</v>
      </c>
      <c r="Z141" s="392">
        <f t="shared" si="21"/>
        <v>7</v>
      </c>
      <c r="AA141" s="389">
        <f t="shared" si="22"/>
        <v>4.5099507129909728</v>
      </c>
      <c r="AB141" s="125" t="s">
        <v>485</v>
      </c>
      <c r="AC141" s="98"/>
      <c r="AD141" s="98"/>
    </row>
    <row r="142" spans="1:30" ht="12" customHeight="1">
      <c r="A142" s="125" t="s">
        <v>614</v>
      </c>
      <c r="B142" s="125"/>
      <c r="C142" s="382"/>
      <c r="D142" s="383">
        <v>1050</v>
      </c>
      <c r="E142" s="384">
        <f t="shared" si="42"/>
        <v>0.33248730964467005</v>
      </c>
      <c r="F142" s="126" t="s">
        <v>1233</v>
      </c>
      <c r="G142" s="126"/>
      <c r="H142" s="385">
        <f t="shared" si="43"/>
        <v>789</v>
      </c>
      <c r="I142" s="126">
        <v>5</v>
      </c>
      <c r="J142" s="385">
        <v>788</v>
      </c>
      <c r="K142" s="133">
        <v>3945</v>
      </c>
      <c r="L142" s="155">
        <v>44652</v>
      </c>
      <c r="M142" s="129">
        <f t="shared" si="14"/>
        <v>849.2</v>
      </c>
      <c r="N142" s="158">
        <v>850</v>
      </c>
      <c r="O142" s="386">
        <v>4246</v>
      </c>
      <c r="P142" s="125">
        <v>44778</v>
      </c>
      <c r="Q142" s="437">
        <v>44776</v>
      </c>
      <c r="R142" s="438">
        <v>15.93</v>
      </c>
      <c r="S142" s="439"/>
      <c r="T142" s="440">
        <f t="shared" ref="T142:T144" si="44">IF(OR(O142="",K142=""),"",O142-K142)</f>
        <v>301</v>
      </c>
      <c r="U142" s="441" t="str">
        <f t="shared" si="16"/>
        <v>5 CARBORUNIN</v>
      </c>
      <c r="V142" s="132">
        <f t="shared" si="17"/>
        <v>285.07</v>
      </c>
      <c r="W142" s="389">
        <f t="shared" ref="W142:W144" si="45">IF(OR(K142="",V142=""),"",V142/K142)</f>
        <v>7.2261089987325722E-2</v>
      </c>
      <c r="X142" s="442">
        <f t="shared" si="19"/>
        <v>0</v>
      </c>
      <c r="Y142" s="391">
        <f t="shared" si="20"/>
        <v>4</v>
      </c>
      <c r="Z142" s="392">
        <f t="shared" si="21"/>
        <v>4</v>
      </c>
      <c r="AA142" s="389">
        <f t="shared" si="22"/>
        <v>0.22398302043343743</v>
      </c>
      <c r="AB142" s="125" t="s">
        <v>485</v>
      </c>
      <c r="AC142" s="98"/>
      <c r="AD142" s="98"/>
    </row>
    <row r="143" spans="1:30" ht="12.75" customHeight="1">
      <c r="A143" s="125" t="s">
        <v>614</v>
      </c>
      <c r="B143" s="125"/>
      <c r="C143" s="382"/>
      <c r="D143" s="383">
        <v>1050</v>
      </c>
      <c r="E143" s="384">
        <f t="shared" si="42"/>
        <v>0.33248730964467005</v>
      </c>
      <c r="F143" s="126" t="s">
        <v>1233</v>
      </c>
      <c r="G143" s="126"/>
      <c r="H143" s="385">
        <f t="shared" si="43"/>
        <v>788.9</v>
      </c>
      <c r="I143" s="126">
        <v>10</v>
      </c>
      <c r="J143" s="385">
        <v>788</v>
      </c>
      <c r="K143" s="133">
        <v>7889</v>
      </c>
      <c r="L143" s="155">
        <v>44652</v>
      </c>
      <c r="M143" s="129">
        <f t="shared" si="14"/>
        <v>819.2</v>
      </c>
      <c r="N143" s="158">
        <v>820</v>
      </c>
      <c r="O143" s="386">
        <v>8192</v>
      </c>
      <c r="P143" s="125">
        <v>44798</v>
      </c>
      <c r="Q143" s="437">
        <v>44796</v>
      </c>
      <c r="R143" s="438">
        <v>15.93</v>
      </c>
      <c r="S143" s="439"/>
      <c r="T143" s="440">
        <f t="shared" si="44"/>
        <v>303</v>
      </c>
      <c r="U143" s="441" t="str">
        <f t="shared" si="16"/>
        <v>10 CARBORUNIN</v>
      </c>
      <c r="V143" s="132">
        <f t="shared" si="17"/>
        <v>287.07</v>
      </c>
      <c r="W143" s="389">
        <f t="shared" si="45"/>
        <v>3.6388642413487132E-2</v>
      </c>
      <c r="X143" s="442">
        <f t="shared" si="19"/>
        <v>0</v>
      </c>
      <c r="Y143" s="391">
        <f t="shared" si="20"/>
        <v>4</v>
      </c>
      <c r="Z143" s="392">
        <f t="shared" si="21"/>
        <v>24</v>
      </c>
      <c r="AA143" s="389">
        <f t="shared" si="22"/>
        <v>9.3469345528722991E-2</v>
      </c>
      <c r="AB143" s="125" t="s">
        <v>485</v>
      </c>
      <c r="AC143" s="98"/>
      <c r="AD143" s="98"/>
    </row>
    <row r="144" spans="1:30" ht="12.75" customHeight="1">
      <c r="A144" s="125" t="s">
        <v>614</v>
      </c>
      <c r="B144" s="125"/>
      <c r="C144" s="382"/>
      <c r="D144" s="383">
        <v>1050</v>
      </c>
      <c r="E144" s="384">
        <f t="shared" si="42"/>
        <v>0.33248730964467005</v>
      </c>
      <c r="F144" s="126" t="s">
        <v>1233</v>
      </c>
      <c r="G144" s="126"/>
      <c r="H144" s="385">
        <f t="shared" si="43"/>
        <v>788.9</v>
      </c>
      <c r="I144" s="126">
        <v>10</v>
      </c>
      <c r="J144" s="385">
        <v>788</v>
      </c>
      <c r="K144" s="133">
        <v>7889</v>
      </c>
      <c r="L144" s="155">
        <v>44652</v>
      </c>
      <c r="M144" s="129">
        <f t="shared" si="14"/>
        <v>829.1</v>
      </c>
      <c r="N144" s="158">
        <v>830</v>
      </c>
      <c r="O144" s="386">
        <v>8291</v>
      </c>
      <c r="P144" s="125">
        <v>44799</v>
      </c>
      <c r="Q144" s="437">
        <v>44797</v>
      </c>
      <c r="R144" s="438">
        <v>15.93</v>
      </c>
      <c r="S144" s="439"/>
      <c r="T144" s="440">
        <f t="shared" si="44"/>
        <v>402</v>
      </c>
      <c r="U144" s="441" t="str">
        <f t="shared" si="16"/>
        <v>10 CARBORUNIN</v>
      </c>
      <c r="V144" s="132">
        <f t="shared" si="17"/>
        <v>386.07</v>
      </c>
      <c r="W144" s="389">
        <f t="shared" si="45"/>
        <v>4.8937761439979716E-2</v>
      </c>
      <c r="X144" s="442">
        <f t="shared" si="19"/>
        <v>0</v>
      </c>
      <c r="Y144" s="391">
        <f t="shared" si="20"/>
        <v>4</v>
      </c>
      <c r="Z144" s="392">
        <f t="shared" si="21"/>
        <v>25</v>
      </c>
      <c r="AA144" s="389">
        <f t="shared" si="22"/>
        <v>0.12595598568552346</v>
      </c>
      <c r="AB144" s="125" t="s">
        <v>485</v>
      </c>
      <c r="AC144" s="98"/>
      <c r="AD144" s="98"/>
    </row>
    <row r="145" spans="1:30" ht="12.75" customHeight="1">
      <c r="A145" s="125" t="s">
        <v>505</v>
      </c>
      <c r="B145" s="125" t="s">
        <v>1234</v>
      </c>
      <c r="C145" s="382" t="s">
        <v>1201</v>
      </c>
      <c r="D145" s="383">
        <v>630</v>
      </c>
      <c r="E145" s="384">
        <f t="shared" si="42"/>
        <v>0.12701252236135957</v>
      </c>
      <c r="F145" s="126" t="s">
        <v>1154</v>
      </c>
      <c r="G145" s="126" t="s">
        <v>1208</v>
      </c>
      <c r="H145" s="385">
        <f t="shared" si="43"/>
        <v>559.65</v>
      </c>
      <c r="I145" s="126">
        <v>20</v>
      </c>
      <c r="J145" s="385">
        <v>559</v>
      </c>
      <c r="K145" s="133">
        <v>11193</v>
      </c>
      <c r="L145" s="155">
        <v>44316</v>
      </c>
      <c r="M145" s="129">
        <f t="shared" si="14"/>
        <v>583.4</v>
      </c>
      <c r="N145" s="158">
        <v>584</v>
      </c>
      <c r="O145" s="386">
        <v>11668</v>
      </c>
      <c r="P145" s="125">
        <v>44322</v>
      </c>
      <c r="Q145" s="437">
        <v>44320</v>
      </c>
      <c r="R145" s="438">
        <v>15.93</v>
      </c>
      <c r="S145" s="439"/>
      <c r="T145" s="440">
        <f t="shared" ref="T145:T166" si="46">IF(O145="","",O145-K145)</f>
        <v>475</v>
      </c>
      <c r="U145" s="441" t="str">
        <f t="shared" si="16"/>
        <v>20 CARBORUNIV</v>
      </c>
      <c r="V145" s="132">
        <f t="shared" si="17"/>
        <v>459.07</v>
      </c>
      <c r="W145" s="389">
        <f t="shared" ref="W145:W166" si="47">IF(M145=0,"",V145/K145)</f>
        <v>4.1014026623782722E-2</v>
      </c>
      <c r="X145" s="442">
        <f t="shared" si="19"/>
        <v>0</v>
      </c>
      <c r="Y145" s="391">
        <f t="shared" si="20"/>
        <v>0</v>
      </c>
      <c r="Z145" s="392">
        <f t="shared" si="21"/>
        <v>6</v>
      </c>
      <c r="AA145" s="389">
        <f t="shared" si="22"/>
        <v>10.532992910916949</v>
      </c>
      <c r="AB145" s="125" t="s">
        <v>485</v>
      </c>
      <c r="AC145" s="98"/>
      <c r="AD145" s="98"/>
    </row>
    <row r="146" spans="1:30" ht="12.75" customHeight="1">
      <c r="A146" s="125" t="s">
        <v>505</v>
      </c>
      <c r="B146" s="125" t="s">
        <v>1234</v>
      </c>
      <c r="C146" s="382" t="s">
        <v>1201</v>
      </c>
      <c r="D146" s="383" t="s">
        <v>1235</v>
      </c>
      <c r="E146" s="384">
        <v>0.12701252236135957</v>
      </c>
      <c r="F146" s="126" t="s">
        <v>1154</v>
      </c>
      <c r="G146" s="126" t="s">
        <v>1155</v>
      </c>
      <c r="H146" s="385">
        <f t="shared" si="43"/>
        <v>635.76</v>
      </c>
      <c r="I146" s="126">
        <v>25</v>
      </c>
      <c r="J146" s="385">
        <v>635</v>
      </c>
      <c r="K146" s="133">
        <v>15894</v>
      </c>
      <c r="L146" s="155">
        <v>44378</v>
      </c>
      <c r="M146" s="129">
        <f t="shared" si="14"/>
        <v>660.32</v>
      </c>
      <c r="N146" s="158">
        <v>661</v>
      </c>
      <c r="O146" s="386">
        <v>16508</v>
      </c>
      <c r="P146" s="125">
        <v>44383</v>
      </c>
      <c r="Q146" s="437">
        <v>44379</v>
      </c>
      <c r="R146" s="438">
        <v>15.93</v>
      </c>
      <c r="S146" s="439"/>
      <c r="T146" s="440">
        <f t="shared" si="46"/>
        <v>614</v>
      </c>
      <c r="U146" s="441" t="str">
        <f t="shared" si="16"/>
        <v>25 CARBORUNIV</v>
      </c>
      <c r="V146" s="132">
        <f t="shared" si="17"/>
        <v>598.07000000000005</v>
      </c>
      <c r="W146" s="389">
        <f t="shared" si="47"/>
        <v>3.7628664904995598E-2</v>
      </c>
      <c r="X146" s="442">
        <f t="shared" si="19"/>
        <v>0</v>
      </c>
      <c r="Y146" s="391">
        <f t="shared" si="20"/>
        <v>0</v>
      </c>
      <c r="Z146" s="392">
        <f t="shared" si="21"/>
        <v>5</v>
      </c>
      <c r="AA146" s="389">
        <f t="shared" si="22"/>
        <v>13.827336315044185</v>
      </c>
      <c r="AB146" s="125" t="s">
        <v>485</v>
      </c>
      <c r="AC146" s="98"/>
      <c r="AD146" s="98"/>
    </row>
    <row r="147" spans="1:30" ht="12.75" customHeight="1">
      <c r="A147" s="125" t="s">
        <v>576</v>
      </c>
      <c r="B147" s="125" t="s">
        <v>1236</v>
      </c>
      <c r="C147" s="382" t="s">
        <v>1165</v>
      </c>
      <c r="D147" s="383"/>
      <c r="E147" s="384" t="str">
        <f t="shared" ref="E147:E149" si="48">IFERROR(IF(D147="","",(D147-J147)/J147),"")</f>
        <v/>
      </c>
      <c r="F147" s="126" t="s">
        <v>1145</v>
      </c>
      <c r="G147" s="126"/>
      <c r="H147" s="385">
        <f t="shared" si="43"/>
        <v>1211.4000000000001</v>
      </c>
      <c r="I147" s="126">
        <v>5</v>
      </c>
      <c r="J147" s="385">
        <v>1210</v>
      </c>
      <c r="K147" s="133">
        <v>6057</v>
      </c>
      <c r="L147" s="155">
        <v>44445</v>
      </c>
      <c r="M147" s="129">
        <f t="shared" si="14"/>
        <v>1464.4</v>
      </c>
      <c r="N147" s="158">
        <v>1466</v>
      </c>
      <c r="O147" s="386">
        <v>7322</v>
      </c>
      <c r="P147" s="125">
        <v>44516</v>
      </c>
      <c r="Q147" s="437">
        <v>44512</v>
      </c>
      <c r="R147" s="438">
        <f>15.93+15.93+15.93</f>
        <v>47.79</v>
      </c>
      <c r="S147" s="439">
        <v>45</v>
      </c>
      <c r="T147" s="440">
        <f t="shared" si="46"/>
        <v>1265</v>
      </c>
      <c r="U147" s="441" t="str">
        <f t="shared" si="16"/>
        <v>5 CDSL</v>
      </c>
      <c r="V147" s="132">
        <f t="shared" si="17"/>
        <v>1262.21</v>
      </c>
      <c r="W147" s="389">
        <f t="shared" si="47"/>
        <v>0.20838864124153872</v>
      </c>
      <c r="X147" s="442">
        <f t="shared" si="19"/>
        <v>0</v>
      </c>
      <c r="Y147" s="391">
        <f t="shared" si="20"/>
        <v>2</v>
      </c>
      <c r="Z147" s="392">
        <f t="shared" si="21"/>
        <v>10</v>
      </c>
      <c r="AA147" s="389">
        <f t="shared" si="22"/>
        <v>1.6461324011083245</v>
      </c>
      <c r="AB147" s="125" t="s">
        <v>485</v>
      </c>
      <c r="AC147" s="98"/>
      <c r="AD147" s="98"/>
    </row>
    <row r="148" spans="1:30" ht="12.75" customHeight="1">
      <c r="A148" s="125" t="s">
        <v>576</v>
      </c>
      <c r="B148" s="125" t="s">
        <v>1236</v>
      </c>
      <c r="C148" s="382" t="s">
        <v>1165</v>
      </c>
      <c r="D148" s="383"/>
      <c r="E148" s="384" t="str">
        <f t="shared" si="48"/>
        <v/>
      </c>
      <c r="F148" s="126" t="s">
        <v>1145</v>
      </c>
      <c r="G148" s="126"/>
      <c r="H148" s="385">
        <f t="shared" si="43"/>
        <v>1451.8</v>
      </c>
      <c r="I148" s="126">
        <v>5</v>
      </c>
      <c r="J148" s="385">
        <v>1450</v>
      </c>
      <c r="K148" s="133">
        <v>7259</v>
      </c>
      <c r="L148" s="155">
        <v>44510</v>
      </c>
      <c r="M148" s="129">
        <f t="shared" si="14"/>
        <v>1464.6</v>
      </c>
      <c r="N148" s="158">
        <v>1466</v>
      </c>
      <c r="O148" s="386">
        <v>7323</v>
      </c>
      <c r="P148" s="125">
        <v>44516</v>
      </c>
      <c r="Q148" s="437">
        <v>44512</v>
      </c>
      <c r="R148" s="438"/>
      <c r="S148" s="439"/>
      <c r="T148" s="440">
        <f t="shared" si="46"/>
        <v>64</v>
      </c>
      <c r="U148" s="441" t="str">
        <f t="shared" si="16"/>
        <v>5 CDSL</v>
      </c>
      <c r="V148" s="132">
        <f t="shared" si="17"/>
        <v>64</v>
      </c>
      <c r="W148" s="389">
        <f t="shared" si="47"/>
        <v>8.8166414106626255E-3</v>
      </c>
      <c r="X148" s="442">
        <f t="shared" si="19"/>
        <v>0</v>
      </c>
      <c r="Y148" s="391">
        <f t="shared" si="20"/>
        <v>0</v>
      </c>
      <c r="Z148" s="392">
        <f t="shared" si="21"/>
        <v>6</v>
      </c>
      <c r="AA148" s="389">
        <f t="shared" si="22"/>
        <v>0.70573330307583992</v>
      </c>
      <c r="AB148" s="125" t="s">
        <v>485</v>
      </c>
      <c r="AC148" s="98"/>
      <c r="AD148" s="98"/>
    </row>
    <row r="149" spans="1:30" ht="12.75" customHeight="1">
      <c r="A149" s="125" t="s">
        <v>576</v>
      </c>
      <c r="B149" s="125" t="s">
        <v>1236</v>
      </c>
      <c r="C149" s="382" t="s">
        <v>1165</v>
      </c>
      <c r="D149" s="383"/>
      <c r="E149" s="384" t="str">
        <f t="shared" si="48"/>
        <v/>
      </c>
      <c r="F149" s="126" t="s">
        <v>1145</v>
      </c>
      <c r="G149" s="126"/>
      <c r="H149" s="385">
        <f t="shared" si="43"/>
        <v>1497</v>
      </c>
      <c r="I149" s="126">
        <v>2</v>
      </c>
      <c r="J149" s="385">
        <v>1495</v>
      </c>
      <c r="K149" s="133">
        <v>2994</v>
      </c>
      <c r="L149" s="155">
        <v>44561</v>
      </c>
      <c r="M149" s="129">
        <f t="shared" si="14"/>
        <v>1558.5</v>
      </c>
      <c r="N149" s="158">
        <v>1560</v>
      </c>
      <c r="O149" s="386">
        <v>3117</v>
      </c>
      <c r="P149" s="125">
        <v>44636</v>
      </c>
      <c r="Q149" s="437">
        <v>44634</v>
      </c>
      <c r="R149" s="438">
        <v>15.93</v>
      </c>
      <c r="S149" s="439"/>
      <c r="T149" s="440">
        <f t="shared" si="46"/>
        <v>123</v>
      </c>
      <c r="U149" s="441" t="str">
        <f t="shared" si="16"/>
        <v>2 CDSL</v>
      </c>
      <c r="V149" s="132">
        <f t="shared" si="17"/>
        <v>107.07</v>
      </c>
      <c r="W149" s="389">
        <f t="shared" si="47"/>
        <v>3.5761523046092182E-2</v>
      </c>
      <c r="X149" s="442">
        <f t="shared" si="19"/>
        <v>0</v>
      </c>
      <c r="Y149" s="391">
        <f t="shared" si="20"/>
        <v>2</v>
      </c>
      <c r="Z149" s="392">
        <f t="shared" si="21"/>
        <v>13</v>
      </c>
      <c r="AA149" s="389">
        <f t="shared" si="22"/>
        <v>0.18649040792590621</v>
      </c>
      <c r="AB149" s="125" t="s">
        <v>485</v>
      </c>
      <c r="AC149" s="98"/>
      <c r="AD149" s="98"/>
    </row>
    <row r="150" spans="1:30" ht="12.75" customHeight="1">
      <c r="A150" s="125" t="s">
        <v>482</v>
      </c>
      <c r="B150" s="125" t="s">
        <v>1237</v>
      </c>
      <c r="C150" s="382" t="s">
        <v>1201</v>
      </c>
      <c r="D150" s="383"/>
      <c r="E150" s="384"/>
      <c r="F150" s="126"/>
      <c r="G150" s="126"/>
      <c r="H150" s="385">
        <f>132.3536/2</f>
        <v>66.1768</v>
      </c>
      <c r="I150" s="126">
        <v>50</v>
      </c>
      <c r="J150" s="385">
        <f>131.6/2</f>
        <v>65.8</v>
      </c>
      <c r="K150" s="133">
        <v>3308.84</v>
      </c>
      <c r="L150" s="155">
        <v>41205</v>
      </c>
      <c r="M150" s="129">
        <f t="shared" si="14"/>
        <v>96.81</v>
      </c>
      <c r="N150" s="158">
        <v>97.5</v>
      </c>
      <c r="O150" s="386">
        <v>4840.5</v>
      </c>
      <c r="P150" s="125">
        <v>43117</v>
      </c>
      <c r="Q150" s="437">
        <v>43115</v>
      </c>
      <c r="R150" s="438">
        <v>24.78</v>
      </c>
      <c r="S150" s="439">
        <f>20+20+20+20+20+20+20+75+87.5</f>
        <v>302.5</v>
      </c>
      <c r="T150" s="440">
        <f t="shared" si="46"/>
        <v>1531.6599999999999</v>
      </c>
      <c r="U150" s="441" t="str">
        <f t="shared" si="16"/>
        <v>50 CGPOWER</v>
      </c>
      <c r="V150" s="132">
        <f t="shared" si="17"/>
        <v>1809.3799999999999</v>
      </c>
      <c r="W150" s="389">
        <f t="shared" si="47"/>
        <v>0.54683212243565715</v>
      </c>
      <c r="X150" s="442">
        <f t="shared" si="19"/>
        <v>5</v>
      </c>
      <c r="Y150" s="391">
        <f t="shared" si="20"/>
        <v>2</v>
      </c>
      <c r="Z150" s="392">
        <f t="shared" si="21"/>
        <v>25</v>
      </c>
      <c r="AA150" s="389">
        <f t="shared" si="22"/>
        <v>8.6837523607971701E-2</v>
      </c>
      <c r="AB150" s="125" t="s">
        <v>460</v>
      </c>
      <c r="AC150" s="98"/>
      <c r="AD150" s="98"/>
    </row>
    <row r="151" spans="1:30" ht="12.75" customHeight="1">
      <c r="A151" s="125" t="s">
        <v>500</v>
      </c>
      <c r="B151" s="125" t="s">
        <v>1238</v>
      </c>
      <c r="C151" s="382" t="s">
        <v>1158</v>
      </c>
      <c r="D151" s="383"/>
      <c r="E151" s="384"/>
      <c r="F151" s="126"/>
      <c r="G151" s="126"/>
      <c r="H151" s="385">
        <f t="shared" ref="H151:H155" si="49">ROUND(K151/I151,4)</f>
        <v>512.24</v>
      </c>
      <c r="I151" s="126">
        <v>25</v>
      </c>
      <c r="J151" s="385">
        <v>511.6</v>
      </c>
      <c r="K151" s="133">
        <v>12806</v>
      </c>
      <c r="L151" s="155">
        <v>44299</v>
      </c>
      <c r="M151" s="129">
        <f t="shared" si="14"/>
        <v>551.16</v>
      </c>
      <c r="N151" s="158">
        <v>551.75</v>
      </c>
      <c r="O151" s="386">
        <v>13779</v>
      </c>
      <c r="P151" s="125">
        <v>44312</v>
      </c>
      <c r="Q151" s="437">
        <v>44308</v>
      </c>
      <c r="R151" s="438">
        <v>15.93</v>
      </c>
      <c r="S151" s="439"/>
      <c r="T151" s="440">
        <f t="shared" si="46"/>
        <v>973</v>
      </c>
      <c r="U151" s="441" t="str">
        <f t="shared" si="16"/>
        <v>25 CHOLAFIN</v>
      </c>
      <c r="V151" s="132">
        <f t="shared" si="17"/>
        <v>957.07</v>
      </c>
      <c r="W151" s="389">
        <f t="shared" si="47"/>
        <v>7.4736061221302524E-2</v>
      </c>
      <c r="X151" s="442">
        <f t="shared" si="19"/>
        <v>0</v>
      </c>
      <c r="Y151" s="391">
        <f t="shared" si="20"/>
        <v>0</v>
      </c>
      <c r="Z151" s="392">
        <f t="shared" si="21"/>
        <v>13</v>
      </c>
      <c r="AA151" s="389">
        <f t="shared" si="22"/>
        <v>6.5658691733370169</v>
      </c>
      <c r="AB151" s="125" t="s">
        <v>485</v>
      </c>
      <c r="AC151" s="98"/>
      <c r="AD151" s="98"/>
    </row>
    <row r="152" spans="1:30" ht="12.75" customHeight="1">
      <c r="A152" s="125" t="s">
        <v>500</v>
      </c>
      <c r="B152" s="125" t="s">
        <v>1238</v>
      </c>
      <c r="C152" s="382" t="s">
        <v>1158</v>
      </c>
      <c r="D152" s="383"/>
      <c r="E152" s="384"/>
      <c r="F152" s="126" t="s">
        <v>1239</v>
      </c>
      <c r="G152" s="126"/>
      <c r="H152" s="385">
        <f t="shared" si="49"/>
        <v>525.6</v>
      </c>
      <c r="I152" s="126">
        <v>5</v>
      </c>
      <c r="J152" s="385">
        <v>525</v>
      </c>
      <c r="K152" s="133">
        <v>2628</v>
      </c>
      <c r="L152" s="155">
        <v>44328</v>
      </c>
      <c r="M152" s="129">
        <f t="shared" si="14"/>
        <v>548.4</v>
      </c>
      <c r="N152" s="158">
        <v>549</v>
      </c>
      <c r="O152" s="386">
        <v>2742</v>
      </c>
      <c r="P152" s="125">
        <v>44337</v>
      </c>
      <c r="Q152" s="437">
        <v>44335</v>
      </c>
      <c r="R152" s="438">
        <v>15.93</v>
      </c>
      <c r="S152" s="439"/>
      <c r="T152" s="440">
        <f t="shared" si="46"/>
        <v>114</v>
      </c>
      <c r="U152" s="441" t="str">
        <f t="shared" si="16"/>
        <v>5 CHOLAFIN</v>
      </c>
      <c r="V152" s="132">
        <f t="shared" si="17"/>
        <v>98.07</v>
      </c>
      <c r="W152" s="389">
        <f t="shared" si="47"/>
        <v>3.7317351598173516E-2</v>
      </c>
      <c r="X152" s="442">
        <f t="shared" si="19"/>
        <v>0</v>
      </c>
      <c r="Y152" s="391">
        <f t="shared" si="20"/>
        <v>0</v>
      </c>
      <c r="Z152" s="392">
        <f t="shared" si="21"/>
        <v>9</v>
      </c>
      <c r="AA152" s="389">
        <f t="shared" si="22"/>
        <v>3.4188117887623157</v>
      </c>
      <c r="AB152" s="125" t="s">
        <v>485</v>
      </c>
      <c r="AC152" s="98"/>
      <c r="AD152" s="98"/>
    </row>
    <row r="153" spans="1:30" ht="12.75" customHeight="1">
      <c r="A153" s="125" t="s">
        <v>500</v>
      </c>
      <c r="B153" s="125" t="s">
        <v>1238</v>
      </c>
      <c r="C153" s="382" t="s">
        <v>1158</v>
      </c>
      <c r="D153" s="383"/>
      <c r="E153" s="384"/>
      <c r="F153" s="126" t="s">
        <v>1239</v>
      </c>
      <c r="G153" s="126"/>
      <c r="H153" s="385">
        <f t="shared" si="49"/>
        <v>575.6</v>
      </c>
      <c r="I153" s="126">
        <v>10</v>
      </c>
      <c r="J153" s="385">
        <v>574.9</v>
      </c>
      <c r="K153" s="133">
        <v>5756</v>
      </c>
      <c r="L153" s="155">
        <v>44322</v>
      </c>
      <c r="M153" s="129">
        <f t="shared" si="14"/>
        <v>554.6</v>
      </c>
      <c r="N153" s="158">
        <v>555.20000000000005</v>
      </c>
      <c r="O153" s="386">
        <v>5546</v>
      </c>
      <c r="P153" s="125">
        <v>44340</v>
      </c>
      <c r="Q153" s="437">
        <v>44336</v>
      </c>
      <c r="R153" s="438">
        <v>15.93</v>
      </c>
      <c r="S153" s="439"/>
      <c r="T153" s="440">
        <f t="shared" si="46"/>
        <v>-210</v>
      </c>
      <c r="U153" s="441" t="str">
        <f t="shared" si="16"/>
        <v>10 CHOLAFIN</v>
      </c>
      <c r="V153" s="132">
        <f t="shared" si="17"/>
        <v>-225.93</v>
      </c>
      <c r="W153" s="389">
        <f t="shared" si="47"/>
        <v>-3.9251216122307156E-2</v>
      </c>
      <c r="X153" s="442">
        <f t="shared" si="19"/>
        <v>0</v>
      </c>
      <c r="Y153" s="391">
        <f t="shared" si="20"/>
        <v>0</v>
      </c>
      <c r="Z153" s="392">
        <f t="shared" si="21"/>
        <v>18</v>
      </c>
      <c r="AA153" s="389">
        <f t="shared" si="22"/>
        <v>-0.55601707399631906</v>
      </c>
      <c r="AB153" s="125" t="s">
        <v>485</v>
      </c>
      <c r="AC153" s="98"/>
      <c r="AD153" s="98"/>
    </row>
    <row r="154" spans="1:30" ht="12.75" customHeight="1">
      <c r="A154" s="125" t="s">
        <v>500</v>
      </c>
      <c r="B154" s="125" t="s">
        <v>1238</v>
      </c>
      <c r="C154" s="382" t="s">
        <v>1158</v>
      </c>
      <c r="D154" s="383"/>
      <c r="E154" s="384"/>
      <c r="F154" s="126" t="s">
        <v>1145</v>
      </c>
      <c r="G154" s="126"/>
      <c r="H154" s="385">
        <f t="shared" si="49"/>
        <v>550.66669999999999</v>
      </c>
      <c r="I154" s="126">
        <v>30</v>
      </c>
      <c r="J154" s="385">
        <v>550</v>
      </c>
      <c r="K154" s="133">
        <v>16520</v>
      </c>
      <c r="L154" s="155">
        <v>44341</v>
      </c>
      <c r="M154" s="129">
        <f t="shared" si="14"/>
        <v>577.4</v>
      </c>
      <c r="N154" s="158">
        <v>578</v>
      </c>
      <c r="O154" s="386">
        <v>17322</v>
      </c>
      <c r="P154" s="125">
        <v>44356</v>
      </c>
      <c r="Q154" s="437">
        <v>44354</v>
      </c>
      <c r="R154" s="438">
        <v>15.93</v>
      </c>
      <c r="S154" s="439"/>
      <c r="T154" s="440">
        <f t="shared" si="46"/>
        <v>802</v>
      </c>
      <c r="U154" s="441" t="str">
        <f t="shared" si="16"/>
        <v>30 CHOLAFIN</v>
      </c>
      <c r="V154" s="132">
        <f t="shared" si="17"/>
        <v>786.07</v>
      </c>
      <c r="W154" s="389">
        <f t="shared" si="47"/>
        <v>4.7582929782082325E-2</v>
      </c>
      <c r="X154" s="442">
        <f t="shared" si="19"/>
        <v>0</v>
      </c>
      <c r="Y154" s="391">
        <f t="shared" si="20"/>
        <v>0</v>
      </c>
      <c r="Z154" s="392">
        <f t="shared" si="21"/>
        <v>15</v>
      </c>
      <c r="AA154" s="389">
        <f t="shared" si="22"/>
        <v>2.0992127071611977</v>
      </c>
      <c r="AB154" s="125" t="s">
        <v>485</v>
      </c>
      <c r="AC154" s="98"/>
      <c r="AD154" s="98"/>
    </row>
    <row r="155" spans="1:30" ht="12.75" customHeight="1">
      <c r="A155" s="125" t="s">
        <v>500</v>
      </c>
      <c r="B155" s="125" t="s">
        <v>1238</v>
      </c>
      <c r="C155" s="382" t="s">
        <v>1158</v>
      </c>
      <c r="D155" s="383"/>
      <c r="E155" s="384" t="str">
        <f>IFERROR(IF(D155="","",(D155-J155)/J155),"")</f>
        <v/>
      </c>
      <c r="F155" s="126" t="s">
        <v>1145</v>
      </c>
      <c r="G155" s="126"/>
      <c r="H155" s="385">
        <f t="shared" si="49"/>
        <v>566.17999999999995</v>
      </c>
      <c r="I155" s="126">
        <v>50</v>
      </c>
      <c r="J155" s="385">
        <v>565.5</v>
      </c>
      <c r="K155" s="133">
        <v>28309</v>
      </c>
      <c r="L155" s="155">
        <v>44357</v>
      </c>
      <c r="M155" s="129">
        <f t="shared" si="14"/>
        <v>581.4</v>
      </c>
      <c r="N155" s="158">
        <v>582</v>
      </c>
      <c r="O155" s="386">
        <v>29070</v>
      </c>
      <c r="P155" s="125">
        <v>44454</v>
      </c>
      <c r="Q155" s="437">
        <v>44452</v>
      </c>
      <c r="R155" s="438">
        <v>15.93</v>
      </c>
      <c r="S155" s="439">
        <v>35</v>
      </c>
      <c r="T155" s="440">
        <f t="shared" si="46"/>
        <v>761</v>
      </c>
      <c r="U155" s="441" t="str">
        <f t="shared" si="16"/>
        <v>50 CHOLAFIN</v>
      </c>
      <c r="V155" s="132">
        <f t="shared" si="17"/>
        <v>780.07</v>
      </c>
      <c r="W155" s="389">
        <f t="shared" si="47"/>
        <v>2.7555547705676642E-2</v>
      </c>
      <c r="X155" s="442">
        <f t="shared" si="19"/>
        <v>0</v>
      </c>
      <c r="Y155" s="391">
        <f t="shared" si="20"/>
        <v>3</v>
      </c>
      <c r="Z155" s="392">
        <f t="shared" si="21"/>
        <v>5</v>
      </c>
      <c r="AA155" s="389">
        <f t="shared" si="22"/>
        <v>0.10769969583834715</v>
      </c>
      <c r="AB155" s="125" t="s">
        <v>485</v>
      </c>
      <c r="AC155" s="98"/>
      <c r="AD155" s="98"/>
    </row>
    <row r="156" spans="1:30" ht="12.75" customHeight="1">
      <c r="A156" s="125" t="s">
        <v>473</v>
      </c>
      <c r="B156" s="125" t="s">
        <v>1240</v>
      </c>
      <c r="C156" s="382" t="s">
        <v>1201</v>
      </c>
      <c r="D156" s="383"/>
      <c r="E156" s="384"/>
      <c r="F156" s="126"/>
      <c r="G156" s="126"/>
      <c r="H156" s="385">
        <v>276.26</v>
      </c>
      <c r="I156" s="126">
        <v>50</v>
      </c>
      <c r="J156" s="385">
        <v>279.11949960000004</v>
      </c>
      <c r="K156" s="133">
        <v>13813</v>
      </c>
      <c r="L156" s="155">
        <v>38850</v>
      </c>
      <c r="M156" s="129">
        <f t="shared" si="14"/>
        <v>354.33460000000002</v>
      </c>
      <c r="N156" s="158">
        <v>356.35</v>
      </c>
      <c r="O156" s="386">
        <v>17716.73</v>
      </c>
      <c r="P156" s="125">
        <v>41124</v>
      </c>
      <c r="Q156" s="437">
        <v>41122</v>
      </c>
      <c r="R156" s="438">
        <v>6</v>
      </c>
      <c r="S156" s="439">
        <f>6+100+100+100+40</f>
        <v>346</v>
      </c>
      <c r="T156" s="440">
        <f t="shared" si="46"/>
        <v>3903.7299999999996</v>
      </c>
      <c r="U156" s="441" t="str">
        <f t="shared" si="16"/>
        <v>50 CIPLA</v>
      </c>
      <c r="V156" s="132">
        <f t="shared" si="17"/>
        <v>4243.7299999999996</v>
      </c>
      <c r="W156" s="389">
        <f t="shared" si="47"/>
        <v>0.30722724969231879</v>
      </c>
      <c r="X156" s="442">
        <f t="shared" si="19"/>
        <v>6</v>
      </c>
      <c r="Y156" s="391">
        <f t="shared" si="20"/>
        <v>2</v>
      </c>
      <c r="Z156" s="392">
        <f t="shared" si="21"/>
        <v>21</v>
      </c>
      <c r="AA156" s="389">
        <f t="shared" si="22"/>
        <v>4.3939972686319217E-2</v>
      </c>
      <c r="AB156" s="125" t="s">
        <v>460</v>
      </c>
      <c r="AC156" s="98"/>
      <c r="AD156" s="98"/>
    </row>
    <row r="157" spans="1:30" ht="12.75" customHeight="1">
      <c r="A157" s="125" t="s">
        <v>473</v>
      </c>
      <c r="B157" s="125"/>
      <c r="C157" s="382"/>
      <c r="D157" s="383">
        <v>952</v>
      </c>
      <c r="E157" s="384">
        <f>IFERROR(IF(D157="","",(D157-J157)/J157),"")</f>
        <v>2.6099022651459254E-2</v>
      </c>
      <c r="F157" s="126" t="s">
        <v>1154</v>
      </c>
      <c r="G157" s="126" t="s">
        <v>937</v>
      </c>
      <c r="H157" s="385">
        <f>ROUND(K157/I157,4)</f>
        <v>928.88570000000004</v>
      </c>
      <c r="I157" s="126">
        <v>70</v>
      </c>
      <c r="J157" s="385">
        <v>927.78570000000002</v>
      </c>
      <c r="K157" s="133">
        <v>65022</v>
      </c>
      <c r="L157" s="155">
        <v>44574</v>
      </c>
      <c r="M157" s="129">
        <f t="shared" si="14"/>
        <v>937.02859999999998</v>
      </c>
      <c r="N157" s="158">
        <v>938</v>
      </c>
      <c r="O157" s="386">
        <v>65592</v>
      </c>
      <c r="P157" s="125">
        <v>44593</v>
      </c>
      <c r="Q157" s="437">
        <v>44589</v>
      </c>
      <c r="R157" s="438">
        <v>15.93</v>
      </c>
      <c r="S157" s="439"/>
      <c r="T157" s="440">
        <f t="shared" si="46"/>
        <v>570</v>
      </c>
      <c r="U157" s="441" t="str">
        <f t="shared" si="16"/>
        <v>70 CIPLA</v>
      </c>
      <c r="V157" s="132">
        <f t="shared" si="17"/>
        <v>554.07000000000005</v>
      </c>
      <c r="W157" s="389">
        <f t="shared" si="47"/>
        <v>8.5212697240933839E-3</v>
      </c>
      <c r="X157" s="442">
        <f t="shared" si="19"/>
        <v>0</v>
      </c>
      <c r="Y157" s="391">
        <f t="shared" si="20"/>
        <v>0</v>
      </c>
      <c r="Z157" s="392">
        <f t="shared" si="21"/>
        <v>19</v>
      </c>
      <c r="AA157" s="389">
        <f t="shared" si="22"/>
        <v>0.1770420517475606</v>
      </c>
      <c r="AB157" s="125" t="s">
        <v>485</v>
      </c>
      <c r="AC157" s="98"/>
      <c r="AD157" s="98"/>
    </row>
    <row r="158" spans="1:30" ht="12.75" customHeight="1">
      <c r="A158" s="125" t="s">
        <v>465</v>
      </c>
      <c r="B158" s="125" t="s">
        <v>1052</v>
      </c>
      <c r="C158" s="382" t="s">
        <v>1201</v>
      </c>
      <c r="D158" s="383"/>
      <c r="E158" s="384"/>
      <c r="F158" s="126"/>
      <c r="G158" s="126"/>
      <c r="H158" s="385">
        <v>117.28</v>
      </c>
      <c r="I158" s="126">
        <v>50</v>
      </c>
      <c r="J158" s="385">
        <v>118.77178800000002</v>
      </c>
      <c r="K158" s="133">
        <v>5864</v>
      </c>
      <c r="L158" s="155">
        <v>38869</v>
      </c>
      <c r="M158" s="129">
        <f t="shared" si="14"/>
        <v>35.150799999999997</v>
      </c>
      <c r="N158" s="158">
        <v>35.35</v>
      </c>
      <c r="O158" s="386">
        <v>1757.54</v>
      </c>
      <c r="P158" s="125">
        <v>40995</v>
      </c>
      <c r="Q158" s="437">
        <v>40991</v>
      </c>
      <c r="R158" s="438">
        <v>8</v>
      </c>
      <c r="S158" s="439">
        <f>50+50+100</f>
        <v>200</v>
      </c>
      <c r="T158" s="440">
        <f t="shared" si="46"/>
        <v>-4106.46</v>
      </c>
      <c r="U158" s="441" t="str">
        <f t="shared" si="16"/>
        <v>50 CONTROLPR</v>
      </c>
      <c r="V158" s="132">
        <f t="shared" si="17"/>
        <v>-3914.46</v>
      </c>
      <c r="W158" s="389">
        <f t="shared" si="47"/>
        <v>-0.66754092769440654</v>
      </c>
      <c r="X158" s="442">
        <f t="shared" si="19"/>
        <v>5</v>
      </c>
      <c r="Y158" s="391">
        <f t="shared" si="20"/>
        <v>9</v>
      </c>
      <c r="Z158" s="392">
        <f t="shared" si="21"/>
        <v>26</v>
      </c>
      <c r="AA158" s="389">
        <f t="shared" si="22"/>
        <v>-0.17226724660016179</v>
      </c>
      <c r="AB158" s="125" t="s">
        <v>460</v>
      </c>
      <c r="AC158" s="98"/>
      <c r="AD158" s="98"/>
    </row>
    <row r="159" spans="1:30" ht="12.75" customHeight="1">
      <c r="A159" s="125" t="s">
        <v>544</v>
      </c>
      <c r="B159" s="125" t="s">
        <v>1241</v>
      </c>
      <c r="C159" s="382" t="s">
        <v>1201</v>
      </c>
      <c r="D159" s="383" t="s">
        <v>1242</v>
      </c>
      <c r="E159" s="384">
        <f>IFERROR(IF(D159="","",(D159-J159)/J159),"")</f>
        <v>0.10067114093959731</v>
      </c>
      <c r="F159" s="126" t="s">
        <v>1162</v>
      </c>
      <c r="G159" s="126" t="s">
        <v>1163</v>
      </c>
      <c r="H159" s="385">
        <f>ROUND(K159/I159,4)</f>
        <v>745.9</v>
      </c>
      <c r="I159" s="126">
        <v>20</v>
      </c>
      <c r="J159" s="385">
        <v>745</v>
      </c>
      <c r="K159" s="133">
        <v>14918</v>
      </c>
      <c r="L159" s="155">
        <v>44362</v>
      </c>
      <c r="M159" s="129">
        <f t="shared" si="14"/>
        <v>756.2</v>
      </c>
      <c r="N159" s="158">
        <v>757</v>
      </c>
      <c r="O159" s="386">
        <v>15124</v>
      </c>
      <c r="P159" s="125">
        <v>44378</v>
      </c>
      <c r="Q159" s="437">
        <v>44376</v>
      </c>
      <c r="R159" s="438">
        <v>15.93</v>
      </c>
      <c r="S159" s="439"/>
      <c r="T159" s="440">
        <f t="shared" si="46"/>
        <v>206</v>
      </c>
      <c r="U159" s="441" t="str">
        <f t="shared" si="16"/>
        <v>20 CREDITACC</v>
      </c>
      <c r="V159" s="132">
        <f t="shared" si="17"/>
        <v>190.07</v>
      </c>
      <c r="W159" s="389">
        <f t="shared" si="47"/>
        <v>1.2740984046118783E-2</v>
      </c>
      <c r="X159" s="442">
        <f t="shared" si="19"/>
        <v>0</v>
      </c>
      <c r="Y159" s="391">
        <f t="shared" si="20"/>
        <v>0</v>
      </c>
      <c r="Z159" s="392">
        <f t="shared" si="21"/>
        <v>16</v>
      </c>
      <c r="AA159" s="389">
        <f t="shared" si="22"/>
        <v>0.33484832376782059</v>
      </c>
      <c r="AB159" s="125" t="s">
        <v>485</v>
      </c>
      <c r="AC159" s="98"/>
      <c r="AD159" s="98"/>
    </row>
    <row r="160" spans="1:30" ht="12.75" customHeight="1">
      <c r="A160" s="125" t="s">
        <v>477</v>
      </c>
      <c r="B160" s="125" t="s">
        <v>1243</v>
      </c>
      <c r="C160" s="382" t="s">
        <v>1201</v>
      </c>
      <c r="D160" s="383"/>
      <c r="E160" s="384"/>
      <c r="F160" s="126"/>
      <c r="G160" s="126"/>
      <c r="H160" s="385">
        <f>132.3536/2</f>
        <v>66.1768</v>
      </c>
      <c r="I160" s="126">
        <v>50</v>
      </c>
      <c r="J160" s="385">
        <f>131.6/2</f>
        <v>65.8</v>
      </c>
      <c r="K160" s="133">
        <v>3308.84</v>
      </c>
      <c r="L160" s="155">
        <v>41205</v>
      </c>
      <c r="M160" s="129">
        <f t="shared" si="14"/>
        <v>310.82</v>
      </c>
      <c r="N160" s="158">
        <v>313</v>
      </c>
      <c r="O160" s="386">
        <v>15541</v>
      </c>
      <c r="P160" s="125">
        <v>44131</v>
      </c>
      <c r="Q160" s="437">
        <v>44127</v>
      </c>
      <c r="R160" s="438">
        <v>24.78</v>
      </c>
      <c r="S160" s="439">
        <f>100</f>
        <v>100</v>
      </c>
      <c r="T160" s="440">
        <f t="shared" si="46"/>
        <v>12232.16</v>
      </c>
      <c r="U160" s="441" t="str">
        <f t="shared" si="16"/>
        <v>50 CROMPTON</v>
      </c>
      <c r="V160" s="132">
        <f t="shared" si="17"/>
        <v>12307.38</v>
      </c>
      <c r="W160" s="389">
        <f t="shared" si="47"/>
        <v>3.7195452182638018</v>
      </c>
      <c r="X160" s="442">
        <f t="shared" si="19"/>
        <v>8</v>
      </c>
      <c r="Y160" s="391">
        <f t="shared" si="20"/>
        <v>0</v>
      </c>
      <c r="Z160" s="392">
        <f t="shared" si="21"/>
        <v>4</v>
      </c>
      <c r="AA160" s="389">
        <f t="shared" si="22"/>
        <v>0.21356986341331985</v>
      </c>
      <c r="AB160" s="125" t="s">
        <v>460</v>
      </c>
      <c r="AC160" s="98"/>
      <c r="AD160" s="98"/>
    </row>
    <row r="161" spans="1:30" ht="12.75" customHeight="1">
      <c r="A161" s="125" t="s">
        <v>468</v>
      </c>
      <c r="B161" s="125" t="s">
        <v>1244</v>
      </c>
      <c r="C161" s="382" t="s">
        <v>1201</v>
      </c>
      <c r="D161" s="383"/>
      <c r="E161" s="384"/>
      <c r="F161" s="126"/>
      <c r="G161" s="126"/>
      <c r="H161" s="385">
        <v>459.68</v>
      </c>
      <c r="I161" s="126">
        <v>10</v>
      </c>
      <c r="J161" s="385">
        <v>457</v>
      </c>
      <c r="K161" s="133">
        <v>4596.8</v>
      </c>
      <c r="L161" s="155">
        <v>40995</v>
      </c>
      <c r="M161" s="129">
        <f t="shared" si="14"/>
        <v>486.1</v>
      </c>
      <c r="N161" s="158">
        <v>489</v>
      </c>
      <c r="O161" s="386">
        <v>4861</v>
      </c>
      <c r="P161" s="125">
        <v>41004</v>
      </c>
      <c r="Q161" s="437">
        <v>41002</v>
      </c>
      <c r="R161" s="438">
        <v>6</v>
      </c>
      <c r="S161" s="439"/>
      <c r="T161" s="440">
        <f t="shared" si="46"/>
        <v>264.19999999999982</v>
      </c>
      <c r="U161" s="441" t="str">
        <f t="shared" si="16"/>
        <v>10 CUMMINSIND</v>
      </c>
      <c r="V161" s="132">
        <f t="shared" si="17"/>
        <v>258.19999999999982</v>
      </c>
      <c r="W161" s="389">
        <f t="shared" si="47"/>
        <v>5.6169509223807826E-2</v>
      </c>
      <c r="X161" s="442">
        <f t="shared" si="19"/>
        <v>0</v>
      </c>
      <c r="Y161" s="391">
        <f t="shared" si="20"/>
        <v>0</v>
      </c>
      <c r="Z161" s="392">
        <f t="shared" si="21"/>
        <v>9</v>
      </c>
      <c r="AA161" s="389">
        <f t="shared" si="22"/>
        <v>8.1734008524471164</v>
      </c>
      <c r="AB161" s="125" t="s">
        <v>460</v>
      </c>
      <c r="AC161" s="98"/>
      <c r="AD161" s="98"/>
    </row>
    <row r="162" spans="1:30" ht="12.75" customHeight="1">
      <c r="A162" s="125" t="s">
        <v>510</v>
      </c>
      <c r="B162" s="125" t="s">
        <v>1245</v>
      </c>
      <c r="C162" s="382" t="s">
        <v>1201</v>
      </c>
      <c r="D162" s="383" t="s">
        <v>1246</v>
      </c>
      <c r="E162" s="384">
        <f t="shared" ref="E162:E164" si="50">IFERROR(IF(D162="","",(D162-J162)/J162),"")</f>
        <v>0.25461254612546125</v>
      </c>
      <c r="F162" s="126" t="s">
        <v>1162</v>
      </c>
      <c r="G162" s="126" t="s">
        <v>1163</v>
      </c>
      <c r="H162" s="385">
        <f t="shared" ref="H162:H165" si="51">ROUND(K162/I162,4)</f>
        <v>135.66</v>
      </c>
      <c r="I162" s="126">
        <v>50</v>
      </c>
      <c r="J162" s="385">
        <v>135.5</v>
      </c>
      <c r="K162" s="133">
        <v>6783</v>
      </c>
      <c r="L162" s="155">
        <v>44333</v>
      </c>
      <c r="M162" s="129">
        <f t="shared" si="14"/>
        <v>139.16</v>
      </c>
      <c r="N162" s="158">
        <v>139.30000000000001</v>
      </c>
      <c r="O162" s="386">
        <v>6958</v>
      </c>
      <c r="P162" s="125">
        <v>44336</v>
      </c>
      <c r="Q162" s="437">
        <v>44334</v>
      </c>
      <c r="R162" s="438">
        <v>15.93</v>
      </c>
      <c r="S162" s="439"/>
      <c r="T162" s="440">
        <f t="shared" si="46"/>
        <v>175</v>
      </c>
      <c r="U162" s="441" t="str">
        <f t="shared" si="16"/>
        <v>50 CYBERTECH</v>
      </c>
      <c r="V162" s="132">
        <f t="shared" si="17"/>
        <v>159.07</v>
      </c>
      <c r="W162" s="389">
        <f t="shared" si="47"/>
        <v>2.3451275246940882E-2</v>
      </c>
      <c r="X162" s="442">
        <f t="shared" si="19"/>
        <v>0</v>
      </c>
      <c r="Y162" s="391">
        <f t="shared" si="20"/>
        <v>0</v>
      </c>
      <c r="Z162" s="392">
        <f t="shared" si="21"/>
        <v>3</v>
      </c>
      <c r="AA162" s="389">
        <f t="shared" si="22"/>
        <v>15.781825329644612</v>
      </c>
      <c r="AB162" s="125" t="s">
        <v>485</v>
      </c>
      <c r="AC162" s="98"/>
      <c r="AD162" s="98"/>
    </row>
    <row r="163" spans="1:30" ht="12.75" customHeight="1">
      <c r="A163" s="125" t="s">
        <v>510</v>
      </c>
      <c r="B163" s="125" t="s">
        <v>1245</v>
      </c>
      <c r="C163" s="382" t="s">
        <v>1201</v>
      </c>
      <c r="D163" s="383" t="s">
        <v>1246</v>
      </c>
      <c r="E163" s="384">
        <f t="shared" si="50"/>
        <v>0.1111111111111111</v>
      </c>
      <c r="F163" s="126" t="s">
        <v>1162</v>
      </c>
      <c r="G163" s="126" t="s">
        <v>1163</v>
      </c>
      <c r="H163" s="385">
        <f t="shared" si="51"/>
        <v>153.18</v>
      </c>
      <c r="I163" s="126">
        <v>50</v>
      </c>
      <c r="J163" s="385">
        <v>153</v>
      </c>
      <c r="K163" s="133">
        <v>7659</v>
      </c>
      <c r="L163" s="155">
        <v>44327</v>
      </c>
      <c r="M163" s="129">
        <f t="shared" si="14"/>
        <v>154.84</v>
      </c>
      <c r="N163" s="158">
        <v>155</v>
      </c>
      <c r="O163" s="386">
        <v>7742</v>
      </c>
      <c r="P163" s="125">
        <v>44379</v>
      </c>
      <c r="Q163" s="437">
        <v>44377</v>
      </c>
      <c r="R163" s="438">
        <v>15.93</v>
      </c>
      <c r="S163" s="439"/>
      <c r="T163" s="440">
        <f t="shared" si="46"/>
        <v>83</v>
      </c>
      <c r="U163" s="441" t="str">
        <f t="shared" si="16"/>
        <v>50 CYBERTECH</v>
      </c>
      <c r="V163" s="132">
        <f t="shared" si="17"/>
        <v>67.069999999999993</v>
      </c>
      <c r="W163" s="389">
        <f t="shared" si="47"/>
        <v>8.7570178874526693E-3</v>
      </c>
      <c r="X163" s="442">
        <f t="shared" si="19"/>
        <v>0</v>
      </c>
      <c r="Y163" s="391">
        <f t="shared" si="20"/>
        <v>1</v>
      </c>
      <c r="Z163" s="392">
        <f t="shared" si="21"/>
        <v>21</v>
      </c>
      <c r="AA163" s="389">
        <f t="shared" si="22"/>
        <v>6.3111466589275134E-2</v>
      </c>
      <c r="AB163" s="125" t="s">
        <v>485</v>
      </c>
      <c r="AC163" s="98"/>
      <c r="AD163" s="98"/>
    </row>
    <row r="164" spans="1:30" ht="12.75" customHeight="1">
      <c r="A164" s="125" t="s">
        <v>510</v>
      </c>
      <c r="B164" s="125" t="s">
        <v>1245</v>
      </c>
      <c r="C164" s="382" t="s">
        <v>1201</v>
      </c>
      <c r="D164" s="383" t="s">
        <v>1246</v>
      </c>
      <c r="E164" s="384">
        <f t="shared" si="50"/>
        <v>7.9365079365079361E-2</v>
      </c>
      <c r="F164" s="126" t="s">
        <v>1162</v>
      </c>
      <c r="G164" s="126" t="s">
        <v>1163</v>
      </c>
      <c r="H164" s="385">
        <f t="shared" si="51"/>
        <v>157.68</v>
      </c>
      <c r="I164" s="126">
        <v>50</v>
      </c>
      <c r="J164" s="385">
        <v>157.5</v>
      </c>
      <c r="K164" s="133">
        <v>7884</v>
      </c>
      <c r="L164" s="155">
        <v>44323</v>
      </c>
      <c r="M164" s="129">
        <f t="shared" si="14"/>
        <v>162.08000000000001</v>
      </c>
      <c r="N164" s="158">
        <v>162.25</v>
      </c>
      <c r="O164" s="386">
        <v>8104</v>
      </c>
      <c r="P164" s="125">
        <v>44384</v>
      </c>
      <c r="Q164" s="437">
        <v>44382</v>
      </c>
      <c r="R164" s="438">
        <v>15.93</v>
      </c>
      <c r="S164" s="439"/>
      <c r="T164" s="440">
        <f t="shared" si="46"/>
        <v>220</v>
      </c>
      <c r="U164" s="441" t="str">
        <f t="shared" si="16"/>
        <v>50 CYBERTECH</v>
      </c>
      <c r="V164" s="132">
        <f t="shared" si="17"/>
        <v>204.07</v>
      </c>
      <c r="W164" s="389">
        <f t="shared" si="47"/>
        <v>2.5884069000507357E-2</v>
      </c>
      <c r="X164" s="442">
        <f t="shared" si="19"/>
        <v>0</v>
      </c>
      <c r="Y164" s="391">
        <f t="shared" si="20"/>
        <v>2</v>
      </c>
      <c r="Z164" s="392">
        <f t="shared" si="21"/>
        <v>0</v>
      </c>
      <c r="AA164" s="389">
        <f t="shared" si="22"/>
        <v>0.1652195833779464</v>
      </c>
      <c r="AB164" s="125" t="s">
        <v>485</v>
      </c>
      <c r="AC164" s="98"/>
      <c r="AD164" s="98"/>
    </row>
    <row r="165" spans="1:30" ht="12.75" customHeight="1">
      <c r="A165" s="125" t="s">
        <v>537</v>
      </c>
      <c r="B165" s="125" t="s">
        <v>1247</v>
      </c>
      <c r="C165" s="382" t="s">
        <v>1201</v>
      </c>
      <c r="D165" s="383" t="s">
        <v>1248</v>
      </c>
      <c r="E165" s="384">
        <f>IFERROR((D165-J165)/J165,"")</f>
        <v>6.0049019607843139E-2</v>
      </c>
      <c r="F165" s="126" t="s">
        <v>1154</v>
      </c>
      <c r="G165" s="126" t="s">
        <v>1208</v>
      </c>
      <c r="H165" s="385">
        <f t="shared" si="51"/>
        <v>816.96</v>
      </c>
      <c r="I165" s="126">
        <v>25</v>
      </c>
      <c r="J165" s="385">
        <v>816</v>
      </c>
      <c r="K165" s="133">
        <v>20424</v>
      </c>
      <c r="L165" s="155">
        <v>44356</v>
      </c>
      <c r="M165" s="129">
        <f t="shared" si="14"/>
        <v>848.12</v>
      </c>
      <c r="N165" s="158">
        <v>849</v>
      </c>
      <c r="O165" s="386">
        <v>21203</v>
      </c>
      <c r="P165" s="125">
        <v>44365</v>
      </c>
      <c r="Q165" s="437">
        <v>44363</v>
      </c>
      <c r="R165" s="438">
        <v>15.93</v>
      </c>
      <c r="S165" s="439"/>
      <c r="T165" s="440">
        <f t="shared" si="46"/>
        <v>779</v>
      </c>
      <c r="U165" s="441" t="str">
        <f t="shared" si="16"/>
        <v>25 CYIENT</v>
      </c>
      <c r="V165" s="132">
        <f t="shared" si="17"/>
        <v>763.07</v>
      </c>
      <c r="W165" s="389">
        <f t="shared" si="47"/>
        <v>3.7361437524481005E-2</v>
      </c>
      <c r="X165" s="442">
        <f t="shared" si="19"/>
        <v>0</v>
      </c>
      <c r="Y165" s="391">
        <f t="shared" si="20"/>
        <v>0</v>
      </c>
      <c r="Z165" s="392">
        <f t="shared" si="21"/>
        <v>9</v>
      </c>
      <c r="AA165" s="389">
        <f t="shared" si="22"/>
        <v>3.426434496712238</v>
      </c>
      <c r="AB165" s="125" t="s">
        <v>485</v>
      </c>
      <c r="AC165" s="98"/>
      <c r="AD165" s="98"/>
    </row>
    <row r="166" spans="1:30" ht="12.75" customHeight="1">
      <c r="A166" s="125" t="s">
        <v>478</v>
      </c>
      <c r="B166" s="125" t="s">
        <v>1249</v>
      </c>
      <c r="C166" s="382" t="s">
        <v>1201</v>
      </c>
      <c r="D166" s="383"/>
      <c r="E166" s="384"/>
      <c r="F166" s="126"/>
      <c r="G166" s="126"/>
      <c r="H166" s="385">
        <v>133.76400000000001</v>
      </c>
      <c r="I166" s="126">
        <v>20</v>
      </c>
      <c r="J166" s="385">
        <v>133</v>
      </c>
      <c r="K166" s="133">
        <v>2675.28</v>
      </c>
      <c r="L166" s="155">
        <v>41207</v>
      </c>
      <c r="M166" s="129">
        <f t="shared" si="14"/>
        <v>315.97000000000003</v>
      </c>
      <c r="N166" s="158">
        <v>318.2</v>
      </c>
      <c r="O166" s="386">
        <v>6319.4</v>
      </c>
      <c r="P166" s="125">
        <v>42956</v>
      </c>
      <c r="Q166" s="437">
        <v>42954</v>
      </c>
      <c r="R166" s="438">
        <v>24.78</v>
      </c>
      <c r="S166" s="439">
        <f>13+17+15+20+25+15+25+20+25+20</f>
        <v>195</v>
      </c>
      <c r="T166" s="440">
        <f t="shared" si="46"/>
        <v>3644.1199999999994</v>
      </c>
      <c r="U166" s="441" t="str">
        <f t="shared" si="16"/>
        <v>20 DABUR</v>
      </c>
      <c r="V166" s="132">
        <f t="shared" si="17"/>
        <v>3814.3399999999992</v>
      </c>
      <c r="W166" s="389">
        <f t="shared" si="47"/>
        <v>1.4257722556143653</v>
      </c>
      <c r="X166" s="442">
        <f t="shared" si="19"/>
        <v>4</v>
      </c>
      <c r="Y166" s="391">
        <f t="shared" si="20"/>
        <v>9</v>
      </c>
      <c r="Z166" s="392">
        <f t="shared" si="21"/>
        <v>15</v>
      </c>
      <c r="AA166" s="389">
        <f t="shared" si="22"/>
        <v>0.20313569973194778</v>
      </c>
      <c r="AB166" s="125" t="s">
        <v>460</v>
      </c>
      <c r="AC166" s="98"/>
      <c r="AD166" s="98"/>
    </row>
    <row r="167" spans="1:30" ht="12.75" customHeight="1">
      <c r="A167" s="125" t="s">
        <v>545</v>
      </c>
      <c r="B167" s="125" t="s">
        <v>1250</v>
      </c>
      <c r="C167" s="382" t="s">
        <v>1251</v>
      </c>
      <c r="D167" s="383" t="s">
        <v>1252</v>
      </c>
      <c r="E167" s="384">
        <f t="shared" ref="E167:E307" si="52">IFERROR(IF(D167="","",(D167-J167)/J167),"")</f>
        <v>0.14285714285714285</v>
      </c>
      <c r="F167" s="126" t="s">
        <v>1162</v>
      </c>
      <c r="G167" s="126" t="s">
        <v>1163</v>
      </c>
      <c r="H167" s="385">
        <f t="shared" ref="H167:H326" si="53">ROUND(K167/I167,4)</f>
        <v>113.89</v>
      </c>
      <c r="I167" s="126">
        <v>100</v>
      </c>
      <c r="J167" s="385">
        <v>113.75</v>
      </c>
      <c r="K167" s="133">
        <v>11389</v>
      </c>
      <c r="L167" s="155">
        <v>44364</v>
      </c>
      <c r="M167" s="129">
        <f t="shared" si="14"/>
        <v>120.88</v>
      </c>
      <c r="N167" s="158">
        <v>121</v>
      </c>
      <c r="O167" s="386">
        <v>12088</v>
      </c>
      <c r="P167" s="125">
        <v>44881</v>
      </c>
      <c r="Q167" s="437">
        <v>44879</v>
      </c>
      <c r="R167" s="438">
        <v>15.93</v>
      </c>
      <c r="S167" s="439"/>
      <c r="T167" s="440">
        <f t="shared" ref="T167:T168" si="54">IF(OR(O167="",K167=""),"",O167-K167)</f>
        <v>699</v>
      </c>
      <c r="U167" s="441" t="str">
        <f t="shared" si="16"/>
        <v>100 DCBBANK</v>
      </c>
      <c r="V167" s="132">
        <f t="shared" si="17"/>
        <v>683.07</v>
      </c>
      <c r="W167" s="389">
        <f t="shared" ref="W167:W168" si="55">IF(OR(K167="",V167=""),"",V167/K167)</f>
        <v>5.9976292914215475E-2</v>
      </c>
      <c r="X167" s="442">
        <f t="shared" si="19"/>
        <v>1</v>
      </c>
      <c r="Y167" s="391">
        <f t="shared" si="20"/>
        <v>4</v>
      </c>
      <c r="Z167" s="392">
        <f t="shared" si="21"/>
        <v>30</v>
      </c>
      <c r="AA167" s="389">
        <f t="shared" si="22"/>
        <v>4.1979046100143469E-2</v>
      </c>
      <c r="AB167" s="125" t="s">
        <v>485</v>
      </c>
      <c r="AC167" s="98"/>
      <c r="AD167" s="98"/>
    </row>
    <row r="168" spans="1:30" ht="12.75" customHeight="1">
      <c r="A168" s="125" t="s">
        <v>545</v>
      </c>
      <c r="B168" s="125" t="s">
        <v>1250</v>
      </c>
      <c r="C168" s="382" t="s">
        <v>1251</v>
      </c>
      <c r="D168" s="383" t="s">
        <v>1252</v>
      </c>
      <c r="E168" s="384">
        <f t="shared" si="52"/>
        <v>0.14285714285714285</v>
      </c>
      <c r="F168" s="126" t="s">
        <v>1162</v>
      </c>
      <c r="G168" s="126" t="s">
        <v>1163</v>
      </c>
      <c r="H168" s="385">
        <f t="shared" si="53"/>
        <v>113.88</v>
      </c>
      <c r="I168" s="126">
        <v>100</v>
      </c>
      <c r="J168" s="385">
        <v>113.75</v>
      </c>
      <c r="K168" s="133">
        <v>11388</v>
      </c>
      <c r="L168" s="155">
        <v>44364</v>
      </c>
      <c r="M168" s="129">
        <f t="shared" si="14"/>
        <v>121.37</v>
      </c>
      <c r="N168" s="158">
        <v>121.5</v>
      </c>
      <c r="O168" s="386">
        <v>12137</v>
      </c>
      <c r="P168" s="125">
        <v>44882</v>
      </c>
      <c r="Q168" s="437">
        <v>44880</v>
      </c>
      <c r="R168" s="438">
        <v>15.93</v>
      </c>
      <c r="S168" s="439"/>
      <c r="T168" s="440">
        <f t="shared" si="54"/>
        <v>749</v>
      </c>
      <c r="U168" s="441" t="str">
        <f t="shared" si="16"/>
        <v>100 DCBBANK</v>
      </c>
      <c r="V168" s="132">
        <f t="shared" si="17"/>
        <v>733.07</v>
      </c>
      <c r="W168" s="389">
        <f t="shared" si="55"/>
        <v>6.4372146118721468E-2</v>
      </c>
      <c r="X168" s="442">
        <f t="shared" si="19"/>
        <v>1</v>
      </c>
      <c r="Y168" s="391">
        <f t="shared" si="20"/>
        <v>5</v>
      </c>
      <c r="Z168" s="392">
        <f t="shared" si="21"/>
        <v>0</v>
      </c>
      <c r="AA168" s="389">
        <f t="shared" si="22"/>
        <v>4.4939100518978981E-2</v>
      </c>
      <c r="AB168" s="125" t="s">
        <v>485</v>
      </c>
      <c r="AC168" s="98"/>
      <c r="AD168" s="98"/>
    </row>
    <row r="169" spans="1:30" ht="12.75" customHeight="1">
      <c r="A169" s="126" t="s">
        <v>589</v>
      </c>
      <c r="B169" s="125" t="s">
        <v>1150</v>
      </c>
      <c r="C169" s="382" t="s">
        <v>1151</v>
      </c>
      <c r="D169" s="383"/>
      <c r="E169" s="384" t="str">
        <f t="shared" si="52"/>
        <v/>
      </c>
      <c r="F169" s="126" t="s">
        <v>1145</v>
      </c>
      <c r="G169" s="126"/>
      <c r="H169" s="385">
        <f t="shared" si="53"/>
        <v>982.16</v>
      </c>
      <c r="I169" s="126">
        <v>100</v>
      </c>
      <c r="J169" s="385">
        <v>981</v>
      </c>
      <c r="K169" s="133">
        <v>98216</v>
      </c>
      <c r="L169" s="155">
        <v>44496</v>
      </c>
      <c r="M169" s="129">
        <f t="shared" si="14"/>
        <v>973.98</v>
      </c>
      <c r="N169" s="158">
        <v>975</v>
      </c>
      <c r="O169" s="386">
        <v>97398</v>
      </c>
      <c r="P169" s="125">
        <v>44497</v>
      </c>
      <c r="Q169" s="437">
        <v>44495</v>
      </c>
      <c r="R169" s="438">
        <v>15.93</v>
      </c>
      <c r="S169" s="439"/>
      <c r="T169" s="440">
        <f t="shared" ref="T169:T234" si="56">IF(O169="","",O169-K169)</f>
        <v>-818</v>
      </c>
      <c r="U169" s="441" t="str">
        <f t="shared" si="16"/>
        <v>100 DCMSHRIRAM</v>
      </c>
      <c r="V169" s="132">
        <f t="shared" si="17"/>
        <v>-833.93</v>
      </c>
      <c r="W169" s="389">
        <f t="shared" ref="W169:W234" si="57">IF(M169=0,"",V169/K169)</f>
        <v>-8.4907754337378832E-3</v>
      </c>
      <c r="X169" s="442">
        <f t="shared" si="19"/>
        <v>0</v>
      </c>
      <c r="Y169" s="391">
        <f t="shared" si="20"/>
        <v>0</v>
      </c>
      <c r="Z169" s="392">
        <f t="shared" si="21"/>
        <v>1</v>
      </c>
      <c r="AA169" s="389">
        <f t="shared" si="22"/>
        <v>-0.9555044016275096</v>
      </c>
      <c r="AB169" s="125" t="s">
        <v>460</v>
      </c>
      <c r="AC169" s="98"/>
      <c r="AD169" s="98"/>
    </row>
    <row r="170" spans="1:30" ht="12.75" customHeight="1">
      <c r="A170" s="126" t="s">
        <v>589</v>
      </c>
      <c r="B170" s="125" t="s">
        <v>1150</v>
      </c>
      <c r="C170" s="382" t="s">
        <v>1151</v>
      </c>
      <c r="D170" s="383"/>
      <c r="E170" s="384" t="str">
        <f t="shared" si="52"/>
        <v/>
      </c>
      <c r="F170" s="126" t="s">
        <v>1145</v>
      </c>
      <c r="G170" s="126"/>
      <c r="H170" s="385">
        <f t="shared" si="53"/>
        <v>1012.2</v>
      </c>
      <c r="I170" s="126">
        <v>90</v>
      </c>
      <c r="J170" s="385">
        <v>1011</v>
      </c>
      <c r="K170" s="133">
        <v>91098</v>
      </c>
      <c r="L170" s="155">
        <v>44512</v>
      </c>
      <c r="M170" s="129">
        <f t="shared" si="14"/>
        <v>1018.2778</v>
      </c>
      <c r="N170" s="158">
        <v>1019.33333</v>
      </c>
      <c r="O170" s="386">
        <v>91645</v>
      </c>
      <c r="P170" s="125">
        <v>44513</v>
      </c>
      <c r="Q170" s="437">
        <v>44509</v>
      </c>
      <c r="R170" s="438">
        <v>0</v>
      </c>
      <c r="S170" s="439"/>
      <c r="T170" s="440">
        <f t="shared" si="56"/>
        <v>547</v>
      </c>
      <c r="U170" s="441" t="str">
        <f t="shared" si="16"/>
        <v>90 DCMSHRIRAM</v>
      </c>
      <c r="V170" s="132">
        <f t="shared" si="17"/>
        <v>547</v>
      </c>
      <c r="W170" s="389">
        <f t="shared" si="57"/>
        <v>6.0045226020329755E-3</v>
      </c>
      <c r="X170" s="442">
        <f t="shared" si="19"/>
        <v>0</v>
      </c>
      <c r="Y170" s="391">
        <f t="shared" si="20"/>
        <v>0</v>
      </c>
      <c r="Z170" s="392">
        <f t="shared" si="21"/>
        <v>1</v>
      </c>
      <c r="AA170" s="389">
        <f t="shared" si="22"/>
        <v>7.8915115476736446</v>
      </c>
      <c r="AB170" s="125" t="s">
        <v>460</v>
      </c>
      <c r="AC170" s="98"/>
      <c r="AD170" s="98"/>
    </row>
    <row r="171" spans="1:30" ht="12.75" customHeight="1">
      <c r="A171" s="126" t="s">
        <v>589</v>
      </c>
      <c r="B171" s="125" t="s">
        <v>1150</v>
      </c>
      <c r="C171" s="382" t="s">
        <v>1151</v>
      </c>
      <c r="D171" s="383"/>
      <c r="E171" s="384" t="str">
        <f t="shared" si="52"/>
        <v/>
      </c>
      <c r="F171" s="126" t="s">
        <v>1145</v>
      </c>
      <c r="G171" s="126"/>
      <c r="H171" s="385">
        <f t="shared" si="53"/>
        <v>1021.0636</v>
      </c>
      <c r="I171" s="126">
        <v>110</v>
      </c>
      <c r="J171" s="385">
        <v>1019.855</v>
      </c>
      <c r="K171" s="133">
        <v>112317</v>
      </c>
      <c r="L171" s="155">
        <v>44510</v>
      </c>
      <c r="M171" s="129">
        <f t="shared" si="14"/>
        <v>1018.2818</v>
      </c>
      <c r="N171" s="158">
        <v>1019.33333</v>
      </c>
      <c r="O171" s="386">
        <v>112011</v>
      </c>
      <c r="P171" s="125">
        <v>44511</v>
      </c>
      <c r="Q171" s="437">
        <v>44509</v>
      </c>
      <c r="R171" s="438">
        <v>0</v>
      </c>
      <c r="S171" s="439"/>
      <c r="T171" s="440">
        <f t="shared" si="56"/>
        <v>-306</v>
      </c>
      <c r="U171" s="441" t="str">
        <f t="shared" si="16"/>
        <v>110 DCMSHRIRAM</v>
      </c>
      <c r="V171" s="132">
        <f t="shared" si="17"/>
        <v>-306</v>
      </c>
      <c r="W171" s="389">
        <f t="shared" si="57"/>
        <v>-2.7244317423008092E-3</v>
      </c>
      <c r="X171" s="442">
        <f t="shared" si="19"/>
        <v>0</v>
      </c>
      <c r="Y171" s="391">
        <f t="shared" si="20"/>
        <v>0</v>
      </c>
      <c r="Z171" s="392">
        <f t="shared" si="21"/>
        <v>1</v>
      </c>
      <c r="AA171" s="389">
        <f t="shared" si="22"/>
        <v>-0.63056285553278069</v>
      </c>
      <c r="AB171" s="125" t="s">
        <v>460</v>
      </c>
      <c r="AC171" s="98"/>
      <c r="AD171" s="98"/>
    </row>
    <row r="172" spans="1:30" ht="12.75" customHeight="1">
      <c r="A172" s="126" t="s">
        <v>589</v>
      </c>
      <c r="B172" s="125" t="s">
        <v>1150</v>
      </c>
      <c r="C172" s="382" t="s">
        <v>1151</v>
      </c>
      <c r="D172" s="383"/>
      <c r="E172" s="384" t="str">
        <f t="shared" si="52"/>
        <v/>
      </c>
      <c r="F172" s="126" t="s">
        <v>1145</v>
      </c>
      <c r="G172" s="126"/>
      <c r="H172" s="385">
        <f t="shared" si="53"/>
        <v>1002.19</v>
      </c>
      <c r="I172" s="126">
        <v>100</v>
      </c>
      <c r="J172" s="385">
        <v>1001</v>
      </c>
      <c r="K172" s="133">
        <v>100219</v>
      </c>
      <c r="L172" s="155">
        <v>44515</v>
      </c>
      <c r="M172" s="129">
        <f t="shared" si="14"/>
        <v>1018.28</v>
      </c>
      <c r="N172" s="158">
        <v>1019.33333</v>
      </c>
      <c r="O172" s="386">
        <v>101828</v>
      </c>
      <c r="P172" s="125">
        <v>44516</v>
      </c>
      <c r="Q172" s="437">
        <v>44509</v>
      </c>
      <c r="R172" s="438">
        <v>15.93</v>
      </c>
      <c r="S172" s="439"/>
      <c r="T172" s="440">
        <f t="shared" si="56"/>
        <v>1609</v>
      </c>
      <c r="U172" s="441" t="str">
        <f t="shared" si="16"/>
        <v>100 DCMSHRIRAM</v>
      </c>
      <c r="V172" s="132">
        <f t="shared" si="17"/>
        <v>1593.07</v>
      </c>
      <c r="W172" s="389">
        <f t="shared" si="57"/>
        <v>1.5895888005268463E-2</v>
      </c>
      <c r="X172" s="442">
        <f t="shared" si="19"/>
        <v>0</v>
      </c>
      <c r="Y172" s="391">
        <f t="shared" si="20"/>
        <v>0</v>
      </c>
      <c r="Z172" s="392">
        <f t="shared" si="21"/>
        <v>1</v>
      </c>
      <c r="AA172" s="389">
        <f t="shared" si="22"/>
        <v>315.19783774575194</v>
      </c>
      <c r="AB172" s="125" t="s">
        <v>460</v>
      </c>
      <c r="AC172" s="98"/>
      <c r="AD172" s="98"/>
    </row>
    <row r="173" spans="1:30" ht="12.75" customHeight="1">
      <c r="A173" s="126" t="s">
        <v>589</v>
      </c>
      <c r="B173" s="125" t="s">
        <v>1150</v>
      </c>
      <c r="C173" s="382" t="s">
        <v>1151</v>
      </c>
      <c r="D173" s="383"/>
      <c r="E173" s="384" t="str">
        <f t="shared" si="52"/>
        <v/>
      </c>
      <c r="F173" s="126" t="s">
        <v>1145</v>
      </c>
      <c r="G173" s="126"/>
      <c r="H173" s="385">
        <f t="shared" si="53"/>
        <v>960.14</v>
      </c>
      <c r="I173" s="126">
        <v>100</v>
      </c>
      <c r="J173" s="385">
        <v>959</v>
      </c>
      <c r="K173" s="133">
        <v>96014</v>
      </c>
      <c r="L173" s="155">
        <v>44543</v>
      </c>
      <c r="M173" s="129">
        <f t="shared" si="14"/>
        <v>958.01</v>
      </c>
      <c r="N173" s="158">
        <v>959</v>
      </c>
      <c r="O173" s="386">
        <v>95801</v>
      </c>
      <c r="P173" s="125">
        <v>44544</v>
      </c>
      <c r="Q173" s="437">
        <v>44529</v>
      </c>
      <c r="R173" s="438">
        <v>15.93</v>
      </c>
      <c r="S173" s="439"/>
      <c r="T173" s="440">
        <f t="shared" si="56"/>
        <v>-213</v>
      </c>
      <c r="U173" s="441" t="str">
        <f t="shared" si="16"/>
        <v>100 DCMSHRIRAM</v>
      </c>
      <c r="V173" s="132">
        <f t="shared" si="17"/>
        <v>-228.93</v>
      </c>
      <c r="W173" s="389">
        <f t="shared" si="57"/>
        <v>-2.3843397837815319E-3</v>
      </c>
      <c r="X173" s="442">
        <f t="shared" si="19"/>
        <v>0</v>
      </c>
      <c r="Y173" s="391">
        <f t="shared" si="20"/>
        <v>0</v>
      </c>
      <c r="Z173" s="392">
        <f t="shared" si="21"/>
        <v>1</v>
      </c>
      <c r="AA173" s="389">
        <f t="shared" si="22"/>
        <v>-0.58160244069636025</v>
      </c>
      <c r="AB173" s="125" t="s">
        <v>460</v>
      </c>
      <c r="AC173" s="98"/>
      <c r="AD173" s="98"/>
    </row>
    <row r="174" spans="1:30" ht="12.75" customHeight="1">
      <c r="A174" s="126" t="s">
        <v>589</v>
      </c>
      <c r="B174" s="125" t="s">
        <v>1150</v>
      </c>
      <c r="C174" s="382" t="s">
        <v>1151</v>
      </c>
      <c r="D174" s="383"/>
      <c r="E174" s="384" t="str">
        <f t="shared" si="52"/>
        <v/>
      </c>
      <c r="F174" s="126" t="s">
        <v>1145</v>
      </c>
      <c r="G174" s="126"/>
      <c r="H174" s="385">
        <f t="shared" si="53"/>
        <v>972.64480000000003</v>
      </c>
      <c r="I174" s="126">
        <v>183</v>
      </c>
      <c r="J174" s="385">
        <v>971.48524999999995</v>
      </c>
      <c r="K174" s="133">
        <v>177994</v>
      </c>
      <c r="L174" s="155">
        <v>44545</v>
      </c>
      <c r="M174" s="129">
        <f t="shared" si="14"/>
        <v>976.61749999999995</v>
      </c>
      <c r="N174" s="158">
        <v>977.62840000000006</v>
      </c>
      <c r="O174" s="386">
        <v>178721</v>
      </c>
      <c r="P174" s="125">
        <v>44546</v>
      </c>
      <c r="Q174" s="437">
        <v>44544</v>
      </c>
      <c r="R174" s="438">
        <v>15.93</v>
      </c>
      <c r="S174" s="439"/>
      <c r="T174" s="440">
        <f t="shared" si="56"/>
        <v>727</v>
      </c>
      <c r="U174" s="441" t="str">
        <f t="shared" si="16"/>
        <v>183 DCMSHRIRAM</v>
      </c>
      <c r="V174" s="132">
        <f t="shared" si="17"/>
        <v>711.07</v>
      </c>
      <c r="W174" s="389">
        <f t="shared" si="57"/>
        <v>3.9949099407845211E-3</v>
      </c>
      <c r="X174" s="442">
        <f t="shared" si="19"/>
        <v>0</v>
      </c>
      <c r="Y174" s="391">
        <f t="shared" si="20"/>
        <v>0</v>
      </c>
      <c r="Z174" s="392">
        <f t="shared" si="21"/>
        <v>1</v>
      </c>
      <c r="AA174" s="389">
        <f t="shared" si="22"/>
        <v>3.2855002468401047</v>
      </c>
      <c r="AB174" s="125" t="s">
        <v>460</v>
      </c>
      <c r="AC174" s="98"/>
      <c r="AD174" s="98"/>
    </row>
    <row r="175" spans="1:30" ht="12.75" customHeight="1">
      <c r="A175" s="126" t="s">
        <v>589</v>
      </c>
      <c r="B175" s="125" t="s">
        <v>1150</v>
      </c>
      <c r="C175" s="382" t="s">
        <v>1151</v>
      </c>
      <c r="D175" s="383"/>
      <c r="E175" s="384" t="str">
        <f t="shared" si="52"/>
        <v/>
      </c>
      <c r="F175" s="126" t="s">
        <v>1145</v>
      </c>
      <c r="G175" s="126"/>
      <c r="H175" s="385">
        <f t="shared" si="53"/>
        <v>973.16</v>
      </c>
      <c r="I175" s="126">
        <v>100</v>
      </c>
      <c r="J175" s="385">
        <v>972</v>
      </c>
      <c r="K175" s="133">
        <v>97316</v>
      </c>
      <c r="L175" s="155">
        <v>44550</v>
      </c>
      <c r="M175" s="129">
        <f t="shared" si="14"/>
        <v>988.96</v>
      </c>
      <c r="N175" s="158">
        <v>990</v>
      </c>
      <c r="O175" s="386">
        <v>98896</v>
      </c>
      <c r="P175" s="125">
        <v>44551</v>
      </c>
      <c r="Q175" s="437">
        <v>44546</v>
      </c>
      <c r="R175" s="438">
        <v>15.93</v>
      </c>
      <c r="S175" s="439"/>
      <c r="T175" s="440">
        <f t="shared" si="56"/>
        <v>1580</v>
      </c>
      <c r="U175" s="441" t="str">
        <f t="shared" si="16"/>
        <v>100 DCMSHRIRAM</v>
      </c>
      <c r="V175" s="132">
        <f t="shared" si="17"/>
        <v>1564.07</v>
      </c>
      <c r="W175" s="389">
        <f t="shared" si="57"/>
        <v>1.6072074479016811E-2</v>
      </c>
      <c r="X175" s="442">
        <f t="shared" si="19"/>
        <v>0</v>
      </c>
      <c r="Y175" s="391">
        <f t="shared" si="20"/>
        <v>0</v>
      </c>
      <c r="Z175" s="392">
        <f t="shared" si="21"/>
        <v>1</v>
      </c>
      <c r="AA175" s="389">
        <f t="shared" si="22"/>
        <v>335.85899224129713</v>
      </c>
      <c r="AB175" s="125" t="s">
        <v>460</v>
      </c>
      <c r="AC175" s="98"/>
      <c r="AD175" s="98"/>
    </row>
    <row r="176" spans="1:30" ht="12.75" customHeight="1">
      <c r="A176" s="126" t="s">
        <v>589</v>
      </c>
      <c r="B176" s="125" t="s">
        <v>1150</v>
      </c>
      <c r="C176" s="382" t="s">
        <v>1151</v>
      </c>
      <c r="D176" s="383"/>
      <c r="E176" s="384" t="str">
        <f t="shared" si="52"/>
        <v/>
      </c>
      <c r="F176" s="126" t="s">
        <v>1145</v>
      </c>
      <c r="G176" s="126"/>
      <c r="H176" s="385">
        <f t="shared" si="53"/>
        <v>982.13329999999996</v>
      </c>
      <c r="I176" s="126">
        <v>135</v>
      </c>
      <c r="J176" s="385">
        <v>980.96299999999997</v>
      </c>
      <c r="K176" s="133">
        <v>132588</v>
      </c>
      <c r="L176" s="155">
        <v>44552</v>
      </c>
      <c r="M176" s="129">
        <f t="shared" si="14"/>
        <v>984.97040000000004</v>
      </c>
      <c r="N176" s="158">
        <v>986</v>
      </c>
      <c r="O176" s="386">
        <v>132971</v>
      </c>
      <c r="P176" s="125">
        <v>44553</v>
      </c>
      <c r="Q176" s="437">
        <v>44551</v>
      </c>
      <c r="R176" s="438">
        <v>15.93</v>
      </c>
      <c r="S176" s="439"/>
      <c r="T176" s="440">
        <f t="shared" si="56"/>
        <v>383</v>
      </c>
      <c r="U176" s="441" t="str">
        <f t="shared" si="16"/>
        <v>135 DCMSHRIRAM</v>
      </c>
      <c r="V176" s="132">
        <f t="shared" si="17"/>
        <v>367.07</v>
      </c>
      <c r="W176" s="389">
        <f t="shared" si="57"/>
        <v>2.7685009201436025E-3</v>
      </c>
      <c r="X176" s="442">
        <f t="shared" si="19"/>
        <v>0</v>
      </c>
      <c r="Y176" s="391">
        <f t="shared" si="20"/>
        <v>0</v>
      </c>
      <c r="Z176" s="392">
        <f t="shared" si="21"/>
        <v>1</v>
      </c>
      <c r="AA176" s="389">
        <f t="shared" si="22"/>
        <v>1.7431492540696798</v>
      </c>
      <c r="AB176" s="125" t="s">
        <v>460</v>
      </c>
      <c r="AC176" s="98"/>
      <c r="AD176" s="98"/>
    </row>
    <row r="177" spans="1:30" ht="12.75" customHeight="1">
      <c r="A177" s="126" t="s">
        <v>589</v>
      </c>
      <c r="B177" s="125" t="s">
        <v>1150</v>
      </c>
      <c r="C177" s="382" t="s">
        <v>1151</v>
      </c>
      <c r="D177" s="383"/>
      <c r="E177" s="384" t="str">
        <f t="shared" si="52"/>
        <v/>
      </c>
      <c r="F177" s="126" t="s">
        <v>1145</v>
      </c>
      <c r="G177" s="126"/>
      <c r="H177" s="385">
        <f t="shared" si="53"/>
        <v>979.16920000000005</v>
      </c>
      <c r="I177" s="126">
        <v>65</v>
      </c>
      <c r="J177" s="385">
        <v>978</v>
      </c>
      <c r="K177" s="133">
        <v>63646</v>
      </c>
      <c r="L177" s="155">
        <v>44553</v>
      </c>
      <c r="M177" s="129">
        <f t="shared" si="14"/>
        <v>984.9692</v>
      </c>
      <c r="N177" s="158">
        <v>986</v>
      </c>
      <c r="O177" s="386">
        <v>64023</v>
      </c>
      <c r="P177" s="125">
        <v>44554</v>
      </c>
      <c r="Q177" s="437">
        <v>44551</v>
      </c>
      <c r="R177" s="438">
        <v>15.93</v>
      </c>
      <c r="S177" s="439"/>
      <c r="T177" s="440">
        <f t="shared" si="56"/>
        <v>377</v>
      </c>
      <c r="U177" s="441" t="str">
        <f t="shared" si="16"/>
        <v>65 DCMSHRIRAM</v>
      </c>
      <c r="V177" s="132">
        <f t="shared" si="17"/>
        <v>361.07</v>
      </c>
      <c r="W177" s="389">
        <f t="shared" si="57"/>
        <v>5.6730980737202648E-3</v>
      </c>
      <c r="X177" s="442">
        <f t="shared" si="19"/>
        <v>0</v>
      </c>
      <c r="Y177" s="391">
        <f t="shared" si="20"/>
        <v>0</v>
      </c>
      <c r="Z177" s="392">
        <f t="shared" si="21"/>
        <v>1</v>
      </c>
      <c r="AA177" s="389">
        <f t="shared" si="22"/>
        <v>6.8839522246720586</v>
      </c>
      <c r="AB177" s="125" t="s">
        <v>460</v>
      </c>
      <c r="AC177" s="98"/>
      <c r="AD177" s="98"/>
    </row>
    <row r="178" spans="1:30" ht="12" customHeight="1">
      <c r="A178" s="126" t="s">
        <v>589</v>
      </c>
      <c r="B178" s="125" t="s">
        <v>1150</v>
      </c>
      <c r="C178" s="382" t="s">
        <v>1151</v>
      </c>
      <c r="D178" s="383"/>
      <c r="E178" s="384" t="str">
        <f t="shared" si="52"/>
        <v/>
      </c>
      <c r="F178" s="126" t="s">
        <v>1145</v>
      </c>
      <c r="G178" s="126"/>
      <c r="H178" s="385">
        <f t="shared" si="53"/>
        <v>964.14</v>
      </c>
      <c r="I178" s="126">
        <v>50</v>
      </c>
      <c r="J178" s="385">
        <v>963</v>
      </c>
      <c r="K178" s="133">
        <v>48207</v>
      </c>
      <c r="L178" s="155">
        <v>44554</v>
      </c>
      <c r="M178" s="129">
        <f t="shared" si="14"/>
        <v>966</v>
      </c>
      <c r="N178" s="158">
        <v>967</v>
      </c>
      <c r="O178" s="386">
        <v>48300</v>
      </c>
      <c r="P178" s="125">
        <v>44566</v>
      </c>
      <c r="Q178" s="437">
        <v>44564</v>
      </c>
      <c r="R178" s="438">
        <v>15.93</v>
      </c>
      <c r="S178" s="439"/>
      <c r="T178" s="440">
        <f t="shared" si="56"/>
        <v>93</v>
      </c>
      <c r="U178" s="441" t="str">
        <f t="shared" si="16"/>
        <v>50 DCMSHRIRAM</v>
      </c>
      <c r="V178" s="132">
        <f t="shared" si="17"/>
        <v>77.069999999999993</v>
      </c>
      <c r="W178" s="389">
        <f t="shared" si="57"/>
        <v>1.5987304748273071E-3</v>
      </c>
      <c r="X178" s="442">
        <f t="shared" si="19"/>
        <v>0</v>
      </c>
      <c r="Y178" s="391">
        <f t="shared" si="20"/>
        <v>0</v>
      </c>
      <c r="Z178" s="392">
        <f t="shared" si="21"/>
        <v>12</v>
      </c>
      <c r="AA178" s="389">
        <f t="shared" si="22"/>
        <v>4.9789031655372407E-2</v>
      </c>
      <c r="AB178" s="125" t="s">
        <v>460</v>
      </c>
      <c r="AC178" s="98"/>
      <c r="AD178" s="98"/>
    </row>
    <row r="179" spans="1:30" ht="12.75" customHeight="1">
      <c r="A179" s="126" t="s">
        <v>589</v>
      </c>
      <c r="B179" s="125" t="s">
        <v>1150</v>
      </c>
      <c r="C179" s="382" t="s">
        <v>1151</v>
      </c>
      <c r="D179" s="383"/>
      <c r="E179" s="384" t="str">
        <f t="shared" si="52"/>
        <v/>
      </c>
      <c r="F179" s="126" t="s">
        <v>1145</v>
      </c>
      <c r="G179" s="126"/>
      <c r="H179" s="385">
        <f t="shared" si="53"/>
        <v>1036.22</v>
      </c>
      <c r="I179" s="126">
        <v>50</v>
      </c>
      <c r="J179" s="385">
        <v>1035</v>
      </c>
      <c r="K179" s="133">
        <v>51811</v>
      </c>
      <c r="L179" s="155">
        <v>44566</v>
      </c>
      <c r="M179" s="129">
        <f t="shared" si="14"/>
        <v>1042.42</v>
      </c>
      <c r="N179" s="158">
        <v>1043.5</v>
      </c>
      <c r="O179" s="386">
        <v>52121</v>
      </c>
      <c r="P179" s="125">
        <v>44567</v>
      </c>
      <c r="Q179" s="437">
        <v>44565</v>
      </c>
      <c r="R179" s="438">
        <v>0</v>
      </c>
      <c r="S179" s="439"/>
      <c r="T179" s="440">
        <f t="shared" si="56"/>
        <v>310</v>
      </c>
      <c r="U179" s="441" t="str">
        <f t="shared" si="16"/>
        <v>50 DCMSHRIRAM</v>
      </c>
      <c r="V179" s="132">
        <f t="shared" si="17"/>
        <v>310</v>
      </c>
      <c r="W179" s="389">
        <f t="shared" si="57"/>
        <v>5.9832854027137092E-3</v>
      </c>
      <c r="X179" s="442">
        <f t="shared" si="19"/>
        <v>0</v>
      </c>
      <c r="Y179" s="391">
        <f t="shared" si="20"/>
        <v>0</v>
      </c>
      <c r="Z179" s="392">
        <f t="shared" si="21"/>
        <v>1</v>
      </c>
      <c r="AA179" s="389">
        <f t="shared" si="22"/>
        <v>7.8232622439524846</v>
      </c>
      <c r="AB179" s="125" t="s">
        <v>460</v>
      </c>
      <c r="AC179" s="98"/>
      <c r="AD179" s="98"/>
    </row>
    <row r="180" spans="1:30" ht="12.75" customHeight="1">
      <c r="A180" s="126" t="s">
        <v>589</v>
      </c>
      <c r="B180" s="125" t="s">
        <v>1150</v>
      </c>
      <c r="C180" s="382" t="s">
        <v>1151</v>
      </c>
      <c r="D180" s="383"/>
      <c r="E180" s="384" t="str">
        <f t="shared" si="52"/>
        <v/>
      </c>
      <c r="F180" s="126" t="s">
        <v>1145</v>
      </c>
      <c r="G180" s="126"/>
      <c r="H180" s="385">
        <f t="shared" si="53"/>
        <v>1026.22</v>
      </c>
      <c r="I180" s="126">
        <v>50</v>
      </c>
      <c r="J180" s="385">
        <v>1025</v>
      </c>
      <c r="K180" s="133">
        <v>51311</v>
      </c>
      <c r="L180" s="155">
        <v>44566</v>
      </c>
      <c r="M180" s="129">
        <f t="shared" si="14"/>
        <v>1028.94</v>
      </c>
      <c r="N180" s="158">
        <v>1030</v>
      </c>
      <c r="O180" s="386">
        <v>51447</v>
      </c>
      <c r="P180" s="125">
        <v>44567</v>
      </c>
      <c r="Q180" s="437">
        <v>44565</v>
      </c>
      <c r="R180" s="438">
        <v>15.93</v>
      </c>
      <c r="S180" s="439"/>
      <c r="T180" s="440">
        <f t="shared" si="56"/>
        <v>136</v>
      </c>
      <c r="U180" s="441" t="str">
        <f t="shared" si="16"/>
        <v>50 DCMSHRIRAM</v>
      </c>
      <c r="V180" s="132">
        <f t="shared" si="17"/>
        <v>120.07</v>
      </c>
      <c r="W180" s="389">
        <f t="shared" si="57"/>
        <v>2.3400440451365203E-3</v>
      </c>
      <c r="X180" s="442">
        <f t="shared" si="19"/>
        <v>0</v>
      </c>
      <c r="Y180" s="391">
        <f t="shared" si="20"/>
        <v>0</v>
      </c>
      <c r="Z180" s="392">
        <f t="shared" si="21"/>
        <v>1</v>
      </c>
      <c r="AA180" s="389">
        <f t="shared" si="22"/>
        <v>1.3469539552383201</v>
      </c>
      <c r="AB180" s="125" t="s">
        <v>460</v>
      </c>
      <c r="AC180" s="98"/>
      <c r="AD180" s="98"/>
    </row>
    <row r="181" spans="1:30" ht="12.75" customHeight="1">
      <c r="A181" s="126" t="s">
        <v>589</v>
      </c>
      <c r="B181" s="125" t="s">
        <v>1150</v>
      </c>
      <c r="C181" s="382" t="s">
        <v>1151</v>
      </c>
      <c r="D181" s="383"/>
      <c r="E181" s="384" t="str">
        <f t="shared" si="52"/>
        <v/>
      </c>
      <c r="F181" s="126" t="s">
        <v>1145</v>
      </c>
      <c r="G181" s="126"/>
      <c r="H181" s="385">
        <f t="shared" si="53"/>
        <v>1006.33</v>
      </c>
      <c r="I181" s="126">
        <v>100</v>
      </c>
      <c r="J181" s="385">
        <v>1005.13</v>
      </c>
      <c r="K181" s="133">
        <v>100633</v>
      </c>
      <c r="L181" s="155">
        <v>44567</v>
      </c>
      <c r="M181" s="129">
        <f t="shared" si="14"/>
        <v>1010.95</v>
      </c>
      <c r="N181" s="158">
        <v>1012</v>
      </c>
      <c r="O181" s="386">
        <v>101095</v>
      </c>
      <c r="P181" s="125">
        <v>44568</v>
      </c>
      <c r="Q181" s="437">
        <v>44565</v>
      </c>
      <c r="R181" s="438">
        <v>0</v>
      </c>
      <c r="S181" s="439"/>
      <c r="T181" s="440">
        <f t="shared" si="56"/>
        <v>462</v>
      </c>
      <c r="U181" s="441" t="str">
        <f t="shared" si="16"/>
        <v>100 DCMSHRIRAM</v>
      </c>
      <c r="V181" s="132">
        <f t="shared" si="17"/>
        <v>462</v>
      </c>
      <c r="W181" s="389">
        <f t="shared" si="57"/>
        <v>4.5909393538898771E-3</v>
      </c>
      <c r="X181" s="442">
        <f t="shared" si="19"/>
        <v>0</v>
      </c>
      <c r="Y181" s="391">
        <f t="shared" si="20"/>
        <v>0</v>
      </c>
      <c r="Z181" s="392">
        <f t="shared" si="21"/>
        <v>1</v>
      </c>
      <c r="AA181" s="389">
        <f t="shared" si="22"/>
        <v>4.3220474818963819</v>
      </c>
      <c r="AB181" s="125" t="s">
        <v>460</v>
      </c>
      <c r="AC181" s="98"/>
      <c r="AD181" s="98"/>
    </row>
    <row r="182" spans="1:30" ht="12.75" customHeight="1">
      <c r="A182" s="126" t="s">
        <v>589</v>
      </c>
      <c r="B182" s="125" t="s">
        <v>1150</v>
      </c>
      <c r="C182" s="382" t="s">
        <v>1151</v>
      </c>
      <c r="D182" s="383"/>
      <c r="E182" s="384" t="str">
        <f t="shared" si="52"/>
        <v/>
      </c>
      <c r="F182" s="126" t="s">
        <v>1145</v>
      </c>
      <c r="G182" s="126"/>
      <c r="H182" s="385">
        <f t="shared" si="53"/>
        <v>991.16669999999999</v>
      </c>
      <c r="I182" s="126">
        <v>60</v>
      </c>
      <c r="J182" s="385">
        <v>990</v>
      </c>
      <c r="K182" s="133">
        <v>59470</v>
      </c>
      <c r="L182" s="155">
        <v>44567</v>
      </c>
      <c r="M182" s="129">
        <f t="shared" si="14"/>
        <v>993.61670000000004</v>
      </c>
      <c r="N182" s="158">
        <v>994.65</v>
      </c>
      <c r="O182" s="386">
        <v>59617</v>
      </c>
      <c r="P182" s="125">
        <v>44568</v>
      </c>
      <c r="Q182" s="437">
        <v>44565</v>
      </c>
      <c r="R182" s="438">
        <v>0</v>
      </c>
      <c r="S182" s="439"/>
      <c r="T182" s="440">
        <f t="shared" si="56"/>
        <v>147</v>
      </c>
      <c r="U182" s="441" t="str">
        <f t="shared" si="16"/>
        <v>60 DCMSHRIRAM</v>
      </c>
      <c r="V182" s="132">
        <f t="shared" si="17"/>
        <v>147</v>
      </c>
      <c r="W182" s="389">
        <f t="shared" si="57"/>
        <v>2.4718345384227344E-3</v>
      </c>
      <c r="X182" s="442">
        <f t="shared" si="19"/>
        <v>0</v>
      </c>
      <c r="Y182" s="391">
        <f t="shared" si="20"/>
        <v>0</v>
      </c>
      <c r="Z182" s="392">
        <f t="shared" si="21"/>
        <v>1</v>
      </c>
      <c r="AA182" s="389">
        <f t="shared" si="22"/>
        <v>1.4623258526875298</v>
      </c>
      <c r="AB182" s="125" t="s">
        <v>460</v>
      </c>
      <c r="AC182" s="98"/>
      <c r="AD182" s="98"/>
    </row>
    <row r="183" spans="1:30" ht="12.75" customHeight="1">
      <c r="A183" s="126" t="s">
        <v>589</v>
      </c>
      <c r="B183" s="125" t="s">
        <v>1150</v>
      </c>
      <c r="C183" s="382" t="s">
        <v>1151</v>
      </c>
      <c r="D183" s="383"/>
      <c r="E183" s="384" t="str">
        <f t="shared" si="52"/>
        <v/>
      </c>
      <c r="F183" s="126" t="s">
        <v>1145</v>
      </c>
      <c r="G183" s="126"/>
      <c r="H183" s="385">
        <f t="shared" si="53"/>
        <v>955.93</v>
      </c>
      <c r="I183" s="126">
        <v>100</v>
      </c>
      <c r="J183" s="385">
        <v>954.8</v>
      </c>
      <c r="K183" s="133">
        <v>95593</v>
      </c>
      <c r="L183" s="155">
        <v>44614</v>
      </c>
      <c r="M183" s="129">
        <f t="shared" si="14"/>
        <v>982.98</v>
      </c>
      <c r="N183" s="158">
        <v>984</v>
      </c>
      <c r="O183" s="386">
        <v>98298</v>
      </c>
      <c r="P183" s="125">
        <v>44615</v>
      </c>
      <c r="Q183" s="437">
        <v>44565</v>
      </c>
      <c r="R183" s="438">
        <v>0</v>
      </c>
      <c r="S183" s="439"/>
      <c r="T183" s="440">
        <f t="shared" si="56"/>
        <v>2705</v>
      </c>
      <c r="U183" s="441" t="str">
        <f t="shared" si="16"/>
        <v>100 DCMSHRIRAM</v>
      </c>
      <c r="V183" s="132">
        <f t="shared" si="17"/>
        <v>2705</v>
      </c>
      <c r="W183" s="389">
        <f t="shared" si="57"/>
        <v>2.8297051039302041E-2</v>
      </c>
      <c r="X183" s="442">
        <f t="shared" si="19"/>
        <v>0</v>
      </c>
      <c r="Y183" s="391">
        <f t="shared" si="20"/>
        <v>0</v>
      </c>
      <c r="Z183" s="392">
        <f t="shared" si="21"/>
        <v>1</v>
      </c>
      <c r="AA183" s="389">
        <f t="shared" si="22"/>
        <v>26501.416278860455</v>
      </c>
      <c r="AB183" s="125" t="s">
        <v>460</v>
      </c>
      <c r="AC183" s="98"/>
      <c r="AD183" s="98"/>
    </row>
    <row r="184" spans="1:30" ht="12.75" customHeight="1">
      <c r="A184" s="126" t="s">
        <v>589</v>
      </c>
      <c r="B184" s="125" t="s">
        <v>1150</v>
      </c>
      <c r="C184" s="382" t="s">
        <v>1151</v>
      </c>
      <c r="D184" s="383"/>
      <c r="E184" s="384" t="str">
        <f t="shared" si="52"/>
        <v/>
      </c>
      <c r="F184" s="126" t="s">
        <v>1145</v>
      </c>
      <c r="G184" s="126"/>
      <c r="H184" s="385">
        <f t="shared" si="53"/>
        <v>1005.18</v>
      </c>
      <c r="I184" s="126">
        <v>50</v>
      </c>
      <c r="J184" s="385">
        <v>1004</v>
      </c>
      <c r="K184" s="133">
        <v>50259</v>
      </c>
      <c r="L184" s="155">
        <v>44571</v>
      </c>
      <c r="M184" s="129">
        <f t="shared" si="14"/>
        <v>1008.96</v>
      </c>
      <c r="N184" s="158">
        <v>1010</v>
      </c>
      <c r="O184" s="386">
        <v>50448</v>
      </c>
      <c r="P184" s="125">
        <v>44572</v>
      </c>
      <c r="Q184" s="437">
        <v>44568</v>
      </c>
      <c r="R184" s="438">
        <v>15.93</v>
      </c>
      <c r="S184" s="439"/>
      <c r="T184" s="440">
        <f t="shared" si="56"/>
        <v>189</v>
      </c>
      <c r="U184" s="441" t="str">
        <f t="shared" si="16"/>
        <v>50 DCMSHRIRAM</v>
      </c>
      <c r="V184" s="132">
        <f t="shared" si="17"/>
        <v>173.07</v>
      </c>
      <c r="W184" s="389">
        <f t="shared" si="57"/>
        <v>3.4435623470423205E-3</v>
      </c>
      <c r="X184" s="442">
        <f t="shared" si="19"/>
        <v>0</v>
      </c>
      <c r="Y184" s="391">
        <f t="shared" si="20"/>
        <v>0</v>
      </c>
      <c r="Z184" s="392">
        <f t="shared" si="21"/>
        <v>1</v>
      </c>
      <c r="AA184" s="389">
        <f t="shared" si="22"/>
        <v>2.5069303294949328</v>
      </c>
      <c r="AB184" s="125" t="s">
        <v>460</v>
      </c>
      <c r="AC184" s="98"/>
      <c r="AD184" s="98"/>
    </row>
    <row r="185" spans="1:30" ht="12.75" customHeight="1">
      <c r="A185" s="126" t="s">
        <v>589</v>
      </c>
      <c r="B185" s="125" t="s">
        <v>1150</v>
      </c>
      <c r="C185" s="382" t="s">
        <v>1151</v>
      </c>
      <c r="D185" s="383"/>
      <c r="E185" s="384" t="str">
        <f t="shared" si="52"/>
        <v/>
      </c>
      <c r="F185" s="126" t="s">
        <v>1145</v>
      </c>
      <c r="G185" s="126"/>
      <c r="H185" s="385">
        <f t="shared" si="53"/>
        <v>1002.12</v>
      </c>
      <c r="I185" s="126">
        <v>175</v>
      </c>
      <c r="J185" s="385">
        <v>1002</v>
      </c>
      <c r="K185" s="133">
        <v>175371</v>
      </c>
      <c r="L185" s="155">
        <v>44575</v>
      </c>
      <c r="M185" s="129">
        <f t="shared" si="14"/>
        <v>1006.56</v>
      </c>
      <c r="N185" s="158">
        <v>1007.6</v>
      </c>
      <c r="O185" s="386">
        <v>176148</v>
      </c>
      <c r="P185" s="125">
        <v>44578</v>
      </c>
      <c r="Q185" s="437">
        <v>44574</v>
      </c>
      <c r="R185" s="438">
        <v>15.93</v>
      </c>
      <c r="S185" s="439"/>
      <c r="T185" s="440">
        <f t="shared" si="56"/>
        <v>777</v>
      </c>
      <c r="U185" s="441" t="str">
        <f t="shared" si="16"/>
        <v>175 DCMSHRIRAM</v>
      </c>
      <c r="V185" s="132">
        <f t="shared" si="17"/>
        <v>761.07</v>
      </c>
      <c r="W185" s="389">
        <f t="shared" si="57"/>
        <v>4.3397711138101515E-3</v>
      </c>
      <c r="X185" s="442">
        <f t="shared" si="19"/>
        <v>0</v>
      </c>
      <c r="Y185" s="391">
        <f t="shared" si="20"/>
        <v>0</v>
      </c>
      <c r="Z185" s="392">
        <f t="shared" si="21"/>
        <v>3</v>
      </c>
      <c r="AA185" s="389">
        <f t="shared" si="22"/>
        <v>0.69361124079386816</v>
      </c>
      <c r="AB185" s="125" t="s">
        <v>460</v>
      </c>
      <c r="AC185" s="98"/>
      <c r="AD185" s="98"/>
    </row>
    <row r="186" spans="1:30" ht="12.75" customHeight="1">
      <c r="A186" s="126" t="s">
        <v>589</v>
      </c>
      <c r="B186" s="125" t="s">
        <v>1150</v>
      </c>
      <c r="C186" s="382" t="s">
        <v>1151</v>
      </c>
      <c r="D186" s="383"/>
      <c r="E186" s="384" t="str">
        <f t="shared" si="52"/>
        <v/>
      </c>
      <c r="F186" s="126" t="s">
        <v>1145</v>
      </c>
      <c r="G186" s="126"/>
      <c r="H186" s="385">
        <f t="shared" si="53"/>
        <v>1001.18</v>
      </c>
      <c r="I186" s="126">
        <v>100</v>
      </c>
      <c r="J186" s="385">
        <v>1000</v>
      </c>
      <c r="K186" s="133">
        <v>100118</v>
      </c>
      <c r="L186" s="155">
        <v>44579</v>
      </c>
      <c r="M186" s="129">
        <f t="shared" si="14"/>
        <v>1006.96</v>
      </c>
      <c r="N186" s="158">
        <v>1008</v>
      </c>
      <c r="O186" s="386">
        <v>100696</v>
      </c>
      <c r="P186" s="125">
        <v>44580</v>
      </c>
      <c r="Q186" s="437">
        <v>44575</v>
      </c>
      <c r="R186" s="438">
        <v>15.93</v>
      </c>
      <c r="S186" s="439"/>
      <c r="T186" s="440">
        <f t="shared" si="56"/>
        <v>578</v>
      </c>
      <c r="U186" s="441" t="str">
        <f t="shared" si="16"/>
        <v>100 DCMSHRIRAM</v>
      </c>
      <c r="V186" s="132">
        <f t="shared" si="17"/>
        <v>562.07000000000005</v>
      </c>
      <c r="W186" s="389">
        <f t="shared" si="57"/>
        <v>5.6140753910385753E-3</v>
      </c>
      <c r="X186" s="442">
        <f t="shared" si="19"/>
        <v>0</v>
      </c>
      <c r="Y186" s="391">
        <f t="shared" si="20"/>
        <v>0</v>
      </c>
      <c r="Z186" s="392">
        <f t="shared" si="21"/>
        <v>1</v>
      </c>
      <c r="AA186" s="389">
        <f t="shared" si="22"/>
        <v>6.7168553993530224</v>
      </c>
      <c r="AB186" s="125" t="s">
        <v>460</v>
      </c>
      <c r="AC186" s="98"/>
      <c r="AD186" s="98"/>
    </row>
    <row r="187" spans="1:30" ht="12.75" customHeight="1">
      <c r="A187" s="126" t="s">
        <v>589</v>
      </c>
      <c r="B187" s="125" t="s">
        <v>1150</v>
      </c>
      <c r="C187" s="382" t="s">
        <v>1151</v>
      </c>
      <c r="D187" s="383"/>
      <c r="E187" s="384" t="str">
        <f t="shared" si="52"/>
        <v/>
      </c>
      <c r="F187" s="126" t="s">
        <v>1145</v>
      </c>
      <c r="G187" s="126"/>
      <c r="H187" s="385">
        <f t="shared" si="53"/>
        <v>1041.2333000000001</v>
      </c>
      <c r="I187" s="126">
        <v>150</v>
      </c>
      <c r="J187" s="385">
        <v>1040</v>
      </c>
      <c r="K187" s="133">
        <v>156185</v>
      </c>
      <c r="L187" s="155">
        <v>44579</v>
      </c>
      <c r="M187" s="129">
        <f t="shared" si="14"/>
        <v>1042.28</v>
      </c>
      <c r="N187" s="158">
        <v>1043.3599999999999</v>
      </c>
      <c r="O187" s="386">
        <v>156342</v>
      </c>
      <c r="P187" s="125">
        <v>44580</v>
      </c>
      <c r="Q187" s="437">
        <v>44578</v>
      </c>
      <c r="R187" s="438">
        <v>15.93</v>
      </c>
      <c r="S187" s="439"/>
      <c r="T187" s="440">
        <f t="shared" si="56"/>
        <v>157</v>
      </c>
      <c r="U187" s="441" t="str">
        <f t="shared" si="16"/>
        <v>150 DCMSHRIRAM</v>
      </c>
      <c r="V187" s="132">
        <f t="shared" si="17"/>
        <v>141.07</v>
      </c>
      <c r="W187" s="389">
        <f t="shared" si="57"/>
        <v>9.0322374107628767E-4</v>
      </c>
      <c r="X187" s="442">
        <f t="shared" si="19"/>
        <v>0</v>
      </c>
      <c r="Y187" s="391">
        <f t="shared" si="20"/>
        <v>0</v>
      </c>
      <c r="Z187" s="392">
        <f t="shared" si="21"/>
        <v>1</v>
      </c>
      <c r="AA187" s="389">
        <f t="shared" si="22"/>
        <v>0.39031156455622606</v>
      </c>
      <c r="AB187" s="125" t="s">
        <v>460</v>
      </c>
      <c r="AC187" s="98"/>
      <c r="AD187" s="98"/>
    </row>
    <row r="188" spans="1:30" ht="12.75" customHeight="1">
      <c r="A188" s="126" t="s">
        <v>589</v>
      </c>
      <c r="B188" s="125" t="s">
        <v>1150</v>
      </c>
      <c r="C188" s="382" t="s">
        <v>1151</v>
      </c>
      <c r="D188" s="383"/>
      <c r="E188" s="384" t="str">
        <f t="shared" si="52"/>
        <v/>
      </c>
      <c r="F188" s="126"/>
      <c r="G188" s="126"/>
      <c r="H188" s="385">
        <f t="shared" si="53"/>
        <v>1031.2128</v>
      </c>
      <c r="I188" s="126">
        <v>47</v>
      </c>
      <c r="J188" s="385">
        <v>1030</v>
      </c>
      <c r="K188" s="133">
        <v>48467</v>
      </c>
      <c r="L188" s="155">
        <v>44579</v>
      </c>
      <c r="M188" s="129">
        <f t="shared" si="14"/>
        <v>1099.8723</v>
      </c>
      <c r="N188" s="158">
        <v>1101</v>
      </c>
      <c r="O188" s="386">
        <v>51694</v>
      </c>
      <c r="P188" s="125">
        <v>44582</v>
      </c>
      <c r="Q188" s="437">
        <v>44580</v>
      </c>
      <c r="R188" s="438">
        <v>15.93</v>
      </c>
      <c r="S188" s="439"/>
      <c r="T188" s="440">
        <f t="shared" si="56"/>
        <v>3227</v>
      </c>
      <c r="U188" s="441" t="str">
        <f t="shared" si="16"/>
        <v>47 DCMSHRIRAM</v>
      </c>
      <c r="V188" s="132">
        <f t="shared" si="17"/>
        <v>3211.07</v>
      </c>
      <c r="W188" s="389">
        <f t="shared" si="57"/>
        <v>6.6252708028142857E-2</v>
      </c>
      <c r="X188" s="442">
        <f t="shared" si="19"/>
        <v>0</v>
      </c>
      <c r="Y188" s="391">
        <f t="shared" si="20"/>
        <v>0</v>
      </c>
      <c r="Z188" s="392">
        <f t="shared" si="21"/>
        <v>3</v>
      </c>
      <c r="AA188" s="389">
        <f t="shared" si="22"/>
        <v>2451.7384564513673</v>
      </c>
      <c r="AB188" s="125" t="s">
        <v>460</v>
      </c>
      <c r="AC188" s="98"/>
      <c r="AD188" s="98"/>
    </row>
    <row r="189" spans="1:30" ht="12.75" customHeight="1">
      <c r="A189" s="126" t="s">
        <v>589</v>
      </c>
      <c r="B189" s="125" t="s">
        <v>1150</v>
      </c>
      <c r="C189" s="382" t="s">
        <v>1151</v>
      </c>
      <c r="D189" s="383"/>
      <c r="E189" s="384" t="str">
        <f t="shared" si="52"/>
        <v/>
      </c>
      <c r="F189" s="126" t="s">
        <v>1145</v>
      </c>
      <c r="G189" s="126"/>
      <c r="H189" s="385">
        <f t="shared" si="53"/>
        <v>1012.4348</v>
      </c>
      <c r="I189" s="126">
        <v>115</v>
      </c>
      <c r="J189" s="385">
        <v>1011.2417</v>
      </c>
      <c r="K189" s="133">
        <v>116430</v>
      </c>
      <c r="L189" s="155">
        <v>44613</v>
      </c>
      <c r="M189" s="129">
        <f t="shared" si="14"/>
        <v>1025.9391000000001</v>
      </c>
      <c r="N189" s="158">
        <v>1027</v>
      </c>
      <c r="O189" s="386">
        <v>117983</v>
      </c>
      <c r="P189" s="125">
        <v>44614</v>
      </c>
      <c r="Q189" s="437">
        <v>44586</v>
      </c>
      <c r="R189" s="438">
        <v>15.93</v>
      </c>
      <c r="S189" s="439"/>
      <c r="T189" s="440">
        <f t="shared" si="56"/>
        <v>1553</v>
      </c>
      <c r="U189" s="441" t="str">
        <f t="shared" si="16"/>
        <v>115 DCMSHRIRAM</v>
      </c>
      <c r="V189" s="132">
        <f t="shared" si="17"/>
        <v>1537.07</v>
      </c>
      <c r="W189" s="389">
        <f t="shared" si="57"/>
        <v>1.3201666237224083E-2</v>
      </c>
      <c r="X189" s="442">
        <f t="shared" si="19"/>
        <v>0</v>
      </c>
      <c r="Y189" s="391">
        <f t="shared" si="20"/>
        <v>0</v>
      </c>
      <c r="Z189" s="392">
        <f t="shared" si="21"/>
        <v>1</v>
      </c>
      <c r="AA189" s="389">
        <f t="shared" si="22"/>
        <v>118.95042600672537</v>
      </c>
      <c r="AB189" s="125" t="s">
        <v>460</v>
      </c>
      <c r="AC189" s="98"/>
      <c r="AD189" s="98"/>
    </row>
    <row r="190" spans="1:30" ht="12.75" customHeight="1">
      <c r="A190" s="126" t="s">
        <v>589</v>
      </c>
      <c r="B190" s="125" t="s">
        <v>1150</v>
      </c>
      <c r="C190" s="382" t="s">
        <v>1151</v>
      </c>
      <c r="D190" s="383"/>
      <c r="E190" s="384" t="str">
        <f t="shared" si="52"/>
        <v/>
      </c>
      <c r="F190" s="126" t="s">
        <v>1145</v>
      </c>
      <c r="G190" s="126"/>
      <c r="H190" s="385">
        <f t="shared" si="53"/>
        <v>1161.6947</v>
      </c>
      <c r="I190" s="126">
        <v>190</v>
      </c>
      <c r="J190" s="385">
        <v>1161</v>
      </c>
      <c r="K190" s="133">
        <v>220722</v>
      </c>
      <c r="L190" s="155">
        <v>44600</v>
      </c>
      <c r="M190" s="129">
        <f t="shared" si="14"/>
        <v>1161.3684000000001</v>
      </c>
      <c r="N190" s="158">
        <v>1162.5684000000001</v>
      </c>
      <c r="O190" s="386">
        <v>220660</v>
      </c>
      <c r="P190" s="125">
        <v>44601</v>
      </c>
      <c r="Q190" s="437">
        <v>44596</v>
      </c>
      <c r="R190" s="438">
        <v>15.93</v>
      </c>
      <c r="S190" s="439"/>
      <c r="T190" s="440">
        <f t="shared" si="56"/>
        <v>-62</v>
      </c>
      <c r="U190" s="441" t="str">
        <f t="shared" si="16"/>
        <v>190 DCMSHRIRAM</v>
      </c>
      <c r="V190" s="132">
        <f t="shared" si="17"/>
        <v>-77.930000000000007</v>
      </c>
      <c r="W190" s="389">
        <f t="shared" si="57"/>
        <v>-3.5306856588831201E-4</v>
      </c>
      <c r="X190" s="442">
        <f t="shared" si="19"/>
        <v>0</v>
      </c>
      <c r="Y190" s="391">
        <f t="shared" si="20"/>
        <v>0</v>
      </c>
      <c r="Z190" s="392">
        <f t="shared" si="21"/>
        <v>1</v>
      </c>
      <c r="AA190" s="389">
        <f t="shared" si="22"/>
        <v>-0.12093178746874012</v>
      </c>
      <c r="AB190" s="125" t="s">
        <v>460</v>
      </c>
      <c r="AC190" s="98"/>
      <c r="AD190" s="98"/>
    </row>
    <row r="191" spans="1:30" ht="12.75" customHeight="1">
      <c r="A191" s="126" t="s">
        <v>589</v>
      </c>
      <c r="B191" s="125" t="s">
        <v>1150</v>
      </c>
      <c r="C191" s="382" t="s">
        <v>1151</v>
      </c>
      <c r="D191" s="383"/>
      <c r="E191" s="384" t="str">
        <f t="shared" si="52"/>
        <v/>
      </c>
      <c r="F191" s="126" t="s">
        <v>1145</v>
      </c>
      <c r="G191" s="126"/>
      <c r="H191" s="385">
        <f t="shared" si="53"/>
        <v>1136.3499999999999</v>
      </c>
      <c r="I191" s="126">
        <v>60</v>
      </c>
      <c r="J191" s="385">
        <v>1135</v>
      </c>
      <c r="K191" s="133">
        <v>68181</v>
      </c>
      <c r="L191" s="155">
        <v>44601</v>
      </c>
      <c r="M191" s="129">
        <f t="shared" si="14"/>
        <v>1142.5667000000001</v>
      </c>
      <c r="N191" s="158">
        <v>1143.75</v>
      </c>
      <c r="O191" s="386">
        <v>68554</v>
      </c>
      <c r="P191" s="125">
        <v>44602</v>
      </c>
      <c r="Q191" s="437">
        <v>44600</v>
      </c>
      <c r="R191" s="438">
        <v>15.93</v>
      </c>
      <c r="S191" s="439"/>
      <c r="T191" s="440">
        <f t="shared" si="56"/>
        <v>373</v>
      </c>
      <c r="U191" s="441" t="str">
        <f t="shared" si="16"/>
        <v>60 DCMSHRIRAM</v>
      </c>
      <c r="V191" s="132">
        <f t="shared" si="17"/>
        <v>357.07</v>
      </c>
      <c r="W191" s="389">
        <f t="shared" si="57"/>
        <v>5.2370895117408072E-3</v>
      </c>
      <c r="X191" s="442">
        <f t="shared" si="19"/>
        <v>0</v>
      </c>
      <c r="Y191" s="391">
        <f t="shared" si="20"/>
        <v>0</v>
      </c>
      <c r="Z191" s="392">
        <f t="shared" si="21"/>
        <v>1</v>
      </c>
      <c r="AA191" s="389">
        <f t="shared" si="22"/>
        <v>5.7298283118745994</v>
      </c>
      <c r="AB191" s="125" t="s">
        <v>460</v>
      </c>
      <c r="AC191" s="98"/>
      <c r="AD191" s="98"/>
    </row>
    <row r="192" spans="1:30" ht="12.75" customHeight="1">
      <c r="A192" s="126" t="s">
        <v>589</v>
      </c>
      <c r="B192" s="125" t="s">
        <v>1150</v>
      </c>
      <c r="C192" s="382" t="s">
        <v>1151</v>
      </c>
      <c r="D192" s="383"/>
      <c r="E192" s="384" t="str">
        <f t="shared" si="52"/>
        <v/>
      </c>
      <c r="F192" s="126" t="s">
        <v>1145</v>
      </c>
      <c r="G192" s="126"/>
      <c r="H192" s="385">
        <f t="shared" si="53"/>
        <v>1133.3399999999999</v>
      </c>
      <c r="I192" s="126">
        <v>50</v>
      </c>
      <c r="J192" s="385">
        <v>1132</v>
      </c>
      <c r="K192" s="133">
        <v>56667</v>
      </c>
      <c r="L192" s="155">
        <v>44603</v>
      </c>
      <c r="M192" s="129">
        <f t="shared" si="14"/>
        <v>1140.82</v>
      </c>
      <c r="N192" s="158">
        <v>1142</v>
      </c>
      <c r="O192" s="386">
        <v>57041</v>
      </c>
      <c r="P192" s="125">
        <v>44606</v>
      </c>
      <c r="Q192" s="437">
        <v>44602</v>
      </c>
      <c r="R192" s="438">
        <v>15.93</v>
      </c>
      <c r="S192" s="439"/>
      <c r="T192" s="440">
        <f t="shared" si="56"/>
        <v>374</v>
      </c>
      <c r="U192" s="441" t="str">
        <f t="shared" si="16"/>
        <v>50 DCMSHRIRAM</v>
      </c>
      <c r="V192" s="132">
        <f t="shared" si="17"/>
        <v>358.07</v>
      </c>
      <c r="W192" s="389">
        <f t="shared" si="57"/>
        <v>6.3188451832636274E-3</v>
      </c>
      <c r="X192" s="442">
        <f t="shared" si="19"/>
        <v>0</v>
      </c>
      <c r="Y192" s="391">
        <f t="shared" si="20"/>
        <v>0</v>
      </c>
      <c r="Z192" s="392">
        <f t="shared" si="21"/>
        <v>3</v>
      </c>
      <c r="AA192" s="389">
        <f t="shared" si="22"/>
        <v>1.1519492794988193</v>
      </c>
      <c r="AB192" s="125" t="s">
        <v>460</v>
      </c>
      <c r="AC192" s="98"/>
      <c r="AD192" s="98"/>
    </row>
    <row r="193" spans="1:30" ht="12.75" customHeight="1">
      <c r="A193" s="126" t="s">
        <v>589</v>
      </c>
      <c r="B193" s="125" t="s">
        <v>1150</v>
      </c>
      <c r="C193" s="382" t="s">
        <v>1151</v>
      </c>
      <c r="D193" s="383"/>
      <c r="E193" s="384" t="str">
        <f t="shared" si="52"/>
        <v/>
      </c>
      <c r="F193" s="126" t="s">
        <v>1145</v>
      </c>
      <c r="G193" s="126"/>
      <c r="H193" s="385">
        <f t="shared" si="53"/>
        <v>1051.9571000000001</v>
      </c>
      <c r="I193" s="126">
        <v>70</v>
      </c>
      <c r="J193" s="385">
        <v>1050.7143000000001</v>
      </c>
      <c r="K193" s="133">
        <v>73637</v>
      </c>
      <c r="L193" s="155">
        <v>44610</v>
      </c>
      <c r="M193" s="129">
        <f t="shared" si="14"/>
        <v>1060.7571</v>
      </c>
      <c r="N193" s="158">
        <v>1061.8499999999999</v>
      </c>
      <c r="O193" s="386">
        <v>74253</v>
      </c>
      <c r="P193" s="125">
        <v>44611</v>
      </c>
      <c r="Q193" s="437">
        <v>44607</v>
      </c>
      <c r="R193" s="438">
        <v>15.93</v>
      </c>
      <c r="S193" s="439"/>
      <c r="T193" s="440">
        <f t="shared" si="56"/>
        <v>616</v>
      </c>
      <c r="U193" s="441" t="str">
        <f t="shared" si="16"/>
        <v>70 DCMSHRIRAM</v>
      </c>
      <c r="V193" s="132">
        <f t="shared" si="17"/>
        <v>600.07000000000005</v>
      </c>
      <c r="W193" s="389">
        <f t="shared" si="57"/>
        <v>8.149028341730381E-3</v>
      </c>
      <c r="X193" s="442">
        <f t="shared" si="19"/>
        <v>0</v>
      </c>
      <c r="Y193" s="391">
        <f t="shared" si="20"/>
        <v>0</v>
      </c>
      <c r="Z193" s="392">
        <f t="shared" si="21"/>
        <v>1</v>
      </c>
      <c r="AA193" s="389">
        <f t="shared" si="22"/>
        <v>18.343212231144015</v>
      </c>
      <c r="AB193" s="125" t="s">
        <v>460</v>
      </c>
      <c r="AC193" s="98"/>
      <c r="AD193" s="98"/>
    </row>
    <row r="194" spans="1:30" ht="12.75" customHeight="1">
      <c r="A194" s="126" t="s">
        <v>589</v>
      </c>
      <c r="B194" s="125" t="s">
        <v>1150</v>
      </c>
      <c r="C194" s="382" t="s">
        <v>1151</v>
      </c>
      <c r="D194" s="383"/>
      <c r="E194" s="384" t="str">
        <f t="shared" si="52"/>
        <v/>
      </c>
      <c r="F194" s="126" t="s">
        <v>1145</v>
      </c>
      <c r="G194" s="126"/>
      <c r="H194" s="385">
        <f t="shared" si="53"/>
        <v>951.1</v>
      </c>
      <c r="I194" s="126">
        <v>10</v>
      </c>
      <c r="J194" s="385">
        <v>950</v>
      </c>
      <c r="K194" s="133">
        <v>9511</v>
      </c>
      <c r="L194" s="155">
        <v>44616</v>
      </c>
      <c r="M194" s="129">
        <f t="shared" si="14"/>
        <v>979</v>
      </c>
      <c r="N194" s="158">
        <v>980</v>
      </c>
      <c r="O194" s="386">
        <v>9790</v>
      </c>
      <c r="P194" s="125">
        <v>44617</v>
      </c>
      <c r="Q194" s="437">
        <v>44615</v>
      </c>
      <c r="R194" s="438">
        <v>15.93</v>
      </c>
      <c r="S194" s="439"/>
      <c r="T194" s="440">
        <f t="shared" si="56"/>
        <v>279</v>
      </c>
      <c r="U194" s="441" t="str">
        <f t="shared" si="16"/>
        <v>10 DCMSHRIRAM</v>
      </c>
      <c r="V194" s="132">
        <f t="shared" si="17"/>
        <v>263.07</v>
      </c>
      <c r="W194" s="389">
        <f t="shared" si="57"/>
        <v>2.7659552097571233E-2</v>
      </c>
      <c r="X194" s="442">
        <f t="shared" si="19"/>
        <v>0</v>
      </c>
      <c r="Y194" s="391">
        <f t="shared" si="20"/>
        <v>0</v>
      </c>
      <c r="Z194" s="392">
        <f t="shared" si="21"/>
        <v>1</v>
      </c>
      <c r="AA194" s="389">
        <f t="shared" si="22"/>
        <v>21132.971970430041</v>
      </c>
      <c r="AB194" s="125" t="s">
        <v>460</v>
      </c>
      <c r="AC194" s="98"/>
      <c r="AD194" s="98"/>
    </row>
    <row r="195" spans="1:30" ht="12.75" customHeight="1">
      <c r="A195" s="126" t="s">
        <v>589</v>
      </c>
      <c r="B195" s="125" t="s">
        <v>1150</v>
      </c>
      <c r="C195" s="382" t="s">
        <v>1151</v>
      </c>
      <c r="D195" s="383"/>
      <c r="E195" s="384" t="str">
        <f t="shared" si="52"/>
        <v/>
      </c>
      <c r="F195" s="126" t="s">
        <v>1145</v>
      </c>
      <c r="G195" s="126"/>
      <c r="H195" s="385">
        <f t="shared" si="53"/>
        <v>975.2</v>
      </c>
      <c r="I195" s="126">
        <v>10</v>
      </c>
      <c r="J195" s="385">
        <v>974</v>
      </c>
      <c r="K195" s="133">
        <v>9752</v>
      </c>
      <c r="L195" s="155">
        <v>44620</v>
      </c>
      <c r="M195" s="129">
        <f t="shared" si="14"/>
        <v>983</v>
      </c>
      <c r="N195" s="158">
        <v>984</v>
      </c>
      <c r="O195" s="386">
        <v>9830</v>
      </c>
      <c r="P195" s="125">
        <v>44621</v>
      </c>
      <c r="Q195" s="437">
        <v>44617</v>
      </c>
      <c r="R195" s="438">
        <v>15.93</v>
      </c>
      <c r="S195" s="439"/>
      <c r="T195" s="440">
        <f t="shared" si="56"/>
        <v>78</v>
      </c>
      <c r="U195" s="441" t="str">
        <f t="shared" si="16"/>
        <v>10 DCMSHRIRAM</v>
      </c>
      <c r="V195" s="132">
        <f t="shared" si="17"/>
        <v>62.07</v>
      </c>
      <c r="W195" s="389">
        <f t="shared" si="57"/>
        <v>6.3648482362592285E-3</v>
      </c>
      <c r="X195" s="442">
        <f t="shared" si="19"/>
        <v>0</v>
      </c>
      <c r="Y195" s="391">
        <f t="shared" si="20"/>
        <v>0</v>
      </c>
      <c r="Z195" s="392">
        <f t="shared" si="21"/>
        <v>1</v>
      </c>
      <c r="AA195" s="389">
        <f t="shared" si="22"/>
        <v>9.1331022761298613</v>
      </c>
      <c r="AB195" s="125" t="s">
        <v>460</v>
      </c>
      <c r="AC195" s="98"/>
      <c r="AD195" s="98"/>
    </row>
    <row r="196" spans="1:30" ht="12.75" customHeight="1">
      <c r="A196" s="126" t="s">
        <v>589</v>
      </c>
      <c r="B196" s="125" t="s">
        <v>1150</v>
      </c>
      <c r="C196" s="382" t="s">
        <v>1151</v>
      </c>
      <c r="D196" s="383"/>
      <c r="E196" s="384" t="str">
        <f t="shared" si="52"/>
        <v/>
      </c>
      <c r="F196" s="126" t="s">
        <v>1145</v>
      </c>
      <c r="G196" s="126"/>
      <c r="H196" s="385">
        <f t="shared" si="53"/>
        <v>1039.25</v>
      </c>
      <c r="I196" s="126">
        <v>20</v>
      </c>
      <c r="J196" s="385">
        <v>1038</v>
      </c>
      <c r="K196" s="133">
        <v>20785</v>
      </c>
      <c r="L196" s="155">
        <v>44610</v>
      </c>
      <c r="M196" s="129">
        <f t="shared" si="14"/>
        <v>1047.75</v>
      </c>
      <c r="N196" s="158">
        <v>1048</v>
      </c>
      <c r="O196" s="386">
        <v>20955</v>
      </c>
      <c r="P196" s="125">
        <v>44622</v>
      </c>
      <c r="Q196" s="437">
        <v>44620</v>
      </c>
      <c r="R196" s="438">
        <v>15.93</v>
      </c>
      <c r="S196" s="439"/>
      <c r="T196" s="440">
        <f t="shared" si="56"/>
        <v>170</v>
      </c>
      <c r="U196" s="441" t="str">
        <f t="shared" si="16"/>
        <v>20 DCMSHRIRAM</v>
      </c>
      <c r="V196" s="132">
        <f t="shared" si="17"/>
        <v>154.07</v>
      </c>
      <c r="W196" s="389">
        <f t="shared" si="57"/>
        <v>7.4125571325475096E-3</v>
      </c>
      <c r="X196" s="442">
        <f t="shared" si="19"/>
        <v>0</v>
      </c>
      <c r="Y196" s="391">
        <f t="shared" si="20"/>
        <v>0</v>
      </c>
      <c r="Z196" s="392">
        <f t="shared" si="21"/>
        <v>12</v>
      </c>
      <c r="AA196" s="389">
        <f t="shared" si="22"/>
        <v>0.25186413568444177</v>
      </c>
      <c r="AB196" s="125" t="s">
        <v>460</v>
      </c>
      <c r="AC196" s="98"/>
      <c r="AD196" s="98"/>
    </row>
    <row r="197" spans="1:30" ht="12.75" customHeight="1">
      <c r="A197" s="126" t="s">
        <v>589</v>
      </c>
      <c r="B197" s="125" t="s">
        <v>1150</v>
      </c>
      <c r="C197" s="382" t="s">
        <v>1151</v>
      </c>
      <c r="D197" s="383"/>
      <c r="E197" s="384" t="str">
        <f t="shared" si="52"/>
        <v/>
      </c>
      <c r="F197" s="126" t="s">
        <v>1145</v>
      </c>
      <c r="G197" s="126"/>
      <c r="H197" s="385">
        <f t="shared" si="53"/>
        <v>1051</v>
      </c>
      <c r="I197" s="126">
        <v>1</v>
      </c>
      <c r="J197" s="385">
        <v>1050</v>
      </c>
      <c r="K197" s="133">
        <f>1051</f>
        <v>1051</v>
      </c>
      <c r="L197" s="155">
        <v>44490</v>
      </c>
      <c r="M197" s="129">
        <f t="shared" si="14"/>
        <v>1047</v>
      </c>
      <c r="N197" s="158">
        <v>1048</v>
      </c>
      <c r="O197" s="386">
        <v>1047</v>
      </c>
      <c r="P197" s="125">
        <v>44622</v>
      </c>
      <c r="Q197" s="437">
        <v>44620</v>
      </c>
      <c r="R197" s="438">
        <v>0</v>
      </c>
      <c r="S197" s="439"/>
      <c r="T197" s="440">
        <f t="shared" si="56"/>
        <v>-4</v>
      </c>
      <c r="U197" s="441" t="str">
        <f t="shared" si="16"/>
        <v>1 DCMSHRIRAM</v>
      </c>
      <c r="V197" s="132">
        <f t="shared" si="17"/>
        <v>-4</v>
      </c>
      <c r="W197" s="389">
        <f t="shared" si="57"/>
        <v>-3.8058991436726928E-3</v>
      </c>
      <c r="X197" s="442">
        <f t="shared" si="19"/>
        <v>0</v>
      </c>
      <c r="Y197" s="391">
        <f t="shared" si="20"/>
        <v>4</v>
      </c>
      <c r="Z197" s="392">
        <f t="shared" si="21"/>
        <v>9</v>
      </c>
      <c r="AA197" s="389">
        <f t="shared" si="22"/>
        <v>-1.0488572425835674E-2</v>
      </c>
      <c r="AB197" s="125" t="s">
        <v>460</v>
      </c>
      <c r="AC197" s="98"/>
      <c r="AD197" s="98"/>
    </row>
    <row r="198" spans="1:30" ht="12.75" customHeight="1">
      <c r="A198" s="126" t="s">
        <v>589</v>
      </c>
      <c r="B198" s="125"/>
      <c r="C198" s="382"/>
      <c r="D198" s="383"/>
      <c r="E198" s="384" t="str">
        <f t="shared" si="52"/>
        <v/>
      </c>
      <c r="F198" s="126" t="s">
        <v>1145</v>
      </c>
      <c r="G198" s="126"/>
      <c r="H198" s="385">
        <f t="shared" si="53"/>
        <v>979.2</v>
      </c>
      <c r="I198" s="126">
        <v>10</v>
      </c>
      <c r="J198" s="385">
        <v>978</v>
      </c>
      <c r="K198" s="133">
        <v>9792</v>
      </c>
      <c r="L198" s="155">
        <v>44627</v>
      </c>
      <c r="M198" s="129">
        <f t="shared" si="14"/>
        <v>997</v>
      </c>
      <c r="N198" s="158">
        <v>998</v>
      </c>
      <c r="O198" s="386">
        <v>9970</v>
      </c>
      <c r="P198" s="125">
        <v>44628</v>
      </c>
      <c r="Q198" s="437">
        <v>44620</v>
      </c>
      <c r="R198" s="438">
        <v>15.93</v>
      </c>
      <c r="S198" s="439"/>
      <c r="T198" s="440">
        <f t="shared" si="56"/>
        <v>178</v>
      </c>
      <c r="U198" s="441" t="str">
        <f t="shared" si="16"/>
        <v>10 DCMSHRIRAM</v>
      </c>
      <c r="V198" s="132">
        <f t="shared" si="17"/>
        <v>162.07</v>
      </c>
      <c r="W198" s="389">
        <f t="shared" si="57"/>
        <v>1.6551266339869281E-2</v>
      </c>
      <c r="X198" s="442">
        <f t="shared" si="19"/>
        <v>0</v>
      </c>
      <c r="Y198" s="391">
        <f t="shared" si="20"/>
        <v>0</v>
      </c>
      <c r="Z198" s="392">
        <f t="shared" si="21"/>
        <v>1</v>
      </c>
      <c r="AA198" s="389">
        <f t="shared" si="22"/>
        <v>399.11909949274065</v>
      </c>
      <c r="AB198" s="125" t="s">
        <v>460</v>
      </c>
      <c r="AC198" s="98"/>
      <c r="AD198" s="98"/>
    </row>
    <row r="199" spans="1:30" ht="12.75" customHeight="1">
      <c r="A199" s="126" t="s">
        <v>589</v>
      </c>
      <c r="B199" s="125" t="s">
        <v>1150</v>
      </c>
      <c r="C199" s="382" t="s">
        <v>1151</v>
      </c>
      <c r="D199" s="383"/>
      <c r="E199" s="384" t="str">
        <f t="shared" si="52"/>
        <v/>
      </c>
      <c r="F199" s="126" t="s">
        <v>1145</v>
      </c>
      <c r="G199" s="126"/>
      <c r="H199" s="385">
        <f t="shared" si="53"/>
        <v>987.9</v>
      </c>
      <c r="I199" s="126">
        <v>20</v>
      </c>
      <c r="J199" s="385">
        <v>986.75</v>
      </c>
      <c r="K199" s="133">
        <v>19758</v>
      </c>
      <c r="L199" s="155">
        <v>44627</v>
      </c>
      <c r="M199" s="129">
        <f t="shared" si="14"/>
        <v>991.95</v>
      </c>
      <c r="N199" s="158">
        <v>993</v>
      </c>
      <c r="O199" s="386">
        <v>19839</v>
      </c>
      <c r="P199" s="125">
        <v>44631</v>
      </c>
      <c r="Q199" s="437">
        <v>44629</v>
      </c>
      <c r="R199" s="438">
        <v>15.93</v>
      </c>
      <c r="S199" s="439"/>
      <c r="T199" s="440">
        <f t="shared" si="56"/>
        <v>81</v>
      </c>
      <c r="U199" s="441" t="str">
        <f t="shared" si="16"/>
        <v>20 DCMSHRIRAM</v>
      </c>
      <c r="V199" s="132">
        <f t="shared" si="17"/>
        <v>65.069999999999993</v>
      </c>
      <c r="W199" s="389">
        <f t="shared" si="57"/>
        <v>3.2933495293045851E-3</v>
      </c>
      <c r="X199" s="442">
        <f t="shared" si="19"/>
        <v>0</v>
      </c>
      <c r="Y199" s="391">
        <f t="shared" si="20"/>
        <v>0</v>
      </c>
      <c r="Z199" s="392">
        <f t="shared" si="21"/>
        <v>4</v>
      </c>
      <c r="AA199" s="389">
        <f t="shared" si="22"/>
        <v>0.34989170770217126</v>
      </c>
      <c r="AB199" s="125" t="s">
        <v>460</v>
      </c>
      <c r="AC199" s="98"/>
      <c r="AD199" s="98"/>
    </row>
    <row r="200" spans="1:30" ht="12.75" customHeight="1">
      <c r="A200" s="126" t="s">
        <v>589</v>
      </c>
      <c r="B200" s="125" t="s">
        <v>1150</v>
      </c>
      <c r="C200" s="382" t="s">
        <v>1151</v>
      </c>
      <c r="D200" s="383"/>
      <c r="E200" s="384" t="str">
        <f t="shared" si="52"/>
        <v/>
      </c>
      <c r="F200" s="126" t="s">
        <v>1145</v>
      </c>
      <c r="G200" s="126"/>
      <c r="H200" s="385">
        <f t="shared" si="53"/>
        <v>1036.75</v>
      </c>
      <c r="I200" s="126">
        <v>20</v>
      </c>
      <c r="J200" s="385">
        <v>1035.5</v>
      </c>
      <c r="K200" s="133">
        <v>20735</v>
      </c>
      <c r="L200" s="155">
        <v>44624</v>
      </c>
      <c r="M200" s="129">
        <f t="shared" si="14"/>
        <v>1058.9000000000001</v>
      </c>
      <c r="N200" s="158">
        <v>1060</v>
      </c>
      <c r="O200" s="386">
        <v>21178</v>
      </c>
      <c r="P200" s="125">
        <v>44636</v>
      </c>
      <c r="Q200" s="437">
        <v>44634</v>
      </c>
      <c r="R200" s="438">
        <v>15.93</v>
      </c>
      <c r="S200" s="439"/>
      <c r="T200" s="440">
        <f t="shared" si="56"/>
        <v>443</v>
      </c>
      <c r="U200" s="441" t="str">
        <f t="shared" si="16"/>
        <v>20 DCMSHRIRAM</v>
      </c>
      <c r="V200" s="132">
        <f t="shared" si="17"/>
        <v>427.07</v>
      </c>
      <c r="W200" s="389">
        <f t="shared" si="57"/>
        <v>2.0596575837955149E-2</v>
      </c>
      <c r="X200" s="442">
        <f t="shared" si="19"/>
        <v>0</v>
      </c>
      <c r="Y200" s="391">
        <f t="shared" si="20"/>
        <v>0</v>
      </c>
      <c r="Z200" s="392">
        <f t="shared" si="21"/>
        <v>12</v>
      </c>
      <c r="AA200" s="389">
        <f t="shared" si="22"/>
        <v>0.85914138572774412</v>
      </c>
      <c r="AB200" s="125" t="s">
        <v>460</v>
      </c>
      <c r="AC200" s="98"/>
      <c r="AD200" s="98"/>
    </row>
    <row r="201" spans="1:30" ht="12.75" customHeight="1">
      <c r="A201" s="126" t="s">
        <v>589</v>
      </c>
      <c r="B201" s="125" t="s">
        <v>1150</v>
      </c>
      <c r="C201" s="382" t="s">
        <v>1151</v>
      </c>
      <c r="D201" s="383"/>
      <c r="E201" s="384" t="str">
        <f t="shared" si="52"/>
        <v/>
      </c>
      <c r="F201" s="126" t="s">
        <v>1145</v>
      </c>
      <c r="G201" s="126"/>
      <c r="H201" s="385">
        <f t="shared" si="53"/>
        <v>1041.2</v>
      </c>
      <c r="I201" s="126">
        <v>10</v>
      </c>
      <c r="J201" s="385">
        <v>1040</v>
      </c>
      <c r="K201" s="133">
        <v>10412</v>
      </c>
      <c r="L201" s="155">
        <v>44635</v>
      </c>
      <c r="M201" s="129">
        <f t="shared" si="14"/>
        <v>1049.9000000000001</v>
      </c>
      <c r="N201" s="158">
        <v>1051</v>
      </c>
      <c r="O201" s="386">
        <v>10499</v>
      </c>
      <c r="P201" s="125">
        <v>44636</v>
      </c>
      <c r="Q201" s="437">
        <v>44634</v>
      </c>
      <c r="R201" s="438">
        <v>0</v>
      </c>
      <c r="S201" s="439"/>
      <c r="T201" s="440">
        <f t="shared" si="56"/>
        <v>87</v>
      </c>
      <c r="U201" s="441" t="str">
        <f t="shared" si="16"/>
        <v>10 DCMSHRIRAM</v>
      </c>
      <c r="V201" s="132">
        <f t="shared" si="17"/>
        <v>87</v>
      </c>
      <c r="W201" s="389">
        <f t="shared" si="57"/>
        <v>8.3557433730311187E-3</v>
      </c>
      <c r="X201" s="442">
        <f t="shared" si="19"/>
        <v>0</v>
      </c>
      <c r="Y201" s="391">
        <f t="shared" si="20"/>
        <v>0</v>
      </c>
      <c r="Z201" s="392">
        <f t="shared" si="21"/>
        <v>1</v>
      </c>
      <c r="AA201" s="389">
        <f t="shared" si="22"/>
        <v>19.846269287448251</v>
      </c>
      <c r="AB201" s="125" t="s">
        <v>460</v>
      </c>
      <c r="AC201" s="98"/>
      <c r="AD201" s="98"/>
    </row>
    <row r="202" spans="1:30" ht="12.75" customHeight="1">
      <c r="A202" s="126" t="s">
        <v>589</v>
      </c>
      <c r="B202" s="125" t="s">
        <v>1150</v>
      </c>
      <c r="C202" s="382" t="s">
        <v>1151</v>
      </c>
      <c r="D202" s="383"/>
      <c r="E202" s="384" t="str">
        <f t="shared" si="52"/>
        <v/>
      </c>
      <c r="F202" s="126" t="s">
        <v>1145</v>
      </c>
      <c r="G202" s="126"/>
      <c r="H202" s="385">
        <f t="shared" si="53"/>
        <v>1062.25</v>
      </c>
      <c r="I202" s="126">
        <v>16</v>
      </c>
      <c r="J202" s="385">
        <v>1061</v>
      </c>
      <c r="K202" s="133">
        <v>16996</v>
      </c>
      <c r="L202" s="155">
        <v>44643</v>
      </c>
      <c r="M202" s="129">
        <f t="shared" si="14"/>
        <v>1064.875</v>
      </c>
      <c r="N202" s="158">
        <v>1065.9563000000001</v>
      </c>
      <c r="O202" s="386">
        <v>17038</v>
      </c>
      <c r="P202" s="125">
        <v>44644</v>
      </c>
      <c r="Q202" s="437">
        <v>44642</v>
      </c>
      <c r="R202" s="438">
        <v>15.93</v>
      </c>
      <c r="S202" s="439"/>
      <c r="T202" s="440">
        <f t="shared" si="56"/>
        <v>42</v>
      </c>
      <c r="U202" s="441" t="str">
        <f t="shared" si="16"/>
        <v>16 DCMSHRIRAM</v>
      </c>
      <c r="V202" s="132">
        <f t="shared" si="17"/>
        <v>26.07</v>
      </c>
      <c r="W202" s="389">
        <f t="shared" si="57"/>
        <v>1.5338903271357967E-3</v>
      </c>
      <c r="X202" s="442">
        <f t="shared" si="19"/>
        <v>0</v>
      </c>
      <c r="Y202" s="391">
        <f t="shared" si="20"/>
        <v>0</v>
      </c>
      <c r="Z202" s="392">
        <f t="shared" si="21"/>
        <v>1</v>
      </c>
      <c r="AA202" s="389">
        <f t="shared" si="22"/>
        <v>0.74969418008292088</v>
      </c>
      <c r="AB202" s="125" t="s">
        <v>460</v>
      </c>
      <c r="AC202" s="98"/>
      <c r="AD202" s="98"/>
    </row>
    <row r="203" spans="1:30" ht="12.75" customHeight="1">
      <c r="A203" s="126" t="s">
        <v>589</v>
      </c>
      <c r="B203" s="125" t="s">
        <v>1150</v>
      </c>
      <c r="C203" s="382" t="s">
        <v>1151</v>
      </c>
      <c r="D203" s="383"/>
      <c r="E203" s="384" t="str">
        <f t="shared" si="52"/>
        <v/>
      </c>
      <c r="F203" s="126" t="s">
        <v>1145</v>
      </c>
      <c r="G203" s="126"/>
      <c r="H203" s="385">
        <f t="shared" si="53"/>
        <v>1091.3</v>
      </c>
      <c r="I203" s="126">
        <v>40</v>
      </c>
      <c r="J203" s="385">
        <v>1090</v>
      </c>
      <c r="K203" s="133">
        <v>43652</v>
      </c>
      <c r="L203" s="155">
        <v>44650</v>
      </c>
      <c r="M203" s="129">
        <f t="shared" si="14"/>
        <v>1098.125</v>
      </c>
      <c r="N203" s="158">
        <v>1099.25</v>
      </c>
      <c r="O203" s="386">
        <v>43925</v>
      </c>
      <c r="P203" s="125">
        <v>44651</v>
      </c>
      <c r="Q203" s="437">
        <v>44649</v>
      </c>
      <c r="R203" s="438">
        <v>15.93</v>
      </c>
      <c r="S203" s="439"/>
      <c r="T203" s="440">
        <f t="shared" si="56"/>
        <v>273</v>
      </c>
      <c r="U203" s="441" t="str">
        <f t="shared" si="16"/>
        <v>40 DCMSHRIRAM</v>
      </c>
      <c r="V203" s="132">
        <f t="shared" si="17"/>
        <v>257.07</v>
      </c>
      <c r="W203" s="389">
        <f t="shared" si="57"/>
        <v>5.8890772473197102E-3</v>
      </c>
      <c r="X203" s="442">
        <f t="shared" si="19"/>
        <v>0</v>
      </c>
      <c r="Y203" s="391">
        <f t="shared" si="20"/>
        <v>0</v>
      </c>
      <c r="Z203" s="392">
        <f t="shared" si="21"/>
        <v>1</v>
      </c>
      <c r="AA203" s="389">
        <f t="shared" si="22"/>
        <v>7.5267528135343014</v>
      </c>
      <c r="AB203" s="125" t="s">
        <v>460</v>
      </c>
      <c r="AC203" s="98"/>
      <c r="AD203" s="98"/>
    </row>
    <row r="204" spans="1:30" ht="12.75" customHeight="1">
      <c r="A204" s="126" t="s">
        <v>589</v>
      </c>
      <c r="B204" s="125" t="s">
        <v>1150</v>
      </c>
      <c r="C204" s="382" t="s">
        <v>1151</v>
      </c>
      <c r="D204" s="383"/>
      <c r="E204" s="384" t="str">
        <f t="shared" si="52"/>
        <v/>
      </c>
      <c r="F204" s="126" t="s">
        <v>1145</v>
      </c>
      <c r="G204" s="126"/>
      <c r="H204" s="385">
        <f t="shared" si="53"/>
        <v>1188.48</v>
      </c>
      <c r="I204" s="126">
        <v>50</v>
      </c>
      <c r="J204" s="385">
        <v>1187.07</v>
      </c>
      <c r="K204" s="133">
        <v>59424</v>
      </c>
      <c r="L204" s="155">
        <v>44599</v>
      </c>
      <c r="M204" s="129">
        <f t="shared" si="14"/>
        <v>1197.76</v>
      </c>
      <c r="N204" s="158">
        <v>1199</v>
      </c>
      <c r="O204" s="386">
        <v>59888</v>
      </c>
      <c r="P204" s="125">
        <v>44656</v>
      </c>
      <c r="Q204" s="437">
        <v>44652</v>
      </c>
      <c r="R204" s="438">
        <v>0</v>
      </c>
      <c r="S204" s="439"/>
      <c r="T204" s="440">
        <f t="shared" si="56"/>
        <v>464</v>
      </c>
      <c r="U204" s="441" t="str">
        <f t="shared" si="16"/>
        <v>50 DCMSHRIRAM</v>
      </c>
      <c r="V204" s="132">
        <f t="shared" si="17"/>
        <v>464</v>
      </c>
      <c r="W204" s="389">
        <f t="shared" si="57"/>
        <v>7.808292945611201E-3</v>
      </c>
      <c r="X204" s="442">
        <f t="shared" si="19"/>
        <v>0</v>
      </c>
      <c r="Y204" s="391">
        <f t="shared" si="20"/>
        <v>1</v>
      </c>
      <c r="Z204" s="392">
        <f t="shared" si="21"/>
        <v>29</v>
      </c>
      <c r="AA204" s="389">
        <f t="shared" si="22"/>
        <v>5.1067456985657733E-2</v>
      </c>
      <c r="AB204" s="125" t="s">
        <v>460</v>
      </c>
      <c r="AC204" s="98"/>
      <c r="AD204" s="98"/>
    </row>
    <row r="205" spans="1:30" ht="12.75" customHeight="1">
      <c r="A205" s="126" t="s">
        <v>589</v>
      </c>
      <c r="B205" s="125" t="s">
        <v>1150</v>
      </c>
      <c r="C205" s="382" t="s">
        <v>1151</v>
      </c>
      <c r="D205" s="383"/>
      <c r="E205" s="384" t="str">
        <f t="shared" si="52"/>
        <v/>
      </c>
      <c r="F205" s="126" t="s">
        <v>1145</v>
      </c>
      <c r="G205" s="126"/>
      <c r="H205" s="385">
        <f t="shared" si="53"/>
        <v>1123.3</v>
      </c>
      <c r="I205" s="126">
        <v>10</v>
      </c>
      <c r="J205" s="385">
        <v>1122</v>
      </c>
      <c r="K205" s="133">
        <v>11233</v>
      </c>
      <c r="L205" s="155">
        <v>44650</v>
      </c>
      <c r="M205" s="129">
        <f t="shared" si="14"/>
        <v>1153.4000000000001</v>
      </c>
      <c r="N205" s="158">
        <v>1154.6099999999999</v>
      </c>
      <c r="O205" s="386">
        <v>11534</v>
      </c>
      <c r="P205" s="125">
        <v>44656</v>
      </c>
      <c r="Q205" s="437">
        <v>44652</v>
      </c>
      <c r="R205" s="438">
        <v>0</v>
      </c>
      <c r="S205" s="439"/>
      <c r="T205" s="440">
        <f t="shared" si="56"/>
        <v>301</v>
      </c>
      <c r="U205" s="441" t="str">
        <f t="shared" si="16"/>
        <v>10 DCMSHRIRAM</v>
      </c>
      <c r="V205" s="132">
        <f t="shared" si="17"/>
        <v>301</v>
      </c>
      <c r="W205" s="389">
        <f t="shared" si="57"/>
        <v>2.6796047360455801E-2</v>
      </c>
      <c r="X205" s="442">
        <f t="shared" si="19"/>
        <v>0</v>
      </c>
      <c r="Y205" s="391">
        <f t="shared" si="20"/>
        <v>0</v>
      </c>
      <c r="Z205" s="392">
        <f t="shared" si="21"/>
        <v>6</v>
      </c>
      <c r="AA205" s="389">
        <f t="shared" si="22"/>
        <v>3.995988710095995</v>
      </c>
      <c r="AB205" s="125" t="s">
        <v>460</v>
      </c>
      <c r="AC205" s="98"/>
      <c r="AD205" s="98"/>
    </row>
    <row r="206" spans="1:30" ht="12.75" customHeight="1">
      <c r="A206" s="126" t="s">
        <v>589</v>
      </c>
      <c r="B206" s="125" t="s">
        <v>1150</v>
      </c>
      <c r="C206" s="382" t="s">
        <v>1151</v>
      </c>
      <c r="D206" s="383"/>
      <c r="E206" s="384" t="str">
        <f t="shared" si="52"/>
        <v/>
      </c>
      <c r="F206" s="126" t="s">
        <v>1145</v>
      </c>
      <c r="G206" s="126"/>
      <c r="H206" s="385">
        <f t="shared" si="53"/>
        <v>1125.2719</v>
      </c>
      <c r="I206" s="126">
        <v>114</v>
      </c>
      <c r="J206" s="385">
        <v>1123.94</v>
      </c>
      <c r="K206" s="133">
        <v>128281</v>
      </c>
      <c r="L206" s="155">
        <v>44603</v>
      </c>
      <c r="M206" s="129">
        <f t="shared" si="14"/>
        <v>1153.4211</v>
      </c>
      <c r="N206" s="158">
        <v>1154.6099999999999</v>
      </c>
      <c r="O206" s="386">
        <v>131490</v>
      </c>
      <c r="P206" s="125">
        <v>44656</v>
      </c>
      <c r="Q206" s="437">
        <v>44652</v>
      </c>
      <c r="R206" s="438">
        <v>15.93</v>
      </c>
      <c r="S206" s="439"/>
      <c r="T206" s="440">
        <f t="shared" si="56"/>
        <v>3209</v>
      </c>
      <c r="U206" s="441" t="str">
        <f t="shared" si="16"/>
        <v>114 DCMSHRIRAM</v>
      </c>
      <c r="V206" s="132">
        <f t="shared" si="17"/>
        <v>3193.07</v>
      </c>
      <c r="W206" s="389">
        <f t="shared" si="57"/>
        <v>2.4891215378738864E-2</v>
      </c>
      <c r="X206" s="442">
        <f t="shared" si="19"/>
        <v>0</v>
      </c>
      <c r="Y206" s="391">
        <f t="shared" si="20"/>
        <v>1</v>
      </c>
      <c r="Z206" s="392">
        <f t="shared" si="21"/>
        <v>25</v>
      </c>
      <c r="AA206" s="389">
        <f t="shared" si="22"/>
        <v>0.18450143339555036</v>
      </c>
      <c r="AB206" s="125" t="s">
        <v>460</v>
      </c>
      <c r="AC206" s="98"/>
      <c r="AD206" s="98"/>
    </row>
    <row r="207" spans="1:30" ht="12.75" customHeight="1">
      <c r="A207" s="126" t="s">
        <v>589</v>
      </c>
      <c r="B207" s="125" t="s">
        <v>1150</v>
      </c>
      <c r="C207" s="382" t="s">
        <v>1151</v>
      </c>
      <c r="D207" s="383"/>
      <c r="E207" s="384" t="str">
        <f t="shared" si="52"/>
        <v/>
      </c>
      <c r="F207" s="126" t="s">
        <v>1145</v>
      </c>
      <c r="G207" s="126"/>
      <c r="H207" s="385">
        <f t="shared" si="53"/>
        <v>1126.3306</v>
      </c>
      <c r="I207" s="126">
        <v>124</v>
      </c>
      <c r="J207" s="385">
        <v>1125</v>
      </c>
      <c r="K207" s="133">
        <v>139665</v>
      </c>
      <c r="L207" s="155">
        <v>44663</v>
      </c>
      <c r="M207" s="129">
        <f t="shared" si="14"/>
        <v>1153.8064999999999</v>
      </c>
      <c r="N207" s="158">
        <v>1155</v>
      </c>
      <c r="O207" s="386">
        <v>143072</v>
      </c>
      <c r="P207" s="125">
        <v>44664</v>
      </c>
      <c r="Q207" s="437">
        <v>44652</v>
      </c>
      <c r="R207" s="438">
        <v>0</v>
      </c>
      <c r="S207" s="439"/>
      <c r="T207" s="440">
        <f t="shared" si="56"/>
        <v>3407</v>
      </c>
      <c r="U207" s="441" t="str">
        <f t="shared" si="16"/>
        <v>124 DCMSHRIRAM</v>
      </c>
      <c r="V207" s="132">
        <f t="shared" si="17"/>
        <v>3407</v>
      </c>
      <c r="W207" s="389">
        <f t="shared" si="57"/>
        <v>2.4394085848279814E-2</v>
      </c>
      <c r="X207" s="442">
        <f t="shared" si="19"/>
        <v>0</v>
      </c>
      <c r="Y207" s="391">
        <f t="shared" si="20"/>
        <v>0</v>
      </c>
      <c r="Z207" s="392">
        <f t="shared" si="21"/>
        <v>1</v>
      </c>
      <c r="AA207" s="389">
        <f t="shared" si="22"/>
        <v>6613.2073663134952</v>
      </c>
      <c r="AB207" s="125" t="s">
        <v>460</v>
      </c>
      <c r="AC207" s="98"/>
      <c r="AD207" s="98"/>
    </row>
    <row r="208" spans="1:30" ht="12.75" customHeight="1">
      <c r="A208" s="126" t="s">
        <v>589</v>
      </c>
      <c r="B208" s="125" t="s">
        <v>1150</v>
      </c>
      <c r="C208" s="382" t="s">
        <v>1151</v>
      </c>
      <c r="D208" s="383"/>
      <c r="E208" s="384" t="str">
        <f t="shared" si="52"/>
        <v/>
      </c>
      <c r="F208" s="126" t="s">
        <v>1145</v>
      </c>
      <c r="G208" s="126"/>
      <c r="H208" s="385">
        <f t="shared" si="53"/>
        <v>1195.6600000000001</v>
      </c>
      <c r="I208" s="126">
        <v>50</v>
      </c>
      <c r="J208" s="385">
        <v>1194.25</v>
      </c>
      <c r="K208" s="133">
        <v>59783</v>
      </c>
      <c r="L208" s="155">
        <v>44655</v>
      </c>
      <c r="M208" s="129">
        <f t="shared" si="14"/>
        <v>1201.76</v>
      </c>
      <c r="N208" s="158">
        <v>1203</v>
      </c>
      <c r="O208" s="386">
        <v>60088</v>
      </c>
      <c r="P208" s="125">
        <v>44658</v>
      </c>
      <c r="Q208" s="437">
        <v>44656</v>
      </c>
      <c r="R208" s="438">
        <v>15.93</v>
      </c>
      <c r="S208" s="439"/>
      <c r="T208" s="440">
        <f t="shared" si="56"/>
        <v>305</v>
      </c>
      <c r="U208" s="441" t="str">
        <f t="shared" si="16"/>
        <v>50 DCMSHRIRAM</v>
      </c>
      <c r="V208" s="132">
        <f t="shared" si="17"/>
        <v>289.07</v>
      </c>
      <c r="W208" s="389">
        <f t="shared" si="57"/>
        <v>4.8353210778983987E-3</v>
      </c>
      <c r="X208" s="442">
        <f t="shared" si="19"/>
        <v>0</v>
      </c>
      <c r="Y208" s="391">
        <f t="shared" si="20"/>
        <v>0</v>
      </c>
      <c r="Z208" s="392">
        <f t="shared" si="21"/>
        <v>3</v>
      </c>
      <c r="AA208" s="389">
        <f t="shared" si="22"/>
        <v>0.79836813621202141</v>
      </c>
      <c r="AB208" s="125" t="s">
        <v>460</v>
      </c>
      <c r="AC208" s="98"/>
      <c r="AD208" s="98"/>
    </row>
    <row r="209" spans="1:30" ht="12.75" customHeight="1">
      <c r="A209" s="126" t="s">
        <v>589</v>
      </c>
      <c r="B209" s="125" t="s">
        <v>1150</v>
      </c>
      <c r="C209" s="382" t="s">
        <v>1151</v>
      </c>
      <c r="D209" s="383"/>
      <c r="E209" s="384" t="str">
        <f t="shared" si="52"/>
        <v/>
      </c>
      <c r="F209" s="126" t="s">
        <v>1145</v>
      </c>
      <c r="G209" s="126"/>
      <c r="H209" s="385">
        <f t="shared" si="53"/>
        <v>1119.32</v>
      </c>
      <c r="I209" s="126">
        <v>100</v>
      </c>
      <c r="J209" s="385">
        <v>1118</v>
      </c>
      <c r="K209" s="133">
        <v>111932</v>
      </c>
      <c r="L209" s="155">
        <v>44663</v>
      </c>
      <c r="M209" s="129">
        <f t="shared" si="14"/>
        <v>1131.83</v>
      </c>
      <c r="N209" s="158">
        <v>1133</v>
      </c>
      <c r="O209" s="386">
        <v>113183</v>
      </c>
      <c r="P209" s="125">
        <v>44671</v>
      </c>
      <c r="Q209" s="437">
        <v>44669</v>
      </c>
      <c r="R209" s="438">
        <v>15.93</v>
      </c>
      <c r="S209" s="439"/>
      <c r="T209" s="440">
        <f t="shared" si="56"/>
        <v>1251</v>
      </c>
      <c r="U209" s="441" t="str">
        <f t="shared" si="16"/>
        <v>100 DCMSHRIRAM</v>
      </c>
      <c r="V209" s="132">
        <f t="shared" si="17"/>
        <v>1235.07</v>
      </c>
      <c r="W209" s="389">
        <f t="shared" si="57"/>
        <v>1.1034109995354322E-2</v>
      </c>
      <c r="X209" s="442">
        <f t="shared" si="19"/>
        <v>0</v>
      </c>
      <c r="Y209" s="391">
        <f t="shared" si="20"/>
        <v>0</v>
      </c>
      <c r="Z209" s="392">
        <f t="shared" si="21"/>
        <v>8</v>
      </c>
      <c r="AA209" s="389">
        <f t="shared" si="22"/>
        <v>0.64983300570288205</v>
      </c>
      <c r="AB209" s="125" t="s">
        <v>460</v>
      </c>
      <c r="AC209" s="98"/>
      <c r="AD209" s="98"/>
    </row>
    <row r="210" spans="1:30" ht="12.75" customHeight="1">
      <c r="A210" s="126" t="s">
        <v>589</v>
      </c>
      <c r="B210" s="125" t="s">
        <v>1150</v>
      </c>
      <c r="C210" s="382" t="s">
        <v>1151</v>
      </c>
      <c r="D210" s="383"/>
      <c r="E210" s="384" t="str">
        <f t="shared" si="52"/>
        <v/>
      </c>
      <c r="F210" s="126" t="s">
        <v>1145</v>
      </c>
      <c r="G210" s="126"/>
      <c r="H210" s="385">
        <f t="shared" si="53"/>
        <v>1115.32</v>
      </c>
      <c r="I210" s="126">
        <v>100</v>
      </c>
      <c r="J210" s="385">
        <v>1114</v>
      </c>
      <c r="K210" s="133">
        <v>111532</v>
      </c>
      <c r="L210" s="155">
        <v>44670</v>
      </c>
      <c r="M210" s="129">
        <f t="shared" si="14"/>
        <v>1134.83</v>
      </c>
      <c r="N210" s="158">
        <v>1136</v>
      </c>
      <c r="O210" s="386">
        <v>113483</v>
      </c>
      <c r="P210" s="125">
        <v>44671</v>
      </c>
      <c r="Q210" s="437">
        <v>44669</v>
      </c>
      <c r="R210" s="438">
        <v>0</v>
      </c>
      <c r="S210" s="439"/>
      <c r="T210" s="440">
        <f t="shared" si="56"/>
        <v>1951</v>
      </c>
      <c r="U210" s="441" t="str">
        <f t="shared" si="16"/>
        <v>100 DCMSHRIRAM</v>
      </c>
      <c r="V210" s="132">
        <f t="shared" si="17"/>
        <v>1951</v>
      </c>
      <c r="W210" s="389">
        <f t="shared" si="57"/>
        <v>1.7492737510310941E-2</v>
      </c>
      <c r="X210" s="442">
        <f t="shared" si="19"/>
        <v>0</v>
      </c>
      <c r="Y210" s="391">
        <f t="shared" si="20"/>
        <v>0</v>
      </c>
      <c r="Z210" s="392">
        <f t="shared" si="21"/>
        <v>1</v>
      </c>
      <c r="AA210" s="389">
        <f t="shared" si="22"/>
        <v>559.95896989432731</v>
      </c>
      <c r="AB210" s="125" t="s">
        <v>460</v>
      </c>
      <c r="AC210" s="98"/>
      <c r="AD210" s="98"/>
    </row>
    <row r="211" spans="1:30" ht="12.75" customHeight="1">
      <c r="A211" s="126" t="s">
        <v>589</v>
      </c>
      <c r="B211" s="125" t="s">
        <v>1150</v>
      </c>
      <c r="C211" s="382" t="s">
        <v>1151</v>
      </c>
      <c r="D211" s="383"/>
      <c r="E211" s="384" t="str">
        <f t="shared" si="52"/>
        <v/>
      </c>
      <c r="F211" s="126" t="s">
        <v>1145</v>
      </c>
      <c r="G211" s="126"/>
      <c r="H211" s="385">
        <f t="shared" si="53"/>
        <v>1159.4332999999999</v>
      </c>
      <c r="I211" s="126">
        <v>30</v>
      </c>
      <c r="J211" s="385">
        <v>1158</v>
      </c>
      <c r="K211" s="133">
        <v>34783</v>
      </c>
      <c r="L211" s="155">
        <v>44670</v>
      </c>
      <c r="M211" s="129">
        <f t="shared" si="14"/>
        <v>1184.0333000000001</v>
      </c>
      <c r="N211" s="158">
        <v>1185.25</v>
      </c>
      <c r="O211" s="386">
        <v>35521</v>
      </c>
      <c r="P211" s="125">
        <v>44673</v>
      </c>
      <c r="Q211" s="437">
        <v>44671</v>
      </c>
      <c r="R211" s="438">
        <v>15.93</v>
      </c>
      <c r="S211" s="439"/>
      <c r="T211" s="440">
        <f t="shared" si="56"/>
        <v>738</v>
      </c>
      <c r="U211" s="441" t="str">
        <f t="shared" si="16"/>
        <v>30 DCMSHRIRAM</v>
      </c>
      <c r="V211" s="132">
        <f t="shared" si="17"/>
        <v>722.07</v>
      </c>
      <c r="W211" s="389">
        <f t="shared" si="57"/>
        <v>2.0759278958111721E-2</v>
      </c>
      <c r="X211" s="442">
        <f t="shared" si="19"/>
        <v>0</v>
      </c>
      <c r="Y211" s="391">
        <f t="shared" si="20"/>
        <v>0</v>
      </c>
      <c r="Z211" s="392">
        <f t="shared" si="21"/>
        <v>3</v>
      </c>
      <c r="AA211" s="389">
        <f t="shared" si="22"/>
        <v>11.180709969648333</v>
      </c>
      <c r="AB211" s="125" t="s">
        <v>460</v>
      </c>
      <c r="AC211" s="98"/>
      <c r="AD211" s="98"/>
    </row>
    <row r="212" spans="1:30" ht="12.75" customHeight="1">
      <c r="A212" s="126" t="s">
        <v>589</v>
      </c>
      <c r="B212" s="125" t="s">
        <v>1150</v>
      </c>
      <c r="C212" s="382" t="s">
        <v>1151</v>
      </c>
      <c r="D212" s="383"/>
      <c r="E212" s="384" t="str">
        <f t="shared" si="52"/>
        <v/>
      </c>
      <c r="F212" s="126" t="s">
        <v>1145</v>
      </c>
      <c r="G212" s="126"/>
      <c r="H212" s="385">
        <f t="shared" si="53"/>
        <v>1136.3499999999999</v>
      </c>
      <c r="I212" s="126">
        <v>60</v>
      </c>
      <c r="J212" s="385">
        <v>1135</v>
      </c>
      <c r="K212" s="133">
        <v>68181</v>
      </c>
      <c r="L212" s="155">
        <v>44673</v>
      </c>
      <c r="M212" s="129">
        <f t="shared" si="14"/>
        <v>1143.6500000000001</v>
      </c>
      <c r="N212" s="158">
        <v>1144.8333</v>
      </c>
      <c r="O212" s="386">
        <v>68619</v>
      </c>
      <c r="P212" s="125">
        <v>44674</v>
      </c>
      <c r="Q212" s="437">
        <v>44671</v>
      </c>
      <c r="R212" s="438">
        <v>0</v>
      </c>
      <c r="S212" s="439"/>
      <c r="T212" s="440">
        <f t="shared" si="56"/>
        <v>438</v>
      </c>
      <c r="U212" s="441" t="str">
        <f t="shared" si="16"/>
        <v>60 DCMSHRIRAM</v>
      </c>
      <c r="V212" s="132">
        <f t="shared" si="17"/>
        <v>438</v>
      </c>
      <c r="W212" s="389">
        <f t="shared" si="57"/>
        <v>6.4240770889250672E-3</v>
      </c>
      <c r="X212" s="442">
        <f t="shared" si="19"/>
        <v>0</v>
      </c>
      <c r="Y212" s="391">
        <f t="shared" si="20"/>
        <v>0</v>
      </c>
      <c r="Z212" s="392">
        <f t="shared" si="21"/>
        <v>1</v>
      </c>
      <c r="AA212" s="389">
        <f t="shared" si="22"/>
        <v>9.3531279192254697</v>
      </c>
      <c r="AB212" s="125" t="s">
        <v>460</v>
      </c>
      <c r="AC212" s="98"/>
      <c r="AD212" s="98"/>
    </row>
    <row r="213" spans="1:30" ht="12.75" customHeight="1">
      <c r="A213" s="126" t="s">
        <v>589</v>
      </c>
      <c r="B213" s="125" t="s">
        <v>1150</v>
      </c>
      <c r="C213" s="382" t="s">
        <v>1151</v>
      </c>
      <c r="D213" s="383"/>
      <c r="E213" s="384" t="str">
        <f t="shared" si="52"/>
        <v/>
      </c>
      <c r="F213" s="126" t="s">
        <v>1145</v>
      </c>
      <c r="G213" s="126"/>
      <c r="H213" s="385">
        <f t="shared" si="53"/>
        <v>1184.3870999999999</v>
      </c>
      <c r="I213" s="126">
        <v>31</v>
      </c>
      <c r="J213" s="385">
        <v>1183</v>
      </c>
      <c r="K213" s="133">
        <v>36716</v>
      </c>
      <c r="L213" s="155">
        <v>44659</v>
      </c>
      <c r="M213" s="129">
        <f t="shared" si="14"/>
        <v>1194.7742000000001</v>
      </c>
      <c r="N213" s="158">
        <v>1196</v>
      </c>
      <c r="O213" s="386">
        <v>37038</v>
      </c>
      <c r="P213" s="125">
        <v>44676</v>
      </c>
      <c r="Q213" s="437">
        <v>44672</v>
      </c>
      <c r="R213" s="438">
        <v>15.93</v>
      </c>
      <c r="S213" s="439"/>
      <c r="T213" s="440">
        <f t="shared" si="56"/>
        <v>322</v>
      </c>
      <c r="U213" s="441" t="str">
        <f t="shared" si="16"/>
        <v>31 DCMSHRIRAM</v>
      </c>
      <c r="V213" s="132">
        <f t="shared" si="17"/>
        <v>306.07</v>
      </c>
      <c r="W213" s="389">
        <f t="shared" si="57"/>
        <v>8.3361477285107313E-3</v>
      </c>
      <c r="X213" s="442">
        <f t="shared" si="19"/>
        <v>0</v>
      </c>
      <c r="Y213" s="391">
        <f t="shared" si="20"/>
        <v>0</v>
      </c>
      <c r="Z213" s="392">
        <f t="shared" si="21"/>
        <v>17</v>
      </c>
      <c r="AA213" s="389">
        <f t="shared" si="22"/>
        <v>0.1951122395974505</v>
      </c>
      <c r="AB213" s="125" t="s">
        <v>460</v>
      </c>
      <c r="AC213" s="98"/>
      <c r="AD213" s="98"/>
    </row>
    <row r="214" spans="1:30" ht="12.75" customHeight="1">
      <c r="A214" s="126" t="s">
        <v>589</v>
      </c>
      <c r="B214" s="125" t="s">
        <v>1150</v>
      </c>
      <c r="C214" s="382" t="s">
        <v>1151</v>
      </c>
      <c r="D214" s="383"/>
      <c r="E214" s="384" t="str">
        <f t="shared" si="52"/>
        <v/>
      </c>
      <c r="F214" s="126" t="s">
        <v>1145</v>
      </c>
      <c r="G214" s="126"/>
      <c r="H214" s="385">
        <f t="shared" si="53"/>
        <v>1136.3399999999999</v>
      </c>
      <c r="I214" s="126">
        <v>50</v>
      </c>
      <c r="J214" s="385">
        <v>1135</v>
      </c>
      <c r="K214" s="133">
        <v>56817</v>
      </c>
      <c r="L214" s="155">
        <v>44676</v>
      </c>
      <c r="M214" s="129">
        <f t="shared" si="14"/>
        <v>1153.8</v>
      </c>
      <c r="N214" s="158">
        <v>1155</v>
      </c>
      <c r="O214" s="386">
        <v>57690</v>
      </c>
      <c r="P214" s="125">
        <v>44679</v>
      </c>
      <c r="Q214" s="437">
        <v>44677</v>
      </c>
      <c r="R214" s="438">
        <v>15.93</v>
      </c>
      <c r="S214" s="439"/>
      <c r="T214" s="440">
        <f t="shared" si="56"/>
        <v>873</v>
      </c>
      <c r="U214" s="441" t="str">
        <f t="shared" si="16"/>
        <v>50 DCMSHRIRAM</v>
      </c>
      <c r="V214" s="132">
        <f t="shared" si="17"/>
        <v>857.07</v>
      </c>
      <c r="W214" s="389">
        <f t="shared" si="57"/>
        <v>1.5084745762711866E-2</v>
      </c>
      <c r="X214" s="442">
        <f t="shared" si="19"/>
        <v>0</v>
      </c>
      <c r="Y214" s="391">
        <f t="shared" si="20"/>
        <v>0</v>
      </c>
      <c r="Z214" s="392">
        <f t="shared" si="21"/>
        <v>3</v>
      </c>
      <c r="AA214" s="389">
        <f t="shared" si="22"/>
        <v>5.1817771102732619</v>
      </c>
      <c r="AB214" s="125" t="s">
        <v>460</v>
      </c>
      <c r="AC214" s="98"/>
      <c r="AD214" s="98"/>
    </row>
    <row r="215" spans="1:30" ht="12.75" customHeight="1">
      <c r="A215" s="126" t="s">
        <v>589</v>
      </c>
      <c r="B215" s="125" t="s">
        <v>1150</v>
      </c>
      <c r="C215" s="382" t="s">
        <v>1151</v>
      </c>
      <c r="D215" s="383"/>
      <c r="E215" s="384" t="str">
        <f t="shared" si="52"/>
        <v/>
      </c>
      <c r="F215" s="126" t="s">
        <v>1145</v>
      </c>
      <c r="G215" s="126"/>
      <c r="H215" s="385">
        <f t="shared" si="53"/>
        <v>1161.3699999999999</v>
      </c>
      <c r="I215" s="126">
        <v>100</v>
      </c>
      <c r="J215" s="385">
        <v>1160</v>
      </c>
      <c r="K215" s="133">
        <v>116137</v>
      </c>
      <c r="L215" s="155">
        <v>44683</v>
      </c>
      <c r="M215" s="129">
        <f t="shared" si="14"/>
        <v>1176.28</v>
      </c>
      <c r="N215" s="158">
        <v>1177.5</v>
      </c>
      <c r="O215" s="386">
        <v>117628</v>
      </c>
      <c r="P215" s="125">
        <v>44684</v>
      </c>
      <c r="Q215" s="437">
        <v>44679</v>
      </c>
      <c r="R215" s="438">
        <v>0</v>
      </c>
      <c r="S215" s="439"/>
      <c r="T215" s="440">
        <f t="shared" si="56"/>
        <v>1491</v>
      </c>
      <c r="U215" s="441" t="str">
        <f t="shared" si="16"/>
        <v>100 DCMSHRIRAM</v>
      </c>
      <c r="V215" s="132">
        <f t="shared" si="17"/>
        <v>1491</v>
      </c>
      <c r="W215" s="389">
        <f t="shared" si="57"/>
        <v>1.2838285817611959E-2</v>
      </c>
      <c r="X215" s="442">
        <f t="shared" si="19"/>
        <v>0</v>
      </c>
      <c r="Y215" s="391">
        <f t="shared" si="20"/>
        <v>0</v>
      </c>
      <c r="Z215" s="392">
        <f t="shared" si="21"/>
        <v>1</v>
      </c>
      <c r="AA215" s="389">
        <f t="shared" si="22"/>
        <v>104.23009996929605</v>
      </c>
      <c r="AB215" s="125" t="s">
        <v>460</v>
      </c>
      <c r="AC215" s="98"/>
      <c r="AD215" s="98"/>
    </row>
    <row r="216" spans="1:30" ht="12.75" customHeight="1">
      <c r="A216" s="126" t="s">
        <v>589</v>
      </c>
      <c r="B216" s="125" t="s">
        <v>1150</v>
      </c>
      <c r="C216" s="382" t="s">
        <v>1151</v>
      </c>
      <c r="D216" s="383"/>
      <c r="E216" s="384" t="str">
        <f t="shared" si="52"/>
        <v/>
      </c>
      <c r="F216" s="126" t="s">
        <v>1145</v>
      </c>
      <c r="G216" s="126"/>
      <c r="H216" s="385">
        <f t="shared" si="53"/>
        <v>1159.18</v>
      </c>
      <c r="I216" s="126">
        <v>50</v>
      </c>
      <c r="J216" s="385">
        <v>1157.8</v>
      </c>
      <c r="K216" s="133">
        <v>57959</v>
      </c>
      <c r="L216" s="155">
        <v>44683</v>
      </c>
      <c r="M216" s="129">
        <f t="shared" si="14"/>
        <v>1168.8</v>
      </c>
      <c r="N216" s="158">
        <v>1170</v>
      </c>
      <c r="O216" s="386">
        <v>58440</v>
      </c>
      <c r="P216" s="125">
        <v>44687</v>
      </c>
      <c r="Q216" s="437">
        <v>44685</v>
      </c>
      <c r="R216" s="438">
        <v>15.93</v>
      </c>
      <c r="S216" s="439"/>
      <c r="T216" s="440">
        <f t="shared" si="56"/>
        <v>481</v>
      </c>
      <c r="U216" s="441" t="str">
        <f t="shared" si="16"/>
        <v>50 DCMSHRIRAM</v>
      </c>
      <c r="V216" s="132">
        <f t="shared" si="17"/>
        <v>465.07</v>
      </c>
      <c r="W216" s="389">
        <f t="shared" si="57"/>
        <v>8.0241204989734121E-3</v>
      </c>
      <c r="X216" s="442">
        <f t="shared" si="19"/>
        <v>0</v>
      </c>
      <c r="Y216" s="391">
        <f t="shared" si="20"/>
        <v>0</v>
      </c>
      <c r="Z216" s="392">
        <f t="shared" si="21"/>
        <v>4</v>
      </c>
      <c r="AA216" s="389">
        <f t="shared" si="22"/>
        <v>1.0735849757854878</v>
      </c>
      <c r="AB216" s="125" t="s">
        <v>460</v>
      </c>
      <c r="AC216" s="98"/>
      <c r="AD216" s="98"/>
    </row>
    <row r="217" spans="1:30" ht="12.75" customHeight="1">
      <c r="A217" s="126" t="s">
        <v>589</v>
      </c>
      <c r="B217" s="125" t="s">
        <v>1150</v>
      </c>
      <c r="C217" s="382" t="s">
        <v>1151</v>
      </c>
      <c r="D217" s="383"/>
      <c r="E217" s="384" t="str">
        <f t="shared" si="52"/>
        <v/>
      </c>
      <c r="F217" s="126" t="s">
        <v>1145</v>
      </c>
      <c r="G217" s="126"/>
      <c r="H217" s="385">
        <f t="shared" si="53"/>
        <v>1199.79</v>
      </c>
      <c r="I217" s="126">
        <v>100</v>
      </c>
      <c r="J217" s="385">
        <v>1198.3685</v>
      </c>
      <c r="K217" s="133">
        <v>119979</v>
      </c>
      <c r="L217" s="155">
        <v>44679</v>
      </c>
      <c r="M217" s="129">
        <f t="shared" si="14"/>
        <v>1205.75</v>
      </c>
      <c r="N217" s="158">
        <v>1207</v>
      </c>
      <c r="O217" s="386">
        <v>120575</v>
      </c>
      <c r="P217" s="125">
        <v>44687</v>
      </c>
      <c r="Q217" s="437">
        <v>44685</v>
      </c>
      <c r="R217" s="438">
        <v>0</v>
      </c>
      <c r="S217" s="439"/>
      <c r="T217" s="440">
        <f t="shared" si="56"/>
        <v>596</v>
      </c>
      <c r="U217" s="441" t="str">
        <f t="shared" si="16"/>
        <v>100 DCMSHRIRAM</v>
      </c>
      <c r="V217" s="132">
        <f t="shared" si="17"/>
        <v>596</v>
      </c>
      <c r="W217" s="389">
        <f t="shared" si="57"/>
        <v>4.967535985464123E-3</v>
      </c>
      <c r="X217" s="442">
        <f t="shared" si="19"/>
        <v>0</v>
      </c>
      <c r="Y217" s="391">
        <f t="shared" si="20"/>
        <v>0</v>
      </c>
      <c r="Z217" s="392">
        <f t="shared" si="21"/>
        <v>8</v>
      </c>
      <c r="AA217" s="389">
        <f t="shared" si="22"/>
        <v>0.25367941045606401</v>
      </c>
      <c r="AB217" s="125" t="s">
        <v>460</v>
      </c>
      <c r="AC217" s="98"/>
      <c r="AD217" s="98"/>
    </row>
    <row r="218" spans="1:30" ht="12.75" customHeight="1">
      <c r="A218" s="126" t="s">
        <v>589</v>
      </c>
      <c r="B218" s="125" t="s">
        <v>1150</v>
      </c>
      <c r="C218" s="382" t="s">
        <v>1151</v>
      </c>
      <c r="D218" s="383"/>
      <c r="E218" s="384" t="str">
        <f t="shared" si="52"/>
        <v/>
      </c>
      <c r="F218" s="126" t="s">
        <v>1145</v>
      </c>
      <c r="G218" s="126"/>
      <c r="H218" s="385">
        <f t="shared" si="53"/>
        <v>1211.44</v>
      </c>
      <c r="I218" s="126">
        <v>50</v>
      </c>
      <c r="J218" s="385">
        <v>1210</v>
      </c>
      <c r="K218" s="133">
        <v>60572</v>
      </c>
      <c r="L218" s="155">
        <v>44658</v>
      </c>
      <c r="M218" s="129">
        <f t="shared" si="14"/>
        <v>1228.74</v>
      </c>
      <c r="N218" s="158">
        <v>1230</v>
      </c>
      <c r="O218" s="386">
        <v>61437</v>
      </c>
      <c r="P218" s="125">
        <v>44690</v>
      </c>
      <c r="Q218" s="437">
        <v>44686</v>
      </c>
      <c r="R218" s="438">
        <v>15.93</v>
      </c>
      <c r="S218" s="439"/>
      <c r="T218" s="440">
        <f t="shared" si="56"/>
        <v>865</v>
      </c>
      <c r="U218" s="441" t="str">
        <f t="shared" si="16"/>
        <v>50 DCMSHRIRAM</v>
      </c>
      <c r="V218" s="132">
        <f t="shared" si="17"/>
        <v>849.07</v>
      </c>
      <c r="W218" s="389">
        <f t="shared" si="57"/>
        <v>1.4017532853463648E-2</v>
      </c>
      <c r="X218" s="442">
        <f t="shared" si="19"/>
        <v>0</v>
      </c>
      <c r="Y218" s="391">
        <f t="shared" si="20"/>
        <v>1</v>
      </c>
      <c r="Z218" s="392">
        <f t="shared" si="21"/>
        <v>2</v>
      </c>
      <c r="AA218" s="389">
        <f t="shared" si="22"/>
        <v>0.17207681798976049</v>
      </c>
      <c r="AB218" s="125" t="s">
        <v>460</v>
      </c>
      <c r="AC218" s="98"/>
      <c r="AD218" s="98"/>
    </row>
    <row r="219" spans="1:30" ht="12.75" customHeight="1">
      <c r="A219" s="126" t="s">
        <v>589</v>
      </c>
      <c r="B219" s="125" t="s">
        <v>1150</v>
      </c>
      <c r="C219" s="382" t="s">
        <v>1151</v>
      </c>
      <c r="D219" s="383"/>
      <c r="E219" s="384" t="str">
        <f t="shared" si="52"/>
        <v/>
      </c>
      <c r="F219" s="126" t="s">
        <v>1145</v>
      </c>
      <c r="G219" s="126"/>
      <c r="H219" s="385">
        <f t="shared" si="53"/>
        <v>1203.52</v>
      </c>
      <c r="I219" s="126">
        <v>100</v>
      </c>
      <c r="J219" s="385">
        <v>1202.0995</v>
      </c>
      <c r="K219" s="133">
        <v>120352</v>
      </c>
      <c r="L219" s="155">
        <v>44680</v>
      </c>
      <c r="M219" s="129">
        <f t="shared" si="14"/>
        <v>1208.75</v>
      </c>
      <c r="N219" s="158">
        <v>1210</v>
      </c>
      <c r="O219" s="386">
        <v>120875</v>
      </c>
      <c r="P219" s="125">
        <v>44690</v>
      </c>
      <c r="Q219" s="437">
        <v>44686</v>
      </c>
      <c r="R219" s="438">
        <v>0</v>
      </c>
      <c r="S219" s="439"/>
      <c r="T219" s="440">
        <f t="shared" si="56"/>
        <v>523</v>
      </c>
      <c r="U219" s="441" t="str">
        <f t="shared" si="16"/>
        <v>100 DCMSHRIRAM</v>
      </c>
      <c r="V219" s="132">
        <f t="shared" si="17"/>
        <v>523</v>
      </c>
      <c r="W219" s="389">
        <f t="shared" si="57"/>
        <v>4.3455862802446159E-3</v>
      </c>
      <c r="X219" s="442">
        <f t="shared" si="19"/>
        <v>0</v>
      </c>
      <c r="Y219" s="391">
        <f t="shared" si="20"/>
        <v>0</v>
      </c>
      <c r="Z219" s="392">
        <f t="shared" si="21"/>
        <v>10</v>
      </c>
      <c r="AA219" s="389">
        <f t="shared" si="22"/>
        <v>0.17148275594708018</v>
      </c>
      <c r="AB219" s="125" t="s">
        <v>460</v>
      </c>
      <c r="AC219" s="98"/>
      <c r="AD219" s="98"/>
    </row>
    <row r="220" spans="1:30" ht="12.75" customHeight="1">
      <c r="A220" s="126" t="s">
        <v>589</v>
      </c>
      <c r="B220" s="125" t="s">
        <v>1150</v>
      </c>
      <c r="C220" s="382" t="s">
        <v>1151</v>
      </c>
      <c r="D220" s="383"/>
      <c r="E220" s="384" t="str">
        <f t="shared" si="52"/>
        <v/>
      </c>
      <c r="F220" s="126" t="s">
        <v>1145</v>
      </c>
      <c r="G220" s="126"/>
      <c r="H220" s="385">
        <f t="shared" si="53"/>
        <v>1156.3699999999999</v>
      </c>
      <c r="I220" s="126">
        <v>100</v>
      </c>
      <c r="J220" s="385">
        <v>1155</v>
      </c>
      <c r="K220" s="133">
        <v>115637</v>
      </c>
      <c r="L220" s="155">
        <v>44687</v>
      </c>
      <c r="M220" s="129">
        <f t="shared" si="14"/>
        <v>1223.73</v>
      </c>
      <c r="N220" s="158">
        <v>1225</v>
      </c>
      <c r="O220" s="386">
        <v>122373</v>
      </c>
      <c r="P220" s="125">
        <v>44690</v>
      </c>
      <c r="Q220" s="437">
        <v>44686</v>
      </c>
      <c r="R220" s="438">
        <v>0</v>
      </c>
      <c r="S220" s="439"/>
      <c r="T220" s="440">
        <f t="shared" si="56"/>
        <v>6736</v>
      </c>
      <c r="U220" s="441" t="str">
        <f t="shared" si="16"/>
        <v>100 DCMSHRIRAM</v>
      </c>
      <c r="V220" s="132">
        <f t="shared" si="17"/>
        <v>6736</v>
      </c>
      <c r="W220" s="389">
        <f t="shared" si="57"/>
        <v>5.8251251761979296E-2</v>
      </c>
      <c r="X220" s="442">
        <f t="shared" si="19"/>
        <v>0</v>
      </c>
      <c r="Y220" s="391">
        <f t="shared" si="20"/>
        <v>0</v>
      </c>
      <c r="Z220" s="392">
        <f t="shared" si="21"/>
        <v>3</v>
      </c>
      <c r="AA220" s="389">
        <f t="shared" si="22"/>
        <v>979.92594317432042</v>
      </c>
      <c r="AB220" s="125" t="s">
        <v>460</v>
      </c>
      <c r="AC220" s="98"/>
      <c r="AD220" s="98"/>
    </row>
    <row r="221" spans="1:30" ht="12.75" customHeight="1">
      <c r="A221" s="126" t="s">
        <v>589</v>
      </c>
      <c r="B221" s="125" t="s">
        <v>1150</v>
      </c>
      <c r="C221" s="382" t="s">
        <v>1151</v>
      </c>
      <c r="D221" s="383"/>
      <c r="E221" s="384" t="str">
        <f t="shared" si="52"/>
        <v/>
      </c>
      <c r="F221" s="126" t="s">
        <v>1145</v>
      </c>
      <c r="G221" s="126"/>
      <c r="H221" s="385">
        <f t="shared" si="53"/>
        <v>1023.2</v>
      </c>
      <c r="I221" s="126">
        <v>30</v>
      </c>
      <c r="J221" s="385">
        <v>1022</v>
      </c>
      <c r="K221" s="133">
        <v>30696</v>
      </c>
      <c r="L221" s="155">
        <v>44690</v>
      </c>
      <c r="M221" s="129">
        <f t="shared" si="14"/>
        <v>1023.9333</v>
      </c>
      <c r="N221" s="158">
        <v>1025</v>
      </c>
      <c r="O221" s="386">
        <v>30718</v>
      </c>
      <c r="P221" s="125">
        <v>44697</v>
      </c>
      <c r="Q221" s="437">
        <v>44693</v>
      </c>
      <c r="R221" s="438">
        <v>15.93</v>
      </c>
      <c r="S221" s="439"/>
      <c r="T221" s="440">
        <f t="shared" si="56"/>
        <v>22</v>
      </c>
      <c r="U221" s="441" t="str">
        <f t="shared" si="16"/>
        <v>30 DCMSHRIRAM</v>
      </c>
      <c r="V221" s="132">
        <f t="shared" si="17"/>
        <v>6.07</v>
      </c>
      <c r="W221" s="389">
        <f t="shared" si="57"/>
        <v>1.977456346103727E-4</v>
      </c>
      <c r="X221" s="442">
        <f t="shared" si="19"/>
        <v>0</v>
      </c>
      <c r="Y221" s="391">
        <f t="shared" si="20"/>
        <v>0</v>
      </c>
      <c r="Z221" s="392">
        <f t="shared" si="21"/>
        <v>7</v>
      </c>
      <c r="AA221" s="389">
        <f t="shared" si="22"/>
        <v>1.0363334235952149E-2</v>
      </c>
      <c r="AB221" s="125" t="s">
        <v>460</v>
      </c>
      <c r="AC221" s="98"/>
      <c r="AD221" s="98"/>
    </row>
    <row r="222" spans="1:30" ht="12.75" customHeight="1">
      <c r="A222" s="126" t="s">
        <v>589</v>
      </c>
      <c r="B222" s="125" t="s">
        <v>1150</v>
      </c>
      <c r="C222" s="382" t="s">
        <v>1151</v>
      </c>
      <c r="D222" s="383"/>
      <c r="E222" s="384" t="str">
        <f t="shared" si="52"/>
        <v/>
      </c>
      <c r="F222" s="126" t="s">
        <v>1145</v>
      </c>
      <c r="G222" s="126"/>
      <c r="H222" s="385">
        <f t="shared" si="53"/>
        <v>1011.6</v>
      </c>
      <c r="I222" s="126">
        <v>10</v>
      </c>
      <c r="J222" s="385">
        <v>1010.4</v>
      </c>
      <c r="K222" s="133">
        <v>10116</v>
      </c>
      <c r="L222" s="155">
        <v>44691</v>
      </c>
      <c r="M222" s="129">
        <f t="shared" si="14"/>
        <v>1024</v>
      </c>
      <c r="N222" s="158">
        <v>1025</v>
      </c>
      <c r="O222" s="386">
        <v>10240</v>
      </c>
      <c r="P222" s="125">
        <v>44697</v>
      </c>
      <c r="Q222" s="437">
        <v>44693</v>
      </c>
      <c r="R222" s="438">
        <v>0</v>
      </c>
      <c r="S222" s="439"/>
      <c r="T222" s="440">
        <f t="shared" si="56"/>
        <v>124</v>
      </c>
      <c r="U222" s="441" t="str">
        <f t="shared" si="16"/>
        <v>10 DCMSHRIRAM</v>
      </c>
      <c r="V222" s="388">
        <f t="shared" si="17"/>
        <v>124</v>
      </c>
      <c r="W222" s="389">
        <f t="shared" si="57"/>
        <v>1.2257809410834321E-2</v>
      </c>
      <c r="X222" s="390">
        <f t="shared" si="19"/>
        <v>0</v>
      </c>
      <c r="Y222" s="391">
        <f t="shared" si="20"/>
        <v>0</v>
      </c>
      <c r="Z222" s="392">
        <f t="shared" si="21"/>
        <v>6</v>
      </c>
      <c r="AA222" s="389">
        <f t="shared" si="22"/>
        <v>1.0983476266553094</v>
      </c>
      <c r="AB222" s="125" t="s">
        <v>460</v>
      </c>
      <c r="AC222" s="98"/>
      <c r="AD222" s="98"/>
    </row>
    <row r="223" spans="1:30" ht="12.75" customHeight="1">
      <c r="A223" s="126" t="s">
        <v>589</v>
      </c>
      <c r="B223" s="125"/>
      <c r="C223" s="382"/>
      <c r="D223" s="383"/>
      <c r="E223" s="384" t="str">
        <f t="shared" si="52"/>
        <v/>
      </c>
      <c r="F223" s="126" t="s">
        <v>1145</v>
      </c>
      <c r="G223" s="126"/>
      <c r="H223" s="385">
        <f t="shared" si="53"/>
        <v>1017.6</v>
      </c>
      <c r="I223" s="126">
        <v>95</v>
      </c>
      <c r="J223" s="385">
        <v>1016.3946999999999</v>
      </c>
      <c r="K223" s="133">
        <v>96672</v>
      </c>
      <c r="L223" s="155">
        <v>44694</v>
      </c>
      <c r="M223" s="129">
        <f t="shared" si="14"/>
        <v>1023.1895</v>
      </c>
      <c r="N223" s="158">
        <v>1024.2526</v>
      </c>
      <c r="O223" s="386">
        <v>97203</v>
      </c>
      <c r="P223" s="125">
        <v>44697</v>
      </c>
      <c r="Q223" s="437">
        <v>44693</v>
      </c>
      <c r="R223" s="438">
        <v>0</v>
      </c>
      <c r="S223" s="439"/>
      <c r="T223" s="440">
        <f t="shared" si="56"/>
        <v>531</v>
      </c>
      <c r="U223" s="441" t="str">
        <f t="shared" si="16"/>
        <v>95 DCMSHRIRAM</v>
      </c>
      <c r="V223" s="388">
        <f t="shared" si="17"/>
        <v>531</v>
      </c>
      <c r="W223" s="389">
        <f t="shared" si="57"/>
        <v>5.4928003972194639E-3</v>
      </c>
      <c r="X223" s="390">
        <f t="shared" si="19"/>
        <v>0</v>
      </c>
      <c r="Y223" s="391">
        <f t="shared" si="20"/>
        <v>0</v>
      </c>
      <c r="Z223" s="392">
        <f t="shared" si="21"/>
        <v>3</v>
      </c>
      <c r="AA223" s="389">
        <f t="shared" si="22"/>
        <v>0.9473354741282074</v>
      </c>
      <c r="AB223" s="125" t="s">
        <v>460</v>
      </c>
      <c r="AC223" s="98"/>
      <c r="AD223" s="98"/>
    </row>
    <row r="224" spans="1:30" ht="12.75" customHeight="1">
      <c r="A224" s="126" t="s">
        <v>589</v>
      </c>
      <c r="B224" s="125"/>
      <c r="C224" s="382"/>
      <c r="D224" s="383"/>
      <c r="E224" s="384" t="str">
        <f t="shared" si="52"/>
        <v/>
      </c>
      <c r="F224" s="126" t="s">
        <v>1145</v>
      </c>
      <c r="G224" s="126"/>
      <c r="H224" s="385">
        <f t="shared" si="53"/>
        <v>992.22</v>
      </c>
      <c r="I224" s="126">
        <v>50</v>
      </c>
      <c r="J224" s="385">
        <v>991.05</v>
      </c>
      <c r="K224" s="133">
        <v>49611</v>
      </c>
      <c r="L224" s="155">
        <v>44694</v>
      </c>
      <c r="M224" s="129">
        <f t="shared" si="14"/>
        <v>993.98</v>
      </c>
      <c r="N224" s="158">
        <v>995</v>
      </c>
      <c r="O224" s="386">
        <v>49699</v>
      </c>
      <c r="P224" s="125">
        <v>44697</v>
      </c>
      <c r="Q224" s="437">
        <v>44693</v>
      </c>
      <c r="R224" s="438">
        <v>0</v>
      </c>
      <c r="S224" s="439"/>
      <c r="T224" s="440">
        <f t="shared" si="56"/>
        <v>88</v>
      </c>
      <c r="U224" s="441" t="str">
        <f t="shared" si="16"/>
        <v>50 DCMSHRIRAM</v>
      </c>
      <c r="V224" s="388">
        <f t="shared" si="17"/>
        <v>88</v>
      </c>
      <c r="W224" s="389">
        <f t="shared" si="57"/>
        <v>1.7738001652859246E-3</v>
      </c>
      <c r="X224" s="390">
        <f t="shared" si="19"/>
        <v>0</v>
      </c>
      <c r="Y224" s="391">
        <f t="shared" si="20"/>
        <v>0</v>
      </c>
      <c r="Z224" s="392">
        <f t="shared" si="21"/>
        <v>3</v>
      </c>
      <c r="AA224" s="389">
        <f t="shared" si="22"/>
        <v>0.24063230804283786</v>
      </c>
      <c r="AB224" s="125" t="s">
        <v>460</v>
      </c>
      <c r="AC224" s="98"/>
      <c r="AD224" s="98"/>
    </row>
    <row r="225" spans="1:30" ht="12.75" customHeight="1">
      <c r="A225" s="126" t="s">
        <v>589</v>
      </c>
      <c r="B225" s="125"/>
      <c r="C225" s="382"/>
      <c r="D225" s="383"/>
      <c r="E225" s="384" t="str">
        <f t="shared" si="52"/>
        <v/>
      </c>
      <c r="F225" s="126" t="s">
        <v>1145</v>
      </c>
      <c r="G225" s="126"/>
      <c r="H225" s="385">
        <f t="shared" si="53"/>
        <v>971.16</v>
      </c>
      <c r="I225" s="126">
        <v>100</v>
      </c>
      <c r="J225" s="385">
        <v>970</v>
      </c>
      <c r="K225" s="133">
        <v>97116</v>
      </c>
      <c r="L225" s="155">
        <v>44697</v>
      </c>
      <c r="M225" s="129">
        <f t="shared" si="14"/>
        <v>983.98</v>
      </c>
      <c r="N225" s="158">
        <v>985</v>
      </c>
      <c r="O225" s="386">
        <v>98398</v>
      </c>
      <c r="P225" s="125">
        <v>44698</v>
      </c>
      <c r="Q225" s="437">
        <v>44693</v>
      </c>
      <c r="R225" s="438">
        <v>0</v>
      </c>
      <c r="S225" s="439"/>
      <c r="T225" s="440">
        <f t="shared" si="56"/>
        <v>1282</v>
      </c>
      <c r="U225" s="441" t="str">
        <f t="shared" si="16"/>
        <v>100 DCMSHRIRAM</v>
      </c>
      <c r="V225" s="388">
        <f t="shared" si="17"/>
        <v>1282</v>
      </c>
      <c r="W225" s="389">
        <f t="shared" si="57"/>
        <v>1.3200708431154496E-2</v>
      </c>
      <c r="X225" s="390">
        <f t="shared" si="19"/>
        <v>0</v>
      </c>
      <c r="Y225" s="391">
        <f t="shared" si="20"/>
        <v>0</v>
      </c>
      <c r="Z225" s="392">
        <f t="shared" si="21"/>
        <v>1</v>
      </c>
      <c r="AA225" s="389">
        <f t="shared" si="22"/>
        <v>118.90904494486485</v>
      </c>
      <c r="AB225" s="125" t="s">
        <v>460</v>
      </c>
      <c r="AC225" s="98"/>
      <c r="AD225" s="98"/>
    </row>
    <row r="226" spans="1:30" ht="12.75" customHeight="1">
      <c r="A226" s="126" t="s">
        <v>589</v>
      </c>
      <c r="B226" s="125" t="s">
        <v>1150</v>
      </c>
      <c r="C226" s="382" t="s">
        <v>1151</v>
      </c>
      <c r="D226" s="383"/>
      <c r="E226" s="384" t="str">
        <f t="shared" si="52"/>
        <v/>
      </c>
      <c r="F226" s="126" t="s">
        <v>1145</v>
      </c>
      <c r="G226" s="126"/>
      <c r="H226" s="385">
        <f t="shared" si="53"/>
        <v>957.07270000000005</v>
      </c>
      <c r="I226" s="126">
        <v>55</v>
      </c>
      <c r="J226" s="385">
        <v>955.95</v>
      </c>
      <c r="K226" s="133">
        <v>52639</v>
      </c>
      <c r="L226" s="155">
        <v>44697</v>
      </c>
      <c r="M226" s="129">
        <f t="shared" si="14"/>
        <v>969</v>
      </c>
      <c r="N226" s="158">
        <v>970</v>
      </c>
      <c r="O226" s="386">
        <v>53295</v>
      </c>
      <c r="P226" s="125">
        <v>44704</v>
      </c>
      <c r="Q226" s="437">
        <v>44700</v>
      </c>
      <c r="R226" s="438">
        <v>15.93</v>
      </c>
      <c r="S226" s="439"/>
      <c r="T226" s="440">
        <f t="shared" si="56"/>
        <v>656</v>
      </c>
      <c r="U226" s="441" t="str">
        <f t="shared" si="16"/>
        <v>55 DCMSHRIRAM</v>
      </c>
      <c r="V226" s="388">
        <f t="shared" si="17"/>
        <v>640.07000000000005</v>
      </c>
      <c r="W226" s="389">
        <f t="shared" si="57"/>
        <v>1.2159615494215317E-2</v>
      </c>
      <c r="X226" s="390">
        <f t="shared" si="19"/>
        <v>0</v>
      </c>
      <c r="Y226" s="391">
        <f t="shared" si="20"/>
        <v>0</v>
      </c>
      <c r="Z226" s="392">
        <f t="shared" si="21"/>
        <v>7</v>
      </c>
      <c r="AA226" s="389">
        <f t="shared" si="22"/>
        <v>0.87801099713769482</v>
      </c>
      <c r="AB226" s="125" t="s">
        <v>460</v>
      </c>
      <c r="AC226" s="98"/>
      <c r="AD226" s="98"/>
    </row>
    <row r="227" spans="1:30" ht="12.75" customHeight="1">
      <c r="A227" s="125" t="s">
        <v>589</v>
      </c>
      <c r="B227" s="125" t="s">
        <v>1150</v>
      </c>
      <c r="C227" s="382" t="s">
        <v>1151</v>
      </c>
      <c r="D227" s="383"/>
      <c r="E227" s="384" t="str">
        <f t="shared" si="52"/>
        <v/>
      </c>
      <c r="F227" s="126" t="s">
        <v>1145</v>
      </c>
      <c r="G227" s="126"/>
      <c r="H227" s="385">
        <f t="shared" si="53"/>
        <v>1003.38</v>
      </c>
      <c r="I227" s="126">
        <v>50</v>
      </c>
      <c r="J227" s="385">
        <v>1002.2</v>
      </c>
      <c r="K227" s="133">
        <v>50169</v>
      </c>
      <c r="L227" s="155">
        <v>44704</v>
      </c>
      <c r="M227" s="129">
        <f t="shared" si="14"/>
        <v>1005.96</v>
      </c>
      <c r="N227" s="158">
        <v>1007</v>
      </c>
      <c r="O227" s="386">
        <v>50298</v>
      </c>
      <c r="P227" s="125">
        <v>44705</v>
      </c>
      <c r="Q227" s="437">
        <v>44701</v>
      </c>
      <c r="R227" s="438">
        <v>0</v>
      </c>
      <c r="S227" s="439"/>
      <c r="T227" s="440">
        <f t="shared" si="56"/>
        <v>129</v>
      </c>
      <c r="U227" s="441" t="str">
        <f t="shared" si="16"/>
        <v>50 DCMSHRIRAM</v>
      </c>
      <c r="V227" s="388">
        <f t="shared" si="17"/>
        <v>129</v>
      </c>
      <c r="W227" s="389">
        <f t="shared" si="57"/>
        <v>2.5713089756622615E-3</v>
      </c>
      <c r="X227" s="390">
        <f t="shared" si="19"/>
        <v>0</v>
      </c>
      <c r="Y227" s="391">
        <f t="shared" si="20"/>
        <v>0</v>
      </c>
      <c r="Z227" s="392">
        <f t="shared" si="21"/>
        <v>1</v>
      </c>
      <c r="AA227" s="389">
        <f t="shared" si="22"/>
        <v>1.5531380695362333</v>
      </c>
      <c r="AB227" s="125" t="s">
        <v>460</v>
      </c>
      <c r="AC227" s="98"/>
      <c r="AD227" s="98"/>
    </row>
    <row r="228" spans="1:30" ht="12.75" customHeight="1">
      <c r="A228" s="125" t="s">
        <v>589</v>
      </c>
      <c r="B228" s="125" t="s">
        <v>1150</v>
      </c>
      <c r="C228" s="382" t="s">
        <v>1151</v>
      </c>
      <c r="D228" s="383"/>
      <c r="E228" s="384" t="str">
        <f t="shared" si="52"/>
        <v/>
      </c>
      <c r="F228" s="126" t="s">
        <v>1145</v>
      </c>
      <c r="G228" s="126"/>
      <c r="H228" s="385">
        <f t="shared" si="53"/>
        <v>987.16</v>
      </c>
      <c r="I228" s="126">
        <v>50</v>
      </c>
      <c r="J228" s="385">
        <v>986</v>
      </c>
      <c r="K228" s="133">
        <v>49358</v>
      </c>
      <c r="L228" s="155">
        <v>44704</v>
      </c>
      <c r="M228" s="129">
        <f t="shared" si="14"/>
        <v>990</v>
      </c>
      <c r="N228" s="158">
        <v>991.02</v>
      </c>
      <c r="O228" s="386">
        <v>49500</v>
      </c>
      <c r="P228" s="125">
        <v>44705</v>
      </c>
      <c r="Q228" s="437">
        <v>44701</v>
      </c>
      <c r="R228" s="438">
        <v>0</v>
      </c>
      <c r="S228" s="439"/>
      <c r="T228" s="440">
        <f t="shared" si="56"/>
        <v>142</v>
      </c>
      <c r="U228" s="441" t="str">
        <f t="shared" si="16"/>
        <v>50 DCMSHRIRAM</v>
      </c>
      <c r="V228" s="388">
        <f t="shared" si="17"/>
        <v>142</v>
      </c>
      <c r="W228" s="389">
        <f t="shared" si="57"/>
        <v>2.8769399084241664E-3</v>
      </c>
      <c r="X228" s="390">
        <f t="shared" si="19"/>
        <v>0</v>
      </c>
      <c r="Y228" s="391">
        <f t="shared" si="20"/>
        <v>0</v>
      </c>
      <c r="Z228" s="392">
        <f t="shared" si="21"/>
        <v>1</v>
      </c>
      <c r="AA228" s="389">
        <f t="shared" si="22"/>
        <v>1.8535831336705209</v>
      </c>
      <c r="AB228" s="125" t="s">
        <v>460</v>
      </c>
      <c r="AC228" s="98"/>
      <c r="AD228" s="98"/>
    </row>
    <row r="229" spans="1:30" ht="12.75" customHeight="1">
      <c r="A229" s="126" t="s">
        <v>589</v>
      </c>
      <c r="B229" s="125" t="s">
        <v>1150</v>
      </c>
      <c r="C229" s="382" t="s">
        <v>1151</v>
      </c>
      <c r="D229" s="383"/>
      <c r="E229" s="384" t="str">
        <f t="shared" si="52"/>
        <v/>
      </c>
      <c r="F229" s="126" t="s">
        <v>1145</v>
      </c>
      <c r="G229" s="126"/>
      <c r="H229" s="385">
        <f t="shared" si="53"/>
        <v>973.46</v>
      </c>
      <c r="I229" s="126">
        <v>50</v>
      </c>
      <c r="J229" s="385">
        <v>972.3</v>
      </c>
      <c r="K229" s="133">
        <v>48673</v>
      </c>
      <c r="L229" s="155">
        <v>44705</v>
      </c>
      <c r="M229" s="129">
        <f t="shared" si="14"/>
        <v>980.98</v>
      </c>
      <c r="N229" s="158">
        <v>982</v>
      </c>
      <c r="O229" s="386">
        <v>49049</v>
      </c>
      <c r="P229" s="125">
        <v>44706</v>
      </c>
      <c r="Q229" s="437">
        <v>44701</v>
      </c>
      <c r="R229" s="438">
        <v>0</v>
      </c>
      <c r="S229" s="439"/>
      <c r="T229" s="440">
        <f t="shared" si="56"/>
        <v>376</v>
      </c>
      <c r="U229" s="441" t="str">
        <f t="shared" si="16"/>
        <v>50 DCMSHRIRAM</v>
      </c>
      <c r="V229" s="388">
        <f t="shared" si="17"/>
        <v>376</v>
      </c>
      <c r="W229" s="389">
        <f t="shared" si="57"/>
        <v>7.7250220861668686E-3</v>
      </c>
      <c r="X229" s="390">
        <f t="shared" si="19"/>
        <v>0</v>
      </c>
      <c r="Y229" s="391">
        <f t="shared" si="20"/>
        <v>0</v>
      </c>
      <c r="Z229" s="392">
        <f t="shared" si="21"/>
        <v>1</v>
      </c>
      <c r="AA229" s="389">
        <f t="shared" si="22"/>
        <v>15.58996447345519</v>
      </c>
      <c r="AB229" s="125" t="s">
        <v>460</v>
      </c>
      <c r="AC229" s="98"/>
      <c r="AD229" s="98"/>
    </row>
    <row r="230" spans="1:30" ht="12.75" customHeight="1">
      <c r="A230" s="126" t="s">
        <v>589</v>
      </c>
      <c r="B230" s="125" t="s">
        <v>1150</v>
      </c>
      <c r="C230" s="382" t="s">
        <v>1151</v>
      </c>
      <c r="D230" s="383"/>
      <c r="E230" s="384" t="str">
        <f t="shared" si="52"/>
        <v/>
      </c>
      <c r="F230" s="126" t="s">
        <v>1145</v>
      </c>
      <c r="G230" s="126"/>
      <c r="H230" s="385">
        <f t="shared" si="53"/>
        <v>964.4067</v>
      </c>
      <c r="I230" s="126">
        <v>150</v>
      </c>
      <c r="J230" s="385">
        <v>963.26670000000001</v>
      </c>
      <c r="K230" s="133">
        <v>144661</v>
      </c>
      <c r="L230" s="155">
        <v>44706</v>
      </c>
      <c r="M230" s="129">
        <f t="shared" si="14"/>
        <v>968.99329999999998</v>
      </c>
      <c r="N230" s="158">
        <v>970</v>
      </c>
      <c r="O230" s="386">
        <v>145349</v>
      </c>
      <c r="P230" s="125">
        <v>44707</v>
      </c>
      <c r="Q230" s="437">
        <v>44701</v>
      </c>
      <c r="R230" s="438">
        <v>0</v>
      </c>
      <c r="S230" s="439"/>
      <c r="T230" s="440">
        <f t="shared" si="56"/>
        <v>688</v>
      </c>
      <c r="U230" s="441" t="str">
        <f t="shared" si="16"/>
        <v>150 DCMSHRIRAM</v>
      </c>
      <c r="V230" s="388">
        <f t="shared" si="17"/>
        <v>688</v>
      </c>
      <c r="W230" s="389">
        <f t="shared" si="57"/>
        <v>4.755946661505174E-3</v>
      </c>
      <c r="X230" s="390">
        <f t="shared" si="19"/>
        <v>0</v>
      </c>
      <c r="Y230" s="391">
        <f t="shared" si="20"/>
        <v>0</v>
      </c>
      <c r="Z230" s="392">
        <f t="shared" si="21"/>
        <v>1</v>
      </c>
      <c r="AA230" s="389">
        <f t="shared" si="22"/>
        <v>4.6508478762455319</v>
      </c>
      <c r="AB230" s="125" t="s">
        <v>460</v>
      </c>
      <c r="AC230" s="98"/>
      <c r="AD230" s="98"/>
    </row>
    <row r="231" spans="1:30" ht="12.75" customHeight="1">
      <c r="A231" s="126" t="s">
        <v>589</v>
      </c>
      <c r="B231" s="125" t="s">
        <v>1150</v>
      </c>
      <c r="C231" s="382" t="s">
        <v>1151</v>
      </c>
      <c r="D231" s="383"/>
      <c r="E231" s="384" t="str">
        <f t="shared" si="52"/>
        <v/>
      </c>
      <c r="F231" s="126" t="s">
        <v>1145</v>
      </c>
      <c r="G231" s="126"/>
      <c r="H231" s="385">
        <f t="shared" si="53"/>
        <v>985.16669999999999</v>
      </c>
      <c r="I231" s="126">
        <v>30</v>
      </c>
      <c r="J231" s="385">
        <v>984</v>
      </c>
      <c r="K231" s="133">
        <v>29555</v>
      </c>
      <c r="L231" s="155">
        <v>44706</v>
      </c>
      <c r="M231" s="129">
        <f t="shared" si="14"/>
        <v>988.96669999999995</v>
      </c>
      <c r="N231" s="158">
        <v>990</v>
      </c>
      <c r="O231" s="386">
        <v>29669</v>
      </c>
      <c r="P231" s="125">
        <v>44711</v>
      </c>
      <c r="Q231" s="437">
        <v>44707</v>
      </c>
      <c r="R231" s="438">
        <v>0</v>
      </c>
      <c r="S231" s="439"/>
      <c r="T231" s="440">
        <f t="shared" si="56"/>
        <v>114</v>
      </c>
      <c r="U231" s="441" t="str">
        <f t="shared" si="16"/>
        <v>30 DCMSHRIRAM</v>
      </c>
      <c r="V231" s="388">
        <f t="shared" si="17"/>
        <v>114</v>
      </c>
      <c r="W231" s="389">
        <f t="shared" si="57"/>
        <v>3.8572153611909996E-3</v>
      </c>
      <c r="X231" s="390">
        <f t="shared" si="19"/>
        <v>0</v>
      </c>
      <c r="Y231" s="391">
        <f t="shared" si="20"/>
        <v>0</v>
      </c>
      <c r="Z231" s="392">
        <f t="shared" si="21"/>
        <v>5</v>
      </c>
      <c r="AA231" s="389">
        <f t="shared" si="22"/>
        <v>0.32450004374197672</v>
      </c>
      <c r="AB231" s="125" t="s">
        <v>460</v>
      </c>
      <c r="AC231" s="98"/>
      <c r="AD231" s="98"/>
    </row>
    <row r="232" spans="1:30" ht="12.75" customHeight="1">
      <c r="A232" s="126" t="s">
        <v>589</v>
      </c>
      <c r="B232" s="125" t="s">
        <v>1150</v>
      </c>
      <c r="C232" s="382" t="s">
        <v>1151</v>
      </c>
      <c r="D232" s="383"/>
      <c r="E232" s="384" t="str">
        <f t="shared" si="52"/>
        <v/>
      </c>
      <c r="F232" s="126" t="s">
        <v>1145</v>
      </c>
      <c r="G232" s="126"/>
      <c r="H232" s="385">
        <f t="shared" si="53"/>
        <v>957.13329999999996</v>
      </c>
      <c r="I232" s="126">
        <v>75</v>
      </c>
      <c r="J232" s="385">
        <v>956</v>
      </c>
      <c r="K232" s="133">
        <v>71785</v>
      </c>
      <c r="L232" s="155">
        <v>44708</v>
      </c>
      <c r="M232" s="129">
        <f t="shared" si="14"/>
        <v>965.01329999999996</v>
      </c>
      <c r="N232" s="158">
        <v>966</v>
      </c>
      <c r="O232" s="386">
        <v>72376</v>
      </c>
      <c r="P232" s="125">
        <v>44711</v>
      </c>
      <c r="Q232" s="437">
        <v>44707</v>
      </c>
      <c r="R232" s="438">
        <v>15.93</v>
      </c>
      <c r="S232" s="439"/>
      <c r="T232" s="440">
        <f t="shared" si="56"/>
        <v>591</v>
      </c>
      <c r="U232" s="441" t="str">
        <f t="shared" si="16"/>
        <v>75 DCMSHRIRAM</v>
      </c>
      <c r="V232" s="388">
        <f t="shared" si="17"/>
        <v>575.07000000000005</v>
      </c>
      <c r="W232" s="389">
        <f t="shared" si="57"/>
        <v>8.0110050846277092E-3</v>
      </c>
      <c r="X232" s="390">
        <f t="shared" si="19"/>
        <v>0</v>
      </c>
      <c r="Y232" s="391">
        <f t="shared" si="20"/>
        <v>0</v>
      </c>
      <c r="Z232" s="392">
        <f t="shared" si="21"/>
        <v>3</v>
      </c>
      <c r="AA232" s="389">
        <f t="shared" si="22"/>
        <v>1.6400265099589331</v>
      </c>
      <c r="AB232" s="125" t="s">
        <v>460</v>
      </c>
      <c r="AC232" s="98"/>
      <c r="AD232" s="98"/>
    </row>
    <row r="233" spans="1:30" ht="12.75" customHeight="1">
      <c r="A233" s="126" t="s">
        <v>589</v>
      </c>
      <c r="B233" s="125" t="s">
        <v>1150</v>
      </c>
      <c r="C233" s="382" t="s">
        <v>1151</v>
      </c>
      <c r="D233" s="383"/>
      <c r="E233" s="384" t="str">
        <f t="shared" si="52"/>
        <v/>
      </c>
      <c r="F233" s="126" t="s">
        <v>1145</v>
      </c>
      <c r="G233" s="126"/>
      <c r="H233" s="385">
        <f t="shared" si="53"/>
        <v>996.73</v>
      </c>
      <c r="I233" s="126">
        <v>100</v>
      </c>
      <c r="J233" s="385">
        <v>995.55</v>
      </c>
      <c r="K233" s="133">
        <v>99673</v>
      </c>
      <c r="L233" s="155">
        <v>44704</v>
      </c>
      <c r="M233" s="129">
        <f t="shared" si="14"/>
        <v>1003.96</v>
      </c>
      <c r="N233" s="158">
        <v>1005</v>
      </c>
      <c r="O233" s="386">
        <v>100396</v>
      </c>
      <c r="P233" s="125">
        <v>44713</v>
      </c>
      <c r="Q233" s="437">
        <v>44711</v>
      </c>
      <c r="R233" s="438">
        <v>15.93</v>
      </c>
      <c r="S233" s="439"/>
      <c r="T233" s="440">
        <f t="shared" si="56"/>
        <v>723</v>
      </c>
      <c r="U233" s="441" t="str">
        <f t="shared" si="16"/>
        <v>100 DCMSHRIRAM</v>
      </c>
      <c r="V233" s="388">
        <f t="shared" si="17"/>
        <v>707.07</v>
      </c>
      <c r="W233" s="389">
        <f t="shared" si="57"/>
        <v>7.0938970433316951E-3</v>
      </c>
      <c r="X233" s="390">
        <f t="shared" si="19"/>
        <v>0</v>
      </c>
      <c r="Y233" s="391">
        <f t="shared" si="20"/>
        <v>0</v>
      </c>
      <c r="Z233" s="392">
        <f t="shared" si="21"/>
        <v>9</v>
      </c>
      <c r="AA233" s="389">
        <f t="shared" si="22"/>
        <v>0.3319996240250116</v>
      </c>
      <c r="AB233" s="125" t="s">
        <v>460</v>
      </c>
      <c r="AC233" s="98"/>
      <c r="AD233" s="98"/>
    </row>
    <row r="234" spans="1:30" ht="12.75" customHeight="1">
      <c r="A234" s="126" t="s">
        <v>589</v>
      </c>
      <c r="B234" s="125" t="s">
        <v>1150</v>
      </c>
      <c r="C234" s="382" t="s">
        <v>1151</v>
      </c>
      <c r="D234" s="383"/>
      <c r="E234" s="384" t="str">
        <f t="shared" si="52"/>
        <v/>
      </c>
      <c r="F234" s="126" t="s">
        <v>1145</v>
      </c>
      <c r="G234" s="126"/>
      <c r="H234" s="385">
        <f t="shared" si="53"/>
        <v>985.16</v>
      </c>
      <c r="I234" s="126">
        <v>50</v>
      </c>
      <c r="J234" s="385">
        <v>984</v>
      </c>
      <c r="K234" s="133">
        <v>49258</v>
      </c>
      <c r="L234" s="155">
        <v>44708</v>
      </c>
      <c r="M234" s="129">
        <f t="shared" si="14"/>
        <v>993.98</v>
      </c>
      <c r="N234" s="158">
        <v>995</v>
      </c>
      <c r="O234" s="386">
        <v>49699</v>
      </c>
      <c r="P234" s="125">
        <v>44713</v>
      </c>
      <c r="Q234" s="437">
        <v>44711</v>
      </c>
      <c r="R234" s="438">
        <v>0</v>
      </c>
      <c r="S234" s="439"/>
      <c r="T234" s="440">
        <f t="shared" si="56"/>
        <v>441</v>
      </c>
      <c r="U234" s="441" t="str">
        <f t="shared" si="16"/>
        <v>50 DCMSHRIRAM</v>
      </c>
      <c r="V234" s="388">
        <f t="shared" si="17"/>
        <v>441</v>
      </c>
      <c r="W234" s="389">
        <f t="shared" si="57"/>
        <v>8.9528604490641123E-3</v>
      </c>
      <c r="X234" s="390">
        <f t="shared" si="19"/>
        <v>0</v>
      </c>
      <c r="Y234" s="391">
        <f t="shared" si="20"/>
        <v>0</v>
      </c>
      <c r="Z234" s="392">
        <f t="shared" si="21"/>
        <v>5</v>
      </c>
      <c r="AA234" s="389">
        <f t="shared" si="22"/>
        <v>0.91678738505390123</v>
      </c>
      <c r="AB234" s="125" t="s">
        <v>460</v>
      </c>
      <c r="AC234" s="98"/>
      <c r="AD234" s="98"/>
    </row>
    <row r="235" spans="1:30" ht="12.75" customHeight="1">
      <c r="A235" s="126" t="s">
        <v>589</v>
      </c>
      <c r="B235" s="125" t="s">
        <v>1150</v>
      </c>
      <c r="C235" s="382" t="s">
        <v>1151</v>
      </c>
      <c r="D235" s="383"/>
      <c r="E235" s="384" t="str">
        <f t="shared" si="52"/>
        <v/>
      </c>
      <c r="F235" s="126" t="s">
        <v>1145</v>
      </c>
      <c r="G235" s="126"/>
      <c r="H235" s="385">
        <f t="shared" si="53"/>
        <v>983.16</v>
      </c>
      <c r="I235" s="126">
        <v>50</v>
      </c>
      <c r="J235" s="385">
        <v>982</v>
      </c>
      <c r="K235" s="133">
        <v>49158</v>
      </c>
      <c r="L235" s="155">
        <v>44719</v>
      </c>
      <c r="M235" s="129">
        <f t="shared" si="14"/>
        <v>987.98</v>
      </c>
      <c r="N235" s="158">
        <v>989</v>
      </c>
      <c r="O235" s="386">
        <v>49399</v>
      </c>
      <c r="P235" s="125">
        <v>44722</v>
      </c>
      <c r="Q235" s="437">
        <v>44720</v>
      </c>
      <c r="R235" s="438">
        <v>15.93</v>
      </c>
      <c r="S235" s="439"/>
      <c r="T235" s="440">
        <f t="shared" ref="T235:T297" si="58">IF(OR(O235="",K235=""),"",O235-K235)</f>
        <v>241</v>
      </c>
      <c r="U235" s="441" t="str">
        <f t="shared" si="16"/>
        <v>50 DCMSHRIRAM</v>
      </c>
      <c r="V235" s="388">
        <f t="shared" si="17"/>
        <v>225.07</v>
      </c>
      <c r="W235" s="389">
        <f t="shared" ref="W235:W297" si="59">IF(OR(K235="",V235=""),"",V235/K235)</f>
        <v>4.5785019732291791E-3</v>
      </c>
      <c r="X235" s="390">
        <f t="shared" si="19"/>
        <v>0</v>
      </c>
      <c r="Y235" s="391">
        <f t="shared" si="20"/>
        <v>0</v>
      </c>
      <c r="Z235" s="392">
        <f t="shared" si="21"/>
        <v>3</v>
      </c>
      <c r="AA235" s="389">
        <f t="shared" si="22"/>
        <v>0.74329974553685019</v>
      </c>
      <c r="AB235" s="125" t="s">
        <v>460</v>
      </c>
      <c r="AC235" s="98"/>
      <c r="AD235" s="98"/>
    </row>
    <row r="236" spans="1:30" ht="12.75" customHeight="1">
      <c r="A236" s="126" t="s">
        <v>589</v>
      </c>
      <c r="B236" s="125" t="s">
        <v>1150</v>
      </c>
      <c r="C236" s="382" t="s">
        <v>1151</v>
      </c>
      <c r="D236" s="383"/>
      <c r="E236" s="384" t="str">
        <f t="shared" si="52"/>
        <v/>
      </c>
      <c r="F236" s="126" t="s">
        <v>1145</v>
      </c>
      <c r="G236" s="126"/>
      <c r="H236" s="385">
        <f t="shared" si="53"/>
        <v>938.625</v>
      </c>
      <c r="I236" s="126">
        <v>8</v>
      </c>
      <c r="J236" s="385">
        <v>937.5</v>
      </c>
      <c r="K236" s="133">
        <v>7509</v>
      </c>
      <c r="L236" s="155">
        <v>44725</v>
      </c>
      <c r="M236" s="129">
        <f t="shared" si="14"/>
        <v>917</v>
      </c>
      <c r="N236" s="158">
        <v>918</v>
      </c>
      <c r="O236" s="386">
        <v>7336</v>
      </c>
      <c r="P236" s="125">
        <v>44726</v>
      </c>
      <c r="Q236" s="437">
        <v>44698</v>
      </c>
      <c r="R236" s="438">
        <v>15.93</v>
      </c>
      <c r="S236" s="439"/>
      <c r="T236" s="440">
        <f t="shared" si="58"/>
        <v>-173</v>
      </c>
      <c r="U236" s="441" t="str">
        <f t="shared" si="16"/>
        <v>8 DCMSHRIRAM</v>
      </c>
      <c r="V236" s="388">
        <f t="shared" si="17"/>
        <v>-188.93</v>
      </c>
      <c r="W236" s="389">
        <f t="shared" si="59"/>
        <v>-2.516047409774937E-2</v>
      </c>
      <c r="X236" s="390">
        <f t="shared" si="19"/>
        <v>0</v>
      </c>
      <c r="Y236" s="391">
        <f t="shared" si="20"/>
        <v>0</v>
      </c>
      <c r="Z236" s="392">
        <f t="shared" si="21"/>
        <v>1</v>
      </c>
      <c r="AA236" s="389">
        <f t="shared" si="22"/>
        <v>-0.99990867443305265</v>
      </c>
      <c r="AB236" s="125" t="s">
        <v>460</v>
      </c>
      <c r="AC236" s="98"/>
      <c r="AD236" s="98"/>
    </row>
    <row r="237" spans="1:30" ht="12.75" customHeight="1">
      <c r="A237" s="126" t="s">
        <v>589</v>
      </c>
      <c r="B237" s="125" t="s">
        <v>1150</v>
      </c>
      <c r="C237" s="382" t="s">
        <v>1151</v>
      </c>
      <c r="D237" s="383"/>
      <c r="E237" s="384" t="str">
        <f t="shared" si="52"/>
        <v/>
      </c>
      <c r="F237" s="126" t="s">
        <v>1145</v>
      </c>
      <c r="G237" s="126"/>
      <c r="H237" s="385">
        <f t="shared" si="53"/>
        <v>938.6</v>
      </c>
      <c r="I237" s="126">
        <v>40</v>
      </c>
      <c r="J237" s="385">
        <v>937.5</v>
      </c>
      <c r="K237" s="133">
        <v>37544</v>
      </c>
      <c r="L237" s="155">
        <v>44725</v>
      </c>
      <c r="M237" s="129">
        <f t="shared" si="14"/>
        <v>939.02499999999998</v>
      </c>
      <c r="N237" s="158">
        <v>940</v>
      </c>
      <c r="O237" s="386">
        <v>37561</v>
      </c>
      <c r="P237" s="125">
        <v>44726</v>
      </c>
      <c r="Q237" s="437">
        <v>44700</v>
      </c>
      <c r="R237" s="438">
        <v>15.93</v>
      </c>
      <c r="S237" s="439"/>
      <c r="T237" s="440">
        <f t="shared" si="58"/>
        <v>17</v>
      </c>
      <c r="U237" s="441" t="str">
        <f t="shared" si="16"/>
        <v>40 DCMSHRIRAM</v>
      </c>
      <c r="V237" s="388">
        <f t="shared" si="17"/>
        <v>1.0700000000000003</v>
      </c>
      <c r="W237" s="389">
        <f t="shared" si="59"/>
        <v>2.8499893458342219E-5</v>
      </c>
      <c r="X237" s="390">
        <f t="shared" si="19"/>
        <v>0</v>
      </c>
      <c r="Y237" s="391">
        <f t="shared" si="20"/>
        <v>0</v>
      </c>
      <c r="Z237" s="392">
        <f t="shared" si="21"/>
        <v>1</v>
      </c>
      <c r="AA237" s="389">
        <f t="shared" si="22"/>
        <v>1.0456605028543731E-2</v>
      </c>
      <c r="AB237" s="125" t="s">
        <v>460</v>
      </c>
      <c r="AC237" s="98"/>
      <c r="AD237" s="98"/>
    </row>
    <row r="238" spans="1:30" ht="12.75" customHeight="1">
      <c r="A238" s="126" t="s">
        <v>589</v>
      </c>
      <c r="B238" s="125" t="s">
        <v>1150</v>
      </c>
      <c r="C238" s="382" t="s">
        <v>1151</v>
      </c>
      <c r="D238" s="383"/>
      <c r="E238" s="384" t="str">
        <f t="shared" si="52"/>
        <v/>
      </c>
      <c r="F238" s="126" t="s">
        <v>1145</v>
      </c>
      <c r="G238" s="126"/>
      <c r="H238" s="385">
        <f t="shared" si="53"/>
        <v>938.6</v>
      </c>
      <c r="I238" s="126">
        <v>20</v>
      </c>
      <c r="J238" s="385">
        <v>937.5</v>
      </c>
      <c r="K238" s="133">
        <v>18772</v>
      </c>
      <c r="L238" s="155">
        <v>44725</v>
      </c>
      <c r="M238" s="129">
        <f t="shared" si="14"/>
        <v>949</v>
      </c>
      <c r="N238" s="158">
        <v>950</v>
      </c>
      <c r="O238" s="386">
        <v>18980</v>
      </c>
      <c r="P238" s="125">
        <v>44726</v>
      </c>
      <c r="Q238" s="437">
        <v>44707</v>
      </c>
      <c r="R238" s="438">
        <v>0</v>
      </c>
      <c r="S238" s="439"/>
      <c r="T238" s="440">
        <f t="shared" si="58"/>
        <v>208</v>
      </c>
      <c r="U238" s="441" t="str">
        <f t="shared" si="16"/>
        <v>20 DCMSHRIRAM</v>
      </c>
      <c r="V238" s="388">
        <f t="shared" si="17"/>
        <v>208</v>
      </c>
      <c r="W238" s="389">
        <f t="shared" si="59"/>
        <v>1.1080332409972299E-2</v>
      </c>
      <c r="X238" s="390">
        <f t="shared" si="19"/>
        <v>0</v>
      </c>
      <c r="Y238" s="391">
        <f t="shared" si="20"/>
        <v>0</v>
      </c>
      <c r="Z238" s="392">
        <f t="shared" si="21"/>
        <v>1</v>
      </c>
      <c r="AA238" s="389">
        <f t="shared" si="22"/>
        <v>54.817043739424889</v>
      </c>
      <c r="AB238" s="125" t="s">
        <v>460</v>
      </c>
      <c r="AC238" s="98"/>
      <c r="AD238" s="98"/>
    </row>
    <row r="239" spans="1:30" ht="12.75" customHeight="1">
      <c r="A239" s="126" t="s">
        <v>589</v>
      </c>
      <c r="B239" s="125" t="s">
        <v>1150</v>
      </c>
      <c r="C239" s="382" t="s">
        <v>1151</v>
      </c>
      <c r="D239" s="383"/>
      <c r="E239" s="384" t="str">
        <f t="shared" si="52"/>
        <v/>
      </c>
      <c r="F239" s="126" t="s">
        <v>1145</v>
      </c>
      <c r="G239" s="126"/>
      <c r="H239" s="385">
        <f t="shared" si="53"/>
        <v>963.14</v>
      </c>
      <c r="I239" s="126">
        <v>50</v>
      </c>
      <c r="J239" s="385">
        <v>962</v>
      </c>
      <c r="K239" s="133">
        <v>48157</v>
      </c>
      <c r="L239" s="155">
        <v>44728</v>
      </c>
      <c r="M239" s="129">
        <f t="shared" si="14"/>
        <v>970</v>
      </c>
      <c r="N239" s="158">
        <v>971</v>
      </c>
      <c r="O239" s="386">
        <v>48500</v>
      </c>
      <c r="P239" s="125">
        <v>44729</v>
      </c>
      <c r="Q239" s="437">
        <v>44727</v>
      </c>
      <c r="R239" s="438">
        <v>0</v>
      </c>
      <c r="S239" s="439"/>
      <c r="T239" s="440">
        <f t="shared" si="58"/>
        <v>343</v>
      </c>
      <c r="U239" s="441" t="str">
        <f t="shared" si="16"/>
        <v>50 DCMSHRIRAM</v>
      </c>
      <c r="V239" s="388">
        <f t="shared" si="17"/>
        <v>343</v>
      </c>
      <c r="W239" s="389">
        <f t="shared" si="59"/>
        <v>7.1225367028677038E-3</v>
      </c>
      <c r="X239" s="390">
        <f t="shared" si="19"/>
        <v>0</v>
      </c>
      <c r="Y239" s="391">
        <f t="shared" si="20"/>
        <v>0</v>
      </c>
      <c r="Z239" s="392">
        <f t="shared" si="21"/>
        <v>1</v>
      </c>
      <c r="AA239" s="389">
        <f t="shared" si="22"/>
        <v>12.336588902147797</v>
      </c>
      <c r="AB239" s="125" t="s">
        <v>460</v>
      </c>
      <c r="AC239" s="98"/>
      <c r="AD239" s="98"/>
    </row>
    <row r="240" spans="1:30" ht="12.75" customHeight="1">
      <c r="A240" s="126" t="s">
        <v>589</v>
      </c>
      <c r="B240" s="125" t="s">
        <v>1150</v>
      </c>
      <c r="C240" s="382" t="s">
        <v>1151</v>
      </c>
      <c r="D240" s="383"/>
      <c r="E240" s="384" t="str">
        <f t="shared" si="52"/>
        <v/>
      </c>
      <c r="F240" s="126" t="s">
        <v>1145</v>
      </c>
      <c r="G240" s="126"/>
      <c r="H240" s="385">
        <f t="shared" si="53"/>
        <v>952.58</v>
      </c>
      <c r="I240" s="126">
        <v>100</v>
      </c>
      <c r="J240" s="385">
        <v>951.46</v>
      </c>
      <c r="K240" s="133">
        <v>95258</v>
      </c>
      <c r="L240" s="155">
        <v>44728</v>
      </c>
      <c r="M240" s="129">
        <f t="shared" si="14"/>
        <v>954.01</v>
      </c>
      <c r="N240" s="158">
        <v>955</v>
      </c>
      <c r="O240" s="386">
        <v>95401</v>
      </c>
      <c r="P240" s="125">
        <v>44729</v>
      </c>
      <c r="Q240" s="437">
        <v>44727</v>
      </c>
      <c r="R240" s="438">
        <v>15.93</v>
      </c>
      <c r="S240" s="439"/>
      <c r="T240" s="440">
        <f t="shared" si="58"/>
        <v>143</v>
      </c>
      <c r="U240" s="441" t="str">
        <f t="shared" si="16"/>
        <v>100 DCMSHRIRAM</v>
      </c>
      <c r="V240" s="388">
        <f t="shared" si="17"/>
        <v>127.07</v>
      </c>
      <c r="W240" s="389">
        <f t="shared" si="59"/>
        <v>1.3339562031535409E-3</v>
      </c>
      <c r="X240" s="390">
        <f t="shared" si="19"/>
        <v>0</v>
      </c>
      <c r="Y240" s="391">
        <f t="shared" si="20"/>
        <v>0</v>
      </c>
      <c r="Z240" s="392">
        <f t="shared" si="21"/>
        <v>1</v>
      </c>
      <c r="AA240" s="389">
        <f t="shared" si="22"/>
        <v>0.62672624250430675</v>
      </c>
      <c r="AB240" s="125" t="s">
        <v>460</v>
      </c>
      <c r="AC240" s="98"/>
      <c r="AD240" s="98"/>
    </row>
    <row r="241" spans="1:30" ht="12.75" customHeight="1">
      <c r="A241" s="126" t="s">
        <v>589</v>
      </c>
      <c r="B241" s="125" t="s">
        <v>1150</v>
      </c>
      <c r="C241" s="382" t="s">
        <v>1151</v>
      </c>
      <c r="D241" s="383"/>
      <c r="E241" s="384" t="str">
        <f t="shared" si="52"/>
        <v/>
      </c>
      <c r="F241" s="126" t="s">
        <v>1145</v>
      </c>
      <c r="G241" s="126"/>
      <c r="H241" s="385">
        <f t="shared" si="53"/>
        <v>949.86670000000004</v>
      </c>
      <c r="I241" s="126">
        <v>15</v>
      </c>
      <c r="J241" s="385">
        <v>948.77670000000001</v>
      </c>
      <c r="K241" s="133">
        <v>14248</v>
      </c>
      <c r="L241" s="155">
        <v>44728</v>
      </c>
      <c r="M241" s="129">
        <f t="shared" si="14"/>
        <v>961</v>
      </c>
      <c r="N241" s="158">
        <v>962</v>
      </c>
      <c r="O241" s="386">
        <v>14415</v>
      </c>
      <c r="P241" s="125">
        <v>44729</v>
      </c>
      <c r="Q241" s="437">
        <v>44727</v>
      </c>
      <c r="R241" s="438">
        <v>0</v>
      </c>
      <c r="S241" s="439"/>
      <c r="T241" s="440">
        <f t="shared" si="58"/>
        <v>167</v>
      </c>
      <c r="U241" s="441" t="str">
        <f t="shared" si="16"/>
        <v>15 DCMSHRIRAM</v>
      </c>
      <c r="V241" s="388">
        <f t="shared" si="17"/>
        <v>167</v>
      </c>
      <c r="W241" s="389">
        <f t="shared" si="59"/>
        <v>1.1720943290286357E-2</v>
      </c>
      <c r="X241" s="390">
        <f t="shared" si="19"/>
        <v>0</v>
      </c>
      <c r="Y241" s="391">
        <f t="shared" si="20"/>
        <v>0</v>
      </c>
      <c r="Z241" s="392">
        <f t="shared" si="21"/>
        <v>1</v>
      </c>
      <c r="AA241" s="389">
        <f t="shared" si="22"/>
        <v>69.334790499575433</v>
      </c>
      <c r="AB241" s="125" t="s">
        <v>460</v>
      </c>
      <c r="AC241" s="98"/>
      <c r="AD241" s="98"/>
    </row>
    <row r="242" spans="1:30" ht="12.75" customHeight="1">
      <c r="A242" s="126" t="s">
        <v>589</v>
      </c>
      <c r="B242" s="125" t="s">
        <v>1150</v>
      </c>
      <c r="C242" s="382" t="s">
        <v>1151</v>
      </c>
      <c r="D242" s="383"/>
      <c r="E242" s="384" t="str">
        <f t="shared" si="52"/>
        <v/>
      </c>
      <c r="F242" s="126" t="s">
        <v>1145</v>
      </c>
      <c r="G242" s="126"/>
      <c r="H242" s="385">
        <f t="shared" si="53"/>
        <v>952.11429999999996</v>
      </c>
      <c r="I242" s="126">
        <v>35</v>
      </c>
      <c r="J242" s="385">
        <v>951</v>
      </c>
      <c r="K242" s="133">
        <v>33324</v>
      </c>
      <c r="L242" s="155">
        <v>44741</v>
      </c>
      <c r="M242" s="129">
        <f t="shared" si="14"/>
        <v>961</v>
      </c>
      <c r="N242" s="158">
        <v>962</v>
      </c>
      <c r="O242" s="386">
        <v>33635</v>
      </c>
      <c r="P242" s="125">
        <v>44742</v>
      </c>
      <c r="Q242" s="437">
        <v>44727</v>
      </c>
      <c r="R242" s="438">
        <v>0</v>
      </c>
      <c r="S242" s="439"/>
      <c r="T242" s="440">
        <f t="shared" si="58"/>
        <v>311</v>
      </c>
      <c r="U242" s="441" t="str">
        <f t="shared" si="16"/>
        <v>35 DCMSHRIRAM</v>
      </c>
      <c r="V242" s="388">
        <f t="shared" si="17"/>
        <v>311</v>
      </c>
      <c r="W242" s="389">
        <f t="shared" si="59"/>
        <v>9.3326131316768691E-3</v>
      </c>
      <c r="X242" s="390">
        <f t="shared" si="19"/>
        <v>0</v>
      </c>
      <c r="Y242" s="391">
        <f t="shared" si="20"/>
        <v>0</v>
      </c>
      <c r="Z242" s="392">
        <f t="shared" si="21"/>
        <v>1</v>
      </c>
      <c r="AA242" s="389">
        <f t="shared" si="22"/>
        <v>28.683955417126629</v>
      </c>
      <c r="AB242" s="125" t="s">
        <v>460</v>
      </c>
      <c r="AC242" s="98"/>
      <c r="AD242" s="98"/>
    </row>
    <row r="243" spans="1:30" ht="12.75" customHeight="1">
      <c r="A243" s="126" t="s">
        <v>589</v>
      </c>
      <c r="B243" s="125" t="s">
        <v>1150</v>
      </c>
      <c r="C243" s="382" t="s">
        <v>1151</v>
      </c>
      <c r="D243" s="383"/>
      <c r="E243" s="384" t="str">
        <f t="shared" si="52"/>
        <v/>
      </c>
      <c r="F243" s="126" t="s">
        <v>1145</v>
      </c>
      <c r="G243" s="126"/>
      <c r="H243" s="385">
        <f t="shared" si="53"/>
        <v>952.36</v>
      </c>
      <c r="I243" s="126">
        <v>25</v>
      </c>
      <c r="J243" s="385">
        <v>951.25</v>
      </c>
      <c r="K243" s="133">
        <v>23809</v>
      </c>
      <c r="L243" s="155">
        <v>44746</v>
      </c>
      <c r="M243" s="129">
        <f t="shared" si="14"/>
        <v>954</v>
      </c>
      <c r="N243" s="158">
        <v>955</v>
      </c>
      <c r="O243" s="386">
        <v>23850</v>
      </c>
      <c r="P243" s="125">
        <v>44749</v>
      </c>
      <c r="Q243" s="437">
        <v>44747</v>
      </c>
      <c r="R243" s="438">
        <v>15.93</v>
      </c>
      <c r="S243" s="439"/>
      <c r="T243" s="440">
        <f t="shared" si="58"/>
        <v>41</v>
      </c>
      <c r="U243" s="441" t="str">
        <f t="shared" si="16"/>
        <v>25 DCMSHRIRAM</v>
      </c>
      <c r="V243" s="388">
        <f t="shared" si="17"/>
        <v>25.07</v>
      </c>
      <c r="W243" s="389">
        <f t="shared" si="59"/>
        <v>1.0529631651896342E-3</v>
      </c>
      <c r="X243" s="390">
        <f t="shared" si="19"/>
        <v>0</v>
      </c>
      <c r="Y243" s="391">
        <f t="shared" si="20"/>
        <v>0</v>
      </c>
      <c r="Z243" s="392">
        <f t="shared" si="21"/>
        <v>3</v>
      </c>
      <c r="AA243" s="389">
        <f t="shared" si="22"/>
        <v>0.13660200954625834</v>
      </c>
      <c r="AB243" s="125" t="s">
        <v>460</v>
      </c>
      <c r="AC243" s="98"/>
      <c r="AD243" s="98"/>
    </row>
    <row r="244" spans="1:30" ht="12.75" customHeight="1">
      <c r="A244" s="126" t="s">
        <v>589</v>
      </c>
      <c r="B244" s="125" t="s">
        <v>1150</v>
      </c>
      <c r="C244" s="382" t="s">
        <v>1151</v>
      </c>
      <c r="D244" s="383"/>
      <c r="E244" s="384" t="str">
        <f t="shared" si="52"/>
        <v/>
      </c>
      <c r="F244" s="126" t="s">
        <v>1145</v>
      </c>
      <c r="G244" s="126"/>
      <c r="H244" s="385">
        <f t="shared" si="53"/>
        <v>957.64</v>
      </c>
      <c r="I244" s="126">
        <v>50</v>
      </c>
      <c r="J244" s="385">
        <v>956.5</v>
      </c>
      <c r="K244" s="133">
        <v>47882</v>
      </c>
      <c r="L244" s="155">
        <v>44749</v>
      </c>
      <c r="M244" s="129">
        <f t="shared" si="14"/>
        <v>963.02</v>
      </c>
      <c r="N244" s="158">
        <v>964</v>
      </c>
      <c r="O244" s="386">
        <v>48151</v>
      </c>
      <c r="P244" s="125">
        <v>44750</v>
      </c>
      <c r="Q244" s="437">
        <v>44748</v>
      </c>
      <c r="R244" s="438">
        <v>15.93</v>
      </c>
      <c r="S244" s="439"/>
      <c r="T244" s="440">
        <f t="shared" si="58"/>
        <v>269</v>
      </c>
      <c r="U244" s="441" t="str">
        <f t="shared" si="16"/>
        <v>50 DCMSHRIRAM</v>
      </c>
      <c r="V244" s="388">
        <f t="shared" si="17"/>
        <v>253.07</v>
      </c>
      <c r="W244" s="389">
        <f t="shared" si="59"/>
        <v>5.285284658117873E-3</v>
      </c>
      <c r="X244" s="390">
        <f t="shared" si="19"/>
        <v>0</v>
      </c>
      <c r="Y244" s="391">
        <f t="shared" si="20"/>
        <v>0</v>
      </c>
      <c r="Z244" s="392">
        <f t="shared" si="21"/>
        <v>1</v>
      </c>
      <c r="AA244" s="389">
        <f t="shared" si="22"/>
        <v>5.848631111257057</v>
      </c>
      <c r="AB244" s="125" t="s">
        <v>460</v>
      </c>
      <c r="AC244" s="98"/>
      <c r="AD244" s="98"/>
    </row>
    <row r="245" spans="1:30" ht="12.75" customHeight="1">
      <c r="A245" s="126" t="s">
        <v>589</v>
      </c>
      <c r="B245" s="125" t="s">
        <v>1150</v>
      </c>
      <c r="C245" s="382" t="s">
        <v>1151</v>
      </c>
      <c r="D245" s="383"/>
      <c r="E245" s="384" t="str">
        <f t="shared" si="52"/>
        <v/>
      </c>
      <c r="F245" s="126" t="s">
        <v>1145</v>
      </c>
      <c r="G245" s="126"/>
      <c r="H245" s="385">
        <f t="shared" si="53"/>
        <v>952.46</v>
      </c>
      <c r="I245" s="126">
        <v>50</v>
      </c>
      <c r="J245" s="385">
        <v>951.34</v>
      </c>
      <c r="K245" s="133">
        <v>47623</v>
      </c>
      <c r="L245" s="155">
        <v>44750</v>
      </c>
      <c r="M245" s="129">
        <f t="shared" si="14"/>
        <v>958</v>
      </c>
      <c r="N245" s="158">
        <v>959</v>
      </c>
      <c r="O245" s="386">
        <v>47900</v>
      </c>
      <c r="P245" s="125">
        <v>44750</v>
      </c>
      <c r="Q245" s="437">
        <v>44748</v>
      </c>
      <c r="R245" s="438">
        <v>0</v>
      </c>
      <c r="S245" s="439"/>
      <c r="T245" s="440">
        <f t="shared" si="58"/>
        <v>277</v>
      </c>
      <c r="U245" s="441" t="str">
        <f t="shared" si="16"/>
        <v>50 DCMSHRIRAM</v>
      </c>
      <c r="V245" s="132">
        <f t="shared" si="17"/>
        <v>277</v>
      </c>
      <c r="W245" s="389">
        <f t="shared" si="59"/>
        <v>5.8165172290699872E-3</v>
      </c>
      <c r="X245" s="442">
        <f t="shared" si="19"/>
        <v>0</v>
      </c>
      <c r="Y245" s="391">
        <f t="shared" si="20"/>
        <v>0</v>
      </c>
      <c r="Z245" s="392">
        <f t="shared" si="21"/>
        <v>0</v>
      </c>
      <c r="AA245" s="389" t="str">
        <f t="shared" si="22"/>
        <v/>
      </c>
      <c r="AB245" s="125" t="s">
        <v>460</v>
      </c>
      <c r="AC245" s="98"/>
      <c r="AD245" s="98"/>
    </row>
    <row r="246" spans="1:30" ht="12.75" customHeight="1">
      <c r="A246" s="126" t="s">
        <v>589</v>
      </c>
      <c r="B246" s="125" t="s">
        <v>1150</v>
      </c>
      <c r="C246" s="382" t="s">
        <v>1151</v>
      </c>
      <c r="D246" s="383"/>
      <c r="E246" s="384" t="str">
        <f t="shared" si="52"/>
        <v/>
      </c>
      <c r="F246" s="126" t="s">
        <v>1145</v>
      </c>
      <c r="G246" s="126"/>
      <c r="H246" s="385">
        <f t="shared" si="53"/>
        <v>963.57780000000002</v>
      </c>
      <c r="I246" s="126">
        <v>90</v>
      </c>
      <c r="J246" s="385">
        <v>964.05550000000005</v>
      </c>
      <c r="K246" s="133">
        <f>86868-135-11</f>
        <v>86722</v>
      </c>
      <c r="L246" s="155">
        <v>44754</v>
      </c>
      <c r="M246" s="129">
        <f t="shared" si="14"/>
        <v>965.17780000000005</v>
      </c>
      <c r="N246" s="158">
        <v>966.17639999999994</v>
      </c>
      <c r="O246" s="386">
        <v>86866</v>
      </c>
      <c r="P246" s="125">
        <v>44755</v>
      </c>
      <c r="Q246" s="437">
        <v>44753</v>
      </c>
      <c r="R246" s="438">
        <v>0</v>
      </c>
      <c r="S246" s="439"/>
      <c r="T246" s="440">
        <f t="shared" si="58"/>
        <v>144</v>
      </c>
      <c r="U246" s="441" t="str">
        <f t="shared" si="16"/>
        <v>90 DCMSHRIRAM</v>
      </c>
      <c r="V246" s="132">
        <f t="shared" si="17"/>
        <v>144</v>
      </c>
      <c r="W246" s="389">
        <f t="shared" si="59"/>
        <v>1.6604783100020756E-3</v>
      </c>
      <c r="X246" s="442">
        <f t="shared" si="19"/>
        <v>0</v>
      </c>
      <c r="Y246" s="391">
        <f t="shared" si="20"/>
        <v>0</v>
      </c>
      <c r="Z246" s="392">
        <f t="shared" si="21"/>
        <v>1</v>
      </c>
      <c r="AA246" s="389">
        <f t="shared" si="22"/>
        <v>0.83229989798625459</v>
      </c>
      <c r="AB246" s="125" t="s">
        <v>460</v>
      </c>
      <c r="AC246" s="98"/>
      <c r="AD246" s="98"/>
    </row>
    <row r="247" spans="1:30" ht="12.75" customHeight="1">
      <c r="A247" s="126" t="s">
        <v>589</v>
      </c>
      <c r="B247" s="125" t="s">
        <v>1150</v>
      </c>
      <c r="C247" s="382" t="s">
        <v>1151</v>
      </c>
      <c r="D247" s="383"/>
      <c r="E247" s="384" t="str">
        <f t="shared" si="52"/>
        <v/>
      </c>
      <c r="F247" s="126" t="s">
        <v>1145</v>
      </c>
      <c r="G247" s="126"/>
      <c r="H247" s="385">
        <f t="shared" si="53"/>
        <v>983.52</v>
      </c>
      <c r="I247" s="126">
        <v>50</v>
      </c>
      <c r="J247" s="385">
        <v>982.35</v>
      </c>
      <c r="K247" s="133">
        <v>49176</v>
      </c>
      <c r="L247" s="155">
        <v>44721</v>
      </c>
      <c r="M247" s="129">
        <f t="shared" si="14"/>
        <v>994.7</v>
      </c>
      <c r="N247" s="158">
        <v>995</v>
      </c>
      <c r="O247" s="386">
        <f>49699+36</f>
        <v>49735</v>
      </c>
      <c r="P247" s="125">
        <v>44756</v>
      </c>
      <c r="Q247" s="437">
        <v>44754</v>
      </c>
      <c r="R247" s="438">
        <v>0</v>
      </c>
      <c r="S247" s="439"/>
      <c r="T247" s="440">
        <f t="shared" si="58"/>
        <v>559</v>
      </c>
      <c r="U247" s="441" t="str">
        <f t="shared" si="16"/>
        <v>50 DCMSHRIRAM</v>
      </c>
      <c r="V247" s="388">
        <f t="shared" si="17"/>
        <v>559</v>
      </c>
      <c r="W247" s="389">
        <f t="shared" si="59"/>
        <v>1.1367333658695298E-2</v>
      </c>
      <c r="X247" s="390">
        <f t="shared" si="19"/>
        <v>0</v>
      </c>
      <c r="Y247" s="391">
        <f t="shared" si="20"/>
        <v>1</v>
      </c>
      <c r="Z247" s="392">
        <f t="shared" si="21"/>
        <v>5</v>
      </c>
      <c r="AA247" s="389">
        <f t="shared" si="22"/>
        <v>0.12510497597656589</v>
      </c>
      <c r="AB247" s="125" t="s">
        <v>460</v>
      </c>
      <c r="AC247" s="98"/>
      <c r="AD247" s="98"/>
    </row>
    <row r="248" spans="1:30" ht="12.75" customHeight="1">
      <c r="A248" s="126" t="s">
        <v>589</v>
      </c>
      <c r="B248" s="125" t="s">
        <v>1150</v>
      </c>
      <c r="C248" s="382" t="s">
        <v>1151</v>
      </c>
      <c r="D248" s="383"/>
      <c r="E248" s="384" t="str">
        <f t="shared" si="52"/>
        <v/>
      </c>
      <c r="F248" s="126" t="s">
        <v>1145</v>
      </c>
      <c r="G248" s="126"/>
      <c r="H248" s="385">
        <f t="shared" si="53"/>
        <v>984.22</v>
      </c>
      <c r="I248" s="126">
        <v>50</v>
      </c>
      <c r="J248" s="385">
        <v>983.05</v>
      </c>
      <c r="K248" s="133">
        <v>49211</v>
      </c>
      <c r="L248" s="155">
        <v>44728</v>
      </c>
      <c r="M248" s="129">
        <f t="shared" si="14"/>
        <v>993.96</v>
      </c>
      <c r="N248" s="158">
        <v>995</v>
      </c>
      <c r="O248" s="386">
        <v>49698</v>
      </c>
      <c r="P248" s="125">
        <v>44756</v>
      </c>
      <c r="Q248" s="437">
        <v>44754</v>
      </c>
      <c r="R248" s="438">
        <v>15.93</v>
      </c>
      <c r="S248" s="439"/>
      <c r="T248" s="440">
        <f t="shared" si="58"/>
        <v>487</v>
      </c>
      <c r="U248" s="441" t="str">
        <f t="shared" si="16"/>
        <v>50 DCMSHRIRAM</v>
      </c>
      <c r="V248" s="388">
        <f t="shared" si="17"/>
        <v>471.07</v>
      </c>
      <c r="W248" s="389">
        <f t="shared" si="59"/>
        <v>9.5724533132836159E-3</v>
      </c>
      <c r="X248" s="390">
        <f t="shared" si="19"/>
        <v>0</v>
      </c>
      <c r="Y248" s="391">
        <f t="shared" si="20"/>
        <v>0</v>
      </c>
      <c r="Z248" s="392">
        <f t="shared" si="21"/>
        <v>28</v>
      </c>
      <c r="AA248" s="389">
        <f t="shared" si="22"/>
        <v>0.13223132232741652</v>
      </c>
      <c r="AB248" s="125" t="s">
        <v>460</v>
      </c>
      <c r="AC248" s="98"/>
      <c r="AD248" s="98"/>
    </row>
    <row r="249" spans="1:30" ht="12.75" customHeight="1">
      <c r="A249" s="126" t="s">
        <v>589</v>
      </c>
      <c r="B249" s="125" t="s">
        <v>1150</v>
      </c>
      <c r="C249" s="382" t="s">
        <v>1151</v>
      </c>
      <c r="D249" s="383"/>
      <c r="E249" s="384" t="str">
        <f t="shared" si="52"/>
        <v/>
      </c>
      <c r="F249" s="126" t="s">
        <v>1145</v>
      </c>
      <c r="G249" s="126"/>
      <c r="H249" s="385">
        <f t="shared" si="53"/>
        <v>981.66</v>
      </c>
      <c r="I249" s="126">
        <v>50</v>
      </c>
      <c r="J249" s="385">
        <v>980.5</v>
      </c>
      <c r="K249" s="133">
        <v>49083</v>
      </c>
      <c r="L249" s="155">
        <v>44754</v>
      </c>
      <c r="M249" s="129">
        <f t="shared" si="14"/>
        <v>989.98</v>
      </c>
      <c r="N249" s="158">
        <v>991</v>
      </c>
      <c r="O249" s="386">
        <v>49499</v>
      </c>
      <c r="P249" s="125">
        <v>44760</v>
      </c>
      <c r="Q249" s="437">
        <v>44757</v>
      </c>
      <c r="R249" s="438">
        <v>0</v>
      </c>
      <c r="S249" s="439"/>
      <c r="T249" s="440">
        <f t="shared" si="58"/>
        <v>416</v>
      </c>
      <c r="U249" s="441" t="str">
        <f t="shared" si="16"/>
        <v>50 DCMSHRIRAM</v>
      </c>
      <c r="V249" s="388">
        <f t="shared" si="17"/>
        <v>416</v>
      </c>
      <c r="W249" s="389">
        <f t="shared" si="59"/>
        <v>8.4754395615589916E-3</v>
      </c>
      <c r="X249" s="390">
        <f t="shared" si="19"/>
        <v>0</v>
      </c>
      <c r="Y249" s="391">
        <f t="shared" si="20"/>
        <v>0</v>
      </c>
      <c r="Z249" s="392">
        <f t="shared" si="21"/>
        <v>6</v>
      </c>
      <c r="AA249" s="389">
        <f t="shared" si="22"/>
        <v>0.6709905340919351</v>
      </c>
      <c r="AB249" s="125" t="s">
        <v>460</v>
      </c>
      <c r="AC249" s="98"/>
      <c r="AD249" s="98"/>
    </row>
    <row r="250" spans="1:30" ht="12.75" customHeight="1">
      <c r="A250" s="126" t="s">
        <v>589</v>
      </c>
      <c r="B250" s="125" t="s">
        <v>1150</v>
      </c>
      <c r="C250" s="382" t="s">
        <v>1151</v>
      </c>
      <c r="D250" s="383"/>
      <c r="E250" s="384" t="str">
        <f t="shared" si="52"/>
        <v/>
      </c>
      <c r="F250" s="126" t="s">
        <v>1145</v>
      </c>
      <c r="G250" s="126"/>
      <c r="H250" s="385">
        <f t="shared" si="53"/>
        <v>1011.96</v>
      </c>
      <c r="I250" s="126">
        <v>25</v>
      </c>
      <c r="J250" s="385">
        <v>1003.98</v>
      </c>
      <c r="K250" s="133">
        <v>25299</v>
      </c>
      <c r="L250" s="155">
        <v>44715</v>
      </c>
      <c r="M250" s="129">
        <f t="shared" si="14"/>
        <v>1016.96</v>
      </c>
      <c r="N250" s="158">
        <v>1018</v>
      </c>
      <c r="O250" s="386">
        <v>25424</v>
      </c>
      <c r="P250" s="125">
        <v>44760</v>
      </c>
      <c r="Q250" s="437">
        <v>44757</v>
      </c>
      <c r="R250" s="438">
        <v>0</v>
      </c>
      <c r="S250" s="439"/>
      <c r="T250" s="440">
        <f t="shared" si="58"/>
        <v>125</v>
      </c>
      <c r="U250" s="441" t="str">
        <f t="shared" si="16"/>
        <v>25 DCMSHRIRAM</v>
      </c>
      <c r="V250" s="132">
        <f t="shared" si="17"/>
        <v>125</v>
      </c>
      <c r="W250" s="389">
        <f t="shared" si="59"/>
        <v>4.9409067552077159E-3</v>
      </c>
      <c r="X250" s="442">
        <f t="shared" si="19"/>
        <v>0</v>
      </c>
      <c r="Y250" s="391">
        <f t="shared" si="20"/>
        <v>1</v>
      </c>
      <c r="Z250" s="392">
        <f t="shared" si="21"/>
        <v>15</v>
      </c>
      <c r="AA250" s="389">
        <f t="shared" si="22"/>
        <v>4.0787420853657386E-2</v>
      </c>
      <c r="AB250" s="125" t="s">
        <v>460</v>
      </c>
      <c r="AC250" s="98"/>
      <c r="AD250" s="98"/>
    </row>
    <row r="251" spans="1:30" ht="12.75" customHeight="1">
      <c r="A251" s="126" t="s">
        <v>589</v>
      </c>
      <c r="B251" s="125" t="s">
        <v>1150</v>
      </c>
      <c r="C251" s="382" t="s">
        <v>1151</v>
      </c>
      <c r="D251" s="383"/>
      <c r="E251" s="384" t="str">
        <f t="shared" si="52"/>
        <v/>
      </c>
      <c r="F251" s="126" t="s">
        <v>1145</v>
      </c>
      <c r="G251" s="126"/>
      <c r="H251" s="385">
        <f t="shared" si="53"/>
        <v>971.16669999999999</v>
      </c>
      <c r="I251" s="126">
        <v>12</v>
      </c>
      <c r="J251" s="385">
        <v>970</v>
      </c>
      <c r="K251" s="133">
        <v>11654</v>
      </c>
      <c r="L251" s="155">
        <v>44763</v>
      </c>
      <c r="M251" s="129">
        <f t="shared" si="14"/>
        <v>917.08330000000001</v>
      </c>
      <c r="N251" s="158">
        <v>918</v>
      </c>
      <c r="O251" s="386">
        <v>11005</v>
      </c>
      <c r="P251" s="125">
        <v>44764</v>
      </c>
      <c r="Q251" s="437">
        <v>44698</v>
      </c>
      <c r="R251" s="438">
        <v>0</v>
      </c>
      <c r="S251" s="439"/>
      <c r="T251" s="440">
        <f t="shared" si="58"/>
        <v>-649</v>
      </c>
      <c r="U251" s="441" t="str">
        <f t="shared" si="16"/>
        <v>12 DCMSHRIRAM</v>
      </c>
      <c r="V251" s="388">
        <f t="shared" si="17"/>
        <v>-649</v>
      </c>
      <c r="W251" s="389">
        <f t="shared" si="59"/>
        <v>-5.5689033808134544E-2</v>
      </c>
      <c r="X251" s="390">
        <f t="shared" si="19"/>
        <v>0</v>
      </c>
      <c r="Y251" s="391">
        <f t="shared" si="20"/>
        <v>0</v>
      </c>
      <c r="Z251" s="392">
        <f t="shared" si="21"/>
        <v>1</v>
      </c>
      <c r="AA251" s="389">
        <f t="shared" si="22"/>
        <v>-0.99999999917398663</v>
      </c>
      <c r="AB251" s="125" t="s">
        <v>460</v>
      </c>
      <c r="AC251" s="98"/>
      <c r="AD251" s="98"/>
    </row>
    <row r="252" spans="1:30" ht="12.75" customHeight="1">
      <c r="A252" s="126" t="s">
        <v>589</v>
      </c>
      <c r="B252" s="125" t="s">
        <v>1150</v>
      </c>
      <c r="C252" s="382" t="s">
        <v>1151</v>
      </c>
      <c r="D252" s="383"/>
      <c r="E252" s="384" t="str">
        <f t="shared" si="52"/>
        <v/>
      </c>
      <c r="F252" s="126" t="s">
        <v>1145</v>
      </c>
      <c r="G252" s="126"/>
      <c r="H252" s="385">
        <f t="shared" si="53"/>
        <v>971.14</v>
      </c>
      <c r="I252" s="126">
        <v>50</v>
      </c>
      <c r="J252" s="385">
        <v>970</v>
      </c>
      <c r="K252" s="133">
        <v>48557</v>
      </c>
      <c r="L252" s="155">
        <v>44763</v>
      </c>
      <c r="M252" s="129">
        <f t="shared" si="14"/>
        <v>946.02</v>
      </c>
      <c r="N252" s="158">
        <v>947</v>
      </c>
      <c r="O252" s="386">
        <v>47301</v>
      </c>
      <c r="P252" s="125">
        <v>44764</v>
      </c>
      <c r="Q252" s="437">
        <v>44739</v>
      </c>
      <c r="R252" s="438">
        <v>15.93</v>
      </c>
      <c r="S252" s="439"/>
      <c r="T252" s="440">
        <f t="shared" si="58"/>
        <v>-1256</v>
      </c>
      <c r="U252" s="441" t="str">
        <f t="shared" si="16"/>
        <v>50 DCMSHRIRAM</v>
      </c>
      <c r="V252" s="388">
        <f t="shared" si="17"/>
        <v>-1271.93</v>
      </c>
      <c r="W252" s="389">
        <f t="shared" si="59"/>
        <v>-2.619457544741232E-2</v>
      </c>
      <c r="X252" s="390">
        <f t="shared" si="19"/>
        <v>0</v>
      </c>
      <c r="Y252" s="391">
        <f t="shared" si="20"/>
        <v>0</v>
      </c>
      <c r="Z252" s="392">
        <f t="shared" si="21"/>
        <v>1</v>
      </c>
      <c r="AA252" s="389">
        <f t="shared" si="22"/>
        <v>-0.99993800607325989</v>
      </c>
      <c r="AB252" s="125" t="s">
        <v>460</v>
      </c>
      <c r="AC252" s="98"/>
      <c r="AD252" s="98"/>
    </row>
    <row r="253" spans="1:30" ht="12.75" customHeight="1">
      <c r="A253" s="126" t="s">
        <v>589</v>
      </c>
      <c r="B253" s="125" t="s">
        <v>1150</v>
      </c>
      <c r="C253" s="382" t="s">
        <v>1151</v>
      </c>
      <c r="D253" s="383"/>
      <c r="E253" s="384" t="str">
        <f t="shared" si="52"/>
        <v/>
      </c>
      <c r="F253" s="126" t="s">
        <v>1145</v>
      </c>
      <c r="G253" s="126"/>
      <c r="H253" s="385">
        <f t="shared" si="53"/>
        <v>971.15790000000004</v>
      </c>
      <c r="I253" s="126">
        <v>38</v>
      </c>
      <c r="J253" s="385">
        <v>970</v>
      </c>
      <c r="K253" s="133">
        <v>36904</v>
      </c>
      <c r="L253" s="155">
        <v>44763</v>
      </c>
      <c r="M253" s="129">
        <f t="shared" si="14"/>
        <v>945.52629999999999</v>
      </c>
      <c r="N253" s="158">
        <v>946.5</v>
      </c>
      <c r="O253" s="386">
        <v>35930</v>
      </c>
      <c r="P253" s="125">
        <v>44764</v>
      </c>
      <c r="Q253" s="437">
        <v>44743</v>
      </c>
      <c r="R253" s="438">
        <v>15.93</v>
      </c>
      <c r="S253" s="439"/>
      <c r="T253" s="440">
        <f t="shared" si="58"/>
        <v>-974</v>
      </c>
      <c r="U253" s="441" t="str">
        <f t="shared" si="16"/>
        <v>38 DCMSHRIRAM</v>
      </c>
      <c r="V253" s="132">
        <f t="shared" si="17"/>
        <v>-989.93</v>
      </c>
      <c r="W253" s="389">
        <f t="shared" si="59"/>
        <v>-2.6824463472794276E-2</v>
      </c>
      <c r="X253" s="442">
        <f t="shared" si="19"/>
        <v>0</v>
      </c>
      <c r="Y253" s="391">
        <f t="shared" si="20"/>
        <v>0</v>
      </c>
      <c r="Z253" s="392">
        <f t="shared" si="21"/>
        <v>1</v>
      </c>
      <c r="AA253" s="389">
        <f t="shared" si="22"/>
        <v>-0.99995104671201829</v>
      </c>
      <c r="AB253" s="125" t="s">
        <v>460</v>
      </c>
      <c r="AC253" s="98"/>
      <c r="AD253" s="98"/>
    </row>
    <row r="254" spans="1:30" ht="12.75" customHeight="1">
      <c r="A254" s="126" t="s">
        <v>589</v>
      </c>
      <c r="B254" s="125" t="s">
        <v>1150</v>
      </c>
      <c r="C254" s="382" t="s">
        <v>1151</v>
      </c>
      <c r="D254" s="383"/>
      <c r="E254" s="384" t="str">
        <f t="shared" si="52"/>
        <v/>
      </c>
      <c r="F254" s="126" t="s">
        <v>1145</v>
      </c>
      <c r="G254" s="126"/>
      <c r="H254" s="385">
        <f t="shared" si="53"/>
        <v>971.14</v>
      </c>
      <c r="I254" s="126">
        <v>50</v>
      </c>
      <c r="J254" s="385">
        <v>970</v>
      </c>
      <c r="K254" s="133">
        <v>48557</v>
      </c>
      <c r="L254" s="155">
        <v>44763</v>
      </c>
      <c r="M254" s="129">
        <f t="shared" si="14"/>
        <v>965.18</v>
      </c>
      <c r="N254" s="158">
        <v>966.17639999999994</v>
      </c>
      <c r="O254" s="386">
        <v>48259</v>
      </c>
      <c r="P254" s="125">
        <v>44764</v>
      </c>
      <c r="Q254" s="437">
        <v>44753</v>
      </c>
      <c r="R254" s="438">
        <v>15.93</v>
      </c>
      <c r="S254" s="439"/>
      <c r="T254" s="440">
        <f t="shared" si="58"/>
        <v>-298</v>
      </c>
      <c r="U254" s="441" t="str">
        <f t="shared" si="16"/>
        <v>50 DCMSHRIRAM</v>
      </c>
      <c r="V254" s="132">
        <f t="shared" si="17"/>
        <v>-313.93</v>
      </c>
      <c r="W254" s="389">
        <f t="shared" si="59"/>
        <v>-6.4651852462054909E-3</v>
      </c>
      <c r="X254" s="442">
        <f t="shared" si="19"/>
        <v>0</v>
      </c>
      <c r="Y254" s="391">
        <f t="shared" si="20"/>
        <v>0</v>
      </c>
      <c r="Z254" s="392">
        <f t="shared" si="21"/>
        <v>1</v>
      </c>
      <c r="AA254" s="389">
        <f t="shared" si="22"/>
        <v>-0.90628095937555031</v>
      </c>
      <c r="AB254" s="125" t="s">
        <v>460</v>
      </c>
      <c r="AC254" s="98"/>
      <c r="AD254" s="98"/>
    </row>
    <row r="255" spans="1:30" ht="12.75" customHeight="1">
      <c r="A255" s="126" t="s">
        <v>589</v>
      </c>
      <c r="B255" s="125" t="s">
        <v>1150</v>
      </c>
      <c r="C255" s="382" t="s">
        <v>1151</v>
      </c>
      <c r="D255" s="383"/>
      <c r="E255" s="384" t="str">
        <f t="shared" si="52"/>
        <v/>
      </c>
      <c r="F255" s="126" t="s">
        <v>1145</v>
      </c>
      <c r="G255" s="126"/>
      <c r="H255" s="385">
        <f t="shared" si="53"/>
        <v>971.15</v>
      </c>
      <c r="I255" s="126">
        <v>200</v>
      </c>
      <c r="J255" s="385">
        <v>970</v>
      </c>
      <c r="K255" s="133">
        <v>194230</v>
      </c>
      <c r="L255" s="155">
        <v>44763</v>
      </c>
      <c r="M255" s="129">
        <f t="shared" si="14"/>
        <v>989.78499999999997</v>
      </c>
      <c r="N255" s="158">
        <v>990.8125</v>
      </c>
      <c r="O255" s="386">
        <v>197957</v>
      </c>
      <c r="P255" s="125">
        <v>44764</v>
      </c>
      <c r="Q255" s="437">
        <v>44757</v>
      </c>
      <c r="R255" s="438">
        <v>15.93</v>
      </c>
      <c r="S255" s="439"/>
      <c r="T255" s="440">
        <f t="shared" si="58"/>
        <v>3727</v>
      </c>
      <c r="U255" s="441" t="str">
        <f t="shared" si="16"/>
        <v>200 DCMSHRIRAM</v>
      </c>
      <c r="V255" s="388">
        <f t="shared" si="17"/>
        <v>3711.07</v>
      </c>
      <c r="W255" s="389">
        <f t="shared" si="59"/>
        <v>1.9106574679503684E-2</v>
      </c>
      <c r="X255" s="390">
        <f t="shared" si="19"/>
        <v>0</v>
      </c>
      <c r="Y255" s="391">
        <f t="shared" si="20"/>
        <v>0</v>
      </c>
      <c r="Z255" s="392">
        <f t="shared" si="21"/>
        <v>1</v>
      </c>
      <c r="AA255" s="389">
        <f t="shared" si="22"/>
        <v>999.35753017571778</v>
      </c>
      <c r="AB255" s="125" t="s">
        <v>460</v>
      </c>
      <c r="AC255" s="98"/>
      <c r="AD255" s="98"/>
    </row>
    <row r="256" spans="1:30" ht="12.75" customHeight="1">
      <c r="A256" s="126" t="s">
        <v>589</v>
      </c>
      <c r="B256" s="125" t="s">
        <v>1150</v>
      </c>
      <c r="C256" s="382" t="s">
        <v>1151</v>
      </c>
      <c r="D256" s="383"/>
      <c r="E256" s="384" t="str">
        <f t="shared" si="52"/>
        <v/>
      </c>
      <c r="F256" s="126" t="s">
        <v>1145</v>
      </c>
      <c r="G256" s="126"/>
      <c r="H256" s="385">
        <f t="shared" si="53"/>
        <v>971.06899999999996</v>
      </c>
      <c r="I256" s="126">
        <v>58</v>
      </c>
      <c r="J256" s="385">
        <v>969.92070000000001</v>
      </c>
      <c r="K256" s="133">
        <v>56322</v>
      </c>
      <c r="L256" s="155">
        <v>44763</v>
      </c>
      <c r="M256" s="129">
        <f t="shared" si="14"/>
        <v>975.4828</v>
      </c>
      <c r="N256" s="158">
        <v>976.5</v>
      </c>
      <c r="O256" s="386">
        <v>56578</v>
      </c>
      <c r="P256" s="125">
        <v>44768</v>
      </c>
      <c r="Q256" s="437">
        <v>44764</v>
      </c>
      <c r="R256" s="438">
        <v>15.93</v>
      </c>
      <c r="S256" s="439"/>
      <c r="T256" s="440">
        <f t="shared" si="58"/>
        <v>256</v>
      </c>
      <c r="U256" s="441" t="str">
        <f t="shared" si="16"/>
        <v>58 DCMSHRIRAM</v>
      </c>
      <c r="V256" s="388">
        <f t="shared" si="17"/>
        <v>240.07</v>
      </c>
      <c r="W256" s="389">
        <f t="shared" si="59"/>
        <v>4.2624551684954364E-3</v>
      </c>
      <c r="X256" s="390">
        <f t="shared" si="19"/>
        <v>0</v>
      </c>
      <c r="Y256" s="391">
        <f t="shared" si="20"/>
        <v>0</v>
      </c>
      <c r="Z256" s="392">
        <f t="shared" si="21"/>
        <v>5</v>
      </c>
      <c r="AA256" s="389">
        <f t="shared" si="22"/>
        <v>0.36410420700789081</v>
      </c>
      <c r="AB256" s="125" t="s">
        <v>460</v>
      </c>
      <c r="AC256" s="98"/>
      <c r="AD256" s="98"/>
    </row>
    <row r="257" spans="1:30" ht="12.75" customHeight="1">
      <c r="A257" s="126" t="s">
        <v>589</v>
      </c>
      <c r="B257" s="125" t="s">
        <v>1150</v>
      </c>
      <c r="C257" s="382" t="s">
        <v>1151</v>
      </c>
      <c r="D257" s="383"/>
      <c r="E257" s="384" t="str">
        <f t="shared" si="52"/>
        <v/>
      </c>
      <c r="F257" s="126" t="s">
        <v>1145</v>
      </c>
      <c r="G257" s="126"/>
      <c r="H257" s="385">
        <f t="shared" si="53"/>
        <v>962.35</v>
      </c>
      <c r="I257" s="126">
        <v>40</v>
      </c>
      <c r="J257" s="385">
        <v>961.21879999999999</v>
      </c>
      <c r="K257" s="133">
        <v>38494</v>
      </c>
      <c r="L257" s="155">
        <v>44768</v>
      </c>
      <c r="M257" s="129">
        <f t="shared" si="14"/>
        <v>978</v>
      </c>
      <c r="N257" s="158">
        <v>979</v>
      </c>
      <c r="O257" s="386">
        <v>39120</v>
      </c>
      <c r="P257" s="125">
        <v>44774</v>
      </c>
      <c r="Q257" s="437">
        <v>44771</v>
      </c>
      <c r="R257" s="438">
        <v>15.93</v>
      </c>
      <c r="S257" s="439"/>
      <c r="T257" s="440">
        <f t="shared" si="58"/>
        <v>626</v>
      </c>
      <c r="U257" s="441" t="str">
        <f t="shared" si="16"/>
        <v>40 DCMSHRIRAM</v>
      </c>
      <c r="V257" s="388">
        <f t="shared" si="17"/>
        <v>610.07000000000005</v>
      </c>
      <c r="W257" s="389">
        <f t="shared" si="59"/>
        <v>1.5848443913337146E-2</v>
      </c>
      <c r="X257" s="390">
        <f t="shared" si="19"/>
        <v>0</v>
      </c>
      <c r="Y257" s="391">
        <f t="shared" si="20"/>
        <v>0</v>
      </c>
      <c r="Z257" s="392">
        <f t="shared" si="21"/>
        <v>6</v>
      </c>
      <c r="AA257" s="389">
        <f t="shared" si="22"/>
        <v>1.6027109972306377</v>
      </c>
      <c r="AB257" s="125" t="s">
        <v>460</v>
      </c>
      <c r="AC257" s="98"/>
      <c r="AD257" s="98"/>
    </row>
    <row r="258" spans="1:30" ht="12.75" customHeight="1">
      <c r="A258" s="126" t="s">
        <v>589</v>
      </c>
      <c r="B258" s="125" t="s">
        <v>1150</v>
      </c>
      <c r="C258" s="382" t="s">
        <v>1151</v>
      </c>
      <c r="D258" s="383"/>
      <c r="E258" s="384" t="str">
        <f t="shared" si="52"/>
        <v/>
      </c>
      <c r="F258" s="126" t="s">
        <v>1145</v>
      </c>
      <c r="G258" s="126"/>
      <c r="H258" s="385">
        <f t="shared" si="53"/>
        <v>1011.96</v>
      </c>
      <c r="I258" s="126">
        <v>75</v>
      </c>
      <c r="J258" s="385">
        <v>1013.02</v>
      </c>
      <c r="K258" s="133">
        <v>75897</v>
      </c>
      <c r="L258" s="155">
        <v>44715</v>
      </c>
      <c r="M258" s="129">
        <f t="shared" si="14"/>
        <v>1038.3867</v>
      </c>
      <c r="N258" s="158">
        <v>1039.4659999999999</v>
      </c>
      <c r="O258" s="386">
        <v>77879</v>
      </c>
      <c r="P258" s="125">
        <v>44781</v>
      </c>
      <c r="Q258" s="437">
        <v>44777</v>
      </c>
      <c r="R258" s="438">
        <v>0</v>
      </c>
      <c r="S258" s="439"/>
      <c r="T258" s="440">
        <f t="shared" si="58"/>
        <v>1982</v>
      </c>
      <c r="U258" s="441" t="str">
        <f t="shared" si="16"/>
        <v>75 DCMSHRIRAM</v>
      </c>
      <c r="V258" s="388">
        <f t="shared" si="17"/>
        <v>1982</v>
      </c>
      <c r="W258" s="389">
        <f t="shared" si="59"/>
        <v>2.6114339170191181E-2</v>
      </c>
      <c r="X258" s="390">
        <f t="shared" si="19"/>
        <v>0</v>
      </c>
      <c r="Y258" s="391">
        <f t="shared" si="20"/>
        <v>2</v>
      </c>
      <c r="Z258" s="392">
        <f t="shared" si="21"/>
        <v>5</v>
      </c>
      <c r="AA258" s="389">
        <f t="shared" si="22"/>
        <v>0.15322998681853806</v>
      </c>
      <c r="AB258" s="125" t="s">
        <v>460</v>
      </c>
      <c r="AC258" s="98"/>
      <c r="AD258" s="98"/>
    </row>
    <row r="259" spans="1:30" ht="12.75" customHeight="1">
      <c r="A259" s="126" t="s">
        <v>589</v>
      </c>
      <c r="B259" s="125" t="s">
        <v>1150</v>
      </c>
      <c r="C259" s="382" t="s">
        <v>1151</v>
      </c>
      <c r="D259" s="383"/>
      <c r="E259" s="384" t="str">
        <f t="shared" si="52"/>
        <v/>
      </c>
      <c r="F259" s="126" t="s">
        <v>1145</v>
      </c>
      <c r="G259" s="126"/>
      <c r="H259" s="385">
        <f t="shared" si="53"/>
        <v>1019.3</v>
      </c>
      <c r="I259" s="126">
        <v>30</v>
      </c>
      <c r="J259" s="385">
        <v>1018.1</v>
      </c>
      <c r="K259" s="133">
        <v>30579</v>
      </c>
      <c r="L259" s="155">
        <v>44760</v>
      </c>
      <c r="M259" s="129">
        <f t="shared" si="14"/>
        <v>1047.7333000000001</v>
      </c>
      <c r="N259" s="158">
        <v>1048.8333</v>
      </c>
      <c r="O259" s="386">
        <v>31432</v>
      </c>
      <c r="P259" s="125">
        <v>44781</v>
      </c>
      <c r="Q259" s="437">
        <v>44777</v>
      </c>
      <c r="R259" s="438">
        <v>0</v>
      </c>
      <c r="S259" s="439"/>
      <c r="T259" s="440">
        <f t="shared" si="58"/>
        <v>853</v>
      </c>
      <c r="U259" s="441" t="str">
        <f t="shared" si="16"/>
        <v>30 DCMSHRIRAM</v>
      </c>
      <c r="V259" s="388">
        <f t="shared" si="17"/>
        <v>853</v>
      </c>
      <c r="W259" s="389">
        <f t="shared" si="59"/>
        <v>2.7894960593871612E-2</v>
      </c>
      <c r="X259" s="390">
        <f t="shared" si="19"/>
        <v>0</v>
      </c>
      <c r="Y259" s="391">
        <f t="shared" si="20"/>
        <v>0</v>
      </c>
      <c r="Z259" s="392">
        <f t="shared" si="21"/>
        <v>21</v>
      </c>
      <c r="AA259" s="389">
        <f t="shared" si="22"/>
        <v>0.61317107614320432</v>
      </c>
      <c r="AB259" s="125" t="s">
        <v>460</v>
      </c>
      <c r="AC259" s="98"/>
      <c r="AD259" s="98"/>
    </row>
    <row r="260" spans="1:30" ht="12.75" customHeight="1">
      <c r="A260" s="126" t="s">
        <v>589</v>
      </c>
      <c r="B260" s="125" t="s">
        <v>1150</v>
      </c>
      <c r="C260" s="382" t="s">
        <v>1151</v>
      </c>
      <c r="D260" s="383"/>
      <c r="E260" s="384" t="str">
        <f t="shared" si="52"/>
        <v/>
      </c>
      <c r="F260" s="126" t="s">
        <v>1145</v>
      </c>
      <c r="G260" s="126"/>
      <c r="H260" s="385">
        <f t="shared" si="53"/>
        <v>1012.2</v>
      </c>
      <c r="I260" s="126">
        <v>125</v>
      </c>
      <c r="J260" s="385">
        <v>1011</v>
      </c>
      <c r="K260" s="133">
        <v>126525</v>
      </c>
      <c r="L260" s="155">
        <v>44783</v>
      </c>
      <c r="M260" s="129">
        <f t="shared" si="14"/>
        <v>1019.552</v>
      </c>
      <c r="N260" s="158">
        <v>1020.6</v>
      </c>
      <c r="O260" s="386">
        <v>127444</v>
      </c>
      <c r="P260" s="125">
        <v>44784</v>
      </c>
      <c r="Q260" s="437">
        <v>44777</v>
      </c>
      <c r="R260" s="438">
        <v>15.93</v>
      </c>
      <c r="S260" s="439"/>
      <c r="T260" s="440">
        <f t="shared" si="58"/>
        <v>919</v>
      </c>
      <c r="U260" s="441" t="str">
        <f t="shared" si="16"/>
        <v>125 DCMSHRIRAM</v>
      </c>
      <c r="V260" s="388">
        <f t="shared" si="17"/>
        <v>903.07</v>
      </c>
      <c r="W260" s="389">
        <f t="shared" si="59"/>
        <v>7.1374827109266948E-3</v>
      </c>
      <c r="X260" s="390">
        <f t="shared" si="19"/>
        <v>0</v>
      </c>
      <c r="Y260" s="391">
        <f t="shared" si="20"/>
        <v>0</v>
      </c>
      <c r="Z260" s="392">
        <f t="shared" si="21"/>
        <v>1</v>
      </c>
      <c r="AA260" s="389">
        <f t="shared" si="22"/>
        <v>12.409024833797384</v>
      </c>
      <c r="AB260" s="125" t="s">
        <v>460</v>
      </c>
      <c r="AC260" s="98"/>
      <c r="AD260" s="98"/>
    </row>
    <row r="261" spans="1:30" ht="12.75" customHeight="1">
      <c r="A261" s="126" t="s">
        <v>589</v>
      </c>
      <c r="B261" s="125" t="s">
        <v>1150</v>
      </c>
      <c r="C261" s="382" t="s">
        <v>1151</v>
      </c>
      <c r="D261" s="383"/>
      <c r="E261" s="384" t="str">
        <f t="shared" si="52"/>
        <v/>
      </c>
      <c r="F261" s="126" t="s">
        <v>1145</v>
      </c>
      <c r="G261" s="126"/>
      <c r="H261" s="385">
        <f t="shared" si="53"/>
        <v>1021.96</v>
      </c>
      <c r="I261" s="126">
        <v>200</v>
      </c>
      <c r="J261" s="385">
        <v>1020.75</v>
      </c>
      <c r="K261" s="133">
        <v>204392</v>
      </c>
      <c r="L261" s="155">
        <v>44795</v>
      </c>
      <c r="M261" s="129">
        <f t="shared" si="14"/>
        <v>990</v>
      </c>
      <c r="N261" s="158">
        <v>991.02729999999997</v>
      </c>
      <c r="O261" s="386">
        <v>198000</v>
      </c>
      <c r="P261" s="125">
        <v>44796</v>
      </c>
      <c r="Q261" s="437">
        <v>44771</v>
      </c>
      <c r="R261" s="438">
        <v>0</v>
      </c>
      <c r="S261" s="439"/>
      <c r="T261" s="440">
        <f t="shared" si="58"/>
        <v>-6392</v>
      </c>
      <c r="U261" s="441" t="str">
        <f t="shared" si="16"/>
        <v>200 DCMSHRIRAM</v>
      </c>
      <c r="V261" s="388">
        <f t="shared" si="17"/>
        <v>-6392</v>
      </c>
      <c r="W261" s="389">
        <f t="shared" si="59"/>
        <v>-3.1273239657129435E-2</v>
      </c>
      <c r="X261" s="390">
        <f t="shared" si="19"/>
        <v>0</v>
      </c>
      <c r="Y261" s="391">
        <f t="shared" si="20"/>
        <v>0</v>
      </c>
      <c r="Z261" s="392">
        <f t="shared" si="21"/>
        <v>1</v>
      </c>
      <c r="AA261" s="389">
        <f t="shared" si="22"/>
        <v>-0.99999080665856421</v>
      </c>
      <c r="AB261" s="125" t="s">
        <v>460</v>
      </c>
      <c r="AC261" s="98"/>
      <c r="AD261" s="98"/>
    </row>
    <row r="262" spans="1:30" ht="12.75" customHeight="1">
      <c r="A262" s="126" t="s">
        <v>589</v>
      </c>
      <c r="B262" s="125" t="s">
        <v>1150</v>
      </c>
      <c r="C262" s="382" t="s">
        <v>1151</v>
      </c>
      <c r="D262" s="383"/>
      <c r="E262" s="384" t="str">
        <f t="shared" si="52"/>
        <v/>
      </c>
      <c r="F262" s="126" t="s">
        <v>1145</v>
      </c>
      <c r="G262" s="126"/>
      <c r="H262" s="385">
        <f t="shared" si="53"/>
        <v>1021.9556</v>
      </c>
      <c r="I262" s="126">
        <v>225</v>
      </c>
      <c r="J262" s="385">
        <v>1020.75</v>
      </c>
      <c r="K262" s="133">
        <v>229940</v>
      </c>
      <c r="L262" s="155">
        <v>44795</v>
      </c>
      <c r="M262" s="129">
        <f t="shared" si="14"/>
        <v>1060.4356</v>
      </c>
      <c r="N262" s="158">
        <v>1061.5333000000001</v>
      </c>
      <c r="O262" s="386">
        <v>238598</v>
      </c>
      <c r="P262" s="125">
        <v>44796</v>
      </c>
      <c r="Q262" s="437">
        <v>44789</v>
      </c>
      <c r="R262" s="438">
        <v>15.93</v>
      </c>
      <c r="S262" s="439"/>
      <c r="T262" s="440">
        <f t="shared" si="58"/>
        <v>8658</v>
      </c>
      <c r="U262" s="441" t="str">
        <f t="shared" si="16"/>
        <v>225 DCMSHRIRAM</v>
      </c>
      <c r="V262" s="388">
        <f t="shared" si="17"/>
        <v>8642.07</v>
      </c>
      <c r="W262" s="389">
        <f t="shared" si="59"/>
        <v>3.7584021918761416E-2</v>
      </c>
      <c r="X262" s="390">
        <f t="shared" si="19"/>
        <v>0</v>
      </c>
      <c r="Y262" s="391">
        <f t="shared" si="20"/>
        <v>0</v>
      </c>
      <c r="Z262" s="392">
        <f t="shared" si="21"/>
        <v>1</v>
      </c>
      <c r="AA262" s="389">
        <f t="shared" si="22"/>
        <v>705496.50327534776</v>
      </c>
      <c r="AB262" s="125" t="s">
        <v>460</v>
      </c>
      <c r="AC262" s="98"/>
      <c r="AD262" s="98"/>
    </row>
    <row r="263" spans="1:30" ht="12.75" customHeight="1">
      <c r="A263" s="126" t="s">
        <v>589</v>
      </c>
      <c r="B263" s="125" t="s">
        <v>1150</v>
      </c>
      <c r="C263" s="382" t="s">
        <v>1151</v>
      </c>
      <c r="D263" s="383"/>
      <c r="E263" s="384" t="str">
        <f t="shared" si="52"/>
        <v/>
      </c>
      <c r="F263" s="126" t="s">
        <v>1145</v>
      </c>
      <c r="G263" s="126"/>
      <c r="H263" s="385">
        <f t="shared" si="53"/>
        <v>1021.8</v>
      </c>
      <c r="I263" s="126">
        <v>5</v>
      </c>
      <c r="J263" s="385">
        <v>1020.55</v>
      </c>
      <c r="K263" s="133">
        <v>5109</v>
      </c>
      <c r="L263" s="155">
        <v>44795</v>
      </c>
      <c r="M263" s="129">
        <f t="shared" si="14"/>
        <v>1054</v>
      </c>
      <c r="N263" s="158">
        <v>1055</v>
      </c>
      <c r="O263" s="386">
        <v>5270</v>
      </c>
      <c r="P263" s="125">
        <v>44811</v>
      </c>
      <c r="Q263" s="437">
        <v>44809</v>
      </c>
      <c r="R263" s="438">
        <v>0</v>
      </c>
      <c r="S263" s="439"/>
      <c r="T263" s="440">
        <f t="shared" si="58"/>
        <v>161</v>
      </c>
      <c r="U263" s="441" t="str">
        <f t="shared" si="16"/>
        <v>5 DCMSHRIRAM</v>
      </c>
      <c r="V263" s="388">
        <f t="shared" si="17"/>
        <v>161</v>
      </c>
      <c r="W263" s="389">
        <f t="shared" si="59"/>
        <v>3.1513016245840672E-2</v>
      </c>
      <c r="X263" s="390">
        <f t="shared" si="19"/>
        <v>0</v>
      </c>
      <c r="Y263" s="391">
        <f t="shared" si="20"/>
        <v>0</v>
      </c>
      <c r="Z263" s="392">
        <f t="shared" si="21"/>
        <v>16</v>
      </c>
      <c r="AA263" s="389">
        <f t="shared" si="22"/>
        <v>1.0295131966045425</v>
      </c>
      <c r="AB263" s="125" t="s">
        <v>460</v>
      </c>
      <c r="AC263" s="98"/>
      <c r="AD263" s="98"/>
    </row>
    <row r="264" spans="1:30" ht="12.75" customHeight="1">
      <c r="A264" s="126" t="s">
        <v>589</v>
      </c>
      <c r="B264" s="125" t="s">
        <v>1150</v>
      </c>
      <c r="C264" s="382" t="s">
        <v>1151</v>
      </c>
      <c r="D264" s="383"/>
      <c r="E264" s="384" t="str">
        <f t="shared" si="52"/>
        <v/>
      </c>
      <c r="F264" s="126" t="s">
        <v>1145</v>
      </c>
      <c r="G264" s="126"/>
      <c r="H264" s="385">
        <f t="shared" si="53"/>
        <v>1003.64</v>
      </c>
      <c r="I264" s="126">
        <v>50</v>
      </c>
      <c r="J264" s="385">
        <v>1002.45</v>
      </c>
      <c r="K264" s="133">
        <v>50182</v>
      </c>
      <c r="L264" s="155">
        <v>44796</v>
      </c>
      <c r="M264" s="129">
        <f t="shared" si="14"/>
        <v>1053.9000000000001</v>
      </c>
      <c r="N264" s="158">
        <v>1055</v>
      </c>
      <c r="O264" s="386">
        <v>52695</v>
      </c>
      <c r="P264" s="125">
        <v>44811</v>
      </c>
      <c r="Q264" s="437">
        <v>44809</v>
      </c>
      <c r="R264" s="438">
        <v>15.93</v>
      </c>
      <c r="S264" s="439"/>
      <c r="T264" s="440">
        <f t="shared" si="58"/>
        <v>2513</v>
      </c>
      <c r="U264" s="441" t="str">
        <f t="shared" si="16"/>
        <v>50 DCMSHRIRAM</v>
      </c>
      <c r="V264" s="388">
        <f t="shared" si="17"/>
        <v>2497.0700000000002</v>
      </c>
      <c r="W264" s="389">
        <f t="shared" si="59"/>
        <v>4.9760272607707948E-2</v>
      </c>
      <c r="X264" s="390">
        <f t="shared" si="19"/>
        <v>0</v>
      </c>
      <c r="Y264" s="391">
        <f t="shared" si="20"/>
        <v>0</v>
      </c>
      <c r="Z264" s="392">
        <f t="shared" si="21"/>
        <v>15</v>
      </c>
      <c r="AA264" s="389">
        <f t="shared" si="22"/>
        <v>2.2598171558294347</v>
      </c>
      <c r="AB264" s="125" t="s">
        <v>460</v>
      </c>
      <c r="AC264" s="98"/>
      <c r="AD264" s="98"/>
    </row>
    <row r="265" spans="1:30" ht="12.75" customHeight="1">
      <c r="A265" s="126" t="s">
        <v>589</v>
      </c>
      <c r="B265" s="125" t="s">
        <v>1150</v>
      </c>
      <c r="C265" s="382" t="s">
        <v>1151</v>
      </c>
      <c r="D265" s="383"/>
      <c r="E265" s="384" t="str">
        <f t="shared" si="52"/>
        <v/>
      </c>
      <c r="F265" s="126" t="s">
        <v>1145</v>
      </c>
      <c r="G265" s="126"/>
      <c r="H265" s="385">
        <f t="shared" si="53"/>
        <v>1027.25</v>
      </c>
      <c r="I265" s="126">
        <v>8</v>
      </c>
      <c r="J265" s="385">
        <v>1026</v>
      </c>
      <c r="K265" s="133">
        <v>8218</v>
      </c>
      <c r="L265" s="155">
        <v>44803</v>
      </c>
      <c r="M265" s="129">
        <f t="shared" si="14"/>
        <v>1053.875</v>
      </c>
      <c r="N265" s="158">
        <v>1055</v>
      </c>
      <c r="O265" s="386">
        <v>8431</v>
      </c>
      <c r="P265" s="125">
        <v>44811</v>
      </c>
      <c r="Q265" s="437">
        <v>44809</v>
      </c>
      <c r="R265" s="438">
        <v>0</v>
      </c>
      <c r="S265" s="439"/>
      <c r="T265" s="440">
        <f t="shared" si="58"/>
        <v>213</v>
      </c>
      <c r="U265" s="441" t="str">
        <f t="shared" si="16"/>
        <v>8 DCMSHRIRAM</v>
      </c>
      <c r="V265" s="388">
        <f t="shared" si="17"/>
        <v>213</v>
      </c>
      <c r="W265" s="389">
        <f t="shared" si="59"/>
        <v>2.5918715015818935E-2</v>
      </c>
      <c r="X265" s="390">
        <f t="shared" si="19"/>
        <v>0</v>
      </c>
      <c r="Y265" s="391">
        <f t="shared" si="20"/>
        <v>0</v>
      </c>
      <c r="Z265" s="392">
        <f t="shared" si="21"/>
        <v>8</v>
      </c>
      <c r="AA265" s="389">
        <f t="shared" si="22"/>
        <v>2.2138710835935682</v>
      </c>
      <c r="AB265" s="125" t="s">
        <v>460</v>
      </c>
      <c r="AC265" s="98"/>
      <c r="AD265" s="98"/>
    </row>
    <row r="266" spans="1:30" ht="12.75" customHeight="1">
      <c r="A266" s="126" t="s">
        <v>589</v>
      </c>
      <c r="B266" s="125" t="s">
        <v>1150</v>
      </c>
      <c r="C266" s="382" t="s">
        <v>1151</v>
      </c>
      <c r="D266" s="383"/>
      <c r="E266" s="384" t="str">
        <f t="shared" si="52"/>
        <v/>
      </c>
      <c r="F266" s="126" t="s">
        <v>1145</v>
      </c>
      <c r="G266" s="126"/>
      <c r="H266" s="385">
        <f t="shared" si="53"/>
        <v>1048.24</v>
      </c>
      <c r="I266" s="126">
        <v>100</v>
      </c>
      <c r="J266" s="385">
        <v>1047</v>
      </c>
      <c r="K266" s="133">
        <v>104824</v>
      </c>
      <c r="L266" s="155">
        <v>44818</v>
      </c>
      <c r="M266" s="129">
        <f t="shared" si="14"/>
        <v>1026.56</v>
      </c>
      <c r="N266" s="158">
        <v>1027.626</v>
      </c>
      <c r="O266" s="386">
        <v>102656</v>
      </c>
      <c r="P266" s="125">
        <v>44819</v>
      </c>
      <c r="Q266" s="437">
        <v>44802</v>
      </c>
      <c r="R266" s="438">
        <v>15.93</v>
      </c>
      <c r="S266" s="439"/>
      <c r="T266" s="440">
        <f t="shared" si="58"/>
        <v>-2168</v>
      </c>
      <c r="U266" s="441" t="str">
        <f t="shared" si="16"/>
        <v>100 DCMSHRIRAM</v>
      </c>
      <c r="V266" s="388">
        <f t="shared" si="17"/>
        <v>-2183.9299999999998</v>
      </c>
      <c r="W266" s="389">
        <f t="shared" si="59"/>
        <v>-2.0834255514004425E-2</v>
      </c>
      <c r="X266" s="390">
        <f t="shared" si="19"/>
        <v>0</v>
      </c>
      <c r="Y266" s="391">
        <f t="shared" si="20"/>
        <v>0</v>
      </c>
      <c r="Z266" s="392">
        <f t="shared" si="21"/>
        <v>1</v>
      </c>
      <c r="AA266" s="389">
        <f t="shared" si="22"/>
        <v>-0.99954025479077768</v>
      </c>
      <c r="AB266" s="125" t="s">
        <v>460</v>
      </c>
      <c r="AC266" s="98"/>
      <c r="AD266" s="98"/>
    </row>
    <row r="267" spans="1:30" ht="12.75" customHeight="1">
      <c r="A267" s="126" t="s">
        <v>589</v>
      </c>
      <c r="B267" s="125" t="s">
        <v>1150</v>
      </c>
      <c r="C267" s="382" t="s">
        <v>1151</v>
      </c>
      <c r="D267" s="383"/>
      <c r="E267" s="384" t="str">
        <f t="shared" si="52"/>
        <v/>
      </c>
      <c r="F267" s="126" t="s">
        <v>1145</v>
      </c>
      <c r="G267" s="126"/>
      <c r="H267" s="385">
        <f t="shared" si="53"/>
        <v>1048.24</v>
      </c>
      <c r="I267" s="126">
        <v>100</v>
      </c>
      <c r="J267" s="385">
        <v>1047</v>
      </c>
      <c r="K267" s="133">
        <v>104824</v>
      </c>
      <c r="L267" s="155">
        <v>44818</v>
      </c>
      <c r="M267" s="129">
        <f t="shared" si="14"/>
        <v>1039.93</v>
      </c>
      <c r="N267" s="158">
        <v>1041</v>
      </c>
      <c r="O267" s="386">
        <v>103993</v>
      </c>
      <c r="P267" s="125">
        <v>44819</v>
      </c>
      <c r="Q267" s="437">
        <v>44809</v>
      </c>
      <c r="R267" s="438">
        <v>0</v>
      </c>
      <c r="S267" s="439"/>
      <c r="T267" s="440">
        <f t="shared" si="58"/>
        <v>-831</v>
      </c>
      <c r="U267" s="441" t="str">
        <f t="shared" si="16"/>
        <v>100 DCMSHRIRAM</v>
      </c>
      <c r="V267" s="388">
        <f t="shared" si="17"/>
        <v>-831</v>
      </c>
      <c r="W267" s="389">
        <f t="shared" si="59"/>
        <v>-7.9275738380523552E-3</v>
      </c>
      <c r="X267" s="390">
        <f t="shared" si="19"/>
        <v>0</v>
      </c>
      <c r="Y267" s="391">
        <f t="shared" si="20"/>
        <v>0</v>
      </c>
      <c r="Z267" s="392">
        <f t="shared" si="21"/>
        <v>1</v>
      </c>
      <c r="AA267" s="389">
        <f t="shared" si="22"/>
        <v>-0.94525640498993602</v>
      </c>
      <c r="AB267" s="125" t="s">
        <v>460</v>
      </c>
      <c r="AC267" s="98"/>
      <c r="AD267" s="98"/>
    </row>
    <row r="268" spans="1:30" ht="12.75" customHeight="1">
      <c r="A268" s="126" t="s">
        <v>589</v>
      </c>
      <c r="B268" s="125" t="s">
        <v>1150</v>
      </c>
      <c r="C268" s="382" t="s">
        <v>1151</v>
      </c>
      <c r="D268" s="383"/>
      <c r="E268" s="384" t="str">
        <f t="shared" si="52"/>
        <v/>
      </c>
      <c r="F268" s="126" t="s">
        <v>1145</v>
      </c>
      <c r="G268" s="126"/>
      <c r="H268" s="385">
        <f t="shared" si="53"/>
        <v>1048.24</v>
      </c>
      <c r="I268" s="126">
        <v>200</v>
      </c>
      <c r="J268" s="385">
        <v>1047</v>
      </c>
      <c r="K268" s="133">
        <v>209648</v>
      </c>
      <c r="L268" s="155">
        <v>44818</v>
      </c>
      <c r="M268" s="129">
        <f t="shared" si="14"/>
        <v>1073.8900000000001</v>
      </c>
      <c r="N268" s="158">
        <v>1075</v>
      </c>
      <c r="O268" s="386">
        <v>214778</v>
      </c>
      <c r="P268" s="125">
        <v>44819</v>
      </c>
      <c r="Q268" s="437">
        <v>44813</v>
      </c>
      <c r="R268" s="438">
        <v>15.93</v>
      </c>
      <c r="S268" s="439"/>
      <c r="T268" s="440">
        <f t="shared" si="58"/>
        <v>5130</v>
      </c>
      <c r="U268" s="441" t="str">
        <f t="shared" si="16"/>
        <v>200 DCMSHRIRAM</v>
      </c>
      <c r="V268" s="388">
        <f t="shared" si="17"/>
        <v>5114.07</v>
      </c>
      <c r="W268" s="389">
        <f t="shared" si="59"/>
        <v>2.4393602610089292E-2</v>
      </c>
      <c r="X268" s="390">
        <f t="shared" si="19"/>
        <v>0</v>
      </c>
      <c r="Y268" s="391">
        <f t="shared" si="20"/>
        <v>0</v>
      </c>
      <c r="Z268" s="392">
        <f t="shared" si="21"/>
        <v>1</v>
      </c>
      <c r="AA268" s="389">
        <f t="shared" si="22"/>
        <v>6612.0686184577271</v>
      </c>
      <c r="AB268" s="125" t="s">
        <v>460</v>
      </c>
      <c r="AC268" s="98"/>
      <c r="AD268" s="98"/>
    </row>
    <row r="269" spans="1:30" ht="12.75" customHeight="1">
      <c r="A269" s="126" t="s">
        <v>589</v>
      </c>
      <c r="B269" s="125" t="s">
        <v>1150</v>
      </c>
      <c r="C269" s="382" t="s">
        <v>1151</v>
      </c>
      <c r="D269" s="383"/>
      <c r="E269" s="384" t="str">
        <f t="shared" si="52"/>
        <v/>
      </c>
      <c r="F269" s="126" t="s">
        <v>1145</v>
      </c>
      <c r="G269" s="126"/>
      <c r="H269" s="385">
        <f t="shared" si="53"/>
        <v>1030.96</v>
      </c>
      <c r="I269" s="126">
        <v>50</v>
      </c>
      <c r="J269" s="385">
        <v>1029.74</v>
      </c>
      <c r="K269" s="133">
        <v>51548</v>
      </c>
      <c r="L269" s="155">
        <v>44694</v>
      </c>
      <c r="M269" s="129">
        <f t="shared" si="14"/>
        <v>1087.8800000000001</v>
      </c>
      <c r="N269" s="158">
        <v>1089</v>
      </c>
      <c r="O269" s="386">
        <v>54394</v>
      </c>
      <c r="P269" s="125">
        <v>44823</v>
      </c>
      <c r="Q269" s="437">
        <v>44819</v>
      </c>
      <c r="R269" s="438">
        <v>15.93</v>
      </c>
      <c r="S269" s="439"/>
      <c r="T269" s="440">
        <f t="shared" si="58"/>
        <v>2846</v>
      </c>
      <c r="U269" s="441" t="str">
        <f t="shared" si="16"/>
        <v>50 DCMSHRIRAM</v>
      </c>
      <c r="V269" s="388">
        <f t="shared" si="17"/>
        <v>2830.07</v>
      </c>
      <c r="W269" s="389">
        <f t="shared" si="59"/>
        <v>5.4901645068673857E-2</v>
      </c>
      <c r="X269" s="390">
        <f t="shared" si="19"/>
        <v>0</v>
      </c>
      <c r="Y269" s="391">
        <f t="shared" si="20"/>
        <v>4</v>
      </c>
      <c r="Z269" s="392">
        <f t="shared" si="21"/>
        <v>6</v>
      </c>
      <c r="AA269" s="389">
        <f t="shared" si="22"/>
        <v>0.16326129546704959</v>
      </c>
      <c r="AB269" s="125" t="s">
        <v>460</v>
      </c>
      <c r="AC269" s="98"/>
      <c r="AD269" s="98"/>
    </row>
    <row r="270" spans="1:30" ht="12.75" customHeight="1">
      <c r="A270" s="126" t="s">
        <v>589</v>
      </c>
      <c r="B270" s="125" t="s">
        <v>1150</v>
      </c>
      <c r="C270" s="382" t="s">
        <v>1151</v>
      </c>
      <c r="D270" s="383"/>
      <c r="E270" s="384" t="str">
        <f t="shared" si="52"/>
        <v/>
      </c>
      <c r="F270" s="126" t="s">
        <v>1145</v>
      </c>
      <c r="G270" s="126"/>
      <c r="H270" s="385">
        <f t="shared" si="53"/>
        <v>1053.3800000000001</v>
      </c>
      <c r="I270" s="126">
        <v>50</v>
      </c>
      <c r="J270" s="385">
        <v>1052.125</v>
      </c>
      <c r="K270" s="133">
        <v>52669</v>
      </c>
      <c r="L270" s="155">
        <v>44781</v>
      </c>
      <c r="M270" s="129">
        <f t="shared" si="14"/>
        <v>1087.8599999999999</v>
      </c>
      <c r="N270" s="158">
        <v>1089</v>
      </c>
      <c r="O270" s="386">
        <v>54393</v>
      </c>
      <c r="P270" s="125">
        <v>44823</v>
      </c>
      <c r="Q270" s="437">
        <v>44819</v>
      </c>
      <c r="R270" s="438">
        <v>0</v>
      </c>
      <c r="S270" s="439"/>
      <c r="T270" s="440">
        <f t="shared" si="58"/>
        <v>1724</v>
      </c>
      <c r="U270" s="441" t="str">
        <f t="shared" si="16"/>
        <v>50 DCMSHRIRAM</v>
      </c>
      <c r="V270" s="388">
        <f t="shared" si="17"/>
        <v>1724</v>
      </c>
      <c r="W270" s="389">
        <f t="shared" si="59"/>
        <v>3.2732727031080905E-2</v>
      </c>
      <c r="X270" s="390">
        <f t="shared" si="19"/>
        <v>0</v>
      </c>
      <c r="Y270" s="391">
        <f t="shared" si="20"/>
        <v>1</v>
      </c>
      <c r="Z270" s="392">
        <f t="shared" si="21"/>
        <v>11</v>
      </c>
      <c r="AA270" s="389">
        <f t="shared" si="22"/>
        <v>0.3230061372023354</v>
      </c>
      <c r="AB270" s="125" t="s">
        <v>460</v>
      </c>
      <c r="AC270" s="98"/>
      <c r="AD270" s="98"/>
    </row>
    <row r="271" spans="1:30" ht="12.75" customHeight="1">
      <c r="A271" s="126" t="s">
        <v>589</v>
      </c>
      <c r="B271" s="125" t="s">
        <v>1150</v>
      </c>
      <c r="C271" s="382" t="s">
        <v>1151</v>
      </c>
      <c r="D271" s="383"/>
      <c r="E271" s="384" t="str">
        <f t="shared" si="52"/>
        <v/>
      </c>
      <c r="F271" s="126" t="s">
        <v>1145</v>
      </c>
      <c r="G271" s="126"/>
      <c r="H271" s="385">
        <f t="shared" si="53"/>
        <v>1096.3333</v>
      </c>
      <c r="I271" s="126">
        <v>9</v>
      </c>
      <c r="J271" s="385">
        <v>1095</v>
      </c>
      <c r="K271" s="133">
        <v>9867</v>
      </c>
      <c r="L271" s="155">
        <v>44820</v>
      </c>
      <c r="M271" s="129">
        <f t="shared" si="14"/>
        <v>1100.8888999999999</v>
      </c>
      <c r="N271" s="158">
        <v>1102</v>
      </c>
      <c r="O271" s="386">
        <v>9908</v>
      </c>
      <c r="P271" s="125">
        <v>44823</v>
      </c>
      <c r="Q271" s="437">
        <v>44819</v>
      </c>
      <c r="R271" s="438">
        <v>0</v>
      </c>
      <c r="S271" s="439"/>
      <c r="T271" s="440">
        <f t="shared" si="58"/>
        <v>41</v>
      </c>
      <c r="U271" s="441" t="str">
        <f t="shared" si="16"/>
        <v>9 DCMSHRIRAM</v>
      </c>
      <c r="V271" s="388">
        <f t="shared" si="17"/>
        <v>41</v>
      </c>
      <c r="W271" s="389">
        <f t="shared" si="59"/>
        <v>4.155265024830242E-3</v>
      </c>
      <c r="X271" s="390">
        <f t="shared" si="19"/>
        <v>0</v>
      </c>
      <c r="Y271" s="391">
        <f t="shared" si="20"/>
        <v>0</v>
      </c>
      <c r="Z271" s="392">
        <f t="shared" si="21"/>
        <v>3</v>
      </c>
      <c r="AA271" s="389">
        <f t="shared" si="22"/>
        <v>0.65617343733658551</v>
      </c>
      <c r="AB271" s="125" t="s">
        <v>460</v>
      </c>
      <c r="AC271" s="98"/>
      <c r="AD271" s="98"/>
    </row>
    <row r="272" spans="1:30" ht="12.75" customHeight="1">
      <c r="A272" s="126" t="s">
        <v>589</v>
      </c>
      <c r="B272" s="125" t="s">
        <v>1150</v>
      </c>
      <c r="C272" s="382" t="s">
        <v>1151</v>
      </c>
      <c r="D272" s="383"/>
      <c r="E272" s="384" t="str">
        <f t="shared" si="52"/>
        <v/>
      </c>
      <c r="F272" s="126" t="s">
        <v>1145</v>
      </c>
      <c r="G272" s="126"/>
      <c r="H272" s="385">
        <f t="shared" si="53"/>
        <v>1054.24</v>
      </c>
      <c r="I272" s="126">
        <v>25</v>
      </c>
      <c r="J272" s="385">
        <v>1053</v>
      </c>
      <c r="K272" s="133">
        <v>26356</v>
      </c>
      <c r="L272" s="155">
        <v>44778</v>
      </c>
      <c r="M272" s="129">
        <f t="shared" si="14"/>
        <v>1068.72</v>
      </c>
      <c r="N272" s="158">
        <v>1069.8499999999999</v>
      </c>
      <c r="O272" s="386">
        <v>26718</v>
      </c>
      <c r="P272" s="125">
        <v>44826</v>
      </c>
      <c r="Q272" s="437">
        <v>44824</v>
      </c>
      <c r="R272" s="438">
        <v>0</v>
      </c>
      <c r="S272" s="439"/>
      <c r="T272" s="440">
        <f t="shared" si="58"/>
        <v>362</v>
      </c>
      <c r="U272" s="441" t="str">
        <f t="shared" si="16"/>
        <v>25 DCMSHRIRAM</v>
      </c>
      <c r="V272" s="388">
        <f t="shared" si="17"/>
        <v>362</v>
      </c>
      <c r="W272" s="389">
        <f t="shared" si="59"/>
        <v>1.3735012900288359E-2</v>
      </c>
      <c r="X272" s="390">
        <f t="shared" si="19"/>
        <v>0</v>
      </c>
      <c r="Y272" s="391">
        <f t="shared" si="20"/>
        <v>1</v>
      </c>
      <c r="Z272" s="392">
        <f t="shared" si="21"/>
        <v>17</v>
      </c>
      <c r="AA272" s="389">
        <f t="shared" si="22"/>
        <v>0.10930374624550132</v>
      </c>
      <c r="AB272" s="125" t="s">
        <v>460</v>
      </c>
      <c r="AC272" s="98"/>
      <c r="AD272" s="98"/>
    </row>
    <row r="273" spans="1:30" ht="12.75" customHeight="1">
      <c r="A273" s="126" t="s">
        <v>589</v>
      </c>
      <c r="B273" s="125" t="s">
        <v>1150</v>
      </c>
      <c r="C273" s="382" t="s">
        <v>1151</v>
      </c>
      <c r="D273" s="383"/>
      <c r="E273" s="384" t="str">
        <f t="shared" si="52"/>
        <v/>
      </c>
      <c r="F273" s="126" t="s">
        <v>1145</v>
      </c>
      <c r="G273" s="126"/>
      <c r="H273" s="385">
        <f t="shared" si="53"/>
        <v>1053.25</v>
      </c>
      <c r="I273" s="126">
        <v>40</v>
      </c>
      <c r="J273" s="385">
        <v>1052</v>
      </c>
      <c r="K273" s="133">
        <v>42130</v>
      </c>
      <c r="L273" s="155">
        <v>44823</v>
      </c>
      <c r="M273" s="129">
        <f t="shared" si="14"/>
        <v>1068.75</v>
      </c>
      <c r="N273" s="158">
        <v>1069.8499999999999</v>
      </c>
      <c r="O273" s="386">
        <v>42750</v>
      </c>
      <c r="P273" s="125">
        <v>44826</v>
      </c>
      <c r="Q273" s="437">
        <v>44824</v>
      </c>
      <c r="R273" s="438">
        <v>15.93</v>
      </c>
      <c r="S273" s="439"/>
      <c r="T273" s="440">
        <f t="shared" si="58"/>
        <v>620</v>
      </c>
      <c r="U273" s="441" t="str">
        <f t="shared" si="16"/>
        <v>40 DCMSHRIRAM</v>
      </c>
      <c r="V273" s="388">
        <f t="shared" si="17"/>
        <v>604.07000000000005</v>
      </c>
      <c r="W273" s="389">
        <f t="shared" si="59"/>
        <v>1.4338238784713981E-2</v>
      </c>
      <c r="X273" s="390">
        <f t="shared" si="19"/>
        <v>0</v>
      </c>
      <c r="Y273" s="391">
        <f t="shared" si="20"/>
        <v>0</v>
      </c>
      <c r="Z273" s="392">
        <f t="shared" si="21"/>
        <v>3</v>
      </c>
      <c r="AA273" s="389">
        <f t="shared" si="22"/>
        <v>4.6524979820423349</v>
      </c>
      <c r="AB273" s="125" t="s">
        <v>460</v>
      </c>
      <c r="AC273" s="98"/>
      <c r="AD273" s="98"/>
    </row>
    <row r="274" spans="1:30" ht="12.75" customHeight="1">
      <c r="A274" s="126" t="s">
        <v>589</v>
      </c>
      <c r="B274" s="125" t="s">
        <v>1150</v>
      </c>
      <c r="C274" s="382" t="s">
        <v>1151</v>
      </c>
      <c r="D274" s="383"/>
      <c r="E274" s="384" t="str">
        <f t="shared" si="52"/>
        <v/>
      </c>
      <c r="F274" s="126" t="s">
        <v>1145</v>
      </c>
      <c r="G274" s="126"/>
      <c r="H274" s="385">
        <f t="shared" si="53"/>
        <v>1007.7</v>
      </c>
      <c r="I274" s="126">
        <v>10</v>
      </c>
      <c r="J274" s="385">
        <v>1006.5</v>
      </c>
      <c r="K274" s="133">
        <v>10077</v>
      </c>
      <c r="L274" s="155">
        <v>44831</v>
      </c>
      <c r="M274" s="129">
        <f t="shared" si="14"/>
        <v>1015</v>
      </c>
      <c r="N274" s="158">
        <v>1016</v>
      </c>
      <c r="O274" s="386">
        <v>10150</v>
      </c>
      <c r="P274" s="125">
        <v>44834</v>
      </c>
      <c r="Q274" s="437">
        <v>44832</v>
      </c>
      <c r="R274" s="438">
        <v>15.93</v>
      </c>
      <c r="S274" s="439"/>
      <c r="T274" s="440">
        <f t="shared" si="58"/>
        <v>73</v>
      </c>
      <c r="U274" s="441" t="str">
        <f t="shared" si="16"/>
        <v>10 DCMSHRIRAM</v>
      </c>
      <c r="V274" s="388">
        <f t="shared" si="17"/>
        <v>57.07</v>
      </c>
      <c r="W274" s="389">
        <f t="shared" si="59"/>
        <v>5.6633918825047137E-3</v>
      </c>
      <c r="X274" s="390">
        <f t="shared" si="19"/>
        <v>0</v>
      </c>
      <c r="Y274" s="391">
        <f t="shared" si="20"/>
        <v>0</v>
      </c>
      <c r="Z274" s="392">
        <f t="shared" si="21"/>
        <v>3</v>
      </c>
      <c r="AA274" s="389">
        <f t="shared" si="22"/>
        <v>0.98794646589465662</v>
      </c>
      <c r="AB274" s="125" t="s">
        <v>460</v>
      </c>
      <c r="AC274" s="98"/>
      <c r="AD274" s="98"/>
    </row>
    <row r="275" spans="1:30" ht="12.75" customHeight="1">
      <c r="A275" s="126" t="s">
        <v>589</v>
      </c>
      <c r="B275" s="125" t="s">
        <v>1150</v>
      </c>
      <c r="C275" s="382" t="s">
        <v>1151</v>
      </c>
      <c r="D275" s="383"/>
      <c r="E275" s="384" t="str">
        <f t="shared" si="52"/>
        <v/>
      </c>
      <c r="F275" s="126" t="s">
        <v>1145</v>
      </c>
      <c r="G275" s="126"/>
      <c r="H275" s="385">
        <f t="shared" si="53"/>
        <v>1084.9467</v>
      </c>
      <c r="I275" s="126">
        <v>150</v>
      </c>
      <c r="J275" s="385">
        <v>1083.67</v>
      </c>
      <c r="K275" s="133">
        <v>162742</v>
      </c>
      <c r="L275" s="155">
        <v>44820</v>
      </c>
      <c r="M275" s="129">
        <f t="shared" si="14"/>
        <v>1103.8599999999999</v>
      </c>
      <c r="N275" s="158">
        <v>1105</v>
      </c>
      <c r="O275" s="386">
        <v>165579</v>
      </c>
      <c r="P275" s="125">
        <v>44854</v>
      </c>
      <c r="Q275" s="437">
        <v>44852</v>
      </c>
      <c r="R275" s="438">
        <v>15.93</v>
      </c>
      <c r="S275" s="439"/>
      <c r="T275" s="440">
        <f t="shared" si="58"/>
        <v>2837</v>
      </c>
      <c r="U275" s="441" t="str">
        <f t="shared" si="16"/>
        <v>150 DCMSHRIRAM</v>
      </c>
      <c r="V275" s="388">
        <f t="shared" si="17"/>
        <v>2821.07</v>
      </c>
      <c r="W275" s="389">
        <f t="shared" si="59"/>
        <v>1.7334615526416047E-2</v>
      </c>
      <c r="X275" s="390">
        <f t="shared" si="19"/>
        <v>0</v>
      </c>
      <c r="Y275" s="391">
        <f t="shared" si="20"/>
        <v>1</v>
      </c>
      <c r="Z275" s="392">
        <f t="shared" si="21"/>
        <v>4</v>
      </c>
      <c r="AA275" s="389">
        <f t="shared" si="22"/>
        <v>0.20261418915233076</v>
      </c>
      <c r="AB275" s="125" t="s">
        <v>460</v>
      </c>
      <c r="AC275" s="98"/>
      <c r="AD275" s="98"/>
    </row>
    <row r="276" spans="1:30" ht="12.75" customHeight="1">
      <c r="A276" s="126" t="s">
        <v>589</v>
      </c>
      <c r="B276" s="125" t="s">
        <v>1150</v>
      </c>
      <c r="C276" s="382" t="s">
        <v>1151</v>
      </c>
      <c r="D276" s="383"/>
      <c r="E276" s="384" t="str">
        <f t="shared" si="52"/>
        <v/>
      </c>
      <c r="F276" s="126" t="s">
        <v>1145</v>
      </c>
      <c r="G276" s="126"/>
      <c r="H276" s="385">
        <f t="shared" si="53"/>
        <v>1048.32</v>
      </c>
      <c r="I276" s="126">
        <v>25</v>
      </c>
      <c r="J276" s="385">
        <v>1047.0999999999999</v>
      </c>
      <c r="K276" s="133">
        <v>26208</v>
      </c>
      <c r="L276" s="155">
        <v>44825</v>
      </c>
      <c r="M276" s="129">
        <f t="shared" si="14"/>
        <v>1087.4000000000001</v>
      </c>
      <c r="N276" s="158">
        <v>1088.5</v>
      </c>
      <c r="O276" s="386">
        <v>27185</v>
      </c>
      <c r="P276" s="125">
        <v>44854</v>
      </c>
      <c r="Q276" s="437">
        <v>44852</v>
      </c>
      <c r="R276" s="438">
        <v>0</v>
      </c>
      <c r="S276" s="439"/>
      <c r="T276" s="440">
        <f t="shared" si="58"/>
        <v>977</v>
      </c>
      <c r="U276" s="441" t="str">
        <f t="shared" si="16"/>
        <v>25 DCMSHRIRAM</v>
      </c>
      <c r="V276" s="132">
        <f t="shared" si="17"/>
        <v>977</v>
      </c>
      <c r="W276" s="389">
        <f t="shared" si="59"/>
        <v>3.7278693528693528E-2</v>
      </c>
      <c r="X276" s="442">
        <f t="shared" si="19"/>
        <v>0</v>
      </c>
      <c r="Y276" s="391">
        <f t="shared" si="20"/>
        <v>0</v>
      </c>
      <c r="Z276" s="392">
        <f t="shared" si="21"/>
        <v>29</v>
      </c>
      <c r="AA276" s="389">
        <f t="shared" si="22"/>
        <v>0.58512499343114754</v>
      </c>
      <c r="AB276" s="125" t="s">
        <v>460</v>
      </c>
      <c r="AC276" s="98"/>
      <c r="AD276" s="98"/>
    </row>
    <row r="277" spans="1:30" ht="12.75" customHeight="1">
      <c r="A277" s="126" t="s">
        <v>589</v>
      </c>
      <c r="B277" s="125" t="s">
        <v>1150</v>
      </c>
      <c r="C277" s="382" t="s">
        <v>1151</v>
      </c>
      <c r="D277" s="383"/>
      <c r="E277" s="384" t="str">
        <f t="shared" si="52"/>
        <v/>
      </c>
      <c r="F277" s="126" t="s">
        <v>1145</v>
      </c>
      <c r="G277" s="126"/>
      <c r="H277" s="385">
        <f t="shared" si="53"/>
        <v>1041.24</v>
      </c>
      <c r="I277" s="126">
        <v>25</v>
      </c>
      <c r="J277" s="385">
        <v>1040</v>
      </c>
      <c r="K277" s="133">
        <v>26031</v>
      </c>
      <c r="L277" s="155">
        <v>44826</v>
      </c>
      <c r="M277" s="129">
        <f t="shared" si="14"/>
        <v>1087.4000000000001</v>
      </c>
      <c r="N277" s="158">
        <v>1088.5</v>
      </c>
      <c r="O277" s="386">
        <v>27185</v>
      </c>
      <c r="P277" s="125">
        <v>44854</v>
      </c>
      <c r="Q277" s="437">
        <v>44852</v>
      </c>
      <c r="R277" s="438">
        <v>0</v>
      </c>
      <c r="S277" s="439"/>
      <c r="T277" s="440">
        <f t="shared" si="58"/>
        <v>1154</v>
      </c>
      <c r="U277" s="441" t="str">
        <f t="shared" si="16"/>
        <v>25 DCMSHRIRAM</v>
      </c>
      <c r="V277" s="132">
        <f t="shared" si="17"/>
        <v>1154</v>
      </c>
      <c r="W277" s="389">
        <f t="shared" si="59"/>
        <v>4.4331758288194842E-2</v>
      </c>
      <c r="X277" s="442">
        <f t="shared" si="19"/>
        <v>0</v>
      </c>
      <c r="Y277" s="391">
        <f t="shared" si="20"/>
        <v>0</v>
      </c>
      <c r="Z277" s="392">
        <f t="shared" si="21"/>
        <v>28</v>
      </c>
      <c r="AA277" s="389">
        <f t="shared" si="22"/>
        <v>0.76024496283462528</v>
      </c>
      <c r="AB277" s="125" t="s">
        <v>460</v>
      </c>
      <c r="AC277" s="98"/>
      <c r="AD277" s="98"/>
    </row>
    <row r="278" spans="1:30" ht="12.75" customHeight="1">
      <c r="A278" s="126" t="s">
        <v>589</v>
      </c>
      <c r="B278" s="125" t="s">
        <v>1150</v>
      </c>
      <c r="C278" s="382" t="s">
        <v>1151</v>
      </c>
      <c r="D278" s="383"/>
      <c r="E278" s="384" t="str">
        <f t="shared" si="52"/>
        <v/>
      </c>
      <c r="F278" s="126" t="s">
        <v>1145</v>
      </c>
      <c r="G278" s="126"/>
      <c r="H278" s="385">
        <f t="shared" si="53"/>
        <v>1037.2</v>
      </c>
      <c r="I278" s="126">
        <v>10</v>
      </c>
      <c r="J278" s="385">
        <v>1036</v>
      </c>
      <c r="K278" s="133">
        <v>10372</v>
      </c>
      <c r="L278" s="155">
        <v>44827</v>
      </c>
      <c r="M278" s="129">
        <f t="shared" si="14"/>
        <v>1087.3</v>
      </c>
      <c r="N278" s="158">
        <v>1088.5</v>
      </c>
      <c r="O278" s="386">
        <v>10873</v>
      </c>
      <c r="P278" s="125">
        <v>44854</v>
      </c>
      <c r="Q278" s="437">
        <v>44852</v>
      </c>
      <c r="R278" s="438">
        <v>0</v>
      </c>
      <c r="S278" s="439"/>
      <c r="T278" s="440">
        <f t="shared" si="58"/>
        <v>501</v>
      </c>
      <c r="U278" s="441" t="str">
        <f t="shared" si="16"/>
        <v>10 DCMSHRIRAM</v>
      </c>
      <c r="V278" s="388">
        <f t="shared" si="17"/>
        <v>501</v>
      </c>
      <c r="W278" s="389">
        <f t="shared" si="59"/>
        <v>4.8303123794832238E-2</v>
      </c>
      <c r="X278" s="390">
        <f t="shared" si="19"/>
        <v>0</v>
      </c>
      <c r="Y278" s="391">
        <f t="shared" si="20"/>
        <v>0</v>
      </c>
      <c r="Z278" s="392">
        <f t="shared" si="21"/>
        <v>27</v>
      </c>
      <c r="AA278" s="389">
        <f t="shared" si="22"/>
        <v>0.8921356386141428</v>
      </c>
      <c r="AB278" s="125" t="s">
        <v>460</v>
      </c>
      <c r="AC278" s="98"/>
      <c r="AD278" s="98"/>
    </row>
    <row r="279" spans="1:30" ht="12.75" customHeight="1">
      <c r="A279" s="126" t="s">
        <v>589</v>
      </c>
      <c r="B279" s="125" t="s">
        <v>1150</v>
      </c>
      <c r="C279" s="382" t="s">
        <v>1151</v>
      </c>
      <c r="D279" s="383"/>
      <c r="E279" s="384" t="str">
        <f t="shared" si="52"/>
        <v/>
      </c>
      <c r="F279" s="126" t="s">
        <v>1145</v>
      </c>
      <c r="G279" s="126"/>
      <c r="H279" s="385">
        <f t="shared" si="53"/>
        <v>1041.2</v>
      </c>
      <c r="I279" s="126">
        <v>10</v>
      </c>
      <c r="J279" s="385">
        <v>1040</v>
      </c>
      <c r="K279" s="133">
        <v>10412</v>
      </c>
      <c r="L279" s="155">
        <v>44854</v>
      </c>
      <c r="M279" s="129">
        <f t="shared" si="14"/>
        <v>1018.9</v>
      </c>
      <c r="N279" s="158">
        <v>1019.95</v>
      </c>
      <c r="O279" s="386">
        <v>10189</v>
      </c>
      <c r="P279" s="125">
        <v>44855</v>
      </c>
      <c r="Q279" s="437">
        <v>44838</v>
      </c>
      <c r="R279" s="438">
        <v>15.93</v>
      </c>
      <c r="S279" s="439"/>
      <c r="T279" s="440">
        <f t="shared" si="58"/>
        <v>-223</v>
      </c>
      <c r="U279" s="441" t="str">
        <f t="shared" si="16"/>
        <v>10 DCMSHRIRAM</v>
      </c>
      <c r="V279" s="132">
        <f t="shared" si="17"/>
        <v>-238.93</v>
      </c>
      <c r="W279" s="389">
        <f t="shared" si="59"/>
        <v>-2.2947560507107185E-2</v>
      </c>
      <c r="X279" s="442">
        <f t="shared" si="19"/>
        <v>0</v>
      </c>
      <c r="Y279" s="391">
        <f t="shared" si="20"/>
        <v>0</v>
      </c>
      <c r="Z279" s="392">
        <f t="shared" si="21"/>
        <v>1</v>
      </c>
      <c r="AA279" s="389">
        <f t="shared" si="22"/>
        <v>-0.99979105893899212</v>
      </c>
      <c r="AB279" s="125" t="s">
        <v>460</v>
      </c>
      <c r="AC279" s="98"/>
      <c r="AD279" s="98"/>
    </row>
    <row r="280" spans="1:30" ht="12.75" customHeight="1">
      <c r="A280" s="126" t="s">
        <v>589</v>
      </c>
      <c r="B280" s="125" t="s">
        <v>1150</v>
      </c>
      <c r="C280" s="382" t="s">
        <v>1151</v>
      </c>
      <c r="D280" s="383"/>
      <c r="E280" s="384" t="str">
        <f t="shared" si="52"/>
        <v/>
      </c>
      <c r="F280" s="126" t="s">
        <v>1145</v>
      </c>
      <c r="G280" s="126"/>
      <c r="H280" s="385">
        <f t="shared" si="53"/>
        <v>1041.2308</v>
      </c>
      <c r="I280" s="126">
        <v>130</v>
      </c>
      <c r="J280" s="385">
        <v>1040</v>
      </c>
      <c r="K280" s="133">
        <v>135360</v>
      </c>
      <c r="L280" s="155">
        <v>44854</v>
      </c>
      <c r="M280" s="129">
        <f t="shared" si="14"/>
        <v>1065.6307999999999</v>
      </c>
      <c r="N280" s="158">
        <v>1066.73</v>
      </c>
      <c r="O280" s="386">
        <v>138532</v>
      </c>
      <c r="P280" s="125">
        <v>44855</v>
      </c>
      <c r="Q280" s="437">
        <v>44851</v>
      </c>
      <c r="R280" s="438">
        <v>15.93</v>
      </c>
      <c r="S280" s="439"/>
      <c r="T280" s="440">
        <f t="shared" si="58"/>
        <v>3172</v>
      </c>
      <c r="U280" s="441" t="str">
        <f t="shared" si="16"/>
        <v>130 DCMSHRIRAM</v>
      </c>
      <c r="V280" s="388">
        <f t="shared" si="17"/>
        <v>3156.07</v>
      </c>
      <c r="W280" s="389">
        <f t="shared" si="59"/>
        <v>2.331611997635934E-2</v>
      </c>
      <c r="X280" s="390">
        <f t="shared" si="19"/>
        <v>0</v>
      </c>
      <c r="Y280" s="391">
        <f t="shared" si="20"/>
        <v>0</v>
      </c>
      <c r="Z280" s="392">
        <f t="shared" si="21"/>
        <v>1</v>
      </c>
      <c r="AA280" s="389">
        <f t="shared" si="22"/>
        <v>4502.8368716955629</v>
      </c>
      <c r="AB280" s="125" t="s">
        <v>460</v>
      </c>
      <c r="AC280" s="98"/>
      <c r="AD280" s="98"/>
    </row>
    <row r="281" spans="1:30" ht="12.75" customHeight="1">
      <c r="A281" s="126" t="s">
        <v>589</v>
      </c>
      <c r="B281" s="125" t="s">
        <v>1150</v>
      </c>
      <c r="C281" s="382" t="s">
        <v>1151</v>
      </c>
      <c r="D281" s="383"/>
      <c r="E281" s="384" t="str">
        <f t="shared" si="52"/>
        <v/>
      </c>
      <c r="F281" s="126" t="s">
        <v>1145</v>
      </c>
      <c r="G281" s="126"/>
      <c r="H281" s="385">
        <f t="shared" si="53"/>
        <v>1041.2249999999999</v>
      </c>
      <c r="I281" s="126">
        <v>40</v>
      </c>
      <c r="J281" s="385">
        <v>1040</v>
      </c>
      <c r="K281" s="133">
        <v>41649</v>
      </c>
      <c r="L281" s="155">
        <v>44854</v>
      </c>
      <c r="M281" s="129">
        <f t="shared" si="14"/>
        <v>1078.375</v>
      </c>
      <c r="N281" s="158">
        <v>1079.5</v>
      </c>
      <c r="O281" s="386">
        <v>43135</v>
      </c>
      <c r="P281" s="125">
        <v>44855</v>
      </c>
      <c r="Q281" s="437">
        <v>44852</v>
      </c>
      <c r="R281" s="438">
        <v>0</v>
      </c>
      <c r="S281" s="439"/>
      <c r="T281" s="440">
        <f t="shared" si="58"/>
        <v>1486</v>
      </c>
      <c r="U281" s="441" t="str">
        <f t="shared" si="16"/>
        <v>40 DCMSHRIRAM</v>
      </c>
      <c r="V281" s="388">
        <f t="shared" si="17"/>
        <v>1486</v>
      </c>
      <c r="W281" s="389">
        <f t="shared" si="59"/>
        <v>3.5679127950250904E-2</v>
      </c>
      <c r="X281" s="390">
        <f t="shared" si="19"/>
        <v>0</v>
      </c>
      <c r="Y281" s="391">
        <f t="shared" si="20"/>
        <v>0</v>
      </c>
      <c r="Z281" s="392">
        <f t="shared" si="21"/>
        <v>1</v>
      </c>
      <c r="AA281" s="389">
        <f t="shared" si="22"/>
        <v>360749.3474741563</v>
      </c>
      <c r="AB281" s="125" t="s">
        <v>460</v>
      </c>
      <c r="AC281" s="98"/>
      <c r="AD281" s="98"/>
    </row>
    <row r="282" spans="1:30" ht="12.75" customHeight="1">
      <c r="A282" s="126" t="s">
        <v>589</v>
      </c>
      <c r="B282" s="125" t="s">
        <v>1150</v>
      </c>
      <c r="C282" s="382" t="s">
        <v>1151</v>
      </c>
      <c r="D282" s="383"/>
      <c r="E282" s="384" t="str">
        <f t="shared" si="52"/>
        <v/>
      </c>
      <c r="F282" s="126" t="s">
        <v>1145</v>
      </c>
      <c r="G282" s="126"/>
      <c r="H282" s="385">
        <f t="shared" si="53"/>
        <v>1041.2429</v>
      </c>
      <c r="I282" s="126">
        <v>70</v>
      </c>
      <c r="J282" s="385">
        <v>1040</v>
      </c>
      <c r="K282" s="133">
        <v>72887</v>
      </c>
      <c r="L282" s="155">
        <v>44854</v>
      </c>
      <c r="M282" s="129">
        <f t="shared" si="14"/>
        <v>1094.5999999999999</v>
      </c>
      <c r="N282" s="158">
        <v>1095.7285999999999</v>
      </c>
      <c r="O282" s="386">
        <v>76622</v>
      </c>
      <c r="P282" s="125">
        <v>44855</v>
      </c>
      <c r="Q282" s="437">
        <v>44853</v>
      </c>
      <c r="R282" s="438">
        <v>15.93</v>
      </c>
      <c r="S282" s="439"/>
      <c r="T282" s="440">
        <f t="shared" si="58"/>
        <v>3735</v>
      </c>
      <c r="U282" s="441" t="str">
        <f t="shared" si="16"/>
        <v>70 DCMSHRIRAM</v>
      </c>
      <c r="V282" s="132">
        <f t="shared" si="17"/>
        <v>3719.07</v>
      </c>
      <c r="W282" s="389">
        <f t="shared" si="59"/>
        <v>5.1025148517568293E-2</v>
      </c>
      <c r="X282" s="442">
        <f t="shared" si="19"/>
        <v>0</v>
      </c>
      <c r="Y282" s="391">
        <f t="shared" si="20"/>
        <v>0</v>
      </c>
      <c r="Z282" s="392">
        <f t="shared" si="21"/>
        <v>1</v>
      </c>
      <c r="AA282" s="389">
        <f t="shared" si="22"/>
        <v>77407730.438053638</v>
      </c>
      <c r="AB282" s="125" t="s">
        <v>460</v>
      </c>
      <c r="AC282" s="98"/>
      <c r="AD282" s="98"/>
    </row>
    <row r="283" spans="1:30" ht="12.75" customHeight="1">
      <c r="A283" s="126" t="s">
        <v>589</v>
      </c>
      <c r="B283" s="125" t="s">
        <v>1150</v>
      </c>
      <c r="C283" s="382" t="s">
        <v>1151</v>
      </c>
      <c r="D283" s="383"/>
      <c r="E283" s="384" t="str">
        <f t="shared" si="52"/>
        <v/>
      </c>
      <c r="F283" s="126" t="s">
        <v>1145</v>
      </c>
      <c r="G283" s="126"/>
      <c r="H283" s="385">
        <f t="shared" si="53"/>
        <v>1032.24</v>
      </c>
      <c r="I283" s="126">
        <v>25</v>
      </c>
      <c r="J283" s="385">
        <v>1031</v>
      </c>
      <c r="K283" s="133">
        <v>25806</v>
      </c>
      <c r="L283" s="155">
        <v>44854</v>
      </c>
      <c r="M283" s="129">
        <f t="shared" si="14"/>
        <v>1078.8800000000001</v>
      </c>
      <c r="N283" s="158">
        <v>1080</v>
      </c>
      <c r="O283" s="386">
        <v>26972</v>
      </c>
      <c r="P283" s="125">
        <v>44859</v>
      </c>
      <c r="Q283" s="437">
        <v>44855</v>
      </c>
      <c r="R283" s="438">
        <v>15.93</v>
      </c>
      <c r="S283" s="439"/>
      <c r="T283" s="440">
        <f t="shared" si="58"/>
        <v>1166</v>
      </c>
      <c r="U283" s="441" t="str">
        <f t="shared" si="16"/>
        <v>25 DCMSHRIRAM</v>
      </c>
      <c r="V283" s="132">
        <f t="shared" si="17"/>
        <v>1150.07</v>
      </c>
      <c r="W283" s="389">
        <f t="shared" si="59"/>
        <v>4.4565992404867083E-2</v>
      </c>
      <c r="X283" s="442">
        <f t="shared" si="19"/>
        <v>0</v>
      </c>
      <c r="Y283" s="391">
        <f t="shared" si="20"/>
        <v>0</v>
      </c>
      <c r="Z283" s="392">
        <f t="shared" si="21"/>
        <v>5</v>
      </c>
      <c r="AA283" s="389">
        <f t="shared" si="22"/>
        <v>23.116785791109649</v>
      </c>
      <c r="AB283" s="125" t="s">
        <v>460</v>
      </c>
      <c r="AC283" s="98"/>
      <c r="AD283" s="98"/>
    </row>
    <row r="284" spans="1:30" ht="12.75" customHeight="1">
      <c r="A284" s="126" t="s">
        <v>589</v>
      </c>
      <c r="B284" s="125" t="s">
        <v>1150</v>
      </c>
      <c r="C284" s="382" t="s">
        <v>1151</v>
      </c>
      <c r="D284" s="383"/>
      <c r="E284" s="384" t="str">
        <f t="shared" si="52"/>
        <v/>
      </c>
      <c r="F284" s="126" t="s">
        <v>1145</v>
      </c>
      <c r="G284" s="126"/>
      <c r="H284" s="385">
        <f t="shared" si="53"/>
        <v>1043.7</v>
      </c>
      <c r="I284" s="126">
        <v>10</v>
      </c>
      <c r="J284" s="385">
        <v>1042.45</v>
      </c>
      <c r="K284" s="133">
        <v>10437</v>
      </c>
      <c r="L284" s="155">
        <v>44854</v>
      </c>
      <c r="M284" s="129">
        <f t="shared" si="14"/>
        <v>1068.4000000000001</v>
      </c>
      <c r="N284" s="158">
        <v>1069.5</v>
      </c>
      <c r="O284" s="386">
        <v>10684</v>
      </c>
      <c r="P284" s="125">
        <v>44860</v>
      </c>
      <c r="Q284" s="437">
        <v>44858</v>
      </c>
      <c r="R284" s="438">
        <v>15.93</v>
      </c>
      <c r="S284" s="439"/>
      <c r="T284" s="440">
        <f t="shared" si="58"/>
        <v>247</v>
      </c>
      <c r="U284" s="441" t="str">
        <f t="shared" si="16"/>
        <v>10 DCMSHRIRAM</v>
      </c>
      <c r="V284" s="132">
        <f t="shared" si="17"/>
        <v>231.07</v>
      </c>
      <c r="W284" s="389">
        <f t="shared" si="59"/>
        <v>2.2139503688799463E-2</v>
      </c>
      <c r="X284" s="442">
        <f t="shared" si="19"/>
        <v>0</v>
      </c>
      <c r="Y284" s="391">
        <f t="shared" si="20"/>
        <v>0</v>
      </c>
      <c r="Z284" s="392">
        <f t="shared" si="21"/>
        <v>6</v>
      </c>
      <c r="AA284" s="389">
        <f t="shared" si="22"/>
        <v>2.7890953917533738</v>
      </c>
      <c r="AB284" s="125" t="s">
        <v>460</v>
      </c>
      <c r="AC284" s="98"/>
      <c r="AD284" s="98"/>
    </row>
    <row r="285" spans="1:30" ht="12.75" customHeight="1">
      <c r="A285" s="126" t="s">
        <v>589</v>
      </c>
      <c r="B285" s="125" t="s">
        <v>1150</v>
      </c>
      <c r="C285" s="382" t="s">
        <v>1151</v>
      </c>
      <c r="D285" s="383"/>
      <c r="E285" s="384" t="str">
        <f t="shared" si="52"/>
        <v/>
      </c>
      <c r="F285" s="126" t="s">
        <v>1145</v>
      </c>
      <c r="G285" s="126"/>
      <c r="H285" s="385">
        <f t="shared" si="53"/>
        <v>1045.25</v>
      </c>
      <c r="I285" s="126">
        <v>20</v>
      </c>
      <c r="J285" s="385">
        <v>1044</v>
      </c>
      <c r="K285" s="133">
        <v>20905</v>
      </c>
      <c r="L285" s="155">
        <v>44866</v>
      </c>
      <c r="M285" s="129">
        <f t="shared" si="14"/>
        <v>1048.95</v>
      </c>
      <c r="N285" s="158">
        <v>1050</v>
      </c>
      <c r="O285" s="386">
        <v>20979</v>
      </c>
      <c r="P285" s="125">
        <v>44876</v>
      </c>
      <c r="Q285" s="437">
        <v>44874</v>
      </c>
      <c r="R285" s="438">
        <v>0</v>
      </c>
      <c r="S285" s="439"/>
      <c r="T285" s="440">
        <f t="shared" si="58"/>
        <v>74</v>
      </c>
      <c r="U285" s="441" t="str">
        <f t="shared" si="16"/>
        <v>20 DCMSHRIRAM</v>
      </c>
      <c r="V285" s="388">
        <f t="shared" si="17"/>
        <v>74</v>
      </c>
      <c r="W285" s="389">
        <f t="shared" si="59"/>
        <v>3.5398230088495575E-3</v>
      </c>
      <c r="X285" s="390">
        <f t="shared" si="19"/>
        <v>0</v>
      </c>
      <c r="Y285" s="391">
        <f t="shared" si="20"/>
        <v>0</v>
      </c>
      <c r="Z285" s="392">
        <f t="shared" si="21"/>
        <v>10</v>
      </c>
      <c r="AA285" s="389">
        <f t="shared" si="22"/>
        <v>0.13766213644309766</v>
      </c>
      <c r="AB285" s="125" t="s">
        <v>460</v>
      </c>
      <c r="AC285" s="98"/>
      <c r="AD285" s="98"/>
    </row>
    <row r="286" spans="1:30" ht="12.75" customHeight="1">
      <c r="A286" s="126" t="s">
        <v>589</v>
      </c>
      <c r="B286" s="125" t="s">
        <v>1150</v>
      </c>
      <c r="C286" s="382" t="s">
        <v>1151</v>
      </c>
      <c r="D286" s="383"/>
      <c r="E286" s="384" t="str">
        <f t="shared" si="52"/>
        <v/>
      </c>
      <c r="F286" s="126" t="s">
        <v>1145</v>
      </c>
      <c r="G286" s="126"/>
      <c r="H286" s="385">
        <f t="shared" si="53"/>
        <v>1031.2</v>
      </c>
      <c r="I286" s="126">
        <v>20</v>
      </c>
      <c r="J286" s="385">
        <v>1030</v>
      </c>
      <c r="K286" s="133">
        <v>20624</v>
      </c>
      <c r="L286" s="155">
        <v>44868</v>
      </c>
      <c r="M286" s="129">
        <f t="shared" si="14"/>
        <v>1040.9000000000001</v>
      </c>
      <c r="N286" s="158">
        <v>1042</v>
      </c>
      <c r="O286" s="386">
        <v>20818</v>
      </c>
      <c r="P286" s="125">
        <v>44876</v>
      </c>
      <c r="Q286" s="437">
        <v>44874</v>
      </c>
      <c r="R286" s="438">
        <v>15.93</v>
      </c>
      <c r="S286" s="439"/>
      <c r="T286" s="440">
        <f t="shared" si="58"/>
        <v>194</v>
      </c>
      <c r="U286" s="441" t="str">
        <f t="shared" si="16"/>
        <v>20 DCMSHRIRAM</v>
      </c>
      <c r="V286" s="388">
        <f t="shared" si="17"/>
        <v>178.07</v>
      </c>
      <c r="W286" s="389">
        <f t="shared" si="59"/>
        <v>8.6341155934833193E-3</v>
      </c>
      <c r="X286" s="390">
        <f t="shared" si="19"/>
        <v>0</v>
      </c>
      <c r="Y286" s="391">
        <f t="shared" si="20"/>
        <v>0</v>
      </c>
      <c r="Z286" s="392">
        <f t="shared" si="21"/>
        <v>8</v>
      </c>
      <c r="AA286" s="389">
        <f t="shared" si="22"/>
        <v>0.4802938639229215</v>
      </c>
      <c r="AB286" s="125" t="s">
        <v>460</v>
      </c>
      <c r="AC286" s="98"/>
      <c r="AD286" s="98"/>
    </row>
    <row r="287" spans="1:30" ht="12.75" customHeight="1">
      <c r="A287" s="126" t="s">
        <v>589</v>
      </c>
      <c r="B287" s="125" t="s">
        <v>1150</v>
      </c>
      <c r="C287" s="382" t="s">
        <v>1151</v>
      </c>
      <c r="D287" s="383"/>
      <c r="E287" s="384" t="str">
        <f t="shared" si="52"/>
        <v/>
      </c>
      <c r="F287" s="126" t="s">
        <v>1145</v>
      </c>
      <c r="G287" s="126"/>
      <c r="H287" s="385">
        <f t="shared" si="53"/>
        <v>884.1</v>
      </c>
      <c r="I287" s="126">
        <v>10</v>
      </c>
      <c r="J287" s="385">
        <v>883</v>
      </c>
      <c r="K287" s="133">
        <v>8841</v>
      </c>
      <c r="L287" s="155">
        <v>44882</v>
      </c>
      <c r="M287" s="129">
        <f t="shared" si="14"/>
        <v>893.1</v>
      </c>
      <c r="N287" s="158">
        <v>894</v>
      </c>
      <c r="O287" s="386">
        <v>8931</v>
      </c>
      <c r="P287" s="125">
        <v>44883</v>
      </c>
      <c r="Q287" s="437">
        <v>44881</v>
      </c>
      <c r="R287" s="438">
        <v>15.93</v>
      </c>
      <c r="S287" s="439"/>
      <c r="T287" s="440">
        <f t="shared" si="58"/>
        <v>90</v>
      </c>
      <c r="U287" s="441" t="str">
        <f t="shared" si="16"/>
        <v>10 DCMSHRIRAM</v>
      </c>
      <c r="V287" s="388">
        <f t="shared" si="17"/>
        <v>74.069999999999993</v>
      </c>
      <c r="W287" s="389">
        <f t="shared" si="59"/>
        <v>8.3780115371564299E-3</v>
      </c>
      <c r="X287" s="390">
        <f t="shared" si="19"/>
        <v>0</v>
      </c>
      <c r="Y287" s="391">
        <f t="shared" si="20"/>
        <v>0</v>
      </c>
      <c r="Z287" s="392">
        <f t="shared" si="21"/>
        <v>1</v>
      </c>
      <c r="AA287" s="389">
        <f t="shared" si="22"/>
        <v>20.014978394890022</v>
      </c>
      <c r="AB287" s="125" t="s">
        <v>460</v>
      </c>
      <c r="AC287" s="98"/>
      <c r="AD287" s="98"/>
    </row>
    <row r="288" spans="1:30" ht="12.75" customHeight="1">
      <c r="A288" s="126" t="s">
        <v>589</v>
      </c>
      <c r="B288" s="125" t="s">
        <v>1150</v>
      </c>
      <c r="C288" s="382" t="s">
        <v>1151</v>
      </c>
      <c r="D288" s="383"/>
      <c r="E288" s="384" t="str">
        <f t="shared" si="52"/>
        <v/>
      </c>
      <c r="F288" s="126" t="s">
        <v>1145</v>
      </c>
      <c r="G288" s="126"/>
      <c r="H288" s="385">
        <f t="shared" si="53"/>
        <v>886</v>
      </c>
      <c r="I288" s="126">
        <v>10</v>
      </c>
      <c r="J288" s="385">
        <v>885</v>
      </c>
      <c r="K288" s="133">
        <v>8860</v>
      </c>
      <c r="L288" s="155">
        <v>44882</v>
      </c>
      <c r="M288" s="129">
        <f t="shared" si="14"/>
        <v>895.2</v>
      </c>
      <c r="N288" s="158">
        <v>896.15</v>
      </c>
      <c r="O288" s="386">
        <v>8952</v>
      </c>
      <c r="P288" s="125">
        <v>44887</v>
      </c>
      <c r="Q288" s="437">
        <v>44883</v>
      </c>
      <c r="R288" s="438">
        <v>15.93</v>
      </c>
      <c r="S288" s="439"/>
      <c r="T288" s="440">
        <f t="shared" si="58"/>
        <v>92</v>
      </c>
      <c r="U288" s="441" t="str">
        <f t="shared" si="16"/>
        <v>10 DCMSHRIRAM</v>
      </c>
      <c r="V288" s="132">
        <f t="shared" si="17"/>
        <v>76.069999999999993</v>
      </c>
      <c r="W288" s="389">
        <f t="shared" si="59"/>
        <v>8.5857787810383734E-3</v>
      </c>
      <c r="X288" s="442">
        <f t="shared" si="19"/>
        <v>0</v>
      </c>
      <c r="Y288" s="391">
        <f t="shared" si="20"/>
        <v>0</v>
      </c>
      <c r="Z288" s="392">
        <f t="shared" si="21"/>
        <v>5</v>
      </c>
      <c r="AA288" s="389">
        <f t="shared" si="22"/>
        <v>0.86654015735221335</v>
      </c>
      <c r="AB288" s="125" t="s">
        <v>460</v>
      </c>
      <c r="AC288" s="98"/>
      <c r="AD288" s="98"/>
    </row>
    <row r="289" spans="1:30" ht="12.75" customHeight="1">
      <c r="A289" s="126" t="s">
        <v>589</v>
      </c>
      <c r="B289" s="125" t="s">
        <v>1150</v>
      </c>
      <c r="C289" s="382" t="s">
        <v>1151</v>
      </c>
      <c r="D289" s="383"/>
      <c r="E289" s="384" t="str">
        <f t="shared" si="52"/>
        <v/>
      </c>
      <c r="F289" s="126" t="s">
        <v>1145</v>
      </c>
      <c r="G289" s="126"/>
      <c r="H289" s="385">
        <f t="shared" si="53"/>
        <v>841</v>
      </c>
      <c r="I289" s="126">
        <v>4</v>
      </c>
      <c r="J289" s="385">
        <v>839.95</v>
      </c>
      <c r="K289" s="133">
        <v>3364</v>
      </c>
      <c r="L289" s="155">
        <v>44889</v>
      </c>
      <c r="M289" s="129">
        <f t="shared" si="14"/>
        <v>852</v>
      </c>
      <c r="N289" s="158">
        <v>853</v>
      </c>
      <c r="O289" s="386">
        <v>3408</v>
      </c>
      <c r="P289" s="125">
        <v>44894</v>
      </c>
      <c r="Q289" s="437">
        <v>44890</v>
      </c>
      <c r="R289" s="438">
        <v>15.93</v>
      </c>
      <c r="S289" s="439"/>
      <c r="T289" s="440">
        <f t="shared" si="58"/>
        <v>44</v>
      </c>
      <c r="U289" s="441" t="str">
        <f t="shared" si="16"/>
        <v>4 DCMSHRIRAM</v>
      </c>
      <c r="V289" s="388">
        <f t="shared" si="17"/>
        <v>28.07</v>
      </c>
      <c r="W289" s="389">
        <f t="shared" si="59"/>
        <v>8.344233055885851E-3</v>
      </c>
      <c r="X289" s="390">
        <f t="shared" si="19"/>
        <v>0</v>
      </c>
      <c r="Y289" s="391">
        <f t="shared" si="20"/>
        <v>0</v>
      </c>
      <c r="Z289" s="392">
        <f t="shared" si="21"/>
        <v>5</v>
      </c>
      <c r="AA289" s="389">
        <f t="shared" si="22"/>
        <v>0.83418768512304364</v>
      </c>
      <c r="AB289" s="125" t="s">
        <v>460</v>
      </c>
      <c r="AC289" s="98"/>
      <c r="AD289" s="98"/>
    </row>
    <row r="290" spans="1:30" ht="12.75" customHeight="1">
      <c r="A290" s="126" t="s">
        <v>589</v>
      </c>
      <c r="B290" s="125" t="s">
        <v>1150</v>
      </c>
      <c r="C290" s="382" t="s">
        <v>1151</v>
      </c>
      <c r="D290" s="383"/>
      <c r="E290" s="384" t="str">
        <f t="shared" si="52"/>
        <v/>
      </c>
      <c r="F290" s="126" t="s">
        <v>1145</v>
      </c>
      <c r="G290" s="126"/>
      <c r="H290" s="385">
        <f t="shared" si="53"/>
        <v>884.05</v>
      </c>
      <c r="I290" s="126">
        <v>20</v>
      </c>
      <c r="J290" s="385">
        <v>883</v>
      </c>
      <c r="K290" s="133">
        <v>17681</v>
      </c>
      <c r="L290" s="155">
        <v>44930</v>
      </c>
      <c r="M290" s="129">
        <f t="shared" si="14"/>
        <v>891.95</v>
      </c>
      <c r="N290" s="158">
        <v>892.9</v>
      </c>
      <c r="O290" s="386">
        <v>17839</v>
      </c>
      <c r="P290" s="125">
        <v>44931</v>
      </c>
      <c r="Q290" s="437">
        <v>44925</v>
      </c>
      <c r="R290" s="438">
        <v>15.93</v>
      </c>
      <c r="S290" s="439"/>
      <c r="T290" s="440">
        <f t="shared" si="58"/>
        <v>158</v>
      </c>
      <c r="U290" s="441" t="str">
        <f t="shared" si="16"/>
        <v>20 DCMSHRIRAM</v>
      </c>
      <c r="V290" s="388">
        <f t="shared" si="17"/>
        <v>142.07</v>
      </c>
      <c r="W290" s="389">
        <f t="shared" si="59"/>
        <v>8.0351790057123455E-3</v>
      </c>
      <c r="X290" s="390">
        <f t="shared" si="19"/>
        <v>0</v>
      </c>
      <c r="Y290" s="391">
        <f t="shared" si="20"/>
        <v>0</v>
      </c>
      <c r="Z290" s="392">
        <f t="shared" si="21"/>
        <v>1</v>
      </c>
      <c r="AA290" s="389">
        <f t="shared" si="22"/>
        <v>17.562067735552521</v>
      </c>
      <c r="AB290" s="125" t="s">
        <v>460</v>
      </c>
      <c r="AC290" s="98"/>
      <c r="AD290" s="98"/>
    </row>
    <row r="291" spans="1:30" ht="12.75" customHeight="1">
      <c r="A291" s="126" t="s">
        <v>589</v>
      </c>
      <c r="B291" s="125" t="s">
        <v>1150</v>
      </c>
      <c r="C291" s="382" t="s">
        <v>1151</v>
      </c>
      <c r="D291" s="383"/>
      <c r="E291" s="384" t="str">
        <f t="shared" si="52"/>
        <v/>
      </c>
      <c r="F291" s="126" t="s">
        <v>1145</v>
      </c>
      <c r="G291" s="126"/>
      <c r="H291" s="385">
        <f t="shared" si="53"/>
        <v>880.4</v>
      </c>
      <c r="I291" s="126">
        <v>10</v>
      </c>
      <c r="J291" s="385">
        <v>879.4</v>
      </c>
      <c r="K291" s="133">
        <v>8804</v>
      </c>
      <c r="L291" s="155">
        <v>44931</v>
      </c>
      <c r="M291" s="129">
        <f t="shared" si="14"/>
        <v>899</v>
      </c>
      <c r="N291" s="158">
        <v>899.9</v>
      </c>
      <c r="O291" s="386">
        <v>8990</v>
      </c>
      <c r="P291" s="125">
        <v>44932</v>
      </c>
      <c r="Q291" s="437">
        <v>44925</v>
      </c>
      <c r="R291" s="438">
        <v>0</v>
      </c>
      <c r="S291" s="439"/>
      <c r="T291" s="440">
        <f t="shared" si="58"/>
        <v>186</v>
      </c>
      <c r="U291" s="441" t="str">
        <f t="shared" si="16"/>
        <v>10 DCMSHRIRAM</v>
      </c>
      <c r="V291" s="388">
        <f t="shared" si="17"/>
        <v>186</v>
      </c>
      <c r="W291" s="389">
        <f t="shared" si="59"/>
        <v>2.1126760563380281E-2</v>
      </c>
      <c r="X291" s="390">
        <f t="shared" si="19"/>
        <v>0</v>
      </c>
      <c r="Y291" s="391">
        <f t="shared" si="20"/>
        <v>0</v>
      </c>
      <c r="Z291" s="392">
        <f t="shared" si="21"/>
        <v>1</v>
      </c>
      <c r="AA291" s="389">
        <f t="shared" si="22"/>
        <v>2059.9863524309058</v>
      </c>
      <c r="AB291" s="125" t="s">
        <v>460</v>
      </c>
      <c r="AC291" s="98"/>
      <c r="AD291" s="98"/>
    </row>
    <row r="292" spans="1:30" ht="12.75" customHeight="1">
      <c r="A292" s="126" t="s">
        <v>589</v>
      </c>
      <c r="B292" s="125" t="s">
        <v>1150</v>
      </c>
      <c r="C292" s="382" t="s">
        <v>1151</v>
      </c>
      <c r="D292" s="383"/>
      <c r="E292" s="384" t="str">
        <f t="shared" si="52"/>
        <v/>
      </c>
      <c r="F292" s="126" t="s">
        <v>1145</v>
      </c>
      <c r="G292" s="126"/>
      <c r="H292" s="385">
        <f t="shared" si="53"/>
        <v>886.05</v>
      </c>
      <c r="I292" s="126">
        <v>20</v>
      </c>
      <c r="J292" s="385">
        <v>885</v>
      </c>
      <c r="K292" s="133">
        <v>17721</v>
      </c>
      <c r="L292" s="155">
        <v>44950</v>
      </c>
      <c r="M292" s="129">
        <f t="shared" si="14"/>
        <v>895.8</v>
      </c>
      <c r="N292" s="158">
        <v>896.75</v>
      </c>
      <c r="O292" s="386">
        <v>17916</v>
      </c>
      <c r="P292" s="125">
        <v>44951</v>
      </c>
      <c r="Q292" s="437">
        <v>44945</v>
      </c>
      <c r="R292" s="438">
        <v>15.93</v>
      </c>
      <c r="S292" s="439"/>
      <c r="T292" s="440">
        <f t="shared" si="58"/>
        <v>195</v>
      </c>
      <c r="U292" s="441" t="str">
        <f t="shared" si="16"/>
        <v>20 DCMSHRIRAM</v>
      </c>
      <c r="V292" s="388">
        <f t="shared" si="17"/>
        <v>179.07</v>
      </c>
      <c r="W292" s="389">
        <f t="shared" si="59"/>
        <v>1.010496021669206E-2</v>
      </c>
      <c r="X292" s="390">
        <f t="shared" si="19"/>
        <v>0</v>
      </c>
      <c r="Y292" s="391">
        <f t="shared" si="20"/>
        <v>0</v>
      </c>
      <c r="Z292" s="392">
        <f t="shared" si="21"/>
        <v>1</v>
      </c>
      <c r="AA292" s="389">
        <f t="shared" si="22"/>
        <v>38.244054617388194</v>
      </c>
      <c r="AB292" s="125" t="s">
        <v>460</v>
      </c>
      <c r="AC292" s="98"/>
      <c r="AD292" s="98"/>
    </row>
    <row r="293" spans="1:30" ht="12.75" customHeight="1">
      <c r="A293" s="126" t="s">
        <v>589</v>
      </c>
      <c r="B293" s="125" t="s">
        <v>1150</v>
      </c>
      <c r="C293" s="382" t="s">
        <v>1151</v>
      </c>
      <c r="D293" s="383"/>
      <c r="E293" s="384" t="str">
        <f t="shared" si="52"/>
        <v/>
      </c>
      <c r="F293" s="126" t="s">
        <v>1145</v>
      </c>
      <c r="G293" s="126"/>
      <c r="H293" s="385">
        <f t="shared" si="53"/>
        <v>881.0444</v>
      </c>
      <c r="I293" s="126">
        <v>45</v>
      </c>
      <c r="J293" s="385">
        <v>880</v>
      </c>
      <c r="K293" s="133">
        <v>39647</v>
      </c>
      <c r="L293" s="155">
        <v>44959</v>
      </c>
      <c r="M293" s="129">
        <f t="shared" si="14"/>
        <v>901.28890000000001</v>
      </c>
      <c r="N293" s="158">
        <v>902.22220000000004</v>
      </c>
      <c r="O293" s="386">
        <v>40558</v>
      </c>
      <c r="P293" s="125">
        <v>44960</v>
      </c>
      <c r="Q293" s="437">
        <v>44958</v>
      </c>
      <c r="R293" s="438">
        <v>15.93</v>
      </c>
      <c r="S293" s="439"/>
      <c r="T293" s="440">
        <f t="shared" si="58"/>
        <v>911</v>
      </c>
      <c r="U293" s="441" t="str">
        <f t="shared" si="16"/>
        <v>45 DCMSHRIRAM</v>
      </c>
      <c r="V293" s="388">
        <f t="shared" si="17"/>
        <v>895.07</v>
      </c>
      <c r="W293" s="389">
        <f t="shared" si="59"/>
        <v>2.2575983050419957E-2</v>
      </c>
      <c r="X293" s="390">
        <f t="shared" si="19"/>
        <v>0</v>
      </c>
      <c r="Y293" s="391">
        <f t="shared" si="20"/>
        <v>0</v>
      </c>
      <c r="Z293" s="392">
        <f t="shared" si="21"/>
        <v>1</v>
      </c>
      <c r="AA293" s="389">
        <f t="shared" si="22"/>
        <v>3457.515699274049</v>
      </c>
      <c r="AB293" s="125" t="s">
        <v>460</v>
      </c>
      <c r="AC293" s="98"/>
      <c r="AD293" s="98"/>
    </row>
    <row r="294" spans="1:30" ht="12.75" customHeight="1">
      <c r="A294" s="126" t="s">
        <v>589</v>
      </c>
      <c r="B294" s="125" t="s">
        <v>1150</v>
      </c>
      <c r="C294" s="382" t="s">
        <v>1151</v>
      </c>
      <c r="D294" s="383"/>
      <c r="E294" s="384" t="str">
        <f t="shared" si="52"/>
        <v/>
      </c>
      <c r="F294" s="126" t="s">
        <v>1145</v>
      </c>
      <c r="G294" s="126"/>
      <c r="H294" s="385">
        <f t="shared" si="53"/>
        <v>863</v>
      </c>
      <c r="I294" s="126">
        <v>10</v>
      </c>
      <c r="J294" s="385">
        <v>862</v>
      </c>
      <c r="K294" s="133">
        <v>8630</v>
      </c>
      <c r="L294" s="155">
        <v>44888</v>
      </c>
      <c r="M294" s="129">
        <f t="shared" si="14"/>
        <v>879.2</v>
      </c>
      <c r="N294" s="158">
        <v>880.08</v>
      </c>
      <c r="O294" s="386">
        <v>8792</v>
      </c>
      <c r="P294" s="125">
        <v>44974</v>
      </c>
      <c r="Q294" s="437">
        <v>44973</v>
      </c>
      <c r="R294" s="438">
        <v>15.93</v>
      </c>
      <c r="S294" s="439"/>
      <c r="T294" s="440">
        <f t="shared" si="58"/>
        <v>162</v>
      </c>
      <c r="U294" s="441" t="str">
        <f t="shared" si="16"/>
        <v>10 DCMSHRIRAM</v>
      </c>
      <c r="V294" s="388">
        <f t="shared" si="17"/>
        <v>146.07</v>
      </c>
      <c r="W294" s="389">
        <f t="shared" si="59"/>
        <v>1.6925840092699884E-2</v>
      </c>
      <c r="X294" s="390">
        <f t="shared" si="19"/>
        <v>0</v>
      </c>
      <c r="Y294" s="391">
        <f t="shared" si="20"/>
        <v>2</v>
      </c>
      <c r="Z294" s="392">
        <f t="shared" si="21"/>
        <v>25</v>
      </c>
      <c r="AA294" s="389">
        <f t="shared" si="22"/>
        <v>7.3833807605636403E-2</v>
      </c>
      <c r="AB294" s="125" t="s">
        <v>460</v>
      </c>
      <c r="AC294" s="98"/>
      <c r="AD294" s="98"/>
    </row>
    <row r="295" spans="1:30" ht="12.75" customHeight="1">
      <c r="A295" s="126" t="s">
        <v>589</v>
      </c>
      <c r="B295" s="125" t="s">
        <v>1150</v>
      </c>
      <c r="C295" s="382" t="s">
        <v>1151</v>
      </c>
      <c r="D295" s="383"/>
      <c r="E295" s="384" t="str">
        <f t="shared" si="52"/>
        <v/>
      </c>
      <c r="F295" s="126" t="s">
        <v>1145</v>
      </c>
      <c r="G295" s="126"/>
      <c r="H295" s="385">
        <f t="shared" si="53"/>
        <v>855</v>
      </c>
      <c r="I295" s="126">
        <v>20</v>
      </c>
      <c r="J295" s="385">
        <v>854</v>
      </c>
      <c r="K295" s="133">
        <v>17100</v>
      </c>
      <c r="L295" s="155">
        <v>44979</v>
      </c>
      <c r="M295" s="129">
        <f t="shared" si="14"/>
        <v>858.85</v>
      </c>
      <c r="N295" s="158">
        <v>859.75</v>
      </c>
      <c r="O295" s="386">
        <v>17177</v>
      </c>
      <c r="P295" s="125">
        <v>44980</v>
      </c>
      <c r="Q295" s="437">
        <v>44972</v>
      </c>
      <c r="R295" s="438">
        <v>15.93</v>
      </c>
      <c r="S295" s="439"/>
      <c r="T295" s="440">
        <f t="shared" si="58"/>
        <v>77</v>
      </c>
      <c r="U295" s="441" t="str">
        <f t="shared" si="16"/>
        <v>20 DCMSHRIRAM</v>
      </c>
      <c r="V295" s="388">
        <f t="shared" si="17"/>
        <v>61.07</v>
      </c>
      <c r="W295" s="389">
        <f t="shared" si="59"/>
        <v>3.5713450292397661E-3</v>
      </c>
      <c r="X295" s="390">
        <f t="shared" si="19"/>
        <v>0</v>
      </c>
      <c r="Y295" s="391">
        <f t="shared" si="20"/>
        <v>0</v>
      </c>
      <c r="Z295" s="392">
        <f t="shared" si="21"/>
        <v>1</v>
      </c>
      <c r="AA295" s="389">
        <f t="shared" si="22"/>
        <v>2.6737714066568512</v>
      </c>
      <c r="AB295" s="125" t="s">
        <v>460</v>
      </c>
      <c r="AC295" s="98"/>
      <c r="AD295" s="98"/>
    </row>
    <row r="296" spans="1:30" ht="12.75" customHeight="1">
      <c r="A296" s="126" t="s">
        <v>589</v>
      </c>
      <c r="B296" s="125" t="s">
        <v>1150</v>
      </c>
      <c r="C296" s="382" t="s">
        <v>1151</v>
      </c>
      <c r="D296" s="383"/>
      <c r="E296" s="384" t="str">
        <f t="shared" si="52"/>
        <v/>
      </c>
      <c r="F296" s="126" t="s">
        <v>1145</v>
      </c>
      <c r="G296" s="126"/>
      <c r="H296" s="385">
        <f t="shared" si="53"/>
        <v>855</v>
      </c>
      <c r="I296" s="126">
        <v>1</v>
      </c>
      <c r="J296" s="385">
        <v>854</v>
      </c>
      <c r="K296" s="133">
        <v>855</v>
      </c>
      <c r="L296" s="155">
        <v>44979</v>
      </c>
      <c r="M296" s="129">
        <f t="shared" si="14"/>
        <v>856</v>
      </c>
      <c r="N296" s="158">
        <v>856.9</v>
      </c>
      <c r="O296" s="386">
        <v>856</v>
      </c>
      <c r="P296" s="125">
        <v>44980</v>
      </c>
      <c r="Q296" s="437">
        <v>44971</v>
      </c>
      <c r="R296" s="438">
        <v>15.93</v>
      </c>
      <c r="S296" s="439"/>
      <c r="T296" s="440">
        <f t="shared" si="58"/>
        <v>1</v>
      </c>
      <c r="U296" s="441" t="str">
        <f t="shared" si="16"/>
        <v>1 DCMSHRIRAM</v>
      </c>
      <c r="V296" s="132">
        <f t="shared" si="17"/>
        <v>-14.93</v>
      </c>
      <c r="W296" s="389">
        <f t="shared" si="59"/>
        <v>-1.7461988304093568E-2</v>
      </c>
      <c r="X296" s="442">
        <f t="shared" si="19"/>
        <v>0</v>
      </c>
      <c r="Y296" s="391">
        <f t="shared" si="20"/>
        <v>0</v>
      </c>
      <c r="Z296" s="392">
        <f t="shared" si="21"/>
        <v>1</v>
      </c>
      <c r="AA296" s="389">
        <f t="shared" si="22"/>
        <v>-0.99838743668009211</v>
      </c>
      <c r="AB296" s="125" t="s">
        <v>460</v>
      </c>
      <c r="AC296" s="98"/>
      <c r="AD296" s="98"/>
    </row>
    <row r="297" spans="1:30" ht="12.75" customHeight="1">
      <c r="A297" s="125" t="s">
        <v>641</v>
      </c>
      <c r="B297" s="125"/>
      <c r="C297" s="382"/>
      <c r="D297" s="383"/>
      <c r="E297" s="384" t="str">
        <f t="shared" si="52"/>
        <v/>
      </c>
      <c r="F297" s="126" t="s">
        <v>1253</v>
      </c>
      <c r="G297" s="126"/>
      <c r="H297" s="385">
        <f t="shared" si="53"/>
        <v>207</v>
      </c>
      <c r="I297" s="126">
        <v>72</v>
      </c>
      <c r="J297" s="385">
        <v>207</v>
      </c>
      <c r="K297" s="133">
        <v>14904</v>
      </c>
      <c r="L297" s="155">
        <v>44875</v>
      </c>
      <c r="M297" s="129">
        <f t="shared" si="14"/>
        <v>294.69439999999997</v>
      </c>
      <c r="N297" s="158">
        <v>295</v>
      </c>
      <c r="O297" s="386">
        <v>21218</v>
      </c>
      <c r="P297" s="125">
        <v>44880</v>
      </c>
      <c r="Q297" s="437">
        <v>44876</v>
      </c>
      <c r="R297" s="438">
        <v>15.93</v>
      </c>
      <c r="S297" s="439"/>
      <c r="T297" s="440">
        <f t="shared" si="58"/>
        <v>6314</v>
      </c>
      <c r="U297" s="441" t="str">
        <f t="shared" si="16"/>
        <v>72 DCXINDIA</v>
      </c>
      <c r="V297" s="132">
        <f t="shared" si="17"/>
        <v>6298.07</v>
      </c>
      <c r="W297" s="389">
        <f t="shared" si="59"/>
        <v>0.42257581857219534</v>
      </c>
      <c r="X297" s="442">
        <f t="shared" si="19"/>
        <v>0</v>
      </c>
      <c r="Y297" s="391">
        <f t="shared" si="20"/>
        <v>0</v>
      </c>
      <c r="Z297" s="392">
        <f t="shared" si="21"/>
        <v>5</v>
      </c>
      <c r="AA297" s="389">
        <f t="shared" si="22"/>
        <v>149453405733.17639</v>
      </c>
      <c r="AB297" s="125" t="s">
        <v>485</v>
      </c>
      <c r="AC297" s="98"/>
      <c r="AD297" s="98"/>
    </row>
    <row r="298" spans="1:30" ht="12.75" customHeight="1">
      <c r="A298" s="125" t="s">
        <v>594</v>
      </c>
      <c r="B298" s="125" t="s">
        <v>1254</v>
      </c>
      <c r="C298" s="382" t="s">
        <v>1255</v>
      </c>
      <c r="D298" s="383">
        <v>185</v>
      </c>
      <c r="E298" s="384">
        <f t="shared" si="52"/>
        <v>0.13149847094801223</v>
      </c>
      <c r="F298" s="126" t="s">
        <v>1162</v>
      </c>
      <c r="G298" s="126" t="s">
        <v>1163</v>
      </c>
      <c r="H298" s="385">
        <f t="shared" si="53"/>
        <v>163.69999999999999</v>
      </c>
      <c r="I298" s="126">
        <v>20</v>
      </c>
      <c r="J298" s="385">
        <v>163.5</v>
      </c>
      <c r="K298" s="133">
        <v>3274</v>
      </c>
      <c r="L298" s="155">
        <v>44516</v>
      </c>
      <c r="M298" s="129">
        <f t="shared" si="14"/>
        <v>169.8</v>
      </c>
      <c r="N298" s="158">
        <v>170</v>
      </c>
      <c r="O298" s="386">
        <v>3396</v>
      </c>
      <c r="P298" s="125">
        <v>44540</v>
      </c>
      <c r="Q298" s="437">
        <v>44538</v>
      </c>
      <c r="R298" s="438">
        <v>15.93</v>
      </c>
      <c r="S298" s="439"/>
      <c r="T298" s="440">
        <f t="shared" ref="T298:T299" si="60">IF(O298="","",O298-K298)</f>
        <v>122</v>
      </c>
      <c r="U298" s="441" t="str">
        <f t="shared" si="16"/>
        <v>20 DEVYANI</v>
      </c>
      <c r="V298" s="132">
        <f t="shared" si="17"/>
        <v>106.07</v>
      </c>
      <c r="W298" s="389">
        <f t="shared" ref="W298:W299" si="61">IF(M298=0,"",V298/K298)</f>
        <v>3.2397678680513131E-2</v>
      </c>
      <c r="X298" s="442">
        <f t="shared" si="19"/>
        <v>0</v>
      </c>
      <c r="Y298" s="391">
        <f t="shared" si="20"/>
        <v>0</v>
      </c>
      <c r="Z298" s="392">
        <f t="shared" si="21"/>
        <v>24</v>
      </c>
      <c r="AA298" s="389">
        <f t="shared" si="22"/>
        <v>0.62401518723586302</v>
      </c>
      <c r="AB298" s="125" t="s">
        <v>485</v>
      </c>
      <c r="AC298" s="98"/>
      <c r="AD298" s="98"/>
    </row>
    <row r="299" spans="1:30" ht="12.75" customHeight="1">
      <c r="A299" s="125" t="s">
        <v>551</v>
      </c>
      <c r="B299" s="125" t="s">
        <v>1256</v>
      </c>
      <c r="C299" s="382" t="s">
        <v>1201</v>
      </c>
      <c r="D299" s="383"/>
      <c r="E299" s="384" t="str">
        <f t="shared" si="52"/>
        <v/>
      </c>
      <c r="F299" s="126" t="s">
        <v>1159</v>
      </c>
      <c r="G299" s="126"/>
      <c r="H299" s="385">
        <f t="shared" si="53"/>
        <v>428</v>
      </c>
      <c r="I299" s="126">
        <v>35</v>
      </c>
      <c r="J299" s="385">
        <v>428</v>
      </c>
      <c r="K299" s="133">
        <v>14980</v>
      </c>
      <c r="L299" s="155">
        <v>44371</v>
      </c>
      <c r="M299" s="129">
        <f t="shared" si="14"/>
        <v>586.4</v>
      </c>
      <c r="N299" s="158">
        <v>587</v>
      </c>
      <c r="O299" s="386">
        <v>20524</v>
      </c>
      <c r="P299" s="125">
        <v>44377</v>
      </c>
      <c r="Q299" s="437">
        <v>44375</v>
      </c>
      <c r="R299" s="438">
        <v>15.93</v>
      </c>
      <c r="S299" s="439"/>
      <c r="T299" s="440">
        <f t="shared" si="60"/>
        <v>5544</v>
      </c>
      <c r="U299" s="441" t="str">
        <f t="shared" si="16"/>
        <v>35 DODLA</v>
      </c>
      <c r="V299" s="132">
        <f t="shared" si="17"/>
        <v>5528.07</v>
      </c>
      <c r="W299" s="389">
        <f t="shared" si="61"/>
        <v>0.36903004005340451</v>
      </c>
      <c r="X299" s="442">
        <f t="shared" si="19"/>
        <v>0</v>
      </c>
      <c r="Y299" s="391">
        <f t="shared" si="20"/>
        <v>0</v>
      </c>
      <c r="Z299" s="392">
        <f t="shared" si="21"/>
        <v>6</v>
      </c>
      <c r="AA299" s="389">
        <f t="shared" si="22"/>
        <v>198818203.91133606</v>
      </c>
      <c r="AB299" s="125" t="s">
        <v>485</v>
      </c>
      <c r="AC299" s="98"/>
      <c r="AD299" s="98"/>
    </row>
    <row r="300" spans="1:30" ht="12.75" customHeight="1">
      <c r="A300" s="125" t="s">
        <v>638</v>
      </c>
      <c r="B300" s="125"/>
      <c r="C300" s="382"/>
      <c r="D300" s="383"/>
      <c r="E300" s="384" t="str">
        <f t="shared" si="52"/>
        <v/>
      </c>
      <c r="F300" s="126" t="s">
        <v>1159</v>
      </c>
      <c r="G300" s="126"/>
      <c r="H300" s="385">
        <f t="shared" si="53"/>
        <v>326</v>
      </c>
      <c r="I300" s="126">
        <v>46</v>
      </c>
      <c r="J300" s="385">
        <v>326</v>
      </c>
      <c r="K300" s="133">
        <v>14996</v>
      </c>
      <c r="L300" s="155">
        <v>44805</v>
      </c>
      <c r="M300" s="129">
        <f t="shared" si="14"/>
        <v>424.5652</v>
      </c>
      <c r="N300" s="158">
        <v>425</v>
      </c>
      <c r="O300" s="386">
        <v>19530</v>
      </c>
      <c r="P300" s="125">
        <v>44819</v>
      </c>
      <c r="Q300" s="437">
        <v>44817</v>
      </c>
      <c r="R300" s="438">
        <v>15.93</v>
      </c>
      <c r="S300" s="439"/>
      <c r="T300" s="440">
        <f>IF(OR(O300="",K300=""),"",O300-K300)</f>
        <v>4534</v>
      </c>
      <c r="U300" s="441" t="str">
        <f t="shared" si="16"/>
        <v>46 DREAMFOLKS</v>
      </c>
      <c r="V300" s="132">
        <f t="shared" si="17"/>
        <v>4518.07</v>
      </c>
      <c r="W300" s="389">
        <f>IF(OR(K300="",V300=""),"",V300/K300)</f>
        <v>0.30128500933582286</v>
      </c>
      <c r="X300" s="442">
        <f t="shared" si="19"/>
        <v>0</v>
      </c>
      <c r="Y300" s="391">
        <f t="shared" si="20"/>
        <v>0</v>
      </c>
      <c r="Z300" s="392">
        <f t="shared" si="21"/>
        <v>14</v>
      </c>
      <c r="AA300" s="389">
        <f t="shared" si="22"/>
        <v>958.07496707537462</v>
      </c>
      <c r="AB300" s="125" t="s">
        <v>485</v>
      </c>
      <c r="AC300" s="98"/>
      <c r="AD300" s="98"/>
    </row>
    <row r="301" spans="1:30" ht="12.75" customHeight="1">
      <c r="A301" s="125" t="s">
        <v>509</v>
      </c>
      <c r="B301" s="125" t="s">
        <v>1257</v>
      </c>
      <c r="C301" s="382" t="s">
        <v>1201</v>
      </c>
      <c r="D301" s="383">
        <v>66</v>
      </c>
      <c r="E301" s="384">
        <f t="shared" si="52"/>
        <v>0.33333333333333331</v>
      </c>
      <c r="F301" s="126" t="s">
        <v>1162</v>
      </c>
      <c r="G301" s="126" t="s">
        <v>1258</v>
      </c>
      <c r="H301" s="385">
        <f t="shared" si="53"/>
        <v>49.56</v>
      </c>
      <c r="I301" s="126">
        <v>100</v>
      </c>
      <c r="J301" s="385">
        <v>49.5</v>
      </c>
      <c r="K301" s="133">
        <v>4956</v>
      </c>
      <c r="L301" s="155">
        <v>44321</v>
      </c>
      <c r="M301" s="129">
        <f t="shared" si="14"/>
        <v>53.79</v>
      </c>
      <c r="N301" s="158">
        <v>53.85</v>
      </c>
      <c r="O301" s="386">
        <v>5379</v>
      </c>
      <c r="P301" s="125">
        <v>44328</v>
      </c>
      <c r="Q301" s="437">
        <v>44326</v>
      </c>
      <c r="R301" s="438">
        <v>15.93</v>
      </c>
      <c r="S301" s="439"/>
      <c r="T301" s="440">
        <f t="shared" ref="T301:T302" si="62">IF(O301="","",O301-K301)</f>
        <v>423</v>
      </c>
      <c r="U301" s="441" t="str">
        <f t="shared" si="16"/>
        <v>100 DWARKESH</v>
      </c>
      <c r="V301" s="132">
        <f t="shared" si="17"/>
        <v>407.07</v>
      </c>
      <c r="W301" s="389">
        <f t="shared" ref="W301:W302" si="63">IF(M301=0,"",V301/K301)</f>
        <v>8.2136803874092001E-2</v>
      </c>
      <c r="X301" s="442">
        <f t="shared" si="19"/>
        <v>0</v>
      </c>
      <c r="Y301" s="391">
        <f t="shared" si="20"/>
        <v>0</v>
      </c>
      <c r="Z301" s="392">
        <f t="shared" si="21"/>
        <v>7</v>
      </c>
      <c r="AA301" s="389">
        <f t="shared" si="22"/>
        <v>60.315486495623404</v>
      </c>
      <c r="AB301" s="125" t="s">
        <v>485</v>
      </c>
      <c r="AC301" s="98"/>
      <c r="AD301" s="98"/>
    </row>
    <row r="302" spans="1:30" ht="12.75" customHeight="1">
      <c r="A302" s="125" t="s">
        <v>560</v>
      </c>
      <c r="B302" s="125" t="s">
        <v>1259</v>
      </c>
      <c r="C302" s="382" t="s">
        <v>1165</v>
      </c>
      <c r="D302" s="383" t="s">
        <v>1260</v>
      </c>
      <c r="E302" s="384">
        <f t="shared" si="52"/>
        <v>0.45139464839146187</v>
      </c>
      <c r="F302" s="126" t="s">
        <v>1154</v>
      </c>
      <c r="G302" s="126" t="s">
        <v>1261</v>
      </c>
      <c r="H302" s="385">
        <f t="shared" si="53"/>
        <v>458.7</v>
      </c>
      <c r="I302" s="126">
        <v>10</v>
      </c>
      <c r="J302" s="385">
        <v>458.18</v>
      </c>
      <c r="K302" s="133">
        <v>4587</v>
      </c>
      <c r="L302" s="155">
        <v>44383</v>
      </c>
      <c r="M302" s="129">
        <f t="shared" si="14"/>
        <v>484.5</v>
      </c>
      <c r="N302" s="158">
        <v>485</v>
      </c>
      <c r="O302" s="386">
        <v>4845</v>
      </c>
      <c r="P302" s="125">
        <v>44414</v>
      </c>
      <c r="Q302" s="437">
        <v>44412</v>
      </c>
      <c r="R302" s="438">
        <v>15.93</v>
      </c>
      <c r="S302" s="439"/>
      <c r="T302" s="440">
        <f t="shared" si="62"/>
        <v>258</v>
      </c>
      <c r="U302" s="441" t="str">
        <f t="shared" si="16"/>
        <v>10 EASEMYTRIP</v>
      </c>
      <c r="V302" s="132">
        <f t="shared" si="17"/>
        <v>242.07</v>
      </c>
      <c r="W302" s="389">
        <f t="shared" si="63"/>
        <v>5.2773054283845648E-2</v>
      </c>
      <c r="X302" s="442">
        <f t="shared" si="19"/>
        <v>0</v>
      </c>
      <c r="Y302" s="391">
        <f t="shared" si="20"/>
        <v>1</v>
      </c>
      <c r="Z302" s="392">
        <f t="shared" si="21"/>
        <v>0</v>
      </c>
      <c r="AA302" s="389">
        <f t="shared" si="22"/>
        <v>0.83220386414144354</v>
      </c>
      <c r="AB302" s="125" t="s">
        <v>485</v>
      </c>
      <c r="AC302" s="98"/>
      <c r="AD302" s="98"/>
    </row>
    <row r="303" spans="1:30" ht="12.75" customHeight="1">
      <c r="A303" s="125" t="s">
        <v>629</v>
      </c>
      <c r="B303" s="125"/>
      <c r="C303" s="382"/>
      <c r="D303" s="383"/>
      <c r="E303" s="384" t="str">
        <f t="shared" si="52"/>
        <v/>
      </c>
      <c r="F303" s="126"/>
      <c r="G303" s="126"/>
      <c r="H303" s="385">
        <f t="shared" si="53"/>
        <v>560.70000000000005</v>
      </c>
      <c r="I303" s="126">
        <v>10</v>
      </c>
      <c r="J303" s="385">
        <v>560</v>
      </c>
      <c r="K303" s="133">
        <v>5607</v>
      </c>
      <c r="L303" s="155">
        <v>44769</v>
      </c>
      <c r="M303" s="129">
        <f t="shared" si="14"/>
        <v>564.4</v>
      </c>
      <c r="N303" s="158">
        <v>565</v>
      </c>
      <c r="O303" s="386">
        <v>5644</v>
      </c>
      <c r="P303" s="125">
        <v>44820</v>
      </c>
      <c r="Q303" s="437">
        <v>44818</v>
      </c>
      <c r="R303" s="438">
        <v>15.93</v>
      </c>
      <c r="S303" s="439"/>
      <c r="T303" s="440">
        <f>IF(OR(O303="",K303=""),"",O303-K303)</f>
        <v>37</v>
      </c>
      <c r="U303" s="441" t="str">
        <f t="shared" si="16"/>
        <v>10 EIDPARRY</v>
      </c>
      <c r="V303" s="132">
        <f t="shared" si="17"/>
        <v>21.07</v>
      </c>
      <c r="W303" s="389">
        <f>IF(OR(K303="",V303=""),"",V303/K303)</f>
        <v>3.7578027465667917E-3</v>
      </c>
      <c r="X303" s="442">
        <f t="shared" si="19"/>
        <v>0</v>
      </c>
      <c r="Y303" s="391">
        <f t="shared" si="20"/>
        <v>1</v>
      </c>
      <c r="Z303" s="392">
        <f t="shared" si="21"/>
        <v>20</v>
      </c>
      <c r="AA303" s="389">
        <f t="shared" si="22"/>
        <v>2.72072103953378E-2</v>
      </c>
      <c r="AB303" s="125" t="s">
        <v>485</v>
      </c>
      <c r="AC303" s="98"/>
      <c r="AD303" s="98"/>
    </row>
    <row r="304" spans="1:30" ht="12.75" customHeight="1">
      <c r="A304" s="125" t="s">
        <v>570</v>
      </c>
      <c r="B304" s="125" t="s">
        <v>1262</v>
      </c>
      <c r="C304" s="382" t="s">
        <v>1263</v>
      </c>
      <c r="D304" s="383" t="s">
        <v>1264</v>
      </c>
      <c r="E304" s="384">
        <f t="shared" si="52"/>
        <v>0.13333333333333333</v>
      </c>
      <c r="F304" s="126" t="s">
        <v>1162</v>
      </c>
      <c r="G304" s="126" t="s">
        <v>1265</v>
      </c>
      <c r="H304" s="385">
        <f t="shared" si="53"/>
        <v>225.3</v>
      </c>
      <c r="I304" s="126">
        <v>10</v>
      </c>
      <c r="J304" s="385">
        <v>225</v>
      </c>
      <c r="K304" s="133">
        <v>2253</v>
      </c>
      <c r="L304" s="155">
        <v>44407</v>
      </c>
      <c r="M304" s="129">
        <f t="shared" si="14"/>
        <v>226.8</v>
      </c>
      <c r="N304" s="158">
        <v>227</v>
      </c>
      <c r="O304" s="386">
        <v>2268</v>
      </c>
      <c r="P304" s="125">
        <v>44511</v>
      </c>
      <c r="Q304" s="437">
        <v>44509</v>
      </c>
      <c r="R304" s="438">
        <v>15.93</v>
      </c>
      <c r="S304" s="439"/>
      <c r="T304" s="440">
        <f t="shared" ref="T304:T305" si="64">IF(O304="","",O304-K304)</f>
        <v>15</v>
      </c>
      <c r="U304" s="441" t="str">
        <f t="shared" si="16"/>
        <v>10 ELGIEQUIP</v>
      </c>
      <c r="V304" s="132">
        <f t="shared" si="17"/>
        <v>-0.92999999999999972</v>
      </c>
      <c r="W304" s="389">
        <f t="shared" ref="W304:W305" si="65">IF(M304=0,"",V304/K304)</f>
        <v>-4.1278295605858841E-4</v>
      </c>
      <c r="X304" s="442">
        <f t="shared" si="19"/>
        <v>0</v>
      </c>
      <c r="Y304" s="391">
        <f t="shared" si="20"/>
        <v>3</v>
      </c>
      <c r="Z304" s="392">
        <f t="shared" si="21"/>
        <v>12</v>
      </c>
      <c r="AA304" s="389">
        <f t="shared" si="22"/>
        <v>-1.4479591907413658E-3</v>
      </c>
      <c r="AB304" s="125" t="s">
        <v>485</v>
      </c>
      <c r="AC304" s="98"/>
      <c r="AD304" s="98"/>
    </row>
    <row r="305" spans="1:30" ht="12.75" customHeight="1">
      <c r="A305" s="125" t="s">
        <v>623</v>
      </c>
      <c r="B305" s="125"/>
      <c r="C305" s="382"/>
      <c r="D305" s="383"/>
      <c r="E305" s="384" t="str">
        <f t="shared" si="52"/>
        <v/>
      </c>
      <c r="F305" s="126"/>
      <c r="G305" s="126"/>
      <c r="H305" s="385">
        <f t="shared" si="53"/>
        <v>1216.4000000000001</v>
      </c>
      <c r="I305" s="126">
        <v>5</v>
      </c>
      <c r="J305" s="385">
        <v>1215</v>
      </c>
      <c r="K305" s="133">
        <v>6082</v>
      </c>
      <c r="L305" s="155">
        <v>44687</v>
      </c>
      <c r="M305" s="129">
        <f t="shared" si="14"/>
        <v>1243.8</v>
      </c>
      <c r="N305" s="158">
        <v>1245.05</v>
      </c>
      <c r="O305" s="386">
        <v>6219</v>
      </c>
      <c r="P305" s="125">
        <v>44701</v>
      </c>
      <c r="Q305" s="437">
        <v>44699</v>
      </c>
      <c r="R305" s="438">
        <v>15.93</v>
      </c>
      <c r="S305" s="439"/>
      <c r="T305" s="440">
        <f t="shared" si="64"/>
        <v>137</v>
      </c>
      <c r="U305" s="441" t="str">
        <f t="shared" si="16"/>
        <v>5 ENDURANCE</v>
      </c>
      <c r="V305" s="132">
        <f t="shared" si="17"/>
        <v>121.07</v>
      </c>
      <c r="W305" s="389">
        <f t="shared" si="65"/>
        <v>1.9906280828674777E-2</v>
      </c>
      <c r="X305" s="442">
        <f t="shared" si="19"/>
        <v>0</v>
      </c>
      <c r="Y305" s="391">
        <f t="shared" si="20"/>
        <v>0</v>
      </c>
      <c r="Z305" s="392">
        <f t="shared" si="21"/>
        <v>14</v>
      </c>
      <c r="AA305" s="389">
        <f t="shared" si="22"/>
        <v>0.67177709602612867</v>
      </c>
      <c r="AB305" s="125" t="s">
        <v>485</v>
      </c>
      <c r="AC305" s="98"/>
      <c r="AD305" s="98"/>
    </row>
    <row r="306" spans="1:30" ht="12.75" customHeight="1">
      <c r="A306" s="125" t="s">
        <v>628</v>
      </c>
      <c r="B306" s="125"/>
      <c r="C306" s="382"/>
      <c r="D306" s="383"/>
      <c r="E306" s="384" t="str">
        <f t="shared" si="52"/>
        <v/>
      </c>
      <c r="F306" s="126"/>
      <c r="G306" s="126"/>
      <c r="H306" s="385">
        <f t="shared" si="53"/>
        <v>1251.4000000000001</v>
      </c>
      <c r="I306" s="126">
        <v>5</v>
      </c>
      <c r="J306" s="385">
        <v>1250</v>
      </c>
      <c r="K306" s="133">
        <v>6257</v>
      </c>
      <c r="L306" s="155">
        <v>44769</v>
      </c>
      <c r="M306" s="129">
        <f t="shared" si="14"/>
        <v>1337.6</v>
      </c>
      <c r="N306" s="158">
        <v>1339</v>
      </c>
      <c r="O306" s="386">
        <v>6688</v>
      </c>
      <c r="P306" s="125">
        <v>44798</v>
      </c>
      <c r="Q306" s="437">
        <v>44796</v>
      </c>
      <c r="R306" s="438">
        <v>15.93</v>
      </c>
      <c r="S306" s="439"/>
      <c r="T306" s="440">
        <f t="shared" ref="T306:T307" si="66">IF(OR(O306="",K306=""),"",O306-K306)</f>
        <v>431</v>
      </c>
      <c r="U306" s="441" t="str">
        <f t="shared" si="16"/>
        <v>5 EXCELINDUS</v>
      </c>
      <c r="V306" s="132">
        <f t="shared" si="17"/>
        <v>415.07</v>
      </c>
      <c r="W306" s="389">
        <f t="shared" ref="W306:W307" si="67">IF(OR(K306="",V306=""),"",V306/K306)</f>
        <v>6.6336902669010711E-2</v>
      </c>
      <c r="X306" s="442">
        <f t="shared" si="19"/>
        <v>0</v>
      </c>
      <c r="Y306" s="391">
        <f t="shared" si="20"/>
        <v>0</v>
      </c>
      <c r="Z306" s="392">
        <f t="shared" si="21"/>
        <v>29</v>
      </c>
      <c r="AA306" s="389">
        <f t="shared" si="22"/>
        <v>1.2443220764887744</v>
      </c>
      <c r="AB306" s="125" t="s">
        <v>485</v>
      </c>
      <c r="AC306" s="98"/>
      <c r="AD306" s="98"/>
    </row>
    <row r="307" spans="1:30" ht="12.75" customHeight="1">
      <c r="A307" s="125" t="s">
        <v>628</v>
      </c>
      <c r="B307" s="125"/>
      <c r="C307" s="382"/>
      <c r="D307" s="383"/>
      <c r="E307" s="384" t="str">
        <f t="shared" si="52"/>
        <v/>
      </c>
      <c r="F307" s="126"/>
      <c r="G307" s="126"/>
      <c r="H307" s="385">
        <f t="shared" si="53"/>
        <v>1301.5999999999999</v>
      </c>
      <c r="I307" s="126">
        <v>5</v>
      </c>
      <c r="J307" s="385">
        <v>1300</v>
      </c>
      <c r="K307" s="133">
        <v>6508</v>
      </c>
      <c r="L307" s="155">
        <v>44767</v>
      </c>
      <c r="M307" s="129">
        <f t="shared" si="14"/>
        <v>1396.6</v>
      </c>
      <c r="N307" s="158">
        <v>1398</v>
      </c>
      <c r="O307" s="386">
        <v>6983</v>
      </c>
      <c r="P307" s="125">
        <v>44799</v>
      </c>
      <c r="Q307" s="437">
        <v>44797</v>
      </c>
      <c r="R307" s="438">
        <v>15.93</v>
      </c>
      <c r="S307" s="439"/>
      <c r="T307" s="440">
        <f t="shared" si="66"/>
        <v>475</v>
      </c>
      <c r="U307" s="441" t="str">
        <f t="shared" si="16"/>
        <v>5 EXCELINDUS</v>
      </c>
      <c r="V307" s="132">
        <f t="shared" si="17"/>
        <v>459.07</v>
      </c>
      <c r="W307" s="389">
        <f t="shared" si="67"/>
        <v>7.0539336201598038E-2</v>
      </c>
      <c r="X307" s="442">
        <f t="shared" si="19"/>
        <v>0</v>
      </c>
      <c r="Y307" s="391">
        <f t="shared" si="20"/>
        <v>1</v>
      </c>
      <c r="Z307" s="392">
        <f t="shared" si="21"/>
        <v>1</v>
      </c>
      <c r="AA307" s="389">
        <f t="shared" si="22"/>
        <v>1.1759804830477756</v>
      </c>
      <c r="AB307" s="125" t="s">
        <v>485</v>
      </c>
      <c r="AC307" s="98"/>
      <c r="AD307" s="98"/>
    </row>
    <row r="308" spans="1:30" ht="12.75" customHeight="1">
      <c r="A308" s="125" t="s">
        <v>523</v>
      </c>
      <c r="B308" s="125" t="s">
        <v>523</v>
      </c>
      <c r="C308" s="382" t="s">
        <v>1201</v>
      </c>
      <c r="D308" s="383"/>
      <c r="E308" s="384"/>
      <c r="F308" s="126" t="s">
        <v>1145</v>
      </c>
      <c r="G308" s="126"/>
      <c r="H308" s="385">
        <f t="shared" si="53"/>
        <v>352.42</v>
      </c>
      <c r="I308" s="126">
        <v>50</v>
      </c>
      <c r="J308" s="385">
        <v>352</v>
      </c>
      <c r="K308" s="133">
        <v>17621</v>
      </c>
      <c r="L308" s="155">
        <v>44341</v>
      </c>
      <c r="M308" s="129">
        <f t="shared" si="14"/>
        <v>356.62</v>
      </c>
      <c r="N308" s="158">
        <v>357</v>
      </c>
      <c r="O308" s="386">
        <v>17831</v>
      </c>
      <c r="P308" s="125">
        <v>44363</v>
      </c>
      <c r="Q308" s="437">
        <v>44361</v>
      </c>
      <c r="R308" s="438">
        <v>15.93</v>
      </c>
      <c r="S308" s="439"/>
      <c r="T308" s="440">
        <f t="shared" ref="T308:T310" si="68">IF(O308="","",O308-K308)</f>
        <v>210</v>
      </c>
      <c r="U308" s="441" t="str">
        <f t="shared" si="16"/>
        <v>50 FDC</v>
      </c>
      <c r="V308" s="132">
        <f t="shared" si="17"/>
        <v>194.07</v>
      </c>
      <c r="W308" s="389">
        <f t="shared" ref="W308:W310" si="69">IF(M308=0,"",V308/K308)</f>
        <v>1.1013563361897735E-2</v>
      </c>
      <c r="X308" s="442">
        <f t="shared" si="19"/>
        <v>0</v>
      </c>
      <c r="Y308" s="391">
        <f t="shared" si="20"/>
        <v>0</v>
      </c>
      <c r="Z308" s="392">
        <f t="shared" si="21"/>
        <v>22</v>
      </c>
      <c r="AA308" s="389">
        <f t="shared" si="22"/>
        <v>0.19928569964440457</v>
      </c>
      <c r="AB308" s="125" t="s">
        <v>485</v>
      </c>
      <c r="AC308" s="98"/>
      <c r="AD308" s="98"/>
    </row>
    <row r="309" spans="1:30" ht="12.75" customHeight="1">
      <c r="A309" s="125" t="s">
        <v>601</v>
      </c>
      <c r="B309" s="125"/>
      <c r="C309" s="382"/>
      <c r="D309" s="383"/>
      <c r="E309" s="384" t="str">
        <f t="shared" ref="E309:E326" si="70">IFERROR(IF(D309="","",(D309-J309)/J309),"")</f>
        <v/>
      </c>
      <c r="F309" s="126"/>
      <c r="G309" s="126"/>
      <c r="H309" s="385">
        <f t="shared" si="53"/>
        <v>95.11</v>
      </c>
      <c r="I309" s="126">
        <v>100</v>
      </c>
      <c r="J309" s="385">
        <v>95</v>
      </c>
      <c r="K309" s="133">
        <v>9511</v>
      </c>
      <c r="L309" s="155">
        <v>44572</v>
      </c>
      <c r="M309" s="129">
        <f t="shared" si="14"/>
        <v>97.1</v>
      </c>
      <c r="N309" s="158">
        <v>97.2</v>
      </c>
      <c r="O309" s="386">
        <v>9710</v>
      </c>
      <c r="P309" s="125">
        <v>44616</v>
      </c>
      <c r="Q309" s="437">
        <v>44614</v>
      </c>
      <c r="R309" s="438">
        <v>15.93</v>
      </c>
      <c r="S309" s="439"/>
      <c r="T309" s="440">
        <f t="shared" si="68"/>
        <v>199</v>
      </c>
      <c r="U309" s="441" t="str">
        <f t="shared" si="16"/>
        <v>100 FEDERALBNK</v>
      </c>
      <c r="V309" s="132">
        <f t="shared" si="17"/>
        <v>183.07</v>
      </c>
      <c r="W309" s="389">
        <f t="shared" si="69"/>
        <v>1.9248238881295343E-2</v>
      </c>
      <c r="X309" s="442">
        <f t="shared" si="19"/>
        <v>0</v>
      </c>
      <c r="Y309" s="391">
        <f t="shared" si="20"/>
        <v>1</v>
      </c>
      <c r="Z309" s="392">
        <f t="shared" si="21"/>
        <v>13</v>
      </c>
      <c r="AA309" s="389">
        <f t="shared" si="22"/>
        <v>0.17134846426289219</v>
      </c>
      <c r="AB309" s="125" t="s">
        <v>485</v>
      </c>
      <c r="AC309" s="98"/>
      <c r="AD309" s="98"/>
    </row>
    <row r="310" spans="1:30" ht="12.75" customHeight="1">
      <c r="A310" s="125" t="s">
        <v>601</v>
      </c>
      <c r="B310" s="125"/>
      <c r="C310" s="382"/>
      <c r="D310" s="383"/>
      <c r="E310" s="384" t="str">
        <f t="shared" si="70"/>
        <v/>
      </c>
      <c r="F310" s="126"/>
      <c r="G310" s="126"/>
      <c r="H310" s="385">
        <f t="shared" si="53"/>
        <v>96.12</v>
      </c>
      <c r="I310" s="126">
        <v>50</v>
      </c>
      <c r="J310" s="385">
        <v>96</v>
      </c>
      <c r="K310" s="133">
        <v>4806</v>
      </c>
      <c r="L310" s="155">
        <v>44616</v>
      </c>
      <c r="M310" s="129">
        <f t="shared" si="14"/>
        <v>96.66</v>
      </c>
      <c r="N310" s="158">
        <v>96.75</v>
      </c>
      <c r="O310" s="386">
        <v>4833</v>
      </c>
      <c r="P310" s="125">
        <v>44623</v>
      </c>
      <c r="Q310" s="437">
        <v>44620</v>
      </c>
      <c r="R310" s="438">
        <v>15.93</v>
      </c>
      <c r="S310" s="439"/>
      <c r="T310" s="440">
        <f t="shared" si="68"/>
        <v>27</v>
      </c>
      <c r="U310" s="441" t="str">
        <f t="shared" si="16"/>
        <v>50 FEDERALBNK</v>
      </c>
      <c r="V310" s="132">
        <f t="shared" si="17"/>
        <v>11.07</v>
      </c>
      <c r="W310" s="389">
        <f t="shared" si="69"/>
        <v>2.3033707865168541E-3</v>
      </c>
      <c r="X310" s="442">
        <f t="shared" si="19"/>
        <v>0</v>
      </c>
      <c r="Y310" s="391">
        <f t="shared" si="20"/>
        <v>0</v>
      </c>
      <c r="Z310" s="392">
        <f t="shared" si="21"/>
        <v>7</v>
      </c>
      <c r="AA310" s="389">
        <f t="shared" si="22"/>
        <v>0.12745876932548006</v>
      </c>
      <c r="AB310" s="125" t="s">
        <v>485</v>
      </c>
      <c r="AC310" s="98"/>
      <c r="AD310" s="98"/>
    </row>
    <row r="311" spans="1:30" ht="12.75" customHeight="1">
      <c r="A311" s="125" t="s">
        <v>601</v>
      </c>
      <c r="B311" s="125"/>
      <c r="C311" s="382"/>
      <c r="D311" s="383"/>
      <c r="E311" s="384" t="str">
        <f t="shared" si="70"/>
        <v/>
      </c>
      <c r="F311" s="126"/>
      <c r="G311" s="126"/>
      <c r="H311" s="385">
        <f t="shared" si="53"/>
        <v>99.62</v>
      </c>
      <c r="I311" s="126">
        <v>50</v>
      </c>
      <c r="J311" s="385">
        <v>99.5</v>
      </c>
      <c r="K311" s="133">
        <v>4981</v>
      </c>
      <c r="L311" s="155">
        <v>44656</v>
      </c>
      <c r="M311" s="129">
        <f t="shared" si="14"/>
        <v>107.08</v>
      </c>
      <c r="N311" s="158">
        <v>107.2</v>
      </c>
      <c r="O311" s="386">
        <v>5354</v>
      </c>
      <c r="P311" s="125">
        <v>44771</v>
      </c>
      <c r="Q311" s="437">
        <v>44769</v>
      </c>
      <c r="R311" s="438">
        <v>15.93</v>
      </c>
      <c r="S311" s="439"/>
      <c r="T311" s="440">
        <f t="shared" ref="T311:T312" si="71">IF(OR(O311="",K311=""),"",O311-K311)</f>
        <v>373</v>
      </c>
      <c r="U311" s="441" t="str">
        <f t="shared" si="16"/>
        <v>50 FEDERALBNK</v>
      </c>
      <c r="V311" s="132">
        <f t="shared" si="17"/>
        <v>357.07</v>
      </c>
      <c r="W311" s="389">
        <f t="shared" ref="W311:W312" si="72">IF(OR(K311="",V311=""),"",V311/K311)</f>
        <v>7.1686408351736591E-2</v>
      </c>
      <c r="X311" s="442">
        <f t="shared" si="19"/>
        <v>0</v>
      </c>
      <c r="Y311" s="391">
        <f t="shared" si="20"/>
        <v>3</v>
      </c>
      <c r="Z311" s="392">
        <f t="shared" si="21"/>
        <v>24</v>
      </c>
      <c r="AA311" s="389">
        <f t="shared" si="22"/>
        <v>0.245754135681719</v>
      </c>
      <c r="AB311" s="125" t="s">
        <v>485</v>
      </c>
      <c r="AC311" s="98"/>
      <c r="AD311" s="98"/>
    </row>
    <row r="312" spans="1:30" ht="12.75" customHeight="1">
      <c r="A312" s="125" t="s">
        <v>601</v>
      </c>
      <c r="B312" s="125"/>
      <c r="C312" s="382"/>
      <c r="D312" s="383"/>
      <c r="E312" s="384" t="str">
        <f t="shared" si="70"/>
        <v/>
      </c>
      <c r="F312" s="126"/>
      <c r="G312" s="126"/>
      <c r="H312" s="385">
        <f t="shared" si="53"/>
        <v>99.62</v>
      </c>
      <c r="I312" s="126">
        <v>50</v>
      </c>
      <c r="J312" s="385">
        <v>99.5</v>
      </c>
      <c r="K312" s="133">
        <v>4981</v>
      </c>
      <c r="L312" s="155">
        <v>44656</v>
      </c>
      <c r="M312" s="129">
        <f t="shared" si="14"/>
        <v>107.26</v>
      </c>
      <c r="N312" s="158">
        <v>107.375</v>
      </c>
      <c r="O312" s="386">
        <v>5363</v>
      </c>
      <c r="P312" s="125">
        <v>44777</v>
      </c>
      <c r="Q312" s="437">
        <v>44775</v>
      </c>
      <c r="R312" s="438">
        <v>15.93</v>
      </c>
      <c r="S312" s="439"/>
      <c r="T312" s="440">
        <f t="shared" si="71"/>
        <v>382</v>
      </c>
      <c r="U312" s="441" t="str">
        <f t="shared" si="16"/>
        <v>50 FEDERALBNK</v>
      </c>
      <c r="V312" s="132">
        <f t="shared" si="17"/>
        <v>366.07</v>
      </c>
      <c r="W312" s="389">
        <f t="shared" si="72"/>
        <v>7.349327444288295E-2</v>
      </c>
      <c r="X312" s="442">
        <f t="shared" si="19"/>
        <v>0</v>
      </c>
      <c r="Y312" s="391">
        <f t="shared" si="20"/>
        <v>3</v>
      </c>
      <c r="Z312" s="392">
        <f t="shared" si="21"/>
        <v>30</v>
      </c>
      <c r="AA312" s="389">
        <f t="shared" si="22"/>
        <v>0.2385315194076445</v>
      </c>
      <c r="AB312" s="125" t="s">
        <v>485</v>
      </c>
      <c r="AC312" s="98"/>
      <c r="AD312" s="98"/>
    </row>
    <row r="313" spans="1:30" ht="12.75" customHeight="1">
      <c r="A313" s="125" t="s">
        <v>612</v>
      </c>
      <c r="B313" s="125"/>
      <c r="C313" s="382"/>
      <c r="D313" s="383">
        <v>190</v>
      </c>
      <c r="E313" s="384">
        <f t="shared" si="70"/>
        <v>0.22121075976663299</v>
      </c>
      <c r="F313" s="126" t="s">
        <v>1191</v>
      </c>
      <c r="G313" s="126" t="s">
        <v>1266</v>
      </c>
      <c r="H313" s="385">
        <f t="shared" si="53"/>
        <v>155.77000000000001</v>
      </c>
      <c r="I313" s="126">
        <v>300</v>
      </c>
      <c r="J313" s="385">
        <v>155.58330000000001</v>
      </c>
      <c r="K313" s="133">
        <v>46731</v>
      </c>
      <c r="L313" s="155">
        <v>44651</v>
      </c>
      <c r="M313" s="129">
        <f t="shared" si="14"/>
        <v>160.61330000000001</v>
      </c>
      <c r="N313" s="158">
        <v>160.78</v>
      </c>
      <c r="O313" s="386">
        <v>48184</v>
      </c>
      <c r="P313" s="125">
        <v>44690</v>
      </c>
      <c r="Q313" s="437">
        <v>44686</v>
      </c>
      <c r="R313" s="438">
        <v>15.93</v>
      </c>
      <c r="S313" s="439"/>
      <c r="T313" s="440">
        <f>IF(O313="","",O313-K313)</f>
        <v>1453</v>
      </c>
      <c r="U313" s="441" t="str">
        <f t="shared" si="16"/>
        <v>300 GAIL</v>
      </c>
      <c r="V313" s="132">
        <f t="shared" si="17"/>
        <v>1437.07</v>
      </c>
      <c r="W313" s="389">
        <f>IF(M313=0,"",V313/K313)</f>
        <v>3.0751963364789966E-2</v>
      </c>
      <c r="X313" s="442">
        <f t="shared" si="19"/>
        <v>0</v>
      </c>
      <c r="Y313" s="391">
        <f t="shared" si="20"/>
        <v>1</v>
      </c>
      <c r="Z313" s="392">
        <f t="shared" si="21"/>
        <v>8</v>
      </c>
      <c r="AA313" s="389">
        <f t="shared" si="22"/>
        <v>0.32772932187975656</v>
      </c>
      <c r="AB313" s="125" t="s">
        <v>485</v>
      </c>
      <c r="AC313" s="98"/>
      <c r="AD313" s="98"/>
    </row>
    <row r="314" spans="1:30" ht="12.75" customHeight="1">
      <c r="A314" s="125" t="s">
        <v>612</v>
      </c>
      <c r="B314" s="125"/>
      <c r="C314" s="382"/>
      <c r="D314" s="383"/>
      <c r="E314" s="384" t="str">
        <f t="shared" si="70"/>
        <v/>
      </c>
      <c r="F314" s="126"/>
      <c r="G314" s="126"/>
      <c r="H314" s="385">
        <f t="shared" si="53"/>
        <v>159.44739999999999</v>
      </c>
      <c r="I314" s="126">
        <v>38</v>
      </c>
      <c r="J314" s="385">
        <v>159.25</v>
      </c>
      <c r="K314" s="133">
        <v>6059</v>
      </c>
      <c r="L314" s="155">
        <v>44687</v>
      </c>
      <c r="M314" s="129">
        <f t="shared" si="14"/>
        <v>190</v>
      </c>
      <c r="N314" s="158">
        <v>190</v>
      </c>
      <c r="O314" s="386">
        <v>7220</v>
      </c>
      <c r="P314" s="125">
        <v>44729</v>
      </c>
      <c r="Q314" s="437">
        <v>44727</v>
      </c>
      <c r="R314" s="438"/>
      <c r="S314" s="439"/>
      <c r="T314" s="440">
        <f t="shared" ref="T314:T322" si="73">IF(OR(O314="",K314=""),"",O314-K314)</f>
        <v>1161</v>
      </c>
      <c r="U314" s="441" t="str">
        <f t="shared" si="16"/>
        <v>38 GAIL</v>
      </c>
      <c r="V314" s="132">
        <f t="shared" si="17"/>
        <v>1161</v>
      </c>
      <c r="W314" s="389">
        <f t="shared" ref="W314:W322" si="74">IF(OR(K314="",V314=""),"",V314/K314)</f>
        <v>0.19161577818121803</v>
      </c>
      <c r="X314" s="442">
        <f t="shared" si="19"/>
        <v>0</v>
      </c>
      <c r="Y314" s="391">
        <f t="shared" si="20"/>
        <v>1</v>
      </c>
      <c r="Z314" s="392">
        <f t="shared" si="21"/>
        <v>11</v>
      </c>
      <c r="AA314" s="389">
        <f t="shared" si="22"/>
        <v>3.5883889482989257</v>
      </c>
      <c r="AB314" s="125" t="s">
        <v>485</v>
      </c>
      <c r="AC314" s="98"/>
      <c r="AD314" s="98"/>
    </row>
    <row r="315" spans="1:30" ht="12.75" customHeight="1">
      <c r="A315" s="125" t="s">
        <v>612</v>
      </c>
      <c r="B315" s="125"/>
      <c r="C315" s="382"/>
      <c r="D315" s="383"/>
      <c r="E315" s="384" t="str">
        <f t="shared" si="70"/>
        <v/>
      </c>
      <c r="F315" s="126"/>
      <c r="G315" s="126"/>
      <c r="H315" s="385">
        <f t="shared" si="53"/>
        <v>87.911100000000005</v>
      </c>
      <c r="I315" s="126">
        <f>30*3/2</f>
        <v>45</v>
      </c>
      <c r="J315" s="385">
        <f>131.7/3*2</f>
        <v>87.8</v>
      </c>
      <c r="K315" s="133">
        <v>3956</v>
      </c>
      <c r="L315" s="155">
        <v>44796</v>
      </c>
      <c r="M315" s="129">
        <f t="shared" si="14"/>
        <v>92.911100000000005</v>
      </c>
      <c r="N315" s="158">
        <v>93</v>
      </c>
      <c r="O315" s="386">
        <v>4181</v>
      </c>
      <c r="P315" s="125">
        <v>44909</v>
      </c>
      <c r="Q315" s="437">
        <v>44907</v>
      </c>
      <c r="R315" s="438">
        <v>15.93</v>
      </c>
      <c r="S315" s="439"/>
      <c r="T315" s="440">
        <f t="shared" si="73"/>
        <v>225</v>
      </c>
      <c r="U315" s="441" t="str">
        <f t="shared" si="16"/>
        <v>45 GAIL</v>
      </c>
      <c r="V315" s="132">
        <f t="shared" si="17"/>
        <v>209.07</v>
      </c>
      <c r="W315" s="389">
        <f t="shared" si="74"/>
        <v>5.2848837209302321E-2</v>
      </c>
      <c r="X315" s="442">
        <f t="shared" si="19"/>
        <v>0</v>
      </c>
      <c r="Y315" s="391">
        <f t="shared" si="20"/>
        <v>3</v>
      </c>
      <c r="Z315" s="392">
        <f t="shared" si="21"/>
        <v>21</v>
      </c>
      <c r="AA315" s="389">
        <f t="shared" si="22"/>
        <v>0.18098458726887512</v>
      </c>
      <c r="AB315" s="125" t="s">
        <v>485</v>
      </c>
      <c r="AC315" s="98"/>
      <c r="AD315" s="98"/>
    </row>
    <row r="316" spans="1:30" ht="12.75" customHeight="1">
      <c r="A316" s="125" t="s">
        <v>612</v>
      </c>
      <c r="B316" s="125"/>
      <c r="C316" s="382"/>
      <c r="D316" s="383"/>
      <c r="E316" s="384" t="str">
        <f t="shared" si="70"/>
        <v/>
      </c>
      <c r="F316" s="126"/>
      <c r="G316" s="126"/>
      <c r="H316" s="385">
        <f t="shared" si="53"/>
        <v>96.621200000000002</v>
      </c>
      <c r="I316" s="126">
        <f>88*3/2</f>
        <v>132</v>
      </c>
      <c r="J316" s="385">
        <f>144.7557/3*2</f>
        <v>96.503799999999998</v>
      </c>
      <c r="K316" s="133">
        <v>12754</v>
      </c>
      <c r="L316" s="155">
        <v>44768</v>
      </c>
      <c r="M316" s="129">
        <f t="shared" si="14"/>
        <v>101.6439</v>
      </c>
      <c r="N316" s="158">
        <v>101.75</v>
      </c>
      <c r="O316" s="386">
        <v>13417</v>
      </c>
      <c r="P316" s="125">
        <v>44951</v>
      </c>
      <c r="Q316" s="437">
        <v>44949</v>
      </c>
      <c r="R316" s="438">
        <v>15.93</v>
      </c>
      <c r="S316" s="439"/>
      <c r="T316" s="440">
        <f t="shared" si="73"/>
        <v>663</v>
      </c>
      <c r="U316" s="441" t="str">
        <f t="shared" si="16"/>
        <v>132 GAIL</v>
      </c>
      <c r="V316" s="132">
        <f t="shared" si="17"/>
        <v>647.07000000000005</v>
      </c>
      <c r="W316" s="389">
        <f t="shared" si="74"/>
        <v>5.07346714756155E-2</v>
      </c>
      <c r="X316" s="442">
        <f t="shared" si="19"/>
        <v>0</v>
      </c>
      <c r="Y316" s="391">
        <f t="shared" si="20"/>
        <v>5</v>
      </c>
      <c r="Z316" s="392">
        <f t="shared" si="21"/>
        <v>30</v>
      </c>
      <c r="AA316" s="389">
        <f t="shared" si="22"/>
        <v>0.1037448182363867</v>
      </c>
      <c r="AB316" s="125" t="s">
        <v>485</v>
      </c>
      <c r="AC316" s="98"/>
      <c r="AD316" s="98"/>
    </row>
    <row r="317" spans="1:30" ht="12.75" customHeight="1">
      <c r="A317" s="125" t="s">
        <v>612</v>
      </c>
      <c r="B317" s="125"/>
      <c r="C317" s="382"/>
      <c r="D317" s="383"/>
      <c r="E317" s="384" t="str">
        <f t="shared" si="70"/>
        <v/>
      </c>
      <c r="F317" s="126"/>
      <c r="G317" s="126"/>
      <c r="H317" s="385">
        <f t="shared" si="53"/>
        <v>110.14</v>
      </c>
      <c r="I317" s="126">
        <v>50</v>
      </c>
      <c r="J317" s="385">
        <v>110</v>
      </c>
      <c r="K317" s="133">
        <v>5507</v>
      </c>
      <c r="L317" s="155">
        <v>44994</v>
      </c>
      <c r="M317" s="129">
        <f t="shared" si="14"/>
        <v>111.26</v>
      </c>
      <c r="N317" s="158">
        <v>111.38</v>
      </c>
      <c r="O317" s="386">
        <v>5563</v>
      </c>
      <c r="P317" s="125">
        <v>44995</v>
      </c>
      <c r="Q317" s="437">
        <v>44993</v>
      </c>
      <c r="R317" s="438">
        <v>15.93</v>
      </c>
      <c r="S317" s="439"/>
      <c r="T317" s="440">
        <f t="shared" si="73"/>
        <v>56</v>
      </c>
      <c r="U317" s="441" t="str">
        <f t="shared" si="16"/>
        <v>50 GAIL</v>
      </c>
      <c r="V317" s="132">
        <f t="shared" si="17"/>
        <v>40.07</v>
      </c>
      <c r="W317" s="389">
        <f t="shared" si="74"/>
        <v>7.276193934991829E-3</v>
      </c>
      <c r="X317" s="442">
        <f t="shared" si="19"/>
        <v>0</v>
      </c>
      <c r="Y317" s="391">
        <f t="shared" si="20"/>
        <v>0</v>
      </c>
      <c r="Z317" s="392">
        <f t="shared" si="21"/>
        <v>1</v>
      </c>
      <c r="AA317" s="389">
        <f t="shared" si="22"/>
        <v>13.10028914167644</v>
      </c>
      <c r="AB317" s="125" t="s">
        <v>485</v>
      </c>
      <c r="AC317" s="98"/>
      <c r="AD317" s="98"/>
    </row>
    <row r="318" spans="1:30" ht="12.75" customHeight="1">
      <c r="A318" s="125" t="s">
        <v>612</v>
      </c>
      <c r="B318" s="125"/>
      <c r="C318" s="382"/>
      <c r="D318" s="383"/>
      <c r="E318" s="384" t="str">
        <f t="shared" si="70"/>
        <v/>
      </c>
      <c r="F318" s="126"/>
      <c r="G318" s="126"/>
      <c r="H318" s="385">
        <f t="shared" si="53"/>
        <v>109.1395</v>
      </c>
      <c r="I318" s="126">
        <v>43</v>
      </c>
      <c r="J318" s="385">
        <v>109</v>
      </c>
      <c r="K318" s="133">
        <v>4693</v>
      </c>
      <c r="L318" s="155">
        <v>45000</v>
      </c>
      <c r="M318" s="129">
        <f t="shared" si="14"/>
        <v>108.6279</v>
      </c>
      <c r="N318" s="158">
        <v>108.73260000000001</v>
      </c>
      <c r="O318" s="386">
        <v>4671</v>
      </c>
      <c r="P318" s="125">
        <v>45001</v>
      </c>
      <c r="Q318" s="437">
        <v>44991</v>
      </c>
      <c r="R318" s="438"/>
      <c r="S318" s="439"/>
      <c r="T318" s="440">
        <f t="shared" si="73"/>
        <v>-22</v>
      </c>
      <c r="U318" s="441" t="str">
        <f t="shared" si="16"/>
        <v>43 GAIL</v>
      </c>
      <c r="V318" s="132">
        <f t="shared" si="17"/>
        <v>-22</v>
      </c>
      <c r="W318" s="389">
        <f t="shared" si="74"/>
        <v>-4.6878329426805884E-3</v>
      </c>
      <c r="X318" s="442">
        <f t="shared" si="19"/>
        <v>0</v>
      </c>
      <c r="Y318" s="391">
        <f t="shared" si="20"/>
        <v>0</v>
      </c>
      <c r="Z318" s="392">
        <f t="shared" si="21"/>
        <v>1</v>
      </c>
      <c r="AA318" s="389">
        <f t="shared" si="22"/>
        <v>-0.82005106840243336</v>
      </c>
      <c r="AB318" s="125" t="s">
        <v>485</v>
      </c>
      <c r="AC318" s="98"/>
      <c r="AD318" s="98"/>
    </row>
    <row r="319" spans="1:30" ht="12.75" customHeight="1">
      <c r="A319" s="125" t="s">
        <v>612</v>
      </c>
      <c r="B319" s="125"/>
      <c r="C319" s="382"/>
      <c r="D319" s="383"/>
      <c r="E319" s="384" t="str">
        <f t="shared" si="70"/>
        <v/>
      </c>
      <c r="F319" s="126"/>
      <c r="G319" s="126"/>
      <c r="H319" s="385">
        <f t="shared" si="53"/>
        <v>104</v>
      </c>
      <c r="I319" s="126">
        <f>2</f>
        <v>2</v>
      </c>
      <c r="J319" s="385">
        <v>104</v>
      </c>
      <c r="K319" s="133">
        <v>208</v>
      </c>
      <c r="L319" s="155">
        <v>45007</v>
      </c>
      <c r="M319" s="129">
        <f t="shared" si="14"/>
        <v>108.5</v>
      </c>
      <c r="N319" s="158">
        <v>108.75</v>
      </c>
      <c r="O319" s="386">
        <v>217</v>
      </c>
      <c r="P319" s="125">
        <v>45029</v>
      </c>
      <c r="Q319" s="437">
        <v>45028</v>
      </c>
      <c r="R319" s="438">
        <v>0</v>
      </c>
      <c r="S319" s="439"/>
      <c r="T319" s="440">
        <f t="shared" si="73"/>
        <v>9</v>
      </c>
      <c r="U319" s="441" t="str">
        <f t="shared" si="16"/>
        <v>2 GAIL</v>
      </c>
      <c r="V319" s="132">
        <f t="shared" si="17"/>
        <v>9</v>
      </c>
      <c r="W319" s="389">
        <f t="shared" si="74"/>
        <v>4.3269230769230768E-2</v>
      </c>
      <c r="X319" s="442">
        <f t="shared" si="19"/>
        <v>0</v>
      </c>
      <c r="Y319" s="391">
        <f t="shared" si="20"/>
        <v>0</v>
      </c>
      <c r="Z319" s="392">
        <f t="shared" si="21"/>
        <v>22</v>
      </c>
      <c r="AA319" s="389">
        <f t="shared" si="22"/>
        <v>1.0193564295605015</v>
      </c>
      <c r="AB319" s="125" t="s">
        <v>485</v>
      </c>
      <c r="AC319" s="98"/>
      <c r="AD319" s="98"/>
    </row>
    <row r="320" spans="1:30" ht="12.75" customHeight="1">
      <c r="A320" s="125" t="s">
        <v>612</v>
      </c>
      <c r="B320" s="125"/>
      <c r="C320" s="382"/>
      <c r="D320" s="383"/>
      <c r="E320" s="384" t="str">
        <f t="shared" si="70"/>
        <v/>
      </c>
      <c r="F320" s="126"/>
      <c r="G320" s="126"/>
      <c r="H320" s="385">
        <f t="shared" si="53"/>
        <v>106.2903</v>
      </c>
      <c r="I320" s="126">
        <f>62*3/2</f>
        <v>93</v>
      </c>
      <c r="J320" s="385">
        <v>106.17</v>
      </c>
      <c r="K320" s="133">
        <v>9885</v>
      </c>
      <c r="L320" s="155">
        <v>44687</v>
      </c>
      <c r="M320" s="129">
        <f t="shared" si="14"/>
        <v>108.6452</v>
      </c>
      <c r="N320" s="158">
        <v>108.75</v>
      </c>
      <c r="O320" s="386">
        <v>10104</v>
      </c>
      <c r="P320" s="125">
        <v>45029</v>
      </c>
      <c r="Q320" s="437">
        <v>45028</v>
      </c>
      <c r="R320" s="438">
        <v>15.93</v>
      </c>
      <c r="S320" s="439"/>
      <c r="T320" s="440">
        <f t="shared" si="73"/>
        <v>219</v>
      </c>
      <c r="U320" s="441" t="str">
        <f t="shared" si="16"/>
        <v>93 GAIL</v>
      </c>
      <c r="V320" s="132">
        <f t="shared" si="17"/>
        <v>203.07</v>
      </c>
      <c r="W320" s="389">
        <f t="shared" si="74"/>
        <v>2.0543247344461304E-2</v>
      </c>
      <c r="X320" s="442">
        <f t="shared" si="19"/>
        <v>0</v>
      </c>
      <c r="Y320" s="391">
        <f t="shared" si="20"/>
        <v>11</v>
      </c>
      <c r="Z320" s="392">
        <f t="shared" si="21"/>
        <v>7</v>
      </c>
      <c r="AA320" s="389">
        <f t="shared" si="22"/>
        <v>2.1939860233202824E-2</v>
      </c>
      <c r="AB320" s="125" t="s">
        <v>485</v>
      </c>
      <c r="AC320" s="98"/>
      <c r="AD320" s="98"/>
    </row>
    <row r="321" spans="1:30" ht="12.75" customHeight="1">
      <c r="A321" s="125" t="s">
        <v>612</v>
      </c>
      <c r="B321" s="125"/>
      <c r="C321" s="382"/>
      <c r="D321" s="383"/>
      <c r="E321" s="384" t="str">
        <f t="shared" si="70"/>
        <v/>
      </c>
      <c r="F321" s="126"/>
      <c r="G321" s="126"/>
      <c r="H321" s="385">
        <f t="shared" si="53"/>
        <v>107.48</v>
      </c>
      <c r="I321" s="126">
        <v>50</v>
      </c>
      <c r="J321" s="385">
        <v>107.35</v>
      </c>
      <c r="K321" s="133">
        <v>5374</v>
      </c>
      <c r="L321" s="155">
        <v>45029</v>
      </c>
      <c r="M321" s="129">
        <f t="shared" si="14"/>
        <v>110.26</v>
      </c>
      <c r="N321" s="158">
        <v>110.375</v>
      </c>
      <c r="O321" s="386">
        <v>5513</v>
      </c>
      <c r="P321" s="125">
        <v>45043</v>
      </c>
      <c r="Q321" s="437">
        <v>45042</v>
      </c>
      <c r="R321" s="438">
        <v>15.93</v>
      </c>
      <c r="S321" s="439"/>
      <c r="T321" s="440">
        <f t="shared" si="73"/>
        <v>139</v>
      </c>
      <c r="U321" s="441" t="str">
        <f t="shared" si="16"/>
        <v>50 GAIL</v>
      </c>
      <c r="V321" s="132">
        <f t="shared" si="17"/>
        <v>123.07</v>
      </c>
      <c r="W321" s="389">
        <f t="shared" si="74"/>
        <v>2.2901004838109414E-2</v>
      </c>
      <c r="X321" s="442">
        <f t="shared" si="19"/>
        <v>0</v>
      </c>
      <c r="Y321" s="391">
        <f t="shared" si="20"/>
        <v>0</v>
      </c>
      <c r="Z321" s="392">
        <f t="shared" si="21"/>
        <v>14</v>
      </c>
      <c r="AA321" s="389">
        <f t="shared" si="22"/>
        <v>0.80457998609537684</v>
      </c>
      <c r="AB321" s="125" t="s">
        <v>485</v>
      </c>
      <c r="AC321" s="98"/>
      <c r="AD321" s="98"/>
    </row>
    <row r="322" spans="1:30" ht="12.75" customHeight="1">
      <c r="A322" s="125" t="s">
        <v>630</v>
      </c>
      <c r="B322" s="125"/>
      <c r="C322" s="382"/>
      <c r="D322" s="383"/>
      <c r="E322" s="384" t="str">
        <f t="shared" si="70"/>
        <v/>
      </c>
      <c r="F322" s="126"/>
      <c r="G322" s="126"/>
      <c r="H322" s="385">
        <f t="shared" si="53"/>
        <v>3249</v>
      </c>
      <c r="I322" s="126">
        <v>2</v>
      </c>
      <c r="J322" s="385">
        <v>3245</v>
      </c>
      <c r="K322" s="133">
        <v>6498</v>
      </c>
      <c r="L322" s="155">
        <v>44769</v>
      </c>
      <c r="M322" s="129">
        <f t="shared" si="14"/>
        <v>3341.5</v>
      </c>
      <c r="N322" s="158">
        <v>3345</v>
      </c>
      <c r="O322" s="386">
        <v>6683</v>
      </c>
      <c r="P322" s="125">
        <v>44806</v>
      </c>
      <c r="Q322" s="437">
        <v>44803</v>
      </c>
      <c r="R322" s="438">
        <v>15.93</v>
      </c>
      <c r="S322" s="439"/>
      <c r="T322" s="440">
        <f t="shared" si="73"/>
        <v>185</v>
      </c>
      <c r="U322" s="441" t="str">
        <f t="shared" si="16"/>
        <v>2 GARFIBRES</v>
      </c>
      <c r="V322" s="132">
        <f t="shared" si="17"/>
        <v>169.07</v>
      </c>
      <c r="W322" s="389">
        <f t="shared" si="74"/>
        <v>2.6018775007694676E-2</v>
      </c>
      <c r="X322" s="442">
        <f t="shared" si="19"/>
        <v>0</v>
      </c>
      <c r="Y322" s="391">
        <f t="shared" si="20"/>
        <v>1</v>
      </c>
      <c r="Z322" s="392">
        <f t="shared" si="21"/>
        <v>6</v>
      </c>
      <c r="AA322" s="389">
        <f t="shared" si="22"/>
        <v>0.28838483863971165</v>
      </c>
      <c r="AB322" s="125" t="s">
        <v>485</v>
      </c>
      <c r="AC322" s="98"/>
      <c r="AD322" s="98"/>
    </row>
    <row r="323" spans="1:30" ht="12.75" customHeight="1">
      <c r="A323" s="125" t="s">
        <v>558</v>
      </c>
      <c r="B323" s="125" t="s">
        <v>1267</v>
      </c>
      <c r="C323" s="382" t="s">
        <v>1268</v>
      </c>
      <c r="D323" s="383" t="s">
        <v>1269</v>
      </c>
      <c r="E323" s="384">
        <f t="shared" si="70"/>
        <v>8.5481682496607828E-2</v>
      </c>
      <c r="F323" s="126" t="s">
        <v>1154</v>
      </c>
      <c r="G323" s="126" t="s">
        <v>1155</v>
      </c>
      <c r="H323" s="385">
        <f t="shared" si="53"/>
        <v>73.790000000000006</v>
      </c>
      <c r="I323" s="126">
        <v>100</v>
      </c>
      <c r="J323" s="385">
        <v>73.7</v>
      </c>
      <c r="K323" s="133">
        <v>7379</v>
      </c>
      <c r="L323" s="155">
        <v>44383</v>
      </c>
      <c r="M323" s="129">
        <f t="shared" si="14"/>
        <v>77.92</v>
      </c>
      <c r="N323" s="158">
        <v>78</v>
      </c>
      <c r="O323" s="386">
        <v>7792</v>
      </c>
      <c r="P323" s="125">
        <v>44475</v>
      </c>
      <c r="Q323" s="437">
        <v>44473</v>
      </c>
      <c r="R323" s="438">
        <v>15.93</v>
      </c>
      <c r="S323" s="439">
        <v>50</v>
      </c>
      <c r="T323" s="440">
        <f t="shared" ref="T323:T338" si="75">IF(O323="","",O323-K323)</f>
        <v>413</v>
      </c>
      <c r="U323" s="441" t="str">
        <f t="shared" si="16"/>
        <v>100 GENUSPOWER</v>
      </c>
      <c r="V323" s="132">
        <f t="shared" si="17"/>
        <v>447.07</v>
      </c>
      <c r="W323" s="389">
        <f t="shared" ref="W323:W338" si="76">IF(M323=0,"",V323/K323)</f>
        <v>6.0586800379455207E-2</v>
      </c>
      <c r="X323" s="442">
        <f t="shared" si="19"/>
        <v>0</v>
      </c>
      <c r="Y323" s="391">
        <f t="shared" si="20"/>
        <v>3</v>
      </c>
      <c r="Z323" s="392">
        <f t="shared" si="21"/>
        <v>0</v>
      </c>
      <c r="AA323" s="389">
        <f t="shared" si="22"/>
        <v>0.26285021418440024</v>
      </c>
      <c r="AB323" s="125" t="s">
        <v>485</v>
      </c>
      <c r="AC323" s="98"/>
      <c r="AD323" s="98"/>
    </row>
    <row r="324" spans="1:30" ht="12.75" customHeight="1">
      <c r="A324" s="125" t="s">
        <v>497</v>
      </c>
      <c r="B324" s="125" t="s">
        <v>497</v>
      </c>
      <c r="C324" s="382" t="s">
        <v>1201</v>
      </c>
      <c r="D324" s="383">
        <v>298</v>
      </c>
      <c r="E324" s="384">
        <f t="shared" si="70"/>
        <v>0.21964695722640823</v>
      </c>
      <c r="F324" s="126" t="s">
        <v>506</v>
      </c>
      <c r="G324" s="126">
        <v>180</v>
      </c>
      <c r="H324" s="385">
        <f t="shared" si="53"/>
        <v>244.62100000000001</v>
      </c>
      <c r="I324" s="126">
        <v>100</v>
      </c>
      <c r="J324" s="385">
        <v>244.333</v>
      </c>
      <c r="K324" s="133">
        <v>24462.1</v>
      </c>
      <c r="L324" s="155">
        <v>44267</v>
      </c>
      <c r="M324" s="129">
        <f t="shared" si="14"/>
        <v>250.74</v>
      </c>
      <c r="N324" s="158">
        <v>251</v>
      </c>
      <c r="O324" s="386">
        <v>25074</v>
      </c>
      <c r="P324" s="125">
        <v>44328</v>
      </c>
      <c r="Q324" s="437">
        <v>44326</v>
      </c>
      <c r="R324" s="438">
        <v>15.93</v>
      </c>
      <c r="S324" s="439"/>
      <c r="T324" s="440">
        <f t="shared" si="75"/>
        <v>611.90000000000146</v>
      </c>
      <c r="U324" s="441" t="str">
        <f t="shared" si="16"/>
        <v>100 GHCL</v>
      </c>
      <c r="V324" s="132">
        <f t="shared" si="17"/>
        <v>595.97000000000151</v>
      </c>
      <c r="W324" s="389">
        <f t="shared" si="76"/>
        <v>2.4362994182838004E-2</v>
      </c>
      <c r="X324" s="442">
        <f t="shared" si="19"/>
        <v>0</v>
      </c>
      <c r="Y324" s="391">
        <f t="shared" si="20"/>
        <v>2</v>
      </c>
      <c r="Z324" s="392">
        <f t="shared" si="21"/>
        <v>0</v>
      </c>
      <c r="AA324" s="389">
        <f t="shared" si="22"/>
        <v>0.1549200214845039</v>
      </c>
      <c r="AB324" s="125" t="s">
        <v>485</v>
      </c>
      <c r="AC324" s="98"/>
      <c r="AD324" s="98"/>
    </row>
    <row r="325" spans="1:30" ht="12.75" customHeight="1">
      <c r="A325" s="125" t="s">
        <v>497</v>
      </c>
      <c r="B325" s="125"/>
      <c r="C325" s="382"/>
      <c r="D325" s="383"/>
      <c r="E325" s="384" t="str">
        <f t="shared" si="70"/>
        <v/>
      </c>
      <c r="F325" s="126"/>
      <c r="G325" s="126" t="s">
        <v>1270</v>
      </c>
      <c r="H325" s="385">
        <f t="shared" si="53"/>
        <v>551.15</v>
      </c>
      <c r="I325" s="126">
        <v>20</v>
      </c>
      <c r="J325" s="385">
        <v>550.5</v>
      </c>
      <c r="K325" s="133">
        <v>11023</v>
      </c>
      <c r="L325" s="155">
        <v>44657</v>
      </c>
      <c r="M325" s="129">
        <f t="shared" si="14"/>
        <v>640.35</v>
      </c>
      <c r="N325" s="158">
        <v>641</v>
      </c>
      <c r="O325" s="386">
        <v>12807</v>
      </c>
      <c r="P325" s="125">
        <v>44701</v>
      </c>
      <c r="Q325" s="437">
        <v>44699</v>
      </c>
      <c r="R325" s="438">
        <v>15.93</v>
      </c>
      <c r="S325" s="439"/>
      <c r="T325" s="440">
        <f t="shared" si="75"/>
        <v>1784</v>
      </c>
      <c r="U325" s="441" t="str">
        <f t="shared" si="16"/>
        <v>20 GHCL</v>
      </c>
      <c r="V325" s="132">
        <f t="shared" si="17"/>
        <v>1768.07</v>
      </c>
      <c r="W325" s="389">
        <f t="shared" si="76"/>
        <v>0.16039825818742628</v>
      </c>
      <c r="X325" s="442">
        <f t="shared" si="19"/>
        <v>0</v>
      </c>
      <c r="Y325" s="391">
        <f t="shared" si="20"/>
        <v>1</v>
      </c>
      <c r="Z325" s="392">
        <f t="shared" si="21"/>
        <v>14</v>
      </c>
      <c r="AA325" s="389">
        <f t="shared" si="22"/>
        <v>2.4351444003075757</v>
      </c>
      <c r="AB325" s="125" t="s">
        <v>485</v>
      </c>
      <c r="AC325" s="98"/>
      <c r="AD325" s="98"/>
    </row>
    <row r="326" spans="1:30" ht="12.75" customHeight="1">
      <c r="A326" s="125" t="s">
        <v>549</v>
      </c>
      <c r="B326" s="125" t="s">
        <v>1271</v>
      </c>
      <c r="C326" s="382" t="s">
        <v>1201</v>
      </c>
      <c r="D326" s="383" t="s">
        <v>1272</v>
      </c>
      <c r="E326" s="384">
        <f t="shared" si="70"/>
        <v>8.8435374149659865E-2</v>
      </c>
      <c r="F326" s="126" t="s">
        <v>1154</v>
      </c>
      <c r="G326" s="126" t="s">
        <v>1155</v>
      </c>
      <c r="H326" s="385">
        <f t="shared" si="53"/>
        <v>147.18</v>
      </c>
      <c r="I326" s="126">
        <v>100</v>
      </c>
      <c r="J326" s="385">
        <v>147</v>
      </c>
      <c r="K326" s="133">
        <v>14718</v>
      </c>
      <c r="L326" s="155">
        <v>44369</v>
      </c>
      <c r="M326" s="129">
        <f t="shared" si="14"/>
        <v>151.34</v>
      </c>
      <c r="N326" s="158">
        <v>151.5</v>
      </c>
      <c r="O326" s="386">
        <v>15134</v>
      </c>
      <c r="P326" s="125">
        <v>44377</v>
      </c>
      <c r="Q326" s="437">
        <v>44375</v>
      </c>
      <c r="R326" s="438">
        <v>15.93</v>
      </c>
      <c r="S326" s="439"/>
      <c r="T326" s="440">
        <f t="shared" si="75"/>
        <v>416</v>
      </c>
      <c r="U326" s="441" t="str">
        <f t="shared" si="16"/>
        <v>100 GICHSGFIN</v>
      </c>
      <c r="V326" s="132">
        <f t="shared" si="17"/>
        <v>400.07</v>
      </c>
      <c r="W326" s="389">
        <f t="shared" si="76"/>
        <v>2.7182361733931241E-2</v>
      </c>
      <c r="X326" s="442">
        <f t="shared" si="19"/>
        <v>0</v>
      </c>
      <c r="Y326" s="391">
        <f t="shared" si="20"/>
        <v>0</v>
      </c>
      <c r="Z326" s="392">
        <f t="shared" si="21"/>
        <v>8</v>
      </c>
      <c r="AA326" s="389">
        <f t="shared" si="22"/>
        <v>2.399535802028339</v>
      </c>
      <c r="AB326" s="125" t="s">
        <v>485</v>
      </c>
      <c r="AC326" s="98"/>
      <c r="AD326" s="98"/>
    </row>
    <row r="327" spans="1:30" ht="12.75" customHeight="1">
      <c r="A327" s="125" t="s">
        <v>486</v>
      </c>
      <c r="B327" s="125" t="s">
        <v>1273</v>
      </c>
      <c r="C327" s="382" t="s">
        <v>1201</v>
      </c>
      <c r="D327" s="383"/>
      <c r="E327" s="384"/>
      <c r="F327" s="126" t="s">
        <v>1159</v>
      </c>
      <c r="G327" s="126"/>
      <c r="H327" s="385">
        <v>1500</v>
      </c>
      <c r="I327" s="126">
        <v>10</v>
      </c>
      <c r="J327" s="385">
        <v>1500</v>
      </c>
      <c r="K327" s="133">
        <v>15000</v>
      </c>
      <c r="L327" s="155">
        <v>44153</v>
      </c>
      <c r="M327" s="129">
        <f t="shared" si="14"/>
        <v>1748.1410000000001</v>
      </c>
      <c r="N327" s="158">
        <v>1750</v>
      </c>
      <c r="O327" s="386">
        <v>17481.41</v>
      </c>
      <c r="P327" s="125">
        <v>44159</v>
      </c>
      <c r="Q327" s="437">
        <v>44155</v>
      </c>
      <c r="R327" s="438">
        <v>15.93</v>
      </c>
      <c r="S327" s="439"/>
      <c r="T327" s="440">
        <f t="shared" si="75"/>
        <v>2481.41</v>
      </c>
      <c r="U327" s="441" t="str">
        <f t="shared" si="16"/>
        <v>10 GLAND</v>
      </c>
      <c r="V327" s="132">
        <f t="shared" si="17"/>
        <v>2465.48</v>
      </c>
      <c r="W327" s="389">
        <f t="shared" si="76"/>
        <v>0.16436533333333334</v>
      </c>
      <c r="X327" s="442">
        <f t="shared" si="19"/>
        <v>0</v>
      </c>
      <c r="Y327" s="391">
        <f t="shared" si="20"/>
        <v>0</v>
      </c>
      <c r="Z327" s="392">
        <f t="shared" si="21"/>
        <v>6</v>
      </c>
      <c r="AA327" s="389">
        <f t="shared" si="22"/>
        <v>10480.667795198495</v>
      </c>
      <c r="AB327" s="125" t="s">
        <v>485</v>
      </c>
      <c r="AC327" s="98"/>
      <c r="AD327" s="98"/>
    </row>
    <row r="328" spans="1:30" ht="12.75" customHeight="1">
      <c r="A328" s="125" t="s">
        <v>541</v>
      </c>
      <c r="B328" s="125" t="s">
        <v>1040</v>
      </c>
      <c r="C328" s="382" t="s">
        <v>1201</v>
      </c>
      <c r="D328" s="383" t="s">
        <v>1272</v>
      </c>
      <c r="E328" s="384">
        <f t="shared" ref="E328:E331" si="77">IFERROR(IF(D328="","",(D328-J328)/J328),"")</f>
        <v>5.6105610561056105E-2</v>
      </c>
      <c r="F328" s="126" t="s">
        <v>1154</v>
      </c>
      <c r="G328" s="126" t="s">
        <v>1155</v>
      </c>
      <c r="H328" s="385">
        <f t="shared" ref="H328:H333" si="78">ROUND(K328/I328,4)</f>
        <v>151.68</v>
      </c>
      <c r="I328" s="126">
        <v>50</v>
      </c>
      <c r="J328" s="385">
        <v>151.5</v>
      </c>
      <c r="K328" s="133">
        <v>7584</v>
      </c>
      <c r="L328" s="155">
        <v>44361</v>
      </c>
      <c r="M328" s="129">
        <f t="shared" si="14"/>
        <v>160.84</v>
      </c>
      <c r="N328" s="158">
        <v>161</v>
      </c>
      <c r="O328" s="386">
        <v>8042</v>
      </c>
      <c r="P328" s="125">
        <v>44368</v>
      </c>
      <c r="Q328" s="437">
        <v>44364</v>
      </c>
      <c r="R328" s="438">
        <v>15.93</v>
      </c>
      <c r="S328" s="439"/>
      <c r="T328" s="440">
        <f t="shared" si="75"/>
        <v>458</v>
      </c>
      <c r="U328" s="441" t="str">
        <f t="shared" si="16"/>
        <v>50 GREAVESCOT</v>
      </c>
      <c r="V328" s="132">
        <f t="shared" si="17"/>
        <v>442.07</v>
      </c>
      <c r="W328" s="389">
        <f t="shared" si="76"/>
        <v>5.8289820675105485E-2</v>
      </c>
      <c r="X328" s="442">
        <f t="shared" si="19"/>
        <v>0</v>
      </c>
      <c r="Y328" s="391">
        <f t="shared" si="20"/>
        <v>0</v>
      </c>
      <c r="Z328" s="392">
        <f t="shared" si="21"/>
        <v>7</v>
      </c>
      <c r="AA328" s="389">
        <f t="shared" si="22"/>
        <v>18.184704936267874</v>
      </c>
      <c r="AB328" s="125" t="s">
        <v>485</v>
      </c>
      <c r="AC328" s="98"/>
      <c r="AD328" s="98"/>
    </row>
    <row r="329" spans="1:30" ht="12.75" customHeight="1">
      <c r="A329" s="125" t="s">
        <v>541</v>
      </c>
      <c r="B329" s="125" t="s">
        <v>1040</v>
      </c>
      <c r="C329" s="382" t="s">
        <v>1274</v>
      </c>
      <c r="D329" s="383" t="s">
        <v>1275</v>
      </c>
      <c r="E329" s="384">
        <f t="shared" si="77"/>
        <v>7.1225071225071226E-2</v>
      </c>
      <c r="F329" s="126" t="s">
        <v>1154</v>
      </c>
      <c r="G329" s="126" t="s">
        <v>1155</v>
      </c>
      <c r="H329" s="385">
        <f t="shared" si="78"/>
        <v>175.7</v>
      </c>
      <c r="I329" s="126">
        <v>50</v>
      </c>
      <c r="J329" s="385">
        <v>175.5</v>
      </c>
      <c r="K329" s="133">
        <v>8785</v>
      </c>
      <c r="L329" s="155">
        <v>44382</v>
      </c>
      <c r="M329" s="129">
        <f t="shared" si="14"/>
        <v>155.84</v>
      </c>
      <c r="N329" s="158">
        <v>156</v>
      </c>
      <c r="O329" s="386">
        <v>7792</v>
      </c>
      <c r="P329" s="125">
        <v>44566</v>
      </c>
      <c r="Q329" s="437">
        <v>44564</v>
      </c>
      <c r="R329" s="438">
        <v>15.93</v>
      </c>
      <c r="S329" s="439">
        <v>10</v>
      </c>
      <c r="T329" s="440">
        <f t="shared" si="75"/>
        <v>-993</v>
      </c>
      <c r="U329" s="441" t="str">
        <f t="shared" si="16"/>
        <v>50 GREAVESCOT</v>
      </c>
      <c r="V329" s="132">
        <f t="shared" si="17"/>
        <v>-998.93</v>
      </c>
      <c r="W329" s="389">
        <f t="shared" si="76"/>
        <v>-0.11370859419464996</v>
      </c>
      <c r="X329" s="442">
        <f t="shared" si="19"/>
        <v>0</v>
      </c>
      <c r="Y329" s="391">
        <f t="shared" si="20"/>
        <v>6</v>
      </c>
      <c r="Z329" s="392">
        <f t="shared" si="21"/>
        <v>0</v>
      </c>
      <c r="AA329" s="389">
        <f t="shared" si="22"/>
        <v>-0.21294006298179624</v>
      </c>
      <c r="AB329" s="125" t="s">
        <v>485</v>
      </c>
      <c r="AC329" s="98"/>
      <c r="AD329" s="98"/>
    </row>
    <row r="330" spans="1:30" ht="12.75" customHeight="1">
      <c r="A330" s="125" t="s">
        <v>595</v>
      </c>
      <c r="B330" s="125" t="s">
        <v>1276</v>
      </c>
      <c r="C330" s="382" t="s">
        <v>1277</v>
      </c>
      <c r="D330" s="383">
        <v>1539</v>
      </c>
      <c r="E330" s="384">
        <f t="shared" si="77"/>
        <v>0.10719424460431655</v>
      </c>
      <c r="F330" s="126" t="s">
        <v>463</v>
      </c>
      <c r="G330" s="126" t="s">
        <v>1278</v>
      </c>
      <c r="H330" s="385">
        <f t="shared" si="78"/>
        <v>1391.6</v>
      </c>
      <c r="I330" s="126">
        <v>5</v>
      </c>
      <c r="J330" s="385">
        <v>1390</v>
      </c>
      <c r="K330" s="133">
        <v>6958</v>
      </c>
      <c r="L330" s="155">
        <v>44517</v>
      </c>
      <c r="M330" s="129">
        <f t="shared" si="14"/>
        <v>1393.6</v>
      </c>
      <c r="N330" s="158">
        <v>1395</v>
      </c>
      <c r="O330" s="386">
        <v>6968</v>
      </c>
      <c r="P330" s="125">
        <v>44539</v>
      </c>
      <c r="Q330" s="437">
        <v>44537</v>
      </c>
      <c r="R330" s="438">
        <v>15.93</v>
      </c>
      <c r="S330" s="439"/>
      <c r="T330" s="440">
        <f t="shared" si="75"/>
        <v>10</v>
      </c>
      <c r="U330" s="441" t="str">
        <f t="shared" si="16"/>
        <v>5 HAVELLS</v>
      </c>
      <c r="V330" s="132">
        <f t="shared" si="17"/>
        <v>-5.93</v>
      </c>
      <c r="W330" s="389">
        <f t="shared" si="76"/>
        <v>-8.522563955159528E-4</v>
      </c>
      <c r="X330" s="442">
        <f t="shared" si="19"/>
        <v>0</v>
      </c>
      <c r="Y330" s="391">
        <f t="shared" si="20"/>
        <v>0</v>
      </c>
      <c r="Z330" s="392">
        <f t="shared" si="21"/>
        <v>22</v>
      </c>
      <c r="AA330" s="389">
        <f t="shared" si="22"/>
        <v>-1.4046156295779322E-2</v>
      </c>
      <c r="AB330" s="125" t="s">
        <v>485</v>
      </c>
      <c r="AC330" s="98"/>
      <c r="AD330" s="98"/>
    </row>
    <row r="331" spans="1:30" ht="12.75" customHeight="1">
      <c r="A331" s="125" t="s">
        <v>559</v>
      </c>
      <c r="B331" s="125" t="s">
        <v>1279</v>
      </c>
      <c r="C331" s="382" t="s">
        <v>1280</v>
      </c>
      <c r="D331" s="383" t="s">
        <v>1281</v>
      </c>
      <c r="E331" s="384">
        <f t="shared" si="77"/>
        <v>8.8929219600725931E-2</v>
      </c>
      <c r="F331" s="126" t="s">
        <v>1154</v>
      </c>
      <c r="G331" s="126" t="s">
        <v>1155</v>
      </c>
      <c r="H331" s="385">
        <f t="shared" si="78"/>
        <v>55.17</v>
      </c>
      <c r="I331" s="126">
        <v>100</v>
      </c>
      <c r="J331" s="385">
        <v>55.1</v>
      </c>
      <c r="K331" s="133">
        <v>5517</v>
      </c>
      <c r="L331" s="155">
        <v>44383</v>
      </c>
      <c r="M331" s="129">
        <f t="shared" si="14"/>
        <v>58.44</v>
      </c>
      <c r="N331" s="158">
        <v>58.5</v>
      </c>
      <c r="O331" s="386">
        <v>5844</v>
      </c>
      <c r="P331" s="125">
        <v>44489</v>
      </c>
      <c r="Q331" s="437">
        <v>44487</v>
      </c>
      <c r="R331" s="438">
        <v>15.93</v>
      </c>
      <c r="S331" s="439">
        <v>35</v>
      </c>
      <c r="T331" s="440">
        <f t="shared" si="75"/>
        <v>327</v>
      </c>
      <c r="U331" s="441" t="str">
        <f t="shared" si="16"/>
        <v>100 HBLPOWER</v>
      </c>
      <c r="V331" s="132">
        <f t="shared" si="17"/>
        <v>346.07</v>
      </c>
      <c r="W331" s="389">
        <f t="shared" si="76"/>
        <v>6.2727931847018303E-2</v>
      </c>
      <c r="X331" s="442">
        <f t="shared" si="19"/>
        <v>0</v>
      </c>
      <c r="Y331" s="391">
        <f t="shared" si="20"/>
        <v>3</v>
      </c>
      <c r="Z331" s="392">
        <f t="shared" si="21"/>
        <v>14</v>
      </c>
      <c r="AA331" s="389">
        <f t="shared" si="22"/>
        <v>0.23305299798518941</v>
      </c>
      <c r="AB331" s="125" t="s">
        <v>485</v>
      </c>
      <c r="AC331" s="98"/>
      <c r="AD331" s="98"/>
    </row>
    <row r="332" spans="1:30" ht="12.75" customHeight="1">
      <c r="A332" s="125" t="s">
        <v>506</v>
      </c>
      <c r="B332" s="125" t="s">
        <v>506</v>
      </c>
      <c r="C332" s="382" t="s">
        <v>1201</v>
      </c>
      <c r="D332" s="383"/>
      <c r="E332" s="384"/>
      <c r="F332" s="126"/>
      <c r="G332" s="126"/>
      <c r="H332" s="385">
        <f t="shared" si="78"/>
        <v>2402.8000000000002</v>
      </c>
      <c r="I332" s="126">
        <v>5</v>
      </c>
      <c r="J332" s="385">
        <v>2400</v>
      </c>
      <c r="K332" s="133">
        <v>12014</v>
      </c>
      <c r="L332" s="155">
        <v>44320</v>
      </c>
      <c r="M332" s="129">
        <f t="shared" si="14"/>
        <v>2407.4</v>
      </c>
      <c r="N332" s="158">
        <v>2410</v>
      </c>
      <c r="O332" s="386">
        <v>12037</v>
      </c>
      <c r="P332" s="125">
        <v>44326</v>
      </c>
      <c r="Q332" s="437">
        <v>44322</v>
      </c>
      <c r="R332" s="438">
        <v>15.93</v>
      </c>
      <c r="S332" s="439"/>
      <c r="T332" s="440">
        <f t="shared" si="75"/>
        <v>23</v>
      </c>
      <c r="U332" s="441" t="str">
        <f t="shared" si="16"/>
        <v>5 HDFC</v>
      </c>
      <c r="V332" s="132">
        <f t="shared" si="17"/>
        <v>7.07</v>
      </c>
      <c r="W332" s="389">
        <f t="shared" si="76"/>
        <v>5.8848010654236722E-4</v>
      </c>
      <c r="X332" s="442">
        <f t="shared" si="19"/>
        <v>0</v>
      </c>
      <c r="Y332" s="391">
        <f t="shared" si="20"/>
        <v>0</v>
      </c>
      <c r="Z332" s="392">
        <f t="shared" si="21"/>
        <v>6</v>
      </c>
      <c r="AA332" s="389">
        <f t="shared" si="22"/>
        <v>3.6436800466515651E-2</v>
      </c>
      <c r="AB332" s="125" t="s">
        <v>485</v>
      </c>
      <c r="AC332" s="98"/>
      <c r="AD332" s="98"/>
    </row>
    <row r="333" spans="1:30" ht="12.75" customHeight="1">
      <c r="A333" s="125" t="s">
        <v>513</v>
      </c>
      <c r="B333" s="125" t="s">
        <v>1282</v>
      </c>
      <c r="C333" s="382" t="s">
        <v>1201</v>
      </c>
      <c r="D333" s="383">
        <v>1525</v>
      </c>
      <c r="E333" s="384">
        <f>IFERROR(IF(D333="","",(D333-J333)/J333),"")</f>
        <v>8.9285714285714288E-2</v>
      </c>
      <c r="F333" s="126" t="s">
        <v>1154</v>
      </c>
      <c r="G333" s="126" t="s">
        <v>1223</v>
      </c>
      <c r="H333" s="385">
        <f t="shared" si="78"/>
        <v>1401.7</v>
      </c>
      <c r="I333" s="126">
        <v>10</v>
      </c>
      <c r="J333" s="385">
        <v>1400</v>
      </c>
      <c r="K333" s="133">
        <v>14017</v>
      </c>
      <c r="L333" s="155">
        <v>44327</v>
      </c>
      <c r="M333" s="129">
        <f t="shared" si="14"/>
        <v>1463.5</v>
      </c>
      <c r="N333" s="158">
        <v>1465</v>
      </c>
      <c r="O333" s="386">
        <v>14635</v>
      </c>
      <c r="P333" s="125">
        <v>44336</v>
      </c>
      <c r="Q333" s="437">
        <v>44334</v>
      </c>
      <c r="R333" s="438">
        <v>15.93</v>
      </c>
      <c r="S333" s="439"/>
      <c r="T333" s="440">
        <f t="shared" si="75"/>
        <v>618</v>
      </c>
      <c r="U333" s="441" t="str">
        <f t="shared" si="16"/>
        <v>10 HDFCBANK</v>
      </c>
      <c r="V333" s="132">
        <f t="shared" si="17"/>
        <v>602.07000000000005</v>
      </c>
      <c r="W333" s="389">
        <f t="shared" si="76"/>
        <v>4.2952842976385817E-2</v>
      </c>
      <c r="X333" s="442">
        <f t="shared" si="19"/>
        <v>0</v>
      </c>
      <c r="Y333" s="391">
        <f t="shared" si="20"/>
        <v>0</v>
      </c>
      <c r="Z333" s="392">
        <f t="shared" si="21"/>
        <v>9</v>
      </c>
      <c r="AA333" s="389">
        <f t="shared" si="22"/>
        <v>4.5047034992227442</v>
      </c>
      <c r="AB333" s="125" t="s">
        <v>485</v>
      </c>
      <c r="AC333" s="98"/>
      <c r="AD333" s="98"/>
    </row>
    <row r="334" spans="1:30" ht="12.75" customHeight="1">
      <c r="A334" s="125" t="s">
        <v>475</v>
      </c>
      <c r="B334" s="125" t="s">
        <v>1283</v>
      </c>
      <c r="C334" s="382" t="s">
        <v>1201</v>
      </c>
      <c r="D334" s="383"/>
      <c r="E334" s="384"/>
      <c r="F334" s="126"/>
      <c r="G334" s="126"/>
      <c r="H334" s="385">
        <v>1789.492</v>
      </c>
      <c r="I334" s="126">
        <v>5</v>
      </c>
      <c r="J334" s="385">
        <v>1779.45</v>
      </c>
      <c r="K334" s="133">
        <v>8947.4599999999991</v>
      </c>
      <c r="L334" s="155">
        <v>41194</v>
      </c>
      <c r="M334" s="129">
        <f t="shared" si="14"/>
        <v>1828.6780000000001</v>
      </c>
      <c r="N334" s="158">
        <v>1839</v>
      </c>
      <c r="O334" s="386">
        <v>9143.39</v>
      </c>
      <c r="P334" s="125">
        <v>41204</v>
      </c>
      <c r="Q334" s="437">
        <v>41200</v>
      </c>
      <c r="R334" s="438">
        <v>6</v>
      </c>
      <c r="S334" s="439"/>
      <c r="T334" s="440">
        <f t="shared" si="75"/>
        <v>195.93000000000029</v>
      </c>
      <c r="U334" s="441" t="str">
        <f t="shared" si="16"/>
        <v>5 HEROMOTOCO</v>
      </c>
      <c r="V334" s="132">
        <f t="shared" si="17"/>
        <v>189.93000000000029</v>
      </c>
      <c r="W334" s="389">
        <f t="shared" si="76"/>
        <v>2.1227253321054278E-2</v>
      </c>
      <c r="X334" s="442">
        <f t="shared" si="19"/>
        <v>0</v>
      </c>
      <c r="Y334" s="391">
        <f t="shared" si="20"/>
        <v>0</v>
      </c>
      <c r="Z334" s="392">
        <f t="shared" si="21"/>
        <v>10</v>
      </c>
      <c r="AA334" s="389">
        <f t="shared" si="22"/>
        <v>1.1526204532620872</v>
      </c>
      <c r="AB334" s="125" t="s">
        <v>460</v>
      </c>
      <c r="AC334" s="98"/>
      <c r="AD334" s="98"/>
    </row>
    <row r="335" spans="1:30" ht="12.75" customHeight="1">
      <c r="A335" s="125" t="s">
        <v>481</v>
      </c>
      <c r="B335" s="125" t="s">
        <v>1284</v>
      </c>
      <c r="C335" s="382" t="s">
        <v>1201</v>
      </c>
      <c r="D335" s="383"/>
      <c r="E335" s="384"/>
      <c r="F335" s="126"/>
      <c r="G335" s="126"/>
      <c r="H335" s="385">
        <v>202.81</v>
      </c>
      <c r="I335" s="126">
        <v>100</v>
      </c>
      <c r="J335" s="385">
        <v>201.8</v>
      </c>
      <c r="K335" s="133">
        <v>20281</v>
      </c>
      <c r="L335" s="155">
        <v>38855</v>
      </c>
      <c r="M335" s="129">
        <f t="shared" si="14"/>
        <v>207.14</v>
      </c>
      <c r="N335" s="158">
        <v>208.6</v>
      </c>
      <c r="O335" s="386">
        <v>20714</v>
      </c>
      <c r="P335" s="125">
        <v>42935</v>
      </c>
      <c r="Q335" s="437">
        <v>42933</v>
      </c>
      <c r="R335" s="438">
        <v>24.78</v>
      </c>
      <c r="S335" s="439">
        <f>(220+185+135)+155+140+100+100+100</f>
        <v>1135</v>
      </c>
      <c r="T335" s="440">
        <f t="shared" si="75"/>
        <v>433</v>
      </c>
      <c r="U335" s="441" t="str">
        <f t="shared" si="16"/>
        <v>100 HINDALCO</v>
      </c>
      <c r="V335" s="132">
        <f t="shared" si="17"/>
        <v>1543.22</v>
      </c>
      <c r="W335" s="389">
        <f t="shared" si="76"/>
        <v>7.6091908683003792E-2</v>
      </c>
      <c r="X335" s="442">
        <f t="shared" si="19"/>
        <v>11</v>
      </c>
      <c r="Y335" s="391">
        <f t="shared" si="20"/>
        <v>2</v>
      </c>
      <c r="Z335" s="392">
        <f t="shared" si="21"/>
        <v>1</v>
      </c>
      <c r="AA335" s="389">
        <f t="shared" si="22"/>
        <v>6.5822533385988535E-3</v>
      </c>
      <c r="AB335" s="125" t="s">
        <v>460</v>
      </c>
      <c r="AC335" s="98"/>
      <c r="AD335" s="98"/>
    </row>
    <row r="336" spans="1:30" ht="12.75" customHeight="1">
      <c r="A336" s="125" t="s">
        <v>481</v>
      </c>
      <c r="B336" s="125" t="s">
        <v>1284</v>
      </c>
      <c r="C336" s="382" t="s">
        <v>1201</v>
      </c>
      <c r="D336" s="383" t="s">
        <v>1285</v>
      </c>
      <c r="E336" s="384">
        <f t="shared" ref="E336:E342" si="79">IFERROR(IF(D336="","",(D336-J336)/J336),"")</f>
        <v>1.5789473684210527E-2</v>
      </c>
      <c r="F336" s="126" t="s">
        <v>1154</v>
      </c>
      <c r="G336" s="126" t="s">
        <v>1261</v>
      </c>
      <c r="H336" s="385">
        <f t="shared" ref="H336:H356" si="80">ROUND(K336/I336,4)</f>
        <v>380.46</v>
      </c>
      <c r="I336" s="126">
        <v>50</v>
      </c>
      <c r="J336" s="385">
        <v>380</v>
      </c>
      <c r="K336" s="133">
        <v>19023</v>
      </c>
      <c r="L336" s="155">
        <v>44375</v>
      </c>
      <c r="M336" s="129">
        <f t="shared" si="14"/>
        <v>388.6</v>
      </c>
      <c r="N336" s="158">
        <v>389</v>
      </c>
      <c r="O336" s="386">
        <v>19430</v>
      </c>
      <c r="P336" s="125">
        <v>44384</v>
      </c>
      <c r="Q336" s="437">
        <v>44382</v>
      </c>
      <c r="R336" s="438">
        <v>15.93</v>
      </c>
      <c r="S336" s="439"/>
      <c r="T336" s="440">
        <f t="shared" si="75"/>
        <v>407</v>
      </c>
      <c r="U336" s="441" t="str">
        <f t="shared" si="16"/>
        <v>50 HINDALCO</v>
      </c>
      <c r="V336" s="132">
        <f t="shared" si="17"/>
        <v>391.07</v>
      </c>
      <c r="W336" s="389">
        <f t="shared" si="76"/>
        <v>2.0557745886558378E-2</v>
      </c>
      <c r="X336" s="442">
        <f t="shared" si="19"/>
        <v>0</v>
      </c>
      <c r="Y336" s="391">
        <f t="shared" si="20"/>
        <v>0</v>
      </c>
      <c r="Z336" s="392">
        <f t="shared" si="21"/>
        <v>9</v>
      </c>
      <c r="AA336" s="389">
        <f t="shared" si="22"/>
        <v>1.2825121611392483</v>
      </c>
      <c r="AB336" s="125" t="s">
        <v>485</v>
      </c>
      <c r="AC336" s="98"/>
      <c r="AD336" s="98"/>
    </row>
    <row r="337" spans="1:30" ht="12.75" customHeight="1">
      <c r="A337" s="125" t="s">
        <v>481</v>
      </c>
      <c r="B337" s="125"/>
      <c r="C337" s="382"/>
      <c r="D337" s="383"/>
      <c r="E337" s="384" t="str">
        <f t="shared" si="79"/>
        <v/>
      </c>
      <c r="F337" s="126"/>
      <c r="G337" s="126"/>
      <c r="H337" s="385">
        <f t="shared" si="80"/>
        <v>489.78</v>
      </c>
      <c r="I337" s="126">
        <v>50</v>
      </c>
      <c r="J337" s="385">
        <v>489.2</v>
      </c>
      <c r="K337" s="133">
        <v>24489</v>
      </c>
      <c r="L337" s="155">
        <v>44572</v>
      </c>
      <c r="M337" s="129">
        <f t="shared" si="14"/>
        <v>497.98</v>
      </c>
      <c r="N337" s="158">
        <v>498.5</v>
      </c>
      <c r="O337" s="386">
        <v>24899</v>
      </c>
      <c r="P337" s="125">
        <v>44575</v>
      </c>
      <c r="Q337" s="437">
        <v>44573</v>
      </c>
      <c r="R337" s="438"/>
      <c r="S337" s="439"/>
      <c r="T337" s="440">
        <f t="shared" si="75"/>
        <v>410</v>
      </c>
      <c r="U337" s="441" t="str">
        <f t="shared" si="16"/>
        <v>50 HINDALCO</v>
      </c>
      <c r="V337" s="132">
        <f t="shared" si="17"/>
        <v>410</v>
      </c>
      <c r="W337" s="389">
        <f t="shared" si="76"/>
        <v>1.6742210788517294E-2</v>
      </c>
      <c r="X337" s="442">
        <f t="shared" si="19"/>
        <v>0</v>
      </c>
      <c r="Y337" s="391">
        <f t="shared" si="20"/>
        <v>0</v>
      </c>
      <c r="Z337" s="392">
        <f t="shared" si="21"/>
        <v>3</v>
      </c>
      <c r="AA337" s="389">
        <f t="shared" si="22"/>
        <v>6.539118466469473</v>
      </c>
      <c r="AB337" s="125" t="s">
        <v>485</v>
      </c>
      <c r="AC337" s="98"/>
      <c r="AD337" s="98"/>
    </row>
    <row r="338" spans="1:30" ht="12.75" customHeight="1">
      <c r="A338" s="125" t="s">
        <v>504</v>
      </c>
      <c r="B338" s="125" t="s">
        <v>1286</v>
      </c>
      <c r="C338" s="382" t="s">
        <v>1201</v>
      </c>
      <c r="D338" s="383">
        <v>2625</v>
      </c>
      <c r="E338" s="384">
        <f t="shared" si="79"/>
        <v>9.375E-2</v>
      </c>
      <c r="F338" s="126" t="s">
        <v>1154</v>
      </c>
      <c r="G338" s="126" t="s">
        <v>1287</v>
      </c>
      <c r="H338" s="385">
        <f t="shared" si="80"/>
        <v>2402.8000000000002</v>
      </c>
      <c r="I338" s="126">
        <v>5</v>
      </c>
      <c r="J338" s="385">
        <v>2400</v>
      </c>
      <c r="K338" s="133">
        <v>12014</v>
      </c>
      <c r="L338" s="155">
        <v>44314</v>
      </c>
      <c r="M338" s="129">
        <f t="shared" si="14"/>
        <v>2417.4</v>
      </c>
      <c r="N338" s="158">
        <v>2420</v>
      </c>
      <c r="O338" s="386">
        <v>12087</v>
      </c>
      <c r="P338" s="125">
        <v>44369</v>
      </c>
      <c r="Q338" s="437">
        <v>44365</v>
      </c>
      <c r="R338" s="438">
        <v>15.93</v>
      </c>
      <c r="S338" s="439">
        <v>85</v>
      </c>
      <c r="T338" s="440">
        <f t="shared" si="75"/>
        <v>73</v>
      </c>
      <c r="U338" s="441" t="str">
        <f t="shared" si="16"/>
        <v>5 HINDUNILVR</v>
      </c>
      <c r="V338" s="132">
        <f t="shared" si="17"/>
        <v>142.07</v>
      </c>
      <c r="W338" s="389">
        <f t="shared" si="76"/>
        <v>1.18253704011986E-2</v>
      </c>
      <c r="X338" s="442">
        <f t="shared" si="19"/>
        <v>0</v>
      </c>
      <c r="Y338" s="391">
        <f t="shared" si="20"/>
        <v>1</v>
      </c>
      <c r="Z338" s="392">
        <f t="shared" si="21"/>
        <v>25</v>
      </c>
      <c r="AA338" s="389">
        <f t="shared" si="22"/>
        <v>8.1141115269316222E-2</v>
      </c>
      <c r="AB338" s="125" t="s">
        <v>485</v>
      </c>
      <c r="AC338" s="98"/>
      <c r="AD338" s="98"/>
    </row>
    <row r="339" spans="1:30" ht="12.75" customHeight="1">
      <c r="A339" s="125" t="s">
        <v>504</v>
      </c>
      <c r="B339" s="125"/>
      <c r="C339" s="382"/>
      <c r="D339" s="383"/>
      <c r="E339" s="384" t="str">
        <f t="shared" si="79"/>
        <v/>
      </c>
      <c r="F339" s="126"/>
      <c r="G339" s="126"/>
      <c r="H339" s="385">
        <f t="shared" si="80"/>
        <v>2567.5</v>
      </c>
      <c r="I339" s="126">
        <v>2</v>
      </c>
      <c r="J339" s="385">
        <v>2564.4</v>
      </c>
      <c r="K339" s="133">
        <v>5135</v>
      </c>
      <c r="L339" s="155">
        <v>44810</v>
      </c>
      <c r="M339" s="129">
        <f t="shared" si="14"/>
        <v>2657.5</v>
      </c>
      <c r="N339" s="158">
        <v>2660</v>
      </c>
      <c r="O339" s="386">
        <v>5315</v>
      </c>
      <c r="P339" s="125">
        <v>44944</v>
      </c>
      <c r="Q339" s="437">
        <v>44943</v>
      </c>
      <c r="R339" s="438">
        <v>15.93</v>
      </c>
      <c r="S339" s="439"/>
      <c r="T339" s="440">
        <f t="shared" ref="T339:T340" si="81">IF(OR(O339="",K339=""),"",O339-K339)</f>
        <v>180</v>
      </c>
      <c r="U339" s="441" t="str">
        <f t="shared" si="16"/>
        <v>2 HINDUNILVR</v>
      </c>
      <c r="V339" s="132">
        <f t="shared" si="17"/>
        <v>164.07</v>
      </c>
      <c r="W339" s="389">
        <f t="shared" ref="W339:W340" si="82">IF(OR(K339="",V339=""),"",V339/K339)</f>
        <v>3.1951314508276533E-2</v>
      </c>
      <c r="X339" s="442">
        <f t="shared" si="19"/>
        <v>0</v>
      </c>
      <c r="Y339" s="391">
        <f t="shared" si="20"/>
        <v>4</v>
      </c>
      <c r="Z339" s="392">
        <f t="shared" si="21"/>
        <v>12</v>
      </c>
      <c r="AA339" s="389">
        <f t="shared" si="22"/>
        <v>8.9446864398252668E-2</v>
      </c>
      <c r="AB339" s="125" t="s">
        <v>485</v>
      </c>
      <c r="AC339" s="98"/>
      <c r="AD339" s="98"/>
    </row>
    <row r="340" spans="1:30" ht="12.75" customHeight="1">
      <c r="A340" s="125" t="s">
        <v>504</v>
      </c>
      <c r="B340" s="125"/>
      <c r="C340" s="382"/>
      <c r="D340" s="383"/>
      <c r="E340" s="384" t="str">
        <f t="shared" si="79"/>
        <v/>
      </c>
      <c r="F340" s="126"/>
      <c r="G340" s="126"/>
      <c r="H340" s="385">
        <f t="shared" si="80"/>
        <v>2628</v>
      </c>
      <c r="I340" s="126">
        <v>4</v>
      </c>
      <c r="J340" s="385">
        <v>2625</v>
      </c>
      <c r="K340" s="133">
        <v>10512</v>
      </c>
      <c r="L340" s="155">
        <v>44805</v>
      </c>
      <c r="M340" s="129">
        <f t="shared" si="14"/>
        <v>2657.25</v>
      </c>
      <c r="N340" s="158">
        <v>2660</v>
      </c>
      <c r="O340" s="386">
        <v>10629</v>
      </c>
      <c r="P340" s="125">
        <v>44944</v>
      </c>
      <c r="Q340" s="437">
        <v>44943</v>
      </c>
      <c r="R340" s="438">
        <v>0</v>
      </c>
      <c r="S340" s="439"/>
      <c r="T340" s="440">
        <f t="shared" si="81"/>
        <v>117</v>
      </c>
      <c r="U340" s="441" t="str">
        <f t="shared" si="16"/>
        <v>4 HINDUNILVR</v>
      </c>
      <c r="V340" s="132">
        <f t="shared" si="17"/>
        <v>117</v>
      </c>
      <c r="W340" s="389">
        <f t="shared" si="82"/>
        <v>1.1130136986301369E-2</v>
      </c>
      <c r="X340" s="442">
        <f t="shared" si="19"/>
        <v>0</v>
      </c>
      <c r="Y340" s="391">
        <f t="shared" si="20"/>
        <v>4</v>
      </c>
      <c r="Z340" s="392">
        <f t="shared" si="21"/>
        <v>17</v>
      </c>
      <c r="AA340" s="389">
        <f t="shared" si="22"/>
        <v>2.9491681635396505E-2</v>
      </c>
      <c r="AB340" s="125" t="s">
        <v>485</v>
      </c>
      <c r="AC340" s="98"/>
      <c r="AD340" s="98"/>
    </row>
    <row r="341" spans="1:30" ht="12.75" customHeight="1">
      <c r="A341" s="125" t="s">
        <v>584</v>
      </c>
      <c r="B341" s="125" t="s">
        <v>1288</v>
      </c>
      <c r="C341" s="382" t="s">
        <v>1289</v>
      </c>
      <c r="D341" s="383" t="s">
        <v>1290</v>
      </c>
      <c r="E341" s="384">
        <f t="shared" si="79"/>
        <v>0.2627857052658164</v>
      </c>
      <c r="F341" s="126" t="s">
        <v>1162</v>
      </c>
      <c r="G341" s="126" t="s">
        <v>1163</v>
      </c>
      <c r="H341" s="385">
        <f t="shared" si="80"/>
        <v>158.54</v>
      </c>
      <c r="I341" s="126">
        <v>100</v>
      </c>
      <c r="J341" s="385">
        <v>158.38</v>
      </c>
      <c r="K341" s="133">
        <v>15854</v>
      </c>
      <c r="L341" s="155">
        <v>44463</v>
      </c>
      <c r="M341" s="129">
        <f t="shared" si="14"/>
        <v>172.82</v>
      </c>
      <c r="N341" s="158">
        <v>173</v>
      </c>
      <c r="O341" s="386">
        <v>17282</v>
      </c>
      <c r="P341" s="125">
        <v>44508</v>
      </c>
      <c r="Q341" s="437">
        <v>44502</v>
      </c>
      <c r="R341" s="438">
        <v>15.93</v>
      </c>
      <c r="S341" s="439"/>
      <c r="T341" s="440">
        <f t="shared" ref="T341:T352" si="83">IF(O341="","",O341-K341)</f>
        <v>1428</v>
      </c>
      <c r="U341" s="441" t="str">
        <f t="shared" si="16"/>
        <v>100 IBREALEST</v>
      </c>
      <c r="V341" s="132">
        <f t="shared" si="17"/>
        <v>1412.07</v>
      </c>
      <c r="W341" s="389">
        <f t="shared" ref="W341:W352" si="84">IF(M341=0,"",V341/K341)</f>
        <v>8.9067112400655984E-2</v>
      </c>
      <c r="X341" s="442">
        <f t="shared" si="19"/>
        <v>0</v>
      </c>
      <c r="Y341" s="391">
        <f t="shared" si="20"/>
        <v>1</v>
      </c>
      <c r="Z341" s="392">
        <f t="shared" si="21"/>
        <v>15</v>
      </c>
      <c r="AA341" s="389">
        <f t="shared" si="22"/>
        <v>0.9978106782274716</v>
      </c>
      <c r="AB341" s="125" t="s">
        <v>485</v>
      </c>
      <c r="AC341" s="98"/>
      <c r="AD341" s="98"/>
    </row>
    <row r="342" spans="1:30" ht="12.75" customHeight="1">
      <c r="A342" s="125" t="s">
        <v>580</v>
      </c>
      <c r="B342" s="125" t="s">
        <v>1291</v>
      </c>
      <c r="C342" s="382" t="s">
        <v>1158</v>
      </c>
      <c r="D342" s="383" t="s">
        <v>1292</v>
      </c>
      <c r="E342" s="384" t="str">
        <f t="shared" si="79"/>
        <v/>
      </c>
      <c r="F342" s="126" t="s">
        <v>1293</v>
      </c>
      <c r="G342" s="126"/>
      <c r="H342" s="385">
        <f t="shared" si="80"/>
        <v>208.54</v>
      </c>
      <c r="I342" s="126">
        <v>50</v>
      </c>
      <c r="J342" s="385">
        <v>208.3</v>
      </c>
      <c r="K342" s="133">
        <v>10427</v>
      </c>
      <c r="L342" s="155">
        <v>44460</v>
      </c>
      <c r="M342" s="129">
        <f t="shared" si="14"/>
        <v>215.48</v>
      </c>
      <c r="N342" s="158">
        <v>215.7</v>
      </c>
      <c r="O342" s="386">
        <v>10774</v>
      </c>
      <c r="P342" s="125">
        <v>44463</v>
      </c>
      <c r="Q342" s="437">
        <v>44461</v>
      </c>
      <c r="R342" s="438">
        <v>15.93</v>
      </c>
      <c r="S342" s="439"/>
      <c r="T342" s="440">
        <f t="shared" si="83"/>
        <v>347</v>
      </c>
      <c r="U342" s="441" t="str">
        <f t="shared" si="16"/>
        <v>50 IBULHSGFIN</v>
      </c>
      <c r="V342" s="132">
        <f t="shared" si="17"/>
        <v>331.07</v>
      </c>
      <c r="W342" s="389">
        <f t="shared" si="84"/>
        <v>3.1751222786995298E-2</v>
      </c>
      <c r="X342" s="442">
        <f t="shared" si="19"/>
        <v>0</v>
      </c>
      <c r="Y342" s="391">
        <f t="shared" si="20"/>
        <v>0</v>
      </c>
      <c r="Z342" s="392">
        <f t="shared" si="21"/>
        <v>3</v>
      </c>
      <c r="AA342" s="389">
        <f t="shared" si="22"/>
        <v>43.83571066630978</v>
      </c>
      <c r="AB342" s="125" t="s">
        <v>485</v>
      </c>
      <c r="AC342" s="98"/>
      <c r="AD342" s="98"/>
    </row>
    <row r="343" spans="1:30" ht="12.75" customHeight="1">
      <c r="A343" s="125" t="s">
        <v>501</v>
      </c>
      <c r="B343" s="125" t="s">
        <v>1031</v>
      </c>
      <c r="C343" s="382" t="s">
        <v>1294</v>
      </c>
      <c r="D343" s="383"/>
      <c r="E343" s="384"/>
      <c r="F343" s="126"/>
      <c r="G343" s="126"/>
      <c r="H343" s="385">
        <f t="shared" si="80"/>
        <v>544.48</v>
      </c>
      <c r="I343" s="126">
        <v>25</v>
      </c>
      <c r="J343" s="385">
        <v>543.81200000000001</v>
      </c>
      <c r="K343" s="133">
        <v>13612</v>
      </c>
      <c r="L343" s="155">
        <v>44299</v>
      </c>
      <c r="M343" s="129">
        <f t="shared" si="14"/>
        <v>562.91999999999996</v>
      </c>
      <c r="N343" s="158">
        <v>563.5</v>
      </c>
      <c r="O343" s="386">
        <v>14073</v>
      </c>
      <c r="P343" s="125">
        <v>44312</v>
      </c>
      <c r="Q343" s="437">
        <v>44308</v>
      </c>
      <c r="R343" s="438">
        <v>15.93</v>
      </c>
      <c r="S343" s="439"/>
      <c r="T343" s="440">
        <f t="shared" si="83"/>
        <v>461</v>
      </c>
      <c r="U343" s="441" t="str">
        <f t="shared" si="16"/>
        <v>25 ICICIBANK</v>
      </c>
      <c r="V343" s="132">
        <f t="shared" si="17"/>
        <v>445.07</v>
      </c>
      <c r="W343" s="389">
        <f t="shared" si="84"/>
        <v>3.2696885101381135E-2</v>
      </c>
      <c r="X343" s="442">
        <f t="shared" si="19"/>
        <v>0</v>
      </c>
      <c r="Y343" s="391">
        <f t="shared" si="20"/>
        <v>0</v>
      </c>
      <c r="Z343" s="392">
        <f t="shared" si="21"/>
        <v>13</v>
      </c>
      <c r="AA343" s="389">
        <f t="shared" si="22"/>
        <v>1.4678292869764729</v>
      </c>
      <c r="AB343" s="125" t="s">
        <v>485</v>
      </c>
      <c r="AC343" s="98"/>
      <c r="AD343" s="98"/>
    </row>
    <row r="344" spans="1:30" ht="12.75" customHeight="1">
      <c r="A344" s="125" t="s">
        <v>501</v>
      </c>
      <c r="B344" s="125" t="s">
        <v>1031</v>
      </c>
      <c r="C344" s="382" t="s">
        <v>1294</v>
      </c>
      <c r="D344" s="383"/>
      <c r="E344" s="384"/>
      <c r="F344" s="126"/>
      <c r="G344" s="126"/>
      <c r="H344" s="385">
        <f t="shared" si="80"/>
        <v>630.76</v>
      </c>
      <c r="I344" s="126">
        <v>25</v>
      </c>
      <c r="J344" s="385">
        <v>630</v>
      </c>
      <c r="K344" s="133">
        <v>15769</v>
      </c>
      <c r="L344" s="155">
        <v>44334</v>
      </c>
      <c r="M344" s="129">
        <f t="shared" si="14"/>
        <v>658.32</v>
      </c>
      <c r="N344" s="158">
        <v>659</v>
      </c>
      <c r="O344" s="386">
        <v>16458</v>
      </c>
      <c r="P344" s="125">
        <v>44349</v>
      </c>
      <c r="Q344" s="437">
        <v>44347</v>
      </c>
      <c r="R344" s="438">
        <v>15.93</v>
      </c>
      <c r="S344" s="439"/>
      <c r="T344" s="440">
        <f t="shared" si="83"/>
        <v>689</v>
      </c>
      <c r="U344" s="441" t="str">
        <f t="shared" si="16"/>
        <v>25 ICICIBANK</v>
      </c>
      <c r="V344" s="132">
        <f t="shared" si="17"/>
        <v>673.07</v>
      </c>
      <c r="W344" s="389">
        <f t="shared" si="84"/>
        <v>4.2683112435791745E-2</v>
      </c>
      <c r="X344" s="442">
        <f t="shared" si="19"/>
        <v>0</v>
      </c>
      <c r="Y344" s="391">
        <f t="shared" si="20"/>
        <v>0</v>
      </c>
      <c r="Z344" s="392">
        <f t="shared" si="21"/>
        <v>15</v>
      </c>
      <c r="AA344" s="389">
        <f t="shared" si="22"/>
        <v>1.7650751013979247</v>
      </c>
      <c r="AB344" s="125" t="s">
        <v>485</v>
      </c>
      <c r="AC344" s="98"/>
      <c r="AD344" s="98"/>
    </row>
    <row r="345" spans="1:30" ht="12.75" customHeight="1">
      <c r="A345" s="125" t="s">
        <v>521</v>
      </c>
      <c r="B345" s="125" t="s">
        <v>1295</v>
      </c>
      <c r="C345" s="382" t="s">
        <v>1201</v>
      </c>
      <c r="D345" s="383"/>
      <c r="E345" s="384"/>
      <c r="F345" s="126" t="s">
        <v>1145</v>
      </c>
      <c r="G345" s="126"/>
      <c r="H345" s="385">
        <f t="shared" si="80"/>
        <v>8.41</v>
      </c>
      <c r="I345" s="126">
        <v>2500</v>
      </c>
      <c r="J345" s="385">
        <v>8.4</v>
      </c>
      <c r="K345" s="133">
        <v>21025</v>
      </c>
      <c r="L345" s="155">
        <v>44335</v>
      </c>
      <c r="M345" s="129">
        <f t="shared" si="14"/>
        <v>8.4911999999999992</v>
      </c>
      <c r="N345" s="158">
        <v>8.5</v>
      </c>
      <c r="O345" s="386">
        <v>21228</v>
      </c>
      <c r="P345" s="125">
        <v>44341</v>
      </c>
      <c r="Q345" s="437">
        <v>44337</v>
      </c>
      <c r="R345" s="438">
        <v>15.93</v>
      </c>
      <c r="S345" s="439"/>
      <c r="T345" s="440">
        <f t="shared" si="83"/>
        <v>203</v>
      </c>
      <c r="U345" s="441" t="str">
        <f t="shared" si="16"/>
        <v>2500 IDEA</v>
      </c>
      <c r="V345" s="132">
        <f t="shared" si="17"/>
        <v>187.07</v>
      </c>
      <c r="W345" s="389">
        <f t="shared" si="84"/>
        <v>8.8975029726516049E-3</v>
      </c>
      <c r="X345" s="442">
        <f t="shared" si="19"/>
        <v>0</v>
      </c>
      <c r="Y345" s="391">
        <f t="shared" si="20"/>
        <v>0</v>
      </c>
      <c r="Z345" s="392">
        <f t="shared" si="21"/>
        <v>6</v>
      </c>
      <c r="AA345" s="389">
        <f t="shared" si="22"/>
        <v>0.71407058415476632</v>
      </c>
      <c r="AB345" s="125" t="s">
        <v>485</v>
      </c>
      <c r="AC345" s="98"/>
      <c r="AD345" s="98"/>
    </row>
    <row r="346" spans="1:30" ht="12.75" customHeight="1">
      <c r="A346" s="125" t="s">
        <v>521</v>
      </c>
      <c r="B346" s="125" t="s">
        <v>1295</v>
      </c>
      <c r="C346" s="382" t="s">
        <v>1201</v>
      </c>
      <c r="D346" s="383"/>
      <c r="E346" s="384"/>
      <c r="F346" s="126" t="s">
        <v>1145</v>
      </c>
      <c r="G346" s="126"/>
      <c r="H346" s="385">
        <f t="shared" si="80"/>
        <v>8.51</v>
      </c>
      <c r="I346" s="126">
        <v>2500</v>
      </c>
      <c r="J346" s="385">
        <v>8.5</v>
      </c>
      <c r="K346" s="133">
        <v>21275</v>
      </c>
      <c r="L346" s="155">
        <v>44348</v>
      </c>
      <c r="M346" s="129">
        <f t="shared" si="14"/>
        <v>8.6907999999999994</v>
      </c>
      <c r="N346" s="158">
        <v>8.6999999999999993</v>
      </c>
      <c r="O346" s="386">
        <v>21727</v>
      </c>
      <c r="P346" s="125">
        <v>44354</v>
      </c>
      <c r="Q346" s="437">
        <v>44349</v>
      </c>
      <c r="R346" s="438"/>
      <c r="S346" s="439"/>
      <c r="T346" s="440">
        <f t="shared" si="83"/>
        <v>452</v>
      </c>
      <c r="U346" s="441" t="str">
        <f t="shared" si="16"/>
        <v>2500 IDEA</v>
      </c>
      <c r="V346" s="132">
        <f t="shared" si="17"/>
        <v>452</v>
      </c>
      <c r="W346" s="389">
        <f t="shared" si="84"/>
        <v>2.1245593419506464E-2</v>
      </c>
      <c r="X346" s="442">
        <f t="shared" si="19"/>
        <v>0</v>
      </c>
      <c r="Y346" s="391">
        <f t="shared" si="20"/>
        <v>0</v>
      </c>
      <c r="Z346" s="392">
        <f t="shared" si="21"/>
        <v>6</v>
      </c>
      <c r="AA346" s="389">
        <f t="shared" si="22"/>
        <v>2.5926940321901237</v>
      </c>
      <c r="AB346" s="125" t="s">
        <v>485</v>
      </c>
      <c r="AC346" s="98"/>
      <c r="AD346" s="98"/>
    </row>
    <row r="347" spans="1:30" ht="12.75" customHeight="1">
      <c r="A347" s="125" t="s">
        <v>521</v>
      </c>
      <c r="B347" s="125" t="s">
        <v>1295</v>
      </c>
      <c r="C347" s="382" t="s">
        <v>1201</v>
      </c>
      <c r="D347" s="383"/>
      <c r="E347" s="384" t="str">
        <f t="shared" ref="E347:E356" si="85">IFERROR(IF(D347="","",(D347-J347)/J347),"")</f>
        <v/>
      </c>
      <c r="F347" s="126" t="s">
        <v>1145</v>
      </c>
      <c r="G347" s="126"/>
      <c r="H347" s="385">
        <f t="shared" si="80"/>
        <v>9.7615999999999996</v>
      </c>
      <c r="I347" s="126">
        <v>2500</v>
      </c>
      <c r="J347" s="385">
        <v>9.75</v>
      </c>
      <c r="K347" s="133">
        <v>24404</v>
      </c>
      <c r="L347" s="155">
        <v>44371</v>
      </c>
      <c r="M347" s="129">
        <f t="shared" si="14"/>
        <v>9.7652000000000001</v>
      </c>
      <c r="N347" s="158">
        <v>9.7799999999999994</v>
      </c>
      <c r="O347" s="386">
        <v>24413</v>
      </c>
      <c r="P347" s="125">
        <v>44376</v>
      </c>
      <c r="Q347" s="437">
        <v>44372</v>
      </c>
      <c r="R347" s="438">
        <v>15.93</v>
      </c>
      <c r="S347" s="439"/>
      <c r="T347" s="440">
        <f t="shared" si="83"/>
        <v>9</v>
      </c>
      <c r="U347" s="441" t="str">
        <f t="shared" si="16"/>
        <v>2500 IDEA</v>
      </c>
      <c r="V347" s="132">
        <f t="shared" si="17"/>
        <v>-6.93</v>
      </c>
      <c r="W347" s="389">
        <f t="shared" si="84"/>
        <v>-2.8396984100967056E-4</v>
      </c>
      <c r="X347" s="442">
        <f t="shared" si="19"/>
        <v>0</v>
      </c>
      <c r="Y347" s="391">
        <f t="shared" si="20"/>
        <v>0</v>
      </c>
      <c r="Z347" s="392">
        <f t="shared" si="21"/>
        <v>5</v>
      </c>
      <c r="AA347" s="389">
        <f t="shared" si="22"/>
        <v>-2.0519296618406901E-2</v>
      </c>
      <c r="AB347" s="125" t="s">
        <v>485</v>
      </c>
      <c r="AC347" s="98"/>
      <c r="AD347" s="98"/>
    </row>
    <row r="348" spans="1:30" ht="12.75" customHeight="1">
      <c r="A348" s="125" t="s">
        <v>521</v>
      </c>
      <c r="B348" s="125" t="s">
        <v>1295</v>
      </c>
      <c r="C348" s="382" t="s">
        <v>1296</v>
      </c>
      <c r="D348" s="383"/>
      <c r="E348" s="384" t="str">
        <f t="shared" si="85"/>
        <v/>
      </c>
      <c r="F348" s="126" t="s">
        <v>1145</v>
      </c>
      <c r="G348" s="126"/>
      <c r="H348" s="385">
        <f t="shared" si="80"/>
        <v>10.4625</v>
      </c>
      <c r="I348" s="126">
        <v>2000</v>
      </c>
      <c r="J348" s="385">
        <v>10.45</v>
      </c>
      <c r="K348" s="133">
        <v>20925</v>
      </c>
      <c r="L348" s="155">
        <v>44375</v>
      </c>
      <c r="M348" s="129">
        <f t="shared" si="14"/>
        <v>10.689</v>
      </c>
      <c r="N348" s="158">
        <v>10.7</v>
      </c>
      <c r="O348" s="386">
        <f>42756/2</f>
        <v>21378</v>
      </c>
      <c r="P348" s="125">
        <v>44459</v>
      </c>
      <c r="Q348" s="437">
        <v>44455</v>
      </c>
      <c r="R348" s="438">
        <v>0</v>
      </c>
      <c r="S348" s="439"/>
      <c r="T348" s="440">
        <f t="shared" si="83"/>
        <v>453</v>
      </c>
      <c r="U348" s="441" t="str">
        <f t="shared" si="16"/>
        <v>2000 IDEA</v>
      </c>
      <c r="V348" s="132">
        <f t="shared" si="17"/>
        <v>453</v>
      </c>
      <c r="W348" s="389">
        <f t="shared" si="84"/>
        <v>2.1648745519713262E-2</v>
      </c>
      <c r="X348" s="442">
        <f t="shared" si="19"/>
        <v>0</v>
      </c>
      <c r="Y348" s="391">
        <f t="shared" si="20"/>
        <v>2</v>
      </c>
      <c r="Z348" s="392">
        <f t="shared" si="21"/>
        <v>23</v>
      </c>
      <c r="AA348" s="389">
        <f t="shared" si="22"/>
        <v>9.7533267396012091E-2</v>
      </c>
      <c r="AB348" s="125" t="s">
        <v>485</v>
      </c>
      <c r="AC348" s="98"/>
      <c r="AD348" s="98"/>
    </row>
    <row r="349" spans="1:30" ht="12.75" customHeight="1">
      <c r="A349" s="125" t="s">
        <v>521</v>
      </c>
      <c r="B349" s="125" t="s">
        <v>1295</v>
      </c>
      <c r="C349" s="382" t="s">
        <v>1296</v>
      </c>
      <c r="D349" s="383"/>
      <c r="E349" s="384" t="str">
        <f t="shared" si="85"/>
        <v/>
      </c>
      <c r="F349" s="126" t="s">
        <v>1145</v>
      </c>
      <c r="G349" s="126"/>
      <c r="H349" s="385">
        <f t="shared" si="80"/>
        <v>10.311999999999999</v>
      </c>
      <c r="I349" s="126">
        <v>1000</v>
      </c>
      <c r="J349" s="385">
        <v>10.3</v>
      </c>
      <c r="K349" s="133">
        <v>10312</v>
      </c>
      <c r="L349" s="155">
        <v>44376</v>
      </c>
      <c r="M349" s="129">
        <f t="shared" si="14"/>
        <v>10.689</v>
      </c>
      <c r="N349" s="158">
        <v>10.7</v>
      </c>
      <c r="O349" s="386">
        <f t="shared" ref="O349:O350" si="86">42756/4</f>
        <v>10689</v>
      </c>
      <c r="P349" s="125">
        <v>44459</v>
      </c>
      <c r="Q349" s="437">
        <v>44455</v>
      </c>
      <c r="R349" s="438">
        <v>0</v>
      </c>
      <c r="S349" s="439"/>
      <c r="T349" s="440">
        <f t="shared" si="83"/>
        <v>377</v>
      </c>
      <c r="U349" s="441" t="str">
        <f t="shared" si="16"/>
        <v>1000 IDEA</v>
      </c>
      <c r="V349" s="132">
        <f t="shared" si="17"/>
        <v>377</v>
      </c>
      <c r="W349" s="389">
        <f t="shared" si="84"/>
        <v>3.6559348332040338E-2</v>
      </c>
      <c r="X349" s="442">
        <f t="shared" si="19"/>
        <v>0</v>
      </c>
      <c r="Y349" s="391">
        <f t="shared" si="20"/>
        <v>2</v>
      </c>
      <c r="Z349" s="392">
        <f t="shared" si="21"/>
        <v>22</v>
      </c>
      <c r="AA349" s="389">
        <f t="shared" si="22"/>
        <v>0.17105362739800833</v>
      </c>
      <c r="AB349" s="125" t="s">
        <v>485</v>
      </c>
      <c r="AC349" s="98"/>
      <c r="AD349" s="98"/>
    </row>
    <row r="350" spans="1:30" ht="12.75" customHeight="1">
      <c r="A350" s="125" t="s">
        <v>521</v>
      </c>
      <c r="B350" s="125" t="s">
        <v>1295</v>
      </c>
      <c r="C350" s="382" t="s">
        <v>1296</v>
      </c>
      <c r="D350" s="383"/>
      <c r="E350" s="384" t="str">
        <f t="shared" si="85"/>
        <v/>
      </c>
      <c r="F350" s="126" t="s">
        <v>1145</v>
      </c>
      <c r="G350" s="126"/>
      <c r="H350" s="385">
        <f t="shared" si="80"/>
        <v>8.81</v>
      </c>
      <c r="I350" s="126">
        <v>1000</v>
      </c>
      <c r="J350" s="385">
        <v>8.8000000000000007</v>
      </c>
      <c r="K350" s="133">
        <v>8810</v>
      </c>
      <c r="L350" s="155">
        <v>44379</v>
      </c>
      <c r="M350" s="129">
        <f t="shared" si="14"/>
        <v>10.689</v>
      </c>
      <c r="N350" s="158">
        <v>10.7</v>
      </c>
      <c r="O350" s="386">
        <f t="shared" si="86"/>
        <v>10689</v>
      </c>
      <c r="P350" s="125">
        <v>44459</v>
      </c>
      <c r="Q350" s="437">
        <v>44455</v>
      </c>
      <c r="R350" s="438">
        <v>15.93</v>
      </c>
      <c r="S350" s="439"/>
      <c r="T350" s="440">
        <f t="shared" si="83"/>
        <v>1879</v>
      </c>
      <c r="U350" s="441" t="str">
        <f t="shared" si="16"/>
        <v>1000 IDEA</v>
      </c>
      <c r="V350" s="132">
        <f t="shared" si="17"/>
        <v>1863.07</v>
      </c>
      <c r="W350" s="389">
        <f t="shared" si="84"/>
        <v>0.21147219069239501</v>
      </c>
      <c r="X350" s="442">
        <f t="shared" si="19"/>
        <v>0</v>
      </c>
      <c r="Y350" s="391">
        <f t="shared" si="20"/>
        <v>2</v>
      </c>
      <c r="Z350" s="392">
        <f t="shared" si="21"/>
        <v>18</v>
      </c>
      <c r="AA350" s="389">
        <f t="shared" si="22"/>
        <v>1.3994826430410408</v>
      </c>
      <c r="AB350" s="125" t="s">
        <v>485</v>
      </c>
      <c r="AC350" s="98"/>
      <c r="AD350" s="98"/>
    </row>
    <row r="351" spans="1:30" ht="12.75" customHeight="1">
      <c r="A351" s="125" t="s">
        <v>521</v>
      </c>
      <c r="B351" s="125" t="s">
        <v>1295</v>
      </c>
      <c r="C351" s="382" t="s">
        <v>1296</v>
      </c>
      <c r="D351" s="383"/>
      <c r="E351" s="384" t="str">
        <f t="shared" si="85"/>
        <v/>
      </c>
      <c r="F351" s="126"/>
      <c r="G351" s="126"/>
      <c r="H351" s="385">
        <f t="shared" si="80"/>
        <v>12.805199999999999</v>
      </c>
      <c r="I351" s="126">
        <v>5000</v>
      </c>
      <c r="J351" s="385">
        <v>12.795999999999999</v>
      </c>
      <c r="K351" s="133">
        <v>64026</v>
      </c>
      <c r="L351" s="155">
        <v>44572</v>
      </c>
      <c r="M351" s="129">
        <f t="shared" si="14"/>
        <v>12.6868</v>
      </c>
      <c r="N351" s="158">
        <v>12.7</v>
      </c>
      <c r="O351" s="386">
        <v>63434</v>
      </c>
      <c r="P351" s="125">
        <v>44575</v>
      </c>
      <c r="Q351" s="437">
        <v>44573</v>
      </c>
      <c r="R351" s="438"/>
      <c r="S351" s="439"/>
      <c r="T351" s="440">
        <f t="shared" si="83"/>
        <v>-592</v>
      </c>
      <c r="U351" s="441" t="str">
        <f t="shared" si="16"/>
        <v>5000 IDEA</v>
      </c>
      <c r="V351" s="132">
        <f t="shared" si="17"/>
        <v>-592</v>
      </c>
      <c r="W351" s="389">
        <f t="shared" si="84"/>
        <v>-9.2462437134913939E-3</v>
      </c>
      <c r="X351" s="442">
        <f t="shared" si="19"/>
        <v>0</v>
      </c>
      <c r="Y351" s="391">
        <f t="shared" si="20"/>
        <v>0</v>
      </c>
      <c r="Z351" s="392">
        <f t="shared" si="21"/>
        <v>3</v>
      </c>
      <c r="AA351" s="389">
        <f t="shared" si="22"/>
        <v>-0.67702900549002143</v>
      </c>
      <c r="AB351" s="125" t="s">
        <v>485</v>
      </c>
      <c r="AC351" s="98"/>
      <c r="AD351" s="98"/>
    </row>
    <row r="352" spans="1:30" ht="12.75" customHeight="1">
      <c r="A352" s="125" t="s">
        <v>507</v>
      </c>
      <c r="B352" s="125" t="s">
        <v>507</v>
      </c>
      <c r="C352" s="382" t="s">
        <v>1201</v>
      </c>
      <c r="D352" s="383">
        <v>64</v>
      </c>
      <c r="E352" s="384">
        <f t="shared" si="85"/>
        <v>0.19402985074626863</v>
      </c>
      <c r="F352" s="126" t="s">
        <v>1154</v>
      </c>
      <c r="G352" s="126" t="s">
        <v>1223</v>
      </c>
      <c r="H352" s="385">
        <f t="shared" si="80"/>
        <v>53.67</v>
      </c>
      <c r="I352" s="126">
        <v>100</v>
      </c>
      <c r="J352" s="385">
        <v>53.6</v>
      </c>
      <c r="K352" s="133">
        <v>5367</v>
      </c>
      <c r="L352" s="155">
        <v>44320</v>
      </c>
      <c r="M352" s="129">
        <f t="shared" si="14"/>
        <v>56.09</v>
      </c>
      <c r="N352" s="158">
        <v>56.15</v>
      </c>
      <c r="O352" s="386">
        <v>5609</v>
      </c>
      <c r="P352" s="125">
        <v>44343</v>
      </c>
      <c r="Q352" s="437">
        <v>44340</v>
      </c>
      <c r="R352" s="438">
        <v>15.93</v>
      </c>
      <c r="S352" s="439"/>
      <c r="T352" s="440">
        <f t="shared" si="83"/>
        <v>242</v>
      </c>
      <c r="U352" s="441" t="str">
        <f t="shared" si="16"/>
        <v>100 IDFC</v>
      </c>
      <c r="V352" s="132">
        <f t="shared" si="17"/>
        <v>226.07</v>
      </c>
      <c r="W352" s="389">
        <f t="shared" si="84"/>
        <v>4.2122228433016579E-2</v>
      </c>
      <c r="X352" s="442">
        <f t="shared" si="19"/>
        <v>0</v>
      </c>
      <c r="Y352" s="391">
        <f t="shared" si="20"/>
        <v>0</v>
      </c>
      <c r="Z352" s="392">
        <f t="shared" si="21"/>
        <v>23</v>
      </c>
      <c r="AA352" s="389">
        <f t="shared" si="22"/>
        <v>0.92469241702475791</v>
      </c>
      <c r="AB352" s="125" t="s">
        <v>485</v>
      </c>
      <c r="AC352" s="98"/>
      <c r="AD352" s="98"/>
    </row>
    <row r="353" spans="1:30" ht="12.75" customHeight="1">
      <c r="A353" s="125" t="s">
        <v>650</v>
      </c>
      <c r="B353" s="125"/>
      <c r="C353" s="382"/>
      <c r="D353" s="383"/>
      <c r="E353" s="384" t="str">
        <f t="shared" si="85"/>
        <v/>
      </c>
      <c r="F353" s="126"/>
      <c r="G353" s="126"/>
      <c r="H353" s="385">
        <f t="shared" si="80"/>
        <v>54.82</v>
      </c>
      <c r="I353" s="126">
        <v>50</v>
      </c>
      <c r="J353" s="385">
        <v>54.75</v>
      </c>
      <c r="K353" s="133">
        <v>2741</v>
      </c>
      <c r="L353" s="155">
        <v>44953</v>
      </c>
      <c r="M353" s="129">
        <f t="shared" si="14"/>
        <v>58.08</v>
      </c>
      <c r="N353" s="158">
        <v>58.15</v>
      </c>
      <c r="O353" s="386">
        <v>2904</v>
      </c>
      <c r="P353" s="125">
        <v>45041</v>
      </c>
      <c r="Q353" s="437">
        <v>45040</v>
      </c>
      <c r="R353" s="438">
        <v>15.93</v>
      </c>
      <c r="S353" s="439"/>
      <c r="T353" s="440">
        <f>IF(OR(O353="",K353=""),"",O353-K353)</f>
        <v>163</v>
      </c>
      <c r="U353" s="441" t="str">
        <f t="shared" si="16"/>
        <v>50 IDFCFIRSTB</v>
      </c>
      <c r="V353" s="132">
        <f t="shared" si="17"/>
        <v>147.07</v>
      </c>
      <c r="W353" s="389">
        <f>IF(OR(K353="",V353=""),"",V353/K353)</f>
        <v>5.3655600145932139E-2</v>
      </c>
      <c r="X353" s="442">
        <f t="shared" si="19"/>
        <v>0</v>
      </c>
      <c r="Y353" s="391">
        <f t="shared" si="20"/>
        <v>2</v>
      </c>
      <c r="Z353" s="392">
        <f t="shared" si="21"/>
        <v>29</v>
      </c>
      <c r="AA353" s="389">
        <f t="shared" si="22"/>
        <v>0.24207532183301628</v>
      </c>
      <c r="AB353" s="125" t="s">
        <v>485</v>
      </c>
      <c r="AC353" s="98"/>
      <c r="AD353" s="98"/>
    </row>
    <row r="354" spans="1:30" ht="12.75" customHeight="1">
      <c r="A354" s="125" t="s">
        <v>585</v>
      </c>
      <c r="B354" s="125" t="s">
        <v>1297</v>
      </c>
      <c r="C354" s="382" t="s">
        <v>1165</v>
      </c>
      <c r="D354" s="383" t="s">
        <v>1235</v>
      </c>
      <c r="E354" s="384">
        <f t="shared" si="85"/>
        <v>3.875968992248062E-2</v>
      </c>
      <c r="F354" s="126" t="s">
        <v>1154</v>
      </c>
      <c r="G354" s="126" t="s">
        <v>1298</v>
      </c>
      <c r="H354" s="385">
        <f t="shared" si="80"/>
        <v>645.79999999999995</v>
      </c>
      <c r="I354" s="126">
        <v>10</v>
      </c>
      <c r="J354" s="385">
        <v>645</v>
      </c>
      <c r="K354" s="133">
        <v>6458</v>
      </c>
      <c r="L354" s="155">
        <v>44469</v>
      </c>
      <c r="M354" s="129">
        <f t="shared" si="14"/>
        <v>689.3</v>
      </c>
      <c r="N354" s="158">
        <v>690</v>
      </c>
      <c r="O354" s="386">
        <v>6893</v>
      </c>
      <c r="P354" s="125">
        <v>44481</v>
      </c>
      <c r="Q354" s="437">
        <v>44477</v>
      </c>
      <c r="R354" s="438">
        <v>15.93</v>
      </c>
      <c r="S354" s="439"/>
      <c r="T354" s="440">
        <f t="shared" ref="T354:T360" si="87">IF(O354="","",O354-K354)</f>
        <v>435</v>
      </c>
      <c r="U354" s="441" t="str">
        <f t="shared" si="16"/>
        <v>10 IEX</v>
      </c>
      <c r="V354" s="132">
        <f t="shared" si="17"/>
        <v>419.07</v>
      </c>
      <c r="W354" s="389">
        <f t="shared" ref="W354:W367" si="88">IF(M354=0,"",V354/K354)</f>
        <v>6.4891607308764324E-2</v>
      </c>
      <c r="X354" s="442">
        <f t="shared" si="19"/>
        <v>0</v>
      </c>
      <c r="Y354" s="391">
        <f t="shared" si="20"/>
        <v>0</v>
      </c>
      <c r="Z354" s="392">
        <f t="shared" si="21"/>
        <v>12</v>
      </c>
      <c r="AA354" s="389">
        <f t="shared" si="22"/>
        <v>5.769231700173747</v>
      </c>
      <c r="AB354" s="125" t="s">
        <v>485</v>
      </c>
      <c r="AC354" s="98"/>
      <c r="AD354" s="98"/>
    </row>
    <row r="355" spans="1:30" ht="12.75" customHeight="1">
      <c r="A355" s="125" t="s">
        <v>585</v>
      </c>
      <c r="B355" s="125" t="s">
        <v>1297</v>
      </c>
      <c r="C355" s="382" t="s">
        <v>1165</v>
      </c>
      <c r="D355" s="383"/>
      <c r="E355" s="384" t="str">
        <f t="shared" si="85"/>
        <v/>
      </c>
      <c r="F355" s="126"/>
      <c r="G355" s="126"/>
      <c r="H355" s="385">
        <f t="shared" si="80"/>
        <v>765.9</v>
      </c>
      <c r="I355" s="126">
        <v>10</v>
      </c>
      <c r="J355" s="385">
        <v>765</v>
      </c>
      <c r="K355" s="133">
        <v>7659</v>
      </c>
      <c r="L355" s="155">
        <v>44490</v>
      </c>
      <c r="M355" s="129">
        <f t="shared" si="14"/>
        <v>785.2</v>
      </c>
      <c r="N355" s="158">
        <v>786</v>
      </c>
      <c r="O355" s="386">
        <v>7852</v>
      </c>
      <c r="P355" s="125">
        <v>44511</v>
      </c>
      <c r="Q355" s="437">
        <v>44509</v>
      </c>
      <c r="R355" s="438">
        <v>15.93</v>
      </c>
      <c r="S355" s="439"/>
      <c r="T355" s="440">
        <f t="shared" si="87"/>
        <v>193</v>
      </c>
      <c r="U355" s="441" t="str">
        <f t="shared" si="16"/>
        <v>10 IEX</v>
      </c>
      <c r="V355" s="132">
        <f t="shared" si="17"/>
        <v>177.07</v>
      </c>
      <c r="W355" s="389">
        <f t="shared" si="88"/>
        <v>2.3119206162684421E-2</v>
      </c>
      <c r="X355" s="442">
        <f t="shared" si="19"/>
        <v>0</v>
      </c>
      <c r="Y355" s="391">
        <f t="shared" si="20"/>
        <v>0</v>
      </c>
      <c r="Z355" s="392">
        <f t="shared" si="21"/>
        <v>21</v>
      </c>
      <c r="AA355" s="389">
        <f t="shared" si="22"/>
        <v>0.48774143743479215</v>
      </c>
      <c r="AB355" s="125" t="s">
        <v>485</v>
      </c>
      <c r="AC355" s="98"/>
      <c r="AD355" s="98"/>
    </row>
    <row r="356" spans="1:30" ht="12.75" customHeight="1">
      <c r="A356" s="125" t="s">
        <v>597</v>
      </c>
      <c r="B356" s="125" t="s">
        <v>1299</v>
      </c>
      <c r="C356" s="382" t="s">
        <v>1300</v>
      </c>
      <c r="D356" s="383">
        <v>237</v>
      </c>
      <c r="E356" s="384">
        <f t="shared" si="85"/>
        <v>0.24736842105263157</v>
      </c>
      <c r="F356" s="126" t="s">
        <v>1301</v>
      </c>
      <c r="G356" s="126" t="s">
        <v>1302</v>
      </c>
      <c r="H356" s="385">
        <f t="shared" si="80"/>
        <v>190.22499999999999</v>
      </c>
      <c r="I356" s="126">
        <v>40</v>
      </c>
      <c r="J356" s="385">
        <v>190</v>
      </c>
      <c r="K356" s="133">
        <v>7609</v>
      </c>
      <c r="L356" s="155">
        <v>44536</v>
      </c>
      <c r="M356" s="129">
        <f t="shared" si="14"/>
        <v>193.55</v>
      </c>
      <c r="N356" s="158">
        <v>193.75</v>
      </c>
      <c r="O356" s="386">
        <v>7742</v>
      </c>
      <c r="P356" s="125">
        <v>44539</v>
      </c>
      <c r="Q356" s="437">
        <v>44537</v>
      </c>
      <c r="R356" s="438">
        <v>15.93</v>
      </c>
      <c r="S356" s="439"/>
      <c r="T356" s="440">
        <f t="shared" si="87"/>
        <v>133</v>
      </c>
      <c r="U356" s="441" t="str">
        <f t="shared" si="16"/>
        <v>40 INDHOTEL</v>
      </c>
      <c r="V356" s="132">
        <f t="shared" si="17"/>
        <v>117.07</v>
      </c>
      <c r="W356" s="389">
        <f t="shared" si="88"/>
        <v>1.5385727428045734E-2</v>
      </c>
      <c r="X356" s="442">
        <f t="shared" si="19"/>
        <v>0</v>
      </c>
      <c r="Y356" s="391">
        <f t="shared" si="20"/>
        <v>0</v>
      </c>
      <c r="Z356" s="392">
        <f t="shared" si="21"/>
        <v>3</v>
      </c>
      <c r="AA356" s="389">
        <f t="shared" si="22"/>
        <v>5.4088233615659238</v>
      </c>
      <c r="AB356" s="125" t="s">
        <v>485</v>
      </c>
      <c r="AC356" s="98"/>
      <c r="AD356" s="98"/>
    </row>
    <row r="357" spans="1:30" ht="12.75" customHeight="1">
      <c r="A357" s="125" t="s">
        <v>476</v>
      </c>
      <c r="B357" s="125" t="s">
        <v>1303</v>
      </c>
      <c r="C357" s="382" t="s">
        <v>1201</v>
      </c>
      <c r="D357" s="383"/>
      <c r="E357" s="384"/>
      <c r="F357" s="126"/>
      <c r="G357" s="126"/>
      <c r="H357" s="385">
        <v>226.63</v>
      </c>
      <c r="I357" s="126">
        <v>50</v>
      </c>
      <c r="J357" s="385">
        <v>225.5</v>
      </c>
      <c r="K357" s="133">
        <v>11331.5</v>
      </c>
      <c r="L357" s="155">
        <v>38847</v>
      </c>
      <c r="M357" s="129">
        <f t="shared" si="14"/>
        <v>101.4254</v>
      </c>
      <c r="N357" s="158">
        <v>102</v>
      </c>
      <c r="O357" s="386">
        <v>5071.2700000000004</v>
      </c>
      <c r="P357" s="125">
        <v>41204</v>
      </c>
      <c r="Q357" s="437">
        <v>41200</v>
      </c>
      <c r="R357" s="438">
        <v>6</v>
      </c>
      <c r="S357" s="439">
        <f>100+50+100+100+75</f>
        <v>425</v>
      </c>
      <c r="T357" s="440">
        <f t="shared" si="87"/>
        <v>-6260.23</v>
      </c>
      <c r="U357" s="441" t="str">
        <f t="shared" si="16"/>
        <v>50 INDIACEM</v>
      </c>
      <c r="V357" s="132">
        <f t="shared" si="17"/>
        <v>-5841.23</v>
      </c>
      <c r="W357" s="389">
        <f t="shared" si="88"/>
        <v>-0.51548603450558173</v>
      </c>
      <c r="X357" s="442">
        <f t="shared" si="19"/>
        <v>6</v>
      </c>
      <c r="Y357" s="391">
        <f t="shared" si="20"/>
        <v>5</v>
      </c>
      <c r="Z357" s="392">
        <f t="shared" si="21"/>
        <v>12</v>
      </c>
      <c r="AA357" s="389">
        <f t="shared" si="22"/>
        <v>-0.10614473249926148</v>
      </c>
      <c r="AB357" s="125" t="s">
        <v>460</v>
      </c>
      <c r="AC357" s="98"/>
      <c r="AD357" s="98"/>
    </row>
    <row r="358" spans="1:30" ht="12.75" customHeight="1">
      <c r="A358" s="125" t="s">
        <v>579</v>
      </c>
      <c r="B358" s="125" t="s">
        <v>1304</v>
      </c>
      <c r="C358" s="382" t="s">
        <v>1305</v>
      </c>
      <c r="D358" s="383"/>
      <c r="E358" s="384" t="str">
        <f t="shared" ref="E358:E359" si="89">IFERROR(IF(D358="","",(D358-J358)/J358),"")</f>
        <v/>
      </c>
      <c r="F358" s="126"/>
      <c r="G358" s="126"/>
      <c r="H358" s="385">
        <f t="shared" ref="H358:H359" si="90">ROUND(K358/I358,4)</f>
        <v>2162.6</v>
      </c>
      <c r="I358" s="126">
        <v>5</v>
      </c>
      <c r="J358" s="385">
        <v>2160</v>
      </c>
      <c r="K358" s="133">
        <v>10813</v>
      </c>
      <c r="L358" s="155">
        <v>44459</v>
      </c>
      <c r="M358" s="129">
        <f t="shared" si="14"/>
        <v>2231.6</v>
      </c>
      <c r="N358" s="158">
        <v>2234</v>
      </c>
      <c r="O358" s="386">
        <v>11158</v>
      </c>
      <c r="P358" s="125">
        <v>44466</v>
      </c>
      <c r="Q358" s="437">
        <v>44462</v>
      </c>
      <c r="R358" s="438">
        <v>15.93</v>
      </c>
      <c r="S358" s="439"/>
      <c r="T358" s="440">
        <f t="shared" si="87"/>
        <v>345</v>
      </c>
      <c r="U358" s="441" t="str">
        <f t="shared" si="16"/>
        <v>5 INDIGO</v>
      </c>
      <c r="V358" s="132">
        <f t="shared" si="17"/>
        <v>329.07</v>
      </c>
      <c r="W358" s="389">
        <f t="shared" si="88"/>
        <v>3.043281235549801E-2</v>
      </c>
      <c r="X358" s="442">
        <f t="shared" si="19"/>
        <v>0</v>
      </c>
      <c r="Y358" s="391">
        <f t="shared" si="20"/>
        <v>0</v>
      </c>
      <c r="Z358" s="392">
        <f t="shared" si="21"/>
        <v>7</v>
      </c>
      <c r="AA358" s="389">
        <f t="shared" si="22"/>
        <v>3.774009656685835</v>
      </c>
      <c r="AB358" s="125" t="s">
        <v>485</v>
      </c>
      <c r="AC358" s="98"/>
      <c r="AD358" s="98"/>
    </row>
    <row r="359" spans="1:30" ht="12.75" customHeight="1">
      <c r="A359" s="125" t="s">
        <v>579</v>
      </c>
      <c r="B359" s="125" t="s">
        <v>1304</v>
      </c>
      <c r="C359" s="382" t="s">
        <v>1305</v>
      </c>
      <c r="D359" s="383"/>
      <c r="E359" s="384" t="str">
        <f t="shared" si="89"/>
        <v/>
      </c>
      <c r="F359" s="126"/>
      <c r="G359" s="126"/>
      <c r="H359" s="385">
        <f t="shared" si="90"/>
        <v>2202.6</v>
      </c>
      <c r="I359" s="126">
        <v>5</v>
      </c>
      <c r="J359" s="385">
        <v>2200</v>
      </c>
      <c r="K359" s="133">
        <v>11013</v>
      </c>
      <c r="L359" s="155">
        <v>44461</v>
      </c>
      <c r="M359" s="129">
        <f t="shared" si="14"/>
        <v>2221.6</v>
      </c>
      <c r="N359" s="158">
        <v>2224</v>
      </c>
      <c r="O359" s="386">
        <v>11108</v>
      </c>
      <c r="P359" s="125">
        <v>44516</v>
      </c>
      <c r="Q359" s="437">
        <v>44512</v>
      </c>
      <c r="R359" s="438">
        <v>15.93</v>
      </c>
      <c r="S359" s="439"/>
      <c r="T359" s="440">
        <f t="shared" si="87"/>
        <v>95</v>
      </c>
      <c r="U359" s="441" t="str">
        <f t="shared" si="16"/>
        <v>5 INDIGO</v>
      </c>
      <c r="V359" s="132">
        <f t="shared" si="17"/>
        <v>79.069999999999993</v>
      </c>
      <c r="W359" s="389">
        <f t="shared" si="88"/>
        <v>7.1796967220557513E-3</v>
      </c>
      <c r="X359" s="442">
        <f t="shared" si="19"/>
        <v>0</v>
      </c>
      <c r="Y359" s="391">
        <f t="shared" si="20"/>
        <v>1</v>
      </c>
      <c r="Z359" s="392">
        <f t="shared" si="21"/>
        <v>25</v>
      </c>
      <c r="AA359" s="389">
        <f t="shared" si="22"/>
        <v>4.862192186808012E-2</v>
      </c>
      <c r="AB359" s="125" t="s">
        <v>485</v>
      </c>
      <c r="AC359" s="98"/>
      <c r="AD359" s="98"/>
    </row>
    <row r="360" spans="1:30" ht="12.75" customHeight="1">
      <c r="A360" s="125" t="s">
        <v>489</v>
      </c>
      <c r="B360" s="125" t="s">
        <v>1306</v>
      </c>
      <c r="C360" s="382" t="s">
        <v>1201</v>
      </c>
      <c r="D360" s="383"/>
      <c r="E360" s="384"/>
      <c r="F360" s="126" t="s">
        <v>1159</v>
      </c>
      <c r="G360" s="126"/>
      <c r="H360" s="385">
        <v>1490</v>
      </c>
      <c r="I360" s="126">
        <v>10</v>
      </c>
      <c r="J360" s="385">
        <v>1490</v>
      </c>
      <c r="K360" s="133">
        <v>14900</v>
      </c>
      <c r="L360" s="155">
        <v>44225</v>
      </c>
      <c r="M360" s="129">
        <f t="shared" si="14"/>
        <v>2550.223</v>
      </c>
      <c r="N360" s="158">
        <v>2552.9300000000003</v>
      </c>
      <c r="O360" s="386">
        <v>25502.23</v>
      </c>
      <c r="P360" s="125">
        <v>44231</v>
      </c>
      <c r="Q360" s="437">
        <v>44229</v>
      </c>
      <c r="R360" s="438">
        <v>15.93</v>
      </c>
      <c r="S360" s="439"/>
      <c r="T360" s="440">
        <f t="shared" si="87"/>
        <v>10602.23</v>
      </c>
      <c r="U360" s="441" t="str">
        <f t="shared" si="16"/>
        <v>10 INDIGOPNTS</v>
      </c>
      <c r="V360" s="132">
        <f t="shared" si="17"/>
        <v>10586.3</v>
      </c>
      <c r="W360" s="389">
        <f t="shared" si="88"/>
        <v>0.71048993288590601</v>
      </c>
      <c r="X360" s="442">
        <f t="shared" si="19"/>
        <v>0</v>
      </c>
      <c r="Y360" s="391">
        <f t="shared" si="20"/>
        <v>0</v>
      </c>
      <c r="Z360" s="392">
        <f t="shared" si="21"/>
        <v>6</v>
      </c>
      <c r="AA360" s="389">
        <f t="shared" si="22"/>
        <v>151879252488295.37</v>
      </c>
      <c r="AB360" s="125" t="s">
        <v>485</v>
      </c>
      <c r="AC360" s="98"/>
      <c r="AD360" s="98"/>
    </row>
    <row r="361" spans="1:30" ht="12.75" customHeight="1">
      <c r="A361" s="125" t="s">
        <v>573</v>
      </c>
      <c r="B361" s="125" t="s">
        <v>1307</v>
      </c>
      <c r="C361" s="382" t="s">
        <v>1144</v>
      </c>
      <c r="D361" s="383" t="s">
        <v>1308</v>
      </c>
      <c r="E361" s="384">
        <f t="shared" ref="E361:E373" si="91">IFERROR(IF(D361="","",(D361-J361)/J361),"")</f>
        <v>0.35458167330677293</v>
      </c>
      <c r="F361" s="126" t="s">
        <v>1162</v>
      </c>
      <c r="G361" s="126" t="s">
        <v>1302</v>
      </c>
      <c r="H361" s="385">
        <f t="shared" ref="H361:H373" si="92">ROUND(K361/I361,4)</f>
        <v>62.9</v>
      </c>
      <c r="I361" s="126">
        <v>50</v>
      </c>
      <c r="J361" s="385">
        <v>62.75</v>
      </c>
      <c r="K361" s="133">
        <v>3145</v>
      </c>
      <c r="L361" s="155">
        <v>44411</v>
      </c>
      <c r="M361" s="129">
        <f t="shared" si="14"/>
        <v>48.3</v>
      </c>
      <c r="N361" s="158">
        <v>48.4</v>
      </c>
      <c r="O361" s="386">
        <v>2415</v>
      </c>
      <c r="P361" s="125">
        <v>44567</v>
      </c>
      <c r="Q361" s="437">
        <v>44565</v>
      </c>
      <c r="R361" s="438">
        <v>15.93</v>
      </c>
      <c r="S361" s="439"/>
      <c r="T361" s="440">
        <f>IF(O361="","",O361-K361)+3</f>
        <v>-727</v>
      </c>
      <c r="U361" s="441" t="str">
        <f t="shared" si="16"/>
        <v>50 INDSUCR</v>
      </c>
      <c r="V361" s="132">
        <f t="shared" si="17"/>
        <v>-742.93</v>
      </c>
      <c r="W361" s="389">
        <f t="shared" si="88"/>
        <v>-0.23622575516693162</v>
      </c>
      <c r="X361" s="442">
        <f t="shared" si="19"/>
        <v>0</v>
      </c>
      <c r="Y361" s="391">
        <f t="shared" si="20"/>
        <v>5</v>
      </c>
      <c r="Z361" s="392">
        <f t="shared" si="21"/>
        <v>3</v>
      </c>
      <c r="AA361" s="389">
        <f t="shared" si="22"/>
        <v>-0.46923990834550489</v>
      </c>
      <c r="AB361" s="125" t="s">
        <v>485</v>
      </c>
      <c r="AC361" s="98"/>
      <c r="AD361" s="98"/>
    </row>
    <row r="362" spans="1:30" ht="12.75" customHeight="1">
      <c r="A362" s="125" t="s">
        <v>308</v>
      </c>
      <c r="B362" s="125"/>
      <c r="C362" s="382"/>
      <c r="D362" s="383"/>
      <c r="E362" s="384" t="str">
        <f t="shared" si="91"/>
        <v/>
      </c>
      <c r="F362" s="126"/>
      <c r="G362" s="126"/>
      <c r="H362" s="385">
        <f t="shared" si="92"/>
        <v>800.83330000000001</v>
      </c>
      <c r="I362" s="126">
        <v>30</v>
      </c>
      <c r="J362" s="385">
        <v>800</v>
      </c>
      <c r="K362" s="133">
        <v>24025</v>
      </c>
      <c r="L362" s="155">
        <v>44671</v>
      </c>
      <c r="M362" s="129">
        <f t="shared" si="14"/>
        <v>869.1</v>
      </c>
      <c r="N362" s="158">
        <v>870</v>
      </c>
      <c r="O362" s="386">
        <v>26073</v>
      </c>
      <c r="P362" s="125">
        <v>44680</v>
      </c>
      <c r="Q362" s="437">
        <v>44678</v>
      </c>
      <c r="R362" s="438">
        <v>15.93</v>
      </c>
      <c r="S362" s="439"/>
      <c r="T362" s="440">
        <f t="shared" ref="T362:T367" si="93">IF(O362="","",O362-K362)</f>
        <v>2048</v>
      </c>
      <c r="U362" s="441" t="str">
        <f t="shared" si="16"/>
        <v>30 INEOSSTYRO</v>
      </c>
      <c r="V362" s="132">
        <f t="shared" si="17"/>
        <v>2032.07</v>
      </c>
      <c r="W362" s="389">
        <f t="shared" si="88"/>
        <v>8.4581477627471383E-2</v>
      </c>
      <c r="X362" s="442">
        <f t="shared" si="19"/>
        <v>0</v>
      </c>
      <c r="Y362" s="391">
        <f t="shared" si="20"/>
        <v>0</v>
      </c>
      <c r="Z362" s="392">
        <f t="shared" si="21"/>
        <v>9</v>
      </c>
      <c r="AA362" s="389">
        <f t="shared" si="22"/>
        <v>25.920147484013619</v>
      </c>
      <c r="AB362" s="125" t="s">
        <v>485</v>
      </c>
      <c r="AC362" s="98"/>
      <c r="AD362" s="98"/>
    </row>
    <row r="363" spans="1:30" ht="12.75" customHeight="1">
      <c r="A363" s="125" t="s">
        <v>308</v>
      </c>
      <c r="B363" s="125"/>
      <c r="C363" s="382"/>
      <c r="D363" s="383"/>
      <c r="E363" s="384" t="str">
        <f t="shared" si="91"/>
        <v/>
      </c>
      <c r="F363" s="126"/>
      <c r="G363" s="126"/>
      <c r="H363" s="385">
        <f t="shared" si="92"/>
        <v>800.82</v>
      </c>
      <c r="I363" s="126">
        <v>50</v>
      </c>
      <c r="J363" s="385">
        <v>800</v>
      </c>
      <c r="K363" s="133">
        <v>40041</v>
      </c>
      <c r="L363" s="155">
        <v>44671</v>
      </c>
      <c r="M363" s="129">
        <f t="shared" si="14"/>
        <v>843.12</v>
      </c>
      <c r="N363" s="158">
        <v>844</v>
      </c>
      <c r="O363" s="386">
        <v>42156</v>
      </c>
      <c r="P363" s="125">
        <v>44686</v>
      </c>
      <c r="Q363" s="437">
        <v>44683</v>
      </c>
      <c r="R363" s="438">
        <v>15.93</v>
      </c>
      <c r="S363" s="439"/>
      <c r="T363" s="440">
        <f t="shared" si="93"/>
        <v>2115</v>
      </c>
      <c r="U363" s="441" t="str">
        <f t="shared" si="16"/>
        <v>50 INEOSSTYRO</v>
      </c>
      <c r="V363" s="132">
        <f t="shared" si="17"/>
        <v>2099.0700000000002</v>
      </c>
      <c r="W363" s="389">
        <f t="shared" si="88"/>
        <v>5.2423016408181616E-2</v>
      </c>
      <c r="X363" s="442">
        <f t="shared" si="19"/>
        <v>0</v>
      </c>
      <c r="Y363" s="391">
        <f t="shared" si="20"/>
        <v>0</v>
      </c>
      <c r="Z363" s="392">
        <f t="shared" si="21"/>
        <v>15</v>
      </c>
      <c r="AA363" s="389">
        <f t="shared" si="22"/>
        <v>2.4670881149376269</v>
      </c>
      <c r="AB363" s="125" t="s">
        <v>485</v>
      </c>
      <c r="AC363" s="98"/>
      <c r="AD363" s="98"/>
    </row>
    <row r="364" spans="1:30" ht="12.75" customHeight="1">
      <c r="A364" s="125" t="s">
        <v>308</v>
      </c>
      <c r="B364" s="125"/>
      <c r="C364" s="382"/>
      <c r="D364" s="383"/>
      <c r="E364" s="384" t="str">
        <f t="shared" si="91"/>
        <v/>
      </c>
      <c r="F364" s="126"/>
      <c r="G364" s="126"/>
      <c r="H364" s="385">
        <f t="shared" si="92"/>
        <v>800.82</v>
      </c>
      <c r="I364" s="126">
        <v>50</v>
      </c>
      <c r="J364" s="385">
        <v>800</v>
      </c>
      <c r="K364" s="133">
        <v>40041</v>
      </c>
      <c r="L364" s="155">
        <v>44671</v>
      </c>
      <c r="M364" s="129">
        <f t="shared" si="14"/>
        <v>872.14</v>
      </c>
      <c r="N364" s="158">
        <v>872.5</v>
      </c>
      <c r="O364" s="386">
        <v>43607</v>
      </c>
      <c r="P364" s="125">
        <v>44712</v>
      </c>
      <c r="Q364" s="437">
        <v>44708</v>
      </c>
      <c r="R364" s="438">
        <v>15.93</v>
      </c>
      <c r="S364" s="439"/>
      <c r="T364" s="440">
        <f t="shared" si="93"/>
        <v>3566</v>
      </c>
      <c r="U364" s="441" t="str">
        <f t="shared" si="16"/>
        <v>50 INEOSSTYRO</v>
      </c>
      <c r="V364" s="132">
        <f t="shared" si="17"/>
        <v>3550.07</v>
      </c>
      <c r="W364" s="389">
        <f t="shared" si="88"/>
        <v>8.8660872605579283E-2</v>
      </c>
      <c r="X364" s="442">
        <f t="shared" si="19"/>
        <v>0</v>
      </c>
      <c r="Y364" s="391">
        <f t="shared" si="20"/>
        <v>1</v>
      </c>
      <c r="Z364" s="392">
        <f t="shared" si="21"/>
        <v>11</v>
      </c>
      <c r="AA364" s="389">
        <f t="shared" si="22"/>
        <v>1.1302680271326997</v>
      </c>
      <c r="AB364" s="125" t="s">
        <v>485</v>
      </c>
      <c r="AC364" s="98"/>
      <c r="AD364" s="98"/>
    </row>
    <row r="365" spans="1:30" ht="12.75" customHeight="1">
      <c r="A365" s="125" t="s">
        <v>308</v>
      </c>
      <c r="B365" s="125"/>
      <c r="C365" s="382"/>
      <c r="D365" s="383"/>
      <c r="E365" s="384" t="str">
        <f t="shared" si="91"/>
        <v/>
      </c>
      <c r="F365" s="126"/>
      <c r="G365" s="126"/>
      <c r="H365" s="385">
        <f t="shared" si="92"/>
        <v>903.6</v>
      </c>
      <c r="I365" s="126">
        <v>25</v>
      </c>
      <c r="J365" s="385">
        <v>903</v>
      </c>
      <c r="K365" s="133">
        <v>22590</v>
      </c>
      <c r="L365" s="155">
        <v>44708</v>
      </c>
      <c r="M365" s="129">
        <f t="shared" si="14"/>
        <v>921.04</v>
      </c>
      <c r="N365" s="158">
        <v>922</v>
      </c>
      <c r="O365" s="386">
        <v>23026</v>
      </c>
      <c r="P365" s="125">
        <v>44713</v>
      </c>
      <c r="Q365" s="437">
        <v>44711</v>
      </c>
      <c r="R365" s="438">
        <v>15.93</v>
      </c>
      <c r="S365" s="439"/>
      <c r="T365" s="440">
        <f t="shared" si="93"/>
        <v>436</v>
      </c>
      <c r="U365" s="441" t="str">
        <f t="shared" si="16"/>
        <v>25 INEOSSTYRO</v>
      </c>
      <c r="V365" s="132">
        <f t="shared" si="17"/>
        <v>420.07</v>
      </c>
      <c r="W365" s="389">
        <f t="shared" si="88"/>
        <v>1.8595396193005754E-2</v>
      </c>
      <c r="X365" s="442">
        <f t="shared" si="19"/>
        <v>0</v>
      </c>
      <c r="Y365" s="391">
        <f t="shared" si="20"/>
        <v>0</v>
      </c>
      <c r="Z365" s="392">
        <f t="shared" si="21"/>
        <v>5</v>
      </c>
      <c r="AA365" s="389">
        <f t="shared" si="22"/>
        <v>2.8381748243128961</v>
      </c>
      <c r="AB365" s="125" t="s">
        <v>485</v>
      </c>
      <c r="AC365" s="98"/>
      <c r="AD365" s="98"/>
    </row>
    <row r="366" spans="1:30" ht="12.75" customHeight="1">
      <c r="A366" s="125" t="s">
        <v>308</v>
      </c>
      <c r="B366" s="125"/>
      <c r="C366" s="382"/>
      <c r="D366" s="383"/>
      <c r="E366" s="384" t="str">
        <f t="shared" si="91"/>
        <v/>
      </c>
      <c r="F366" s="126"/>
      <c r="G366" s="126"/>
      <c r="H366" s="385">
        <f t="shared" si="92"/>
        <v>800.84</v>
      </c>
      <c r="I366" s="126">
        <v>25</v>
      </c>
      <c r="J366" s="385">
        <v>800</v>
      </c>
      <c r="K366" s="133">
        <v>20021</v>
      </c>
      <c r="L366" s="155">
        <v>44671</v>
      </c>
      <c r="M366" s="129">
        <f t="shared" si="14"/>
        <v>907.08</v>
      </c>
      <c r="N366" s="158">
        <v>908</v>
      </c>
      <c r="O366" s="386">
        <v>22677</v>
      </c>
      <c r="P366" s="125">
        <v>44714</v>
      </c>
      <c r="Q366" s="437">
        <v>44712</v>
      </c>
      <c r="R366" s="438">
        <v>15.93</v>
      </c>
      <c r="S366" s="439"/>
      <c r="T366" s="440">
        <f t="shared" si="93"/>
        <v>2656</v>
      </c>
      <c r="U366" s="441" t="str">
        <f t="shared" si="16"/>
        <v>25 INEOSSTYRO</v>
      </c>
      <c r="V366" s="132">
        <f t="shared" si="17"/>
        <v>2640.07</v>
      </c>
      <c r="W366" s="389">
        <f t="shared" si="88"/>
        <v>0.1318650417062085</v>
      </c>
      <c r="X366" s="442">
        <f t="shared" si="19"/>
        <v>0</v>
      </c>
      <c r="Y366" s="391">
        <f t="shared" si="20"/>
        <v>1</v>
      </c>
      <c r="Z366" s="392">
        <f t="shared" si="21"/>
        <v>13</v>
      </c>
      <c r="AA366" s="389">
        <f t="shared" si="22"/>
        <v>1.8617321182101914</v>
      </c>
      <c r="AB366" s="125" t="s">
        <v>485</v>
      </c>
      <c r="AC366" s="98"/>
      <c r="AD366" s="98"/>
    </row>
    <row r="367" spans="1:30" ht="12.75" customHeight="1">
      <c r="A367" s="125" t="s">
        <v>308</v>
      </c>
      <c r="B367" s="125"/>
      <c r="C367" s="382"/>
      <c r="D367" s="383"/>
      <c r="E367" s="384" t="str">
        <f t="shared" si="91"/>
        <v/>
      </c>
      <c r="F367" s="126"/>
      <c r="G367" s="126"/>
      <c r="H367" s="385">
        <f t="shared" si="92"/>
        <v>800.84</v>
      </c>
      <c r="I367" s="126">
        <v>25</v>
      </c>
      <c r="J367" s="385">
        <v>800</v>
      </c>
      <c r="K367" s="133">
        <v>20021</v>
      </c>
      <c r="L367" s="155">
        <v>44671</v>
      </c>
      <c r="M367" s="129">
        <f t="shared" si="14"/>
        <v>926.04</v>
      </c>
      <c r="N367" s="158">
        <v>927</v>
      </c>
      <c r="O367" s="386">
        <v>23151</v>
      </c>
      <c r="P367" s="125">
        <v>44718</v>
      </c>
      <c r="Q367" s="437">
        <v>44714</v>
      </c>
      <c r="R367" s="438">
        <v>15.93</v>
      </c>
      <c r="S367" s="439"/>
      <c r="T367" s="440">
        <f t="shared" si="93"/>
        <v>3130</v>
      </c>
      <c r="U367" s="441" t="str">
        <f t="shared" si="16"/>
        <v>25 INEOSSTYRO</v>
      </c>
      <c r="V367" s="132">
        <f t="shared" si="17"/>
        <v>3114.07</v>
      </c>
      <c r="W367" s="389">
        <f t="shared" si="88"/>
        <v>0.15554018280805154</v>
      </c>
      <c r="X367" s="442">
        <f t="shared" si="19"/>
        <v>0</v>
      </c>
      <c r="Y367" s="391">
        <f t="shared" si="20"/>
        <v>1</v>
      </c>
      <c r="Z367" s="392">
        <f t="shared" si="21"/>
        <v>17</v>
      </c>
      <c r="AA367" s="389">
        <f t="shared" si="22"/>
        <v>2.0731661725203834</v>
      </c>
      <c r="AB367" s="125" t="s">
        <v>485</v>
      </c>
      <c r="AC367" s="98"/>
      <c r="AD367" s="98"/>
    </row>
    <row r="368" spans="1:30" ht="12.75" customHeight="1">
      <c r="A368" s="125" t="s">
        <v>308</v>
      </c>
      <c r="B368" s="125"/>
      <c r="C368" s="382"/>
      <c r="D368" s="383"/>
      <c r="E368" s="384" t="str">
        <f t="shared" si="91"/>
        <v/>
      </c>
      <c r="F368" s="126"/>
      <c r="G368" s="126"/>
      <c r="H368" s="385">
        <f t="shared" si="92"/>
        <v>800.85</v>
      </c>
      <c r="I368" s="126">
        <v>20</v>
      </c>
      <c r="J368" s="385">
        <v>800</v>
      </c>
      <c r="K368" s="133">
        <v>16017</v>
      </c>
      <c r="L368" s="155">
        <v>44671</v>
      </c>
      <c r="M368" s="129">
        <f t="shared" si="14"/>
        <v>808.2</v>
      </c>
      <c r="N368" s="158">
        <v>809.04</v>
      </c>
      <c r="O368" s="386">
        <v>16164</v>
      </c>
      <c r="P368" s="125">
        <v>44753</v>
      </c>
      <c r="Q368" s="437">
        <v>44749</v>
      </c>
      <c r="R368" s="438">
        <v>15.93</v>
      </c>
      <c r="S368" s="439"/>
      <c r="T368" s="440">
        <f t="shared" ref="T368:T373" si="94">IF(OR(O368="",K368=""),"",O368-K368)</f>
        <v>147</v>
      </c>
      <c r="U368" s="441" t="str">
        <f t="shared" si="16"/>
        <v>20 INEOSSTYRO</v>
      </c>
      <c r="V368" s="132">
        <f t="shared" si="17"/>
        <v>131.07</v>
      </c>
      <c r="W368" s="389">
        <f t="shared" ref="W368:W373" si="95">IF(OR(K368="",V368=""),"",V368/K368)</f>
        <v>8.1831803708559657E-3</v>
      </c>
      <c r="X368" s="442">
        <f t="shared" si="19"/>
        <v>0</v>
      </c>
      <c r="Y368" s="391">
        <f t="shared" si="20"/>
        <v>2</v>
      </c>
      <c r="Z368" s="392">
        <f t="shared" si="21"/>
        <v>21</v>
      </c>
      <c r="AA368" s="389">
        <f t="shared" si="22"/>
        <v>3.6942939901632332E-2</v>
      </c>
      <c r="AB368" s="125" t="s">
        <v>485</v>
      </c>
      <c r="AC368" s="98"/>
      <c r="AD368" s="98"/>
    </row>
    <row r="369" spans="1:30" ht="12.75" customHeight="1">
      <c r="A369" s="125" t="s">
        <v>308</v>
      </c>
      <c r="B369" s="125"/>
      <c r="C369" s="382"/>
      <c r="D369" s="383"/>
      <c r="E369" s="384" t="str">
        <f t="shared" si="91"/>
        <v/>
      </c>
      <c r="F369" s="126"/>
      <c r="G369" s="126"/>
      <c r="H369" s="385">
        <f t="shared" si="92"/>
        <v>800.8</v>
      </c>
      <c r="I369" s="126">
        <v>20</v>
      </c>
      <c r="J369" s="385">
        <v>800</v>
      </c>
      <c r="K369" s="133">
        <v>16016</v>
      </c>
      <c r="L369" s="155">
        <v>44671</v>
      </c>
      <c r="M369" s="129">
        <f t="shared" si="14"/>
        <v>819.15</v>
      </c>
      <c r="N369" s="158">
        <v>820</v>
      </c>
      <c r="O369" s="386">
        <v>16383</v>
      </c>
      <c r="P369" s="125">
        <v>44754</v>
      </c>
      <c r="Q369" s="437">
        <v>44750</v>
      </c>
      <c r="R369" s="438">
        <v>15.93</v>
      </c>
      <c r="S369" s="439"/>
      <c r="T369" s="440">
        <f t="shared" si="94"/>
        <v>367</v>
      </c>
      <c r="U369" s="441" t="str">
        <f t="shared" si="16"/>
        <v>20 INEOSSTYRO</v>
      </c>
      <c r="V369" s="132">
        <f t="shared" si="17"/>
        <v>351.07</v>
      </c>
      <c r="W369" s="389">
        <f t="shared" si="95"/>
        <v>2.1919955044955045E-2</v>
      </c>
      <c r="X369" s="442">
        <f t="shared" si="19"/>
        <v>0</v>
      </c>
      <c r="Y369" s="391">
        <f t="shared" si="20"/>
        <v>2</v>
      </c>
      <c r="Z369" s="392">
        <f t="shared" si="21"/>
        <v>22</v>
      </c>
      <c r="AA369" s="389">
        <f t="shared" si="22"/>
        <v>0.10004785730940036</v>
      </c>
      <c r="AB369" s="125" t="s">
        <v>485</v>
      </c>
      <c r="AC369" s="98"/>
      <c r="AD369" s="98"/>
    </row>
    <row r="370" spans="1:30" ht="12.75" customHeight="1">
      <c r="A370" s="125" t="s">
        <v>308</v>
      </c>
      <c r="B370" s="125"/>
      <c r="C370" s="382"/>
      <c r="D370" s="383"/>
      <c r="E370" s="384" t="str">
        <f t="shared" si="91"/>
        <v/>
      </c>
      <c r="F370" s="126"/>
      <c r="G370" s="126"/>
      <c r="H370" s="385">
        <f t="shared" si="92"/>
        <v>800.82929999999999</v>
      </c>
      <c r="I370" s="126">
        <v>41</v>
      </c>
      <c r="J370" s="385">
        <v>800</v>
      </c>
      <c r="K370" s="133">
        <v>32834</v>
      </c>
      <c r="L370" s="155">
        <v>44671</v>
      </c>
      <c r="M370" s="129">
        <f t="shared" si="14"/>
        <v>857.17070000000001</v>
      </c>
      <c r="N370" s="158">
        <v>858.04878048780483</v>
      </c>
      <c r="O370" s="386">
        <v>35144</v>
      </c>
      <c r="P370" s="125">
        <v>44755</v>
      </c>
      <c r="Q370" s="437">
        <v>44753</v>
      </c>
      <c r="R370" s="438">
        <v>15.93</v>
      </c>
      <c r="S370" s="439"/>
      <c r="T370" s="440">
        <f t="shared" si="94"/>
        <v>2310</v>
      </c>
      <c r="U370" s="441" t="str">
        <f t="shared" si="16"/>
        <v>41 INEOSSTYRO</v>
      </c>
      <c r="V370" s="132">
        <f t="shared" si="17"/>
        <v>2294.0700000000002</v>
      </c>
      <c r="W370" s="389">
        <f t="shared" si="95"/>
        <v>6.9868733629774013E-2</v>
      </c>
      <c r="X370" s="442">
        <f t="shared" si="19"/>
        <v>0</v>
      </c>
      <c r="Y370" s="391">
        <f t="shared" si="20"/>
        <v>2</v>
      </c>
      <c r="Z370" s="392">
        <f t="shared" si="21"/>
        <v>23</v>
      </c>
      <c r="AA370" s="389">
        <f t="shared" si="22"/>
        <v>0.34105931508940346</v>
      </c>
      <c r="AB370" s="125" t="s">
        <v>485</v>
      </c>
      <c r="AC370" s="98"/>
      <c r="AD370" s="98"/>
    </row>
    <row r="371" spans="1:30" ht="12.75" customHeight="1">
      <c r="A371" s="125" t="s">
        <v>308</v>
      </c>
      <c r="B371" s="125"/>
      <c r="C371" s="382"/>
      <c r="D371" s="383"/>
      <c r="E371" s="384" t="str">
        <f t="shared" si="91"/>
        <v/>
      </c>
      <c r="F371" s="126"/>
      <c r="G371" s="126"/>
      <c r="H371" s="385">
        <f t="shared" si="92"/>
        <v>800.8</v>
      </c>
      <c r="I371" s="126">
        <v>10</v>
      </c>
      <c r="J371" s="385">
        <v>800</v>
      </c>
      <c r="K371" s="133">
        <v>8008</v>
      </c>
      <c r="L371" s="155">
        <v>44671</v>
      </c>
      <c r="M371" s="129">
        <f t="shared" si="14"/>
        <v>869.1</v>
      </c>
      <c r="N371" s="158">
        <v>870</v>
      </c>
      <c r="O371" s="386">
        <v>8691</v>
      </c>
      <c r="P371" s="125">
        <v>44767</v>
      </c>
      <c r="Q371" s="437">
        <v>44763</v>
      </c>
      <c r="R371" s="438">
        <v>15.93</v>
      </c>
      <c r="S371" s="439"/>
      <c r="T371" s="440">
        <f t="shared" si="94"/>
        <v>683</v>
      </c>
      <c r="U371" s="441" t="str">
        <f t="shared" si="16"/>
        <v>10 INEOSSTYRO</v>
      </c>
      <c r="V371" s="132">
        <f t="shared" si="17"/>
        <v>667.07</v>
      </c>
      <c r="W371" s="389">
        <f t="shared" si="95"/>
        <v>8.330044955044956E-2</v>
      </c>
      <c r="X371" s="442">
        <f t="shared" si="19"/>
        <v>0</v>
      </c>
      <c r="Y371" s="391">
        <f t="shared" si="20"/>
        <v>3</v>
      </c>
      <c r="Z371" s="392">
        <f t="shared" si="21"/>
        <v>5</v>
      </c>
      <c r="AA371" s="389">
        <f t="shared" si="22"/>
        <v>0.35555861805113786</v>
      </c>
      <c r="AB371" s="125" t="s">
        <v>485</v>
      </c>
      <c r="AC371" s="98"/>
      <c r="AD371" s="98"/>
    </row>
    <row r="372" spans="1:30" ht="12.75" customHeight="1">
      <c r="A372" s="125" t="s">
        <v>308</v>
      </c>
      <c r="B372" s="125"/>
      <c r="C372" s="382"/>
      <c r="D372" s="383"/>
      <c r="E372" s="384" t="str">
        <f t="shared" si="91"/>
        <v/>
      </c>
      <c r="F372" s="126"/>
      <c r="G372" s="126"/>
      <c r="H372" s="385">
        <f t="shared" si="92"/>
        <v>800.88890000000004</v>
      </c>
      <c r="I372" s="126">
        <v>9</v>
      </c>
      <c r="J372" s="385">
        <v>800</v>
      </c>
      <c r="K372" s="133">
        <v>7208</v>
      </c>
      <c r="L372" s="155">
        <v>44671</v>
      </c>
      <c r="M372" s="129">
        <f t="shared" si="14"/>
        <v>879.11109999999996</v>
      </c>
      <c r="N372" s="158">
        <v>880</v>
      </c>
      <c r="O372" s="386">
        <v>7912</v>
      </c>
      <c r="P372" s="125">
        <v>44768</v>
      </c>
      <c r="Q372" s="437">
        <v>44764</v>
      </c>
      <c r="R372" s="438">
        <v>15.93</v>
      </c>
      <c r="S372" s="439"/>
      <c r="T372" s="440">
        <f t="shared" si="94"/>
        <v>704</v>
      </c>
      <c r="U372" s="441" t="str">
        <f t="shared" si="16"/>
        <v>9 INEOSSTYRO</v>
      </c>
      <c r="V372" s="132">
        <f t="shared" si="17"/>
        <v>688.07</v>
      </c>
      <c r="W372" s="389">
        <f t="shared" si="95"/>
        <v>9.5459211986681475E-2</v>
      </c>
      <c r="X372" s="442">
        <f t="shared" si="19"/>
        <v>0</v>
      </c>
      <c r="Y372" s="391">
        <f t="shared" si="20"/>
        <v>3</v>
      </c>
      <c r="Z372" s="392">
        <f t="shared" si="21"/>
        <v>6</v>
      </c>
      <c r="AA372" s="389">
        <f t="shared" si="22"/>
        <v>0.40927599601233156</v>
      </c>
      <c r="AB372" s="125" t="s">
        <v>485</v>
      </c>
      <c r="AC372" s="98"/>
      <c r="AD372" s="98"/>
    </row>
    <row r="373" spans="1:30" ht="12.75" customHeight="1">
      <c r="A373" s="125" t="s">
        <v>308</v>
      </c>
      <c r="B373" s="125"/>
      <c r="C373" s="382"/>
      <c r="D373" s="383"/>
      <c r="E373" s="384" t="str">
        <f t="shared" si="91"/>
        <v/>
      </c>
      <c r="F373" s="126"/>
      <c r="G373" s="126"/>
      <c r="H373" s="385">
        <f t="shared" si="92"/>
        <v>840.6</v>
      </c>
      <c r="I373" s="126">
        <v>5</v>
      </c>
      <c r="J373" s="385">
        <v>839.6</v>
      </c>
      <c r="K373" s="133">
        <v>4203</v>
      </c>
      <c r="L373" s="155">
        <v>44770</v>
      </c>
      <c r="M373" s="129">
        <f t="shared" si="14"/>
        <v>828.2</v>
      </c>
      <c r="N373" s="158">
        <v>829</v>
      </c>
      <c r="O373" s="386">
        <v>4141</v>
      </c>
      <c r="P373" s="125">
        <v>44790</v>
      </c>
      <c r="Q373" s="437">
        <v>44785</v>
      </c>
      <c r="R373" s="438">
        <v>15.93</v>
      </c>
      <c r="S373" s="439"/>
      <c r="T373" s="440">
        <f t="shared" si="94"/>
        <v>-62</v>
      </c>
      <c r="U373" s="441" t="str">
        <f t="shared" si="16"/>
        <v>5 INEOSSTYRO</v>
      </c>
      <c r="V373" s="132">
        <f t="shared" si="17"/>
        <v>-77.930000000000007</v>
      </c>
      <c r="W373" s="389">
        <f t="shared" si="95"/>
        <v>-1.8541517963359507E-2</v>
      </c>
      <c r="X373" s="442">
        <f t="shared" si="19"/>
        <v>0</v>
      </c>
      <c r="Y373" s="391">
        <f t="shared" si="20"/>
        <v>0</v>
      </c>
      <c r="Z373" s="392">
        <f t="shared" si="21"/>
        <v>20</v>
      </c>
      <c r="AA373" s="389">
        <f t="shared" si="22"/>
        <v>-0.28933852800811521</v>
      </c>
      <c r="AB373" s="125" t="s">
        <v>485</v>
      </c>
      <c r="AC373" s="98"/>
      <c r="AD373" s="98"/>
    </row>
    <row r="374" spans="1:30" ht="12.75" customHeight="1">
      <c r="A374" s="125" t="s">
        <v>472</v>
      </c>
      <c r="B374" s="125" t="s">
        <v>1309</v>
      </c>
      <c r="C374" s="382" t="s">
        <v>1201</v>
      </c>
      <c r="D374" s="383"/>
      <c r="E374" s="384"/>
      <c r="F374" s="126"/>
      <c r="G374" s="126"/>
      <c r="H374" s="385">
        <v>2103.6799999999998</v>
      </c>
      <c r="I374" s="126">
        <v>2</v>
      </c>
      <c r="J374" s="385">
        <v>2093.21</v>
      </c>
      <c r="K374" s="133">
        <v>4207.3599999999997</v>
      </c>
      <c r="L374" s="155">
        <v>39143</v>
      </c>
      <c r="M374" s="129">
        <f t="shared" si="14"/>
        <v>2427.69</v>
      </c>
      <c r="N374" s="158">
        <v>2442</v>
      </c>
      <c r="O374" s="386">
        <v>4855.38</v>
      </c>
      <c r="P374" s="125">
        <v>41032</v>
      </c>
      <c r="Q374" s="437">
        <v>41030</v>
      </c>
      <c r="R374" s="438">
        <v>6</v>
      </c>
      <c r="S374" s="439">
        <f>77+13+12+55+20+27+20+30+80+28</f>
        <v>362</v>
      </c>
      <c r="T374" s="440">
        <f>IF(O374="","",O374-K374)</f>
        <v>648.02000000000044</v>
      </c>
      <c r="U374" s="441" t="str">
        <f t="shared" si="16"/>
        <v>2 INFY</v>
      </c>
      <c r="V374" s="132">
        <f t="shared" si="17"/>
        <v>1004.0200000000004</v>
      </c>
      <c r="W374" s="389">
        <f>IF(M374=0,"",V374/K374)</f>
        <v>0.23863420292059642</v>
      </c>
      <c r="X374" s="442">
        <f t="shared" si="19"/>
        <v>5</v>
      </c>
      <c r="Y374" s="391">
        <f t="shared" si="20"/>
        <v>2</v>
      </c>
      <c r="Z374" s="392">
        <f t="shared" si="21"/>
        <v>1</v>
      </c>
      <c r="AA374" s="389">
        <f t="shared" si="22"/>
        <v>4.2218612386734078E-2</v>
      </c>
      <c r="AB374" s="125" t="s">
        <v>460</v>
      </c>
      <c r="AC374" s="98"/>
      <c r="AD374" s="98"/>
    </row>
    <row r="375" spans="1:30" ht="12.75" customHeight="1">
      <c r="A375" s="125" t="s">
        <v>472</v>
      </c>
      <c r="B375" s="125"/>
      <c r="C375" s="382"/>
      <c r="D375" s="383"/>
      <c r="E375" s="384" t="str">
        <f t="shared" ref="E375:E377" si="96">IFERROR(IF(D375="","",(D375-J375)/J375),"")</f>
        <v/>
      </c>
      <c r="F375" s="126"/>
      <c r="G375" s="126"/>
      <c r="H375" s="385">
        <f t="shared" ref="H375:H377" si="97">ROUND(K375/I375,4)</f>
        <v>1487.8</v>
      </c>
      <c r="I375" s="126">
        <v>5</v>
      </c>
      <c r="J375" s="385">
        <v>1486</v>
      </c>
      <c r="K375" s="133">
        <v>7439</v>
      </c>
      <c r="L375" s="155">
        <v>44818</v>
      </c>
      <c r="M375" s="129">
        <f t="shared" si="14"/>
        <v>1618.2</v>
      </c>
      <c r="N375" s="158">
        <v>1620</v>
      </c>
      <c r="O375" s="386">
        <v>8091</v>
      </c>
      <c r="P375" s="125">
        <v>44893</v>
      </c>
      <c r="Q375" s="437">
        <v>44889</v>
      </c>
      <c r="R375" s="438">
        <v>0</v>
      </c>
      <c r="S375" s="439"/>
      <c r="T375" s="440">
        <f t="shared" ref="T375:T377" si="98">IF(OR(O375="",K375=""),"",O375-K375)</f>
        <v>652</v>
      </c>
      <c r="U375" s="441" t="str">
        <f t="shared" si="16"/>
        <v>5 INFY</v>
      </c>
      <c r="V375" s="132">
        <f t="shared" si="17"/>
        <v>652</v>
      </c>
      <c r="W375" s="389">
        <f t="shared" ref="W375:W377" si="99">IF(OR(K375="",V375=""),"",V375/K375)</f>
        <v>8.7646189003898367E-2</v>
      </c>
      <c r="X375" s="442">
        <f t="shared" si="19"/>
        <v>0</v>
      </c>
      <c r="Y375" s="391">
        <f t="shared" si="20"/>
        <v>2</v>
      </c>
      <c r="Z375" s="392">
        <f t="shared" si="21"/>
        <v>14</v>
      </c>
      <c r="AA375" s="389">
        <f t="shared" si="22"/>
        <v>0.50512716231938515</v>
      </c>
      <c r="AB375" s="125" t="s">
        <v>485</v>
      </c>
      <c r="AC375" s="98"/>
      <c r="AD375" s="98"/>
    </row>
    <row r="376" spans="1:30" ht="12.75" customHeight="1">
      <c r="A376" s="125" t="s">
        <v>472</v>
      </c>
      <c r="B376" s="125"/>
      <c r="C376" s="382"/>
      <c r="D376" s="383"/>
      <c r="E376" s="384" t="str">
        <f t="shared" si="96"/>
        <v/>
      </c>
      <c r="F376" s="126"/>
      <c r="G376" s="126"/>
      <c r="H376" s="385">
        <f t="shared" si="97"/>
        <v>1456.5</v>
      </c>
      <c r="I376" s="126">
        <v>2</v>
      </c>
      <c r="J376" s="385">
        <v>1455</v>
      </c>
      <c r="K376" s="133">
        <v>2913</v>
      </c>
      <c r="L376" s="155">
        <v>44810</v>
      </c>
      <c r="M376" s="129">
        <f t="shared" si="14"/>
        <v>1618.5</v>
      </c>
      <c r="N376" s="158">
        <v>1620</v>
      </c>
      <c r="O376" s="386">
        <v>3237</v>
      </c>
      <c r="P376" s="125">
        <v>44893</v>
      </c>
      <c r="Q376" s="437">
        <v>44889</v>
      </c>
      <c r="R376" s="438">
        <v>15.93</v>
      </c>
      <c r="S376" s="439"/>
      <c r="T376" s="440">
        <f t="shared" si="98"/>
        <v>324</v>
      </c>
      <c r="U376" s="441" t="str">
        <f t="shared" si="16"/>
        <v>2 INFY</v>
      </c>
      <c r="V376" s="132">
        <f t="shared" si="17"/>
        <v>308.07</v>
      </c>
      <c r="W376" s="389">
        <f t="shared" si="99"/>
        <v>0.10575695159629248</v>
      </c>
      <c r="X376" s="442">
        <f t="shared" si="19"/>
        <v>0</v>
      </c>
      <c r="Y376" s="391">
        <f t="shared" si="20"/>
        <v>2</v>
      </c>
      <c r="Z376" s="392">
        <f t="shared" si="21"/>
        <v>22</v>
      </c>
      <c r="AA376" s="389">
        <f t="shared" si="22"/>
        <v>0.55595624722416148</v>
      </c>
      <c r="AB376" s="125" t="s">
        <v>485</v>
      </c>
      <c r="AC376" s="98"/>
      <c r="AD376" s="98"/>
    </row>
    <row r="377" spans="1:30" ht="12.75" customHeight="1">
      <c r="A377" s="125" t="s">
        <v>572</v>
      </c>
      <c r="B377" s="125" t="s">
        <v>1310</v>
      </c>
      <c r="C377" s="382" t="s">
        <v>1311</v>
      </c>
      <c r="D377" s="383" t="s">
        <v>1312</v>
      </c>
      <c r="E377" s="384">
        <f t="shared" si="96"/>
        <v>4.9382716049382713E-2</v>
      </c>
      <c r="F377" s="126" t="s">
        <v>1162</v>
      </c>
      <c r="G377" s="126" t="s">
        <v>1313</v>
      </c>
      <c r="H377" s="385">
        <f t="shared" si="97"/>
        <v>811</v>
      </c>
      <c r="I377" s="126">
        <v>4</v>
      </c>
      <c r="J377" s="385">
        <v>810</v>
      </c>
      <c r="K377" s="133">
        <v>3244</v>
      </c>
      <c r="L377" s="155">
        <v>44410</v>
      </c>
      <c r="M377" s="129">
        <f t="shared" si="14"/>
        <v>821.25</v>
      </c>
      <c r="N377" s="158">
        <v>822</v>
      </c>
      <c r="O377" s="386">
        <v>3285</v>
      </c>
      <c r="P377" s="125">
        <v>44728</v>
      </c>
      <c r="Q377" s="437">
        <v>44726</v>
      </c>
      <c r="R377" s="438">
        <v>15.93</v>
      </c>
      <c r="S377" s="439"/>
      <c r="T377" s="440">
        <f t="shared" si="98"/>
        <v>41</v>
      </c>
      <c r="U377" s="441" t="str">
        <f t="shared" si="16"/>
        <v>4 INSECTICID</v>
      </c>
      <c r="V377" s="132">
        <f t="shared" si="17"/>
        <v>25.07</v>
      </c>
      <c r="W377" s="389">
        <f t="shared" si="99"/>
        <v>7.7281134401972875E-3</v>
      </c>
      <c r="X377" s="442">
        <f t="shared" si="19"/>
        <v>0</v>
      </c>
      <c r="Y377" s="391">
        <f t="shared" si="20"/>
        <v>10</v>
      </c>
      <c r="Z377" s="392">
        <f t="shared" si="21"/>
        <v>14</v>
      </c>
      <c r="AA377" s="389">
        <f t="shared" si="22"/>
        <v>8.8753736675479811E-3</v>
      </c>
      <c r="AB377" s="125" t="s">
        <v>485</v>
      </c>
      <c r="AC377" s="98"/>
      <c r="AD377" s="98"/>
    </row>
    <row r="378" spans="1:30" ht="12.75" customHeight="1">
      <c r="A378" s="125" t="s">
        <v>490</v>
      </c>
      <c r="B378" s="125" t="s">
        <v>1314</v>
      </c>
      <c r="C378" s="382" t="s">
        <v>1201</v>
      </c>
      <c r="D378" s="383"/>
      <c r="E378" s="384"/>
      <c r="F378" s="126"/>
      <c r="G378" s="126"/>
      <c r="H378" s="385">
        <v>15.5</v>
      </c>
      <c r="I378" s="126">
        <v>10000</v>
      </c>
      <c r="J378" s="385">
        <v>15.5</v>
      </c>
      <c r="K378" s="133">
        <v>155000</v>
      </c>
      <c r="L378" s="155">
        <v>44243</v>
      </c>
      <c r="M378" s="129">
        <f t="shared" si="14"/>
        <v>12.561999999999999</v>
      </c>
      <c r="N378" s="158">
        <v>12.58</v>
      </c>
      <c r="O378" s="386">
        <v>125620</v>
      </c>
      <c r="P378" s="125">
        <v>44245</v>
      </c>
      <c r="Q378" s="437">
        <v>44245</v>
      </c>
      <c r="R378" s="438"/>
      <c r="S378" s="439"/>
      <c r="T378" s="440">
        <f t="shared" ref="T378:T384" si="100">IF(O378="","",O378-K378)</f>
        <v>-29380</v>
      </c>
      <c r="U378" s="441" t="str">
        <f t="shared" si="16"/>
        <v>10000 IOB</v>
      </c>
      <c r="V378" s="132">
        <f t="shared" si="17"/>
        <v>-29380</v>
      </c>
      <c r="W378" s="389">
        <f>IF(M378=0,"",(M378-H378)/H378)</f>
        <v>-0.18954838709677424</v>
      </c>
      <c r="X378" s="442">
        <f t="shared" si="19"/>
        <v>0</v>
      </c>
      <c r="Y378" s="391">
        <f t="shared" si="20"/>
        <v>0</v>
      </c>
      <c r="Z378" s="392">
        <f t="shared" si="21"/>
        <v>2</v>
      </c>
      <c r="AA378" s="389">
        <f>IFERROR((O378/K378)^(1/((P378-L378)/365))-1,"")</f>
        <v>-1</v>
      </c>
      <c r="AB378" s="125" t="s">
        <v>485</v>
      </c>
      <c r="AC378" s="98"/>
      <c r="AD378" s="98"/>
    </row>
    <row r="379" spans="1:30" ht="12.75" customHeight="1">
      <c r="A379" s="125" t="s">
        <v>517</v>
      </c>
      <c r="B379" s="125" t="s">
        <v>1315</v>
      </c>
      <c r="C379" s="382" t="s">
        <v>1201</v>
      </c>
      <c r="D379" s="383" t="s">
        <v>1316</v>
      </c>
      <c r="E379" s="384">
        <f>IFERROR(IF(D379="","",(D379-J379)/J379),"")</f>
        <v>0.14832535885167464</v>
      </c>
      <c r="F379" s="126" t="s">
        <v>1162</v>
      </c>
      <c r="G379" s="126" t="s">
        <v>1163</v>
      </c>
      <c r="H379" s="385">
        <f t="shared" ref="H379:H408" si="101">ROUND(K379/I379,4)</f>
        <v>104.62</v>
      </c>
      <c r="I379" s="126">
        <v>100</v>
      </c>
      <c r="J379" s="385">
        <v>104.5</v>
      </c>
      <c r="K379" s="133">
        <v>10462</v>
      </c>
      <c r="L379" s="155">
        <v>44328</v>
      </c>
      <c r="M379" s="129">
        <f t="shared" si="14"/>
        <v>106.64</v>
      </c>
      <c r="N379" s="158">
        <v>106.75</v>
      </c>
      <c r="O379" s="386">
        <v>10664</v>
      </c>
      <c r="P379" s="125">
        <v>44343</v>
      </c>
      <c r="Q379" s="437">
        <v>44340</v>
      </c>
      <c r="R379" s="438">
        <v>15.93</v>
      </c>
      <c r="S379" s="439"/>
      <c r="T379" s="440">
        <f t="shared" si="100"/>
        <v>202</v>
      </c>
      <c r="U379" s="441" t="str">
        <f t="shared" si="16"/>
        <v>100 IOC</v>
      </c>
      <c r="V379" s="132">
        <f t="shared" si="17"/>
        <v>186.07</v>
      </c>
      <c r="W379" s="389">
        <f t="shared" ref="W379:W384" si="102">IF(M379=0,"",V379/K379)</f>
        <v>1.7785318294781111E-2</v>
      </c>
      <c r="X379" s="442">
        <f t="shared" si="19"/>
        <v>0</v>
      </c>
      <c r="Y379" s="391">
        <f t="shared" si="20"/>
        <v>0</v>
      </c>
      <c r="Z379" s="392">
        <f t="shared" si="21"/>
        <v>15</v>
      </c>
      <c r="AA379" s="389">
        <f t="shared" ref="AA379:AA408" si="103">IF(O379="","",IFERROR(((O379+S379-R379)/K379)^(1/((P379-L379)/365))-1,""))</f>
        <v>0.53567892514158433</v>
      </c>
      <c r="AB379" s="125" t="s">
        <v>485</v>
      </c>
      <c r="AC379" s="98"/>
      <c r="AD379" s="98"/>
    </row>
    <row r="380" spans="1:30" ht="12.75" customHeight="1">
      <c r="A380" s="125" t="s">
        <v>512</v>
      </c>
      <c r="B380" s="125" t="s">
        <v>1317</v>
      </c>
      <c r="C380" s="382" t="s">
        <v>1201</v>
      </c>
      <c r="D380" s="383"/>
      <c r="E380" s="384"/>
      <c r="F380" s="126" t="s">
        <v>1159</v>
      </c>
      <c r="G380" s="126"/>
      <c r="H380" s="385">
        <f t="shared" si="101"/>
        <v>26</v>
      </c>
      <c r="I380" s="126">
        <f>575+500</f>
        <v>1075</v>
      </c>
      <c r="J380" s="385">
        <v>26</v>
      </c>
      <c r="K380" s="133">
        <f>14950+13000</f>
        <v>27950</v>
      </c>
      <c r="L380" s="155">
        <v>44223</v>
      </c>
      <c r="M380" s="129">
        <f t="shared" si="14"/>
        <v>21.177700000000002</v>
      </c>
      <c r="N380" s="158">
        <v>21.2</v>
      </c>
      <c r="O380" s="386">
        <v>22766</v>
      </c>
      <c r="P380" s="125">
        <v>44328</v>
      </c>
      <c r="Q380" s="437">
        <v>44326</v>
      </c>
      <c r="R380" s="438">
        <f>35.4+35.4+29.5</f>
        <v>100.3</v>
      </c>
      <c r="S380" s="439">
        <v>603.75</v>
      </c>
      <c r="T380" s="440">
        <f t="shared" si="100"/>
        <v>-5184</v>
      </c>
      <c r="U380" s="441" t="str">
        <f t="shared" si="16"/>
        <v>1075 IRFC</v>
      </c>
      <c r="V380" s="132">
        <f t="shared" si="17"/>
        <v>-4680.55</v>
      </c>
      <c r="W380" s="389">
        <f t="shared" si="102"/>
        <v>-0.16746153846153847</v>
      </c>
      <c r="X380" s="442">
        <f t="shared" si="19"/>
        <v>0</v>
      </c>
      <c r="Y380" s="391">
        <f t="shared" si="20"/>
        <v>3</v>
      </c>
      <c r="Z380" s="392">
        <f t="shared" si="21"/>
        <v>15</v>
      </c>
      <c r="AA380" s="389">
        <f t="shared" si="103"/>
        <v>-0.47117715649245828</v>
      </c>
      <c r="AB380" s="125" t="s">
        <v>485</v>
      </c>
      <c r="AC380" s="98"/>
      <c r="AD380" s="98"/>
    </row>
    <row r="381" spans="1:30" ht="12.75" customHeight="1">
      <c r="A381" s="125" t="s">
        <v>512</v>
      </c>
      <c r="B381" s="125" t="s">
        <v>1317</v>
      </c>
      <c r="C381" s="382" t="s">
        <v>1158</v>
      </c>
      <c r="D381" s="383"/>
      <c r="E381" s="384" t="str">
        <f t="shared" ref="E381:E408" si="104">IFERROR(IF(D381="","",(D381-J381)/J381),"")</f>
        <v/>
      </c>
      <c r="F381" s="126" t="s">
        <v>1145</v>
      </c>
      <c r="G381" s="126"/>
      <c r="H381" s="385">
        <f t="shared" si="101"/>
        <v>26</v>
      </c>
      <c r="I381" s="126">
        <f>575-500</f>
        <v>75</v>
      </c>
      <c r="J381" s="385">
        <v>26</v>
      </c>
      <c r="K381" s="133">
        <v>1950</v>
      </c>
      <c r="L381" s="155">
        <v>44216</v>
      </c>
      <c r="M381" s="129">
        <f t="shared" si="14"/>
        <v>24.224299999999999</v>
      </c>
      <c r="N381" s="158">
        <v>24.25</v>
      </c>
      <c r="O381" s="386">
        <f>13929/575*75</f>
        <v>1816.8260869565215</v>
      </c>
      <c r="P381" s="125">
        <v>44489</v>
      </c>
      <c r="Q381" s="437">
        <v>44487</v>
      </c>
      <c r="R381" s="438">
        <v>15.93</v>
      </c>
      <c r="S381" s="439"/>
      <c r="T381" s="440">
        <f t="shared" si="100"/>
        <v>-133.17391304347848</v>
      </c>
      <c r="U381" s="441" t="str">
        <f t="shared" si="16"/>
        <v>75 IRFC</v>
      </c>
      <c r="V381" s="132">
        <f t="shared" si="17"/>
        <v>-149.10391304347849</v>
      </c>
      <c r="W381" s="389">
        <f t="shared" si="102"/>
        <v>-7.6463545150501785E-2</v>
      </c>
      <c r="X381" s="442">
        <f t="shared" si="19"/>
        <v>0</v>
      </c>
      <c r="Y381" s="391">
        <f t="shared" si="20"/>
        <v>9</v>
      </c>
      <c r="Z381" s="392">
        <f t="shared" si="21"/>
        <v>0</v>
      </c>
      <c r="AA381" s="389">
        <f t="shared" si="103"/>
        <v>-0.10089133707234543</v>
      </c>
      <c r="AB381" s="125" t="s">
        <v>460</v>
      </c>
      <c r="AC381" s="98"/>
      <c r="AD381" s="98"/>
    </row>
    <row r="382" spans="1:30" ht="12.75" customHeight="1">
      <c r="A382" s="125" t="s">
        <v>512</v>
      </c>
      <c r="B382" s="125" t="s">
        <v>1317</v>
      </c>
      <c r="C382" s="382" t="s">
        <v>1158</v>
      </c>
      <c r="D382" s="383"/>
      <c r="E382" s="384" t="str">
        <f t="shared" si="104"/>
        <v/>
      </c>
      <c r="F382" s="126" t="s">
        <v>1145</v>
      </c>
      <c r="G382" s="126"/>
      <c r="H382" s="385">
        <f t="shared" si="101"/>
        <v>25.03</v>
      </c>
      <c r="I382" s="126">
        <v>500</v>
      </c>
      <c r="J382" s="385">
        <v>25</v>
      </c>
      <c r="K382" s="133">
        <v>12515</v>
      </c>
      <c r="L382" s="155">
        <v>44377</v>
      </c>
      <c r="M382" s="129">
        <f t="shared" si="14"/>
        <v>24.224299999999999</v>
      </c>
      <c r="N382" s="158">
        <v>24.25</v>
      </c>
      <c r="O382" s="386">
        <f>13929/575*500</f>
        <v>12112.173913043478</v>
      </c>
      <c r="P382" s="125">
        <v>44489</v>
      </c>
      <c r="Q382" s="437">
        <v>44487</v>
      </c>
      <c r="R382" s="438">
        <v>35.4</v>
      </c>
      <c r="S382" s="439">
        <v>603.75</v>
      </c>
      <c r="T382" s="440">
        <f t="shared" si="100"/>
        <v>-402.82608695652198</v>
      </c>
      <c r="U382" s="441" t="str">
        <f t="shared" si="16"/>
        <v>500 IRFC</v>
      </c>
      <c r="V382" s="132">
        <f t="shared" si="17"/>
        <v>165.52391304347802</v>
      </c>
      <c r="W382" s="389">
        <f t="shared" si="102"/>
        <v>1.3226041793326249E-2</v>
      </c>
      <c r="X382" s="442">
        <f t="shared" si="19"/>
        <v>0</v>
      </c>
      <c r="Y382" s="391">
        <f t="shared" si="20"/>
        <v>3</v>
      </c>
      <c r="Z382" s="392">
        <f t="shared" si="21"/>
        <v>20</v>
      </c>
      <c r="AA382" s="389">
        <f t="shared" si="103"/>
        <v>4.3750185478476311E-2</v>
      </c>
      <c r="AB382" s="125" t="s">
        <v>460</v>
      </c>
      <c r="AC382" s="98"/>
      <c r="AD382" s="98"/>
    </row>
    <row r="383" spans="1:30" ht="12.75" customHeight="1">
      <c r="A383" s="125" t="s">
        <v>590</v>
      </c>
      <c r="B383" s="125" t="s">
        <v>590</v>
      </c>
      <c r="C383" s="382" t="s">
        <v>1318</v>
      </c>
      <c r="D383" s="383">
        <v>290</v>
      </c>
      <c r="E383" s="384">
        <f t="shared" si="104"/>
        <v>0.26545436138845657</v>
      </c>
      <c r="F383" s="126" t="s">
        <v>1301</v>
      </c>
      <c r="G383" s="126" t="s">
        <v>1319</v>
      </c>
      <c r="H383" s="385">
        <f t="shared" si="101"/>
        <v>229.4333</v>
      </c>
      <c r="I383" s="126">
        <v>60</v>
      </c>
      <c r="J383" s="385">
        <v>229.16669999999999</v>
      </c>
      <c r="K383" s="133">
        <v>13766</v>
      </c>
      <c r="L383" s="155">
        <v>44497</v>
      </c>
      <c r="M383" s="129">
        <f t="shared" si="14"/>
        <v>237.75</v>
      </c>
      <c r="N383" s="158">
        <v>238</v>
      </c>
      <c r="O383" s="386">
        <v>14265</v>
      </c>
      <c r="P383" s="125">
        <v>44519</v>
      </c>
      <c r="Q383" s="437">
        <v>44517</v>
      </c>
      <c r="R383" s="438">
        <v>15.93</v>
      </c>
      <c r="S383" s="439"/>
      <c r="T383" s="440">
        <f t="shared" si="100"/>
        <v>499</v>
      </c>
      <c r="U383" s="441" t="str">
        <f t="shared" si="16"/>
        <v>60 ITC</v>
      </c>
      <c r="V383" s="132">
        <f t="shared" si="17"/>
        <v>483.07</v>
      </c>
      <c r="W383" s="389">
        <f t="shared" si="102"/>
        <v>3.5091529856167369E-2</v>
      </c>
      <c r="X383" s="442">
        <f t="shared" si="19"/>
        <v>0</v>
      </c>
      <c r="Y383" s="391">
        <f t="shared" si="20"/>
        <v>0</v>
      </c>
      <c r="Z383" s="392">
        <f t="shared" si="21"/>
        <v>22</v>
      </c>
      <c r="AA383" s="389">
        <f t="shared" si="103"/>
        <v>0.77219357914417697</v>
      </c>
      <c r="AB383" s="125" t="s">
        <v>485</v>
      </c>
      <c r="AC383" s="98"/>
      <c r="AD383" s="98"/>
    </row>
    <row r="384" spans="1:30" ht="12.75" customHeight="1">
      <c r="A384" s="125" t="s">
        <v>590</v>
      </c>
      <c r="B384" s="125"/>
      <c r="C384" s="382"/>
      <c r="D384" s="383"/>
      <c r="E384" s="384" t="str">
        <f t="shared" si="104"/>
        <v/>
      </c>
      <c r="F384" s="126"/>
      <c r="G384" s="126"/>
      <c r="H384" s="385">
        <f t="shared" si="101"/>
        <v>251.8</v>
      </c>
      <c r="I384" s="126">
        <v>50</v>
      </c>
      <c r="J384" s="385">
        <v>251.5</v>
      </c>
      <c r="K384" s="133">
        <v>12590</v>
      </c>
      <c r="L384" s="155">
        <v>44650</v>
      </c>
      <c r="M384" s="129">
        <f t="shared" si="14"/>
        <v>252.24</v>
      </c>
      <c r="N384" s="158">
        <v>252.5</v>
      </c>
      <c r="O384" s="386">
        <v>12612</v>
      </c>
      <c r="P384" s="125">
        <v>44655</v>
      </c>
      <c r="Q384" s="437">
        <v>44651</v>
      </c>
      <c r="R384" s="438">
        <v>15.93</v>
      </c>
      <c r="S384" s="439"/>
      <c r="T384" s="440">
        <f t="shared" si="100"/>
        <v>22</v>
      </c>
      <c r="U384" s="441" t="str">
        <f t="shared" si="16"/>
        <v>50 ITC</v>
      </c>
      <c r="V384" s="132">
        <f t="shared" si="17"/>
        <v>6.07</v>
      </c>
      <c r="W384" s="389">
        <f t="shared" si="102"/>
        <v>4.821286735504369E-4</v>
      </c>
      <c r="X384" s="442">
        <f t="shared" si="19"/>
        <v>0</v>
      </c>
      <c r="Y384" s="391">
        <f t="shared" si="20"/>
        <v>0</v>
      </c>
      <c r="Z384" s="392">
        <f t="shared" si="21"/>
        <v>5</v>
      </c>
      <c r="AA384" s="389">
        <f t="shared" si="103"/>
        <v>3.5813296166696373E-2</v>
      </c>
      <c r="AB384" s="125" t="s">
        <v>485</v>
      </c>
      <c r="AC384" s="98"/>
      <c r="AD384" s="98"/>
    </row>
    <row r="385" spans="1:30" ht="12.75" customHeight="1">
      <c r="A385" s="125" t="s">
        <v>590</v>
      </c>
      <c r="B385" s="125"/>
      <c r="C385" s="382"/>
      <c r="D385" s="383"/>
      <c r="E385" s="384" t="str">
        <f t="shared" si="104"/>
        <v/>
      </c>
      <c r="F385" s="126"/>
      <c r="G385" s="126"/>
      <c r="H385" s="385">
        <f t="shared" si="101"/>
        <v>315.2</v>
      </c>
      <c r="I385" s="126">
        <v>5</v>
      </c>
      <c r="J385" s="385">
        <v>314.75</v>
      </c>
      <c r="K385" s="133">
        <v>1576</v>
      </c>
      <c r="L385" s="155">
        <v>44796</v>
      </c>
      <c r="M385" s="129">
        <f t="shared" si="14"/>
        <v>340.6</v>
      </c>
      <c r="N385" s="158">
        <v>341</v>
      </c>
      <c r="O385" s="386">
        <v>1703</v>
      </c>
      <c r="P385" s="125">
        <v>44894</v>
      </c>
      <c r="Q385" s="437">
        <v>44890</v>
      </c>
      <c r="R385" s="438">
        <v>15.93</v>
      </c>
      <c r="S385" s="439"/>
      <c r="T385" s="440">
        <f t="shared" ref="T385:T386" si="105">IF(OR(O385="",K385=""),"",O385-K385)</f>
        <v>127</v>
      </c>
      <c r="U385" s="441" t="str">
        <f t="shared" si="16"/>
        <v>5 ITC</v>
      </c>
      <c r="V385" s="132">
        <f t="shared" si="17"/>
        <v>111.07</v>
      </c>
      <c r="W385" s="389">
        <f t="shared" ref="W385:W386" si="106">IF(OR(K385="",V385=""),"",V385/K385)</f>
        <v>7.0475888324873087E-2</v>
      </c>
      <c r="X385" s="442">
        <f t="shared" si="19"/>
        <v>0</v>
      </c>
      <c r="Y385" s="391">
        <f t="shared" si="20"/>
        <v>3</v>
      </c>
      <c r="Z385" s="392">
        <f t="shared" si="21"/>
        <v>6</v>
      </c>
      <c r="AA385" s="389">
        <f t="shared" si="103"/>
        <v>0.28872075647147732</v>
      </c>
      <c r="AB385" s="125" t="s">
        <v>485</v>
      </c>
      <c r="AC385" s="98"/>
      <c r="AD385" s="98"/>
    </row>
    <row r="386" spans="1:30" ht="12.75" customHeight="1">
      <c r="A386" s="125" t="s">
        <v>590</v>
      </c>
      <c r="B386" s="125"/>
      <c r="C386" s="382"/>
      <c r="D386" s="383"/>
      <c r="E386" s="384" t="str">
        <f t="shared" si="104"/>
        <v/>
      </c>
      <c r="F386" s="126"/>
      <c r="G386" s="126"/>
      <c r="H386" s="385">
        <f t="shared" si="101"/>
        <v>333.4</v>
      </c>
      <c r="I386" s="126">
        <v>50</v>
      </c>
      <c r="J386" s="385">
        <v>333</v>
      </c>
      <c r="K386" s="133">
        <v>16670</v>
      </c>
      <c r="L386" s="155">
        <v>44943</v>
      </c>
      <c r="M386" s="129">
        <f t="shared" si="14"/>
        <v>339.64</v>
      </c>
      <c r="N386" s="158">
        <v>340</v>
      </c>
      <c r="O386" s="386">
        <v>16982</v>
      </c>
      <c r="P386" s="125">
        <v>44953</v>
      </c>
      <c r="Q386" s="437">
        <v>44950</v>
      </c>
      <c r="R386" s="438">
        <v>15.93</v>
      </c>
      <c r="S386" s="439"/>
      <c r="T386" s="440">
        <f t="shared" si="105"/>
        <v>312</v>
      </c>
      <c r="U386" s="441" t="str">
        <f t="shared" si="16"/>
        <v>50 ITC</v>
      </c>
      <c r="V386" s="132">
        <f t="shared" si="17"/>
        <v>296.07</v>
      </c>
      <c r="W386" s="389">
        <f t="shared" si="106"/>
        <v>1.7760647870425913E-2</v>
      </c>
      <c r="X386" s="442">
        <f t="shared" si="19"/>
        <v>0</v>
      </c>
      <c r="Y386" s="391">
        <f t="shared" si="20"/>
        <v>0</v>
      </c>
      <c r="Z386" s="392">
        <f t="shared" si="21"/>
        <v>10</v>
      </c>
      <c r="AA386" s="389">
        <f t="shared" si="103"/>
        <v>0.90136894428522951</v>
      </c>
      <c r="AB386" s="125" t="s">
        <v>485</v>
      </c>
      <c r="AC386" s="98"/>
      <c r="AD386" s="98"/>
    </row>
    <row r="387" spans="1:30" ht="12.75" customHeight="1">
      <c r="A387" s="125" t="s">
        <v>540</v>
      </c>
      <c r="B387" s="125" t="s">
        <v>1320</v>
      </c>
      <c r="C387" s="382" t="s">
        <v>1226</v>
      </c>
      <c r="D387" s="383" t="s">
        <v>1321</v>
      </c>
      <c r="E387" s="384">
        <f t="shared" si="104"/>
        <v>0.24293785310734464</v>
      </c>
      <c r="F387" s="126" t="s">
        <v>1162</v>
      </c>
      <c r="G387" s="126" t="s">
        <v>1163</v>
      </c>
      <c r="H387" s="385">
        <f t="shared" si="101"/>
        <v>88.6</v>
      </c>
      <c r="I387" s="126">
        <v>50</v>
      </c>
      <c r="J387" s="385">
        <v>88.5</v>
      </c>
      <c r="K387" s="133">
        <v>4430</v>
      </c>
      <c r="L387" s="155">
        <v>44358</v>
      </c>
      <c r="M387" s="129">
        <f t="shared" si="14"/>
        <v>95.9</v>
      </c>
      <c r="N387" s="158">
        <v>96</v>
      </c>
      <c r="O387" s="386">
        <v>4795</v>
      </c>
      <c r="P387" s="125">
        <v>44489</v>
      </c>
      <c r="Q387" s="437">
        <v>44487</v>
      </c>
      <c r="R387" s="438">
        <v>15.93</v>
      </c>
      <c r="S387" s="439">
        <v>6</v>
      </c>
      <c r="T387" s="440">
        <f>IF(O387="","",O387-K387)</f>
        <v>365</v>
      </c>
      <c r="U387" s="441" t="str">
        <f t="shared" si="16"/>
        <v>50 ITDCEM</v>
      </c>
      <c r="V387" s="132">
        <f t="shared" si="17"/>
        <v>355.07</v>
      </c>
      <c r="W387" s="389">
        <f>IF(M387=0,"",V387/K387)</f>
        <v>8.0151241534988718E-2</v>
      </c>
      <c r="X387" s="442">
        <f t="shared" si="19"/>
        <v>0</v>
      </c>
      <c r="Y387" s="391">
        <f t="shared" si="20"/>
        <v>4</v>
      </c>
      <c r="Z387" s="392">
        <f t="shared" si="21"/>
        <v>9</v>
      </c>
      <c r="AA387" s="389">
        <f t="shared" si="103"/>
        <v>0.23964319395520062</v>
      </c>
      <c r="AB387" s="125" t="s">
        <v>485</v>
      </c>
      <c r="AC387" s="98"/>
      <c r="AD387" s="98"/>
    </row>
    <row r="388" spans="1:30" ht="12.75" customHeight="1">
      <c r="A388" s="125" t="s">
        <v>626</v>
      </c>
      <c r="B388" s="125"/>
      <c r="C388" s="382"/>
      <c r="D388" s="383"/>
      <c r="E388" s="384" t="str">
        <f t="shared" si="104"/>
        <v/>
      </c>
      <c r="F388" s="126"/>
      <c r="G388" s="126"/>
      <c r="H388" s="385">
        <f t="shared" si="101"/>
        <v>110.14</v>
      </c>
      <c r="I388" s="126">
        <v>50</v>
      </c>
      <c r="J388" s="385">
        <v>110</v>
      </c>
      <c r="K388" s="133">
        <v>5507</v>
      </c>
      <c r="L388" s="155">
        <v>44756</v>
      </c>
      <c r="M388" s="129">
        <f t="shared" si="14"/>
        <v>113.74</v>
      </c>
      <c r="N388" s="158">
        <v>113.85</v>
      </c>
      <c r="O388" s="386">
        <v>5687</v>
      </c>
      <c r="P388" s="125">
        <v>44798</v>
      </c>
      <c r="Q388" s="437">
        <v>44796</v>
      </c>
      <c r="R388" s="438">
        <v>15.93</v>
      </c>
      <c r="S388" s="439"/>
      <c r="T388" s="440">
        <f>IF(OR(O388="",K388=""),"",O388-K388)</f>
        <v>180</v>
      </c>
      <c r="U388" s="441" t="str">
        <f t="shared" si="16"/>
        <v>50 ITI</v>
      </c>
      <c r="V388" s="132">
        <f t="shared" si="17"/>
        <v>164.07</v>
      </c>
      <c r="W388" s="389">
        <f>IF(OR(K388="",V388=""),"",V388/K388)</f>
        <v>2.9792990739059378E-2</v>
      </c>
      <c r="X388" s="442">
        <f t="shared" si="19"/>
        <v>0</v>
      </c>
      <c r="Y388" s="391">
        <f t="shared" si="20"/>
        <v>1</v>
      </c>
      <c r="Z388" s="392">
        <f t="shared" si="21"/>
        <v>11</v>
      </c>
      <c r="AA388" s="389">
        <f t="shared" si="103"/>
        <v>0.29063362612763211</v>
      </c>
      <c r="AB388" s="125" t="s">
        <v>485</v>
      </c>
      <c r="AC388" s="98"/>
      <c r="AD388" s="98"/>
    </row>
    <row r="389" spans="1:30" ht="12.75" customHeight="1">
      <c r="A389" s="125" t="s">
        <v>542</v>
      </c>
      <c r="B389" s="125" t="s">
        <v>1322</v>
      </c>
      <c r="C389" s="382" t="s">
        <v>1201</v>
      </c>
      <c r="D389" s="383" t="s">
        <v>1323</v>
      </c>
      <c r="E389" s="384">
        <f t="shared" si="104"/>
        <v>0.48148148148148145</v>
      </c>
      <c r="F389" s="126" t="s">
        <v>1162</v>
      </c>
      <c r="G389" s="126" t="s">
        <v>1163</v>
      </c>
      <c r="H389" s="385">
        <f t="shared" si="101"/>
        <v>13.516</v>
      </c>
      <c r="I389" s="126">
        <v>1000</v>
      </c>
      <c r="J389" s="385">
        <v>13.5</v>
      </c>
      <c r="K389" s="133">
        <v>13516</v>
      </c>
      <c r="L389" s="155">
        <v>44361</v>
      </c>
      <c r="M389" s="129">
        <f t="shared" si="14"/>
        <v>13.736000000000001</v>
      </c>
      <c r="N389" s="158">
        <v>13.75</v>
      </c>
      <c r="O389" s="386">
        <v>13736</v>
      </c>
      <c r="P389" s="125">
        <v>44376</v>
      </c>
      <c r="Q389" s="437">
        <v>44372</v>
      </c>
      <c r="R389" s="438">
        <v>15.93</v>
      </c>
      <c r="S389" s="439"/>
      <c r="T389" s="440">
        <f t="shared" ref="T389:T403" si="107">IF(O389="","",O389-K389)</f>
        <v>220</v>
      </c>
      <c r="U389" s="441" t="str">
        <f t="shared" si="16"/>
        <v>1000 JPASSOCIAT</v>
      </c>
      <c r="V389" s="132">
        <f t="shared" si="17"/>
        <v>204.07</v>
      </c>
      <c r="W389" s="389">
        <f t="shared" ref="W389:W403" si="108">IF(M389=0,"",V389/K389)</f>
        <v>1.5098401894051493E-2</v>
      </c>
      <c r="X389" s="442">
        <f t="shared" si="19"/>
        <v>0</v>
      </c>
      <c r="Y389" s="391">
        <f t="shared" si="20"/>
        <v>0</v>
      </c>
      <c r="Z389" s="392">
        <f t="shared" si="21"/>
        <v>15</v>
      </c>
      <c r="AA389" s="389">
        <f t="shared" si="103"/>
        <v>0.44000778024574783</v>
      </c>
      <c r="AB389" s="125" t="s">
        <v>485</v>
      </c>
      <c r="AC389" s="98"/>
      <c r="AD389" s="98"/>
    </row>
    <row r="390" spans="1:30" ht="12.75" customHeight="1">
      <c r="A390" s="125" t="s">
        <v>542</v>
      </c>
      <c r="B390" s="125" t="s">
        <v>1322</v>
      </c>
      <c r="C390" s="382" t="s">
        <v>1201</v>
      </c>
      <c r="D390" s="383" t="s">
        <v>1323</v>
      </c>
      <c r="E390" s="384">
        <f t="shared" si="104"/>
        <v>0.46520146520146516</v>
      </c>
      <c r="F390" s="126" t="s">
        <v>1162</v>
      </c>
      <c r="G390" s="126" t="s">
        <v>1163</v>
      </c>
      <c r="H390" s="385">
        <f t="shared" si="101"/>
        <v>13.666</v>
      </c>
      <c r="I390" s="126">
        <v>1000</v>
      </c>
      <c r="J390" s="385">
        <v>13.65</v>
      </c>
      <c r="K390" s="133">
        <v>13666</v>
      </c>
      <c r="L390" s="155">
        <v>44372</v>
      </c>
      <c r="M390" s="129">
        <f t="shared" si="14"/>
        <v>11.928000000000001</v>
      </c>
      <c r="N390" s="158">
        <v>11.94</v>
      </c>
      <c r="O390" s="386">
        <v>11928</v>
      </c>
      <c r="P390" s="125">
        <v>44382</v>
      </c>
      <c r="Q390" s="437">
        <v>44378</v>
      </c>
      <c r="R390" s="438">
        <v>15.93</v>
      </c>
      <c r="S390" s="439"/>
      <c r="T390" s="440">
        <f t="shared" si="107"/>
        <v>-1738</v>
      </c>
      <c r="U390" s="441" t="str">
        <f t="shared" si="16"/>
        <v>1000 JPASSOCIAT</v>
      </c>
      <c r="V390" s="132">
        <f t="shared" si="17"/>
        <v>-1753.93</v>
      </c>
      <c r="W390" s="389">
        <f t="shared" si="108"/>
        <v>-0.12834260207815015</v>
      </c>
      <c r="X390" s="442">
        <f t="shared" si="19"/>
        <v>0</v>
      </c>
      <c r="Y390" s="391">
        <f t="shared" si="20"/>
        <v>0</v>
      </c>
      <c r="Z390" s="392">
        <f t="shared" si="21"/>
        <v>10</v>
      </c>
      <c r="AA390" s="389">
        <f t="shared" si="103"/>
        <v>-0.99335304947192982</v>
      </c>
      <c r="AB390" s="125" t="s">
        <v>485</v>
      </c>
      <c r="AC390" s="98"/>
      <c r="AD390" s="98"/>
    </row>
    <row r="391" spans="1:30" ht="12.75" customHeight="1">
      <c r="A391" s="125" t="s">
        <v>542</v>
      </c>
      <c r="B391" s="125" t="s">
        <v>1322</v>
      </c>
      <c r="C391" s="382" t="s">
        <v>1201</v>
      </c>
      <c r="D391" s="383" t="s">
        <v>1323</v>
      </c>
      <c r="E391" s="384">
        <f t="shared" si="104"/>
        <v>0.60642570281124508</v>
      </c>
      <c r="F391" s="126" t="s">
        <v>1162</v>
      </c>
      <c r="G391" s="126" t="s">
        <v>1163</v>
      </c>
      <c r="H391" s="385">
        <f t="shared" si="101"/>
        <v>12.465</v>
      </c>
      <c r="I391" s="126">
        <v>1000</v>
      </c>
      <c r="J391" s="385">
        <v>12.45</v>
      </c>
      <c r="K391" s="133">
        <v>12465</v>
      </c>
      <c r="L391" s="155">
        <v>44378</v>
      </c>
      <c r="M391" s="129">
        <f t="shared" si="14"/>
        <v>13.086</v>
      </c>
      <c r="N391" s="158">
        <v>13.1</v>
      </c>
      <c r="O391" s="386">
        <v>13086</v>
      </c>
      <c r="P391" s="125">
        <v>44390</v>
      </c>
      <c r="Q391" s="437">
        <v>44386</v>
      </c>
      <c r="R391" s="438">
        <v>15.93</v>
      </c>
      <c r="S391" s="439"/>
      <c r="T391" s="440">
        <f t="shared" si="107"/>
        <v>621</v>
      </c>
      <c r="U391" s="441" t="str">
        <f t="shared" si="16"/>
        <v>1000 JPASSOCIAT</v>
      </c>
      <c r="V391" s="132">
        <f t="shared" si="17"/>
        <v>605.07000000000005</v>
      </c>
      <c r="W391" s="389">
        <f t="shared" si="108"/>
        <v>4.8541516245487366E-2</v>
      </c>
      <c r="X391" s="442">
        <f t="shared" si="19"/>
        <v>0</v>
      </c>
      <c r="Y391" s="391">
        <f t="shared" si="20"/>
        <v>0</v>
      </c>
      <c r="Z391" s="392">
        <f t="shared" si="21"/>
        <v>12</v>
      </c>
      <c r="AA391" s="389">
        <f t="shared" si="103"/>
        <v>3.2281099041471455</v>
      </c>
      <c r="AB391" s="125" t="s">
        <v>485</v>
      </c>
      <c r="AC391" s="98"/>
      <c r="AD391" s="98"/>
    </row>
    <row r="392" spans="1:30" ht="12.75" customHeight="1">
      <c r="A392" s="125" t="s">
        <v>542</v>
      </c>
      <c r="B392" s="125" t="s">
        <v>1322</v>
      </c>
      <c r="C392" s="382" t="s">
        <v>1226</v>
      </c>
      <c r="D392" s="383" t="s">
        <v>1323</v>
      </c>
      <c r="E392" s="384">
        <f t="shared" si="104"/>
        <v>0.55038759689922478</v>
      </c>
      <c r="F392" s="126" t="s">
        <v>1162</v>
      </c>
      <c r="G392" s="126" t="s">
        <v>1163</v>
      </c>
      <c r="H392" s="385">
        <f t="shared" si="101"/>
        <v>12.916</v>
      </c>
      <c r="I392" s="126">
        <v>500</v>
      </c>
      <c r="J392" s="385">
        <v>12.9</v>
      </c>
      <c r="K392" s="133">
        <v>6458</v>
      </c>
      <c r="L392" s="155">
        <v>44391</v>
      </c>
      <c r="M392" s="129">
        <f t="shared" si="14"/>
        <v>7.8220000000000001</v>
      </c>
      <c r="N392" s="158">
        <v>7.83</v>
      </c>
      <c r="O392" s="386">
        <v>3911</v>
      </c>
      <c r="P392" s="125">
        <v>44442</v>
      </c>
      <c r="Q392" s="437">
        <v>44440</v>
      </c>
      <c r="R392" s="438">
        <v>15.93</v>
      </c>
      <c r="S392" s="439"/>
      <c r="T392" s="440">
        <f t="shared" si="107"/>
        <v>-2547</v>
      </c>
      <c r="U392" s="441" t="str">
        <f t="shared" si="16"/>
        <v>500 JPASSOCIAT</v>
      </c>
      <c r="V392" s="132">
        <f t="shared" si="17"/>
        <v>-2562.9299999999998</v>
      </c>
      <c r="W392" s="389">
        <f t="shared" si="108"/>
        <v>-0.39686125735521832</v>
      </c>
      <c r="X392" s="442">
        <f t="shared" si="19"/>
        <v>0</v>
      </c>
      <c r="Y392" s="391">
        <f t="shared" si="20"/>
        <v>1</v>
      </c>
      <c r="Z392" s="392">
        <f t="shared" si="21"/>
        <v>20</v>
      </c>
      <c r="AA392" s="389">
        <f t="shared" si="103"/>
        <v>-0.97317892210849433</v>
      </c>
      <c r="AB392" s="125" t="s">
        <v>485</v>
      </c>
      <c r="AC392" s="98"/>
      <c r="AD392" s="98"/>
    </row>
    <row r="393" spans="1:30" ht="12.75" customHeight="1">
      <c r="A393" s="125" t="s">
        <v>539</v>
      </c>
      <c r="B393" s="125" t="s">
        <v>1324</v>
      </c>
      <c r="C393" s="382" t="s">
        <v>1201</v>
      </c>
      <c r="D393" s="383" t="s">
        <v>1252</v>
      </c>
      <c r="E393" s="384">
        <f t="shared" si="104"/>
        <v>0.23456790123456794</v>
      </c>
      <c r="F393" s="126" t="s">
        <v>1162</v>
      </c>
      <c r="G393" s="126" t="s">
        <v>1163</v>
      </c>
      <c r="H393" s="385">
        <f t="shared" si="101"/>
        <v>105.425</v>
      </c>
      <c r="I393" s="126">
        <v>200</v>
      </c>
      <c r="J393" s="385">
        <v>105.3</v>
      </c>
      <c r="K393" s="133">
        <v>21085</v>
      </c>
      <c r="L393" s="155">
        <v>44358</v>
      </c>
      <c r="M393" s="129">
        <f t="shared" si="14"/>
        <v>108.58499999999999</v>
      </c>
      <c r="N393" s="158">
        <v>108.7</v>
      </c>
      <c r="O393" s="386">
        <v>21717</v>
      </c>
      <c r="P393" s="125">
        <v>44379</v>
      </c>
      <c r="Q393" s="437">
        <v>44377</v>
      </c>
      <c r="R393" s="438">
        <v>15.93</v>
      </c>
      <c r="S393" s="439"/>
      <c r="T393" s="440">
        <f t="shared" si="107"/>
        <v>632</v>
      </c>
      <c r="U393" s="441" t="str">
        <f t="shared" si="16"/>
        <v>200 JSL</v>
      </c>
      <c r="V393" s="132">
        <f t="shared" si="17"/>
        <v>616.07000000000005</v>
      </c>
      <c r="W393" s="389">
        <f t="shared" si="108"/>
        <v>2.9218401707374914E-2</v>
      </c>
      <c r="X393" s="442">
        <f t="shared" si="19"/>
        <v>0</v>
      </c>
      <c r="Y393" s="391">
        <f t="shared" si="20"/>
        <v>0</v>
      </c>
      <c r="Z393" s="392">
        <f t="shared" si="21"/>
        <v>21</v>
      </c>
      <c r="AA393" s="389">
        <f t="shared" si="103"/>
        <v>0.64965451658575391</v>
      </c>
      <c r="AB393" s="125" t="s">
        <v>485</v>
      </c>
      <c r="AC393" s="98"/>
      <c r="AD393" s="98"/>
    </row>
    <row r="394" spans="1:30" ht="12.75" customHeight="1">
      <c r="A394" s="125" t="s">
        <v>522</v>
      </c>
      <c r="B394" s="125" t="s">
        <v>1325</v>
      </c>
      <c r="C394" s="382" t="s">
        <v>1201</v>
      </c>
      <c r="D394" s="383">
        <v>655</v>
      </c>
      <c r="E394" s="384">
        <f t="shared" si="104"/>
        <v>7.3770491803278687E-2</v>
      </c>
      <c r="F394" s="126" t="s">
        <v>1154</v>
      </c>
      <c r="G394" s="126" t="s">
        <v>1155</v>
      </c>
      <c r="H394" s="385">
        <f t="shared" si="101"/>
        <v>610.72730000000001</v>
      </c>
      <c r="I394" s="126">
        <v>11</v>
      </c>
      <c r="J394" s="385">
        <v>610</v>
      </c>
      <c r="K394" s="133">
        <v>6718</v>
      </c>
      <c r="L394" s="155">
        <v>44337</v>
      </c>
      <c r="M394" s="129">
        <f t="shared" si="14"/>
        <v>627.36360000000002</v>
      </c>
      <c r="N394" s="158">
        <v>628</v>
      </c>
      <c r="O394" s="386">
        <v>6901</v>
      </c>
      <c r="P394" s="125">
        <v>44343</v>
      </c>
      <c r="Q394" s="437">
        <v>44340</v>
      </c>
      <c r="R394" s="438"/>
      <c r="S394" s="439"/>
      <c r="T394" s="440">
        <f t="shared" si="107"/>
        <v>183</v>
      </c>
      <c r="U394" s="441" t="str">
        <f t="shared" si="16"/>
        <v>11 KEI</v>
      </c>
      <c r="V394" s="132">
        <f t="shared" si="17"/>
        <v>183</v>
      </c>
      <c r="W394" s="389">
        <f t="shared" si="108"/>
        <v>2.7240250074426913E-2</v>
      </c>
      <c r="X394" s="442">
        <f t="shared" si="19"/>
        <v>0</v>
      </c>
      <c r="Y394" s="391">
        <f t="shared" si="20"/>
        <v>0</v>
      </c>
      <c r="Z394" s="392">
        <f t="shared" si="21"/>
        <v>6</v>
      </c>
      <c r="AA394" s="389">
        <f t="shared" si="103"/>
        <v>4.1291850048363434</v>
      </c>
      <c r="AB394" s="125" t="s">
        <v>485</v>
      </c>
      <c r="AC394" s="98"/>
      <c r="AD394" s="98"/>
    </row>
    <row r="395" spans="1:30" ht="12.75" customHeight="1">
      <c r="A395" s="125" t="s">
        <v>522</v>
      </c>
      <c r="B395" s="125" t="s">
        <v>1325</v>
      </c>
      <c r="C395" s="382" t="s">
        <v>1201</v>
      </c>
      <c r="D395" s="383">
        <v>655</v>
      </c>
      <c r="E395" s="384">
        <f t="shared" si="104"/>
        <v>7.3770491803278687E-2</v>
      </c>
      <c r="F395" s="126" t="s">
        <v>1154</v>
      </c>
      <c r="G395" s="126" t="s">
        <v>1155</v>
      </c>
      <c r="H395" s="385">
        <f t="shared" si="101"/>
        <v>610.73680000000002</v>
      </c>
      <c r="I395" s="126">
        <v>19</v>
      </c>
      <c r="J395" s="385">
        <v>610</v>
      </c>
      <c r="K395" s="133">
        <v>11604</v>
      </c>
      <c r="L395" s="155">
        <v>44337</v>
      </c>
      <c r="M395" s="129">
        <f t="shared" si="14"/>
        <v>635.31579999999997</v>
      </c>
      <c r="N395" s="158">
        <v>636</v>
      </c>
      <c r="O395" s="386">
        <v>12071</v>
      </c>
      <c r="P395" s="125">
        <v>44354</v>
      </c>
      <c r="Q395" s="437">
        <v>44349</v>
      </c>
      <c r="R395" s="438">
        <v>15.93</v>
      </c>
      <c r="S395" s="439"/>
      <c r="T395" s="440">
        <f t="shared" si="107"/>
        <v>467</v>
      </c>
      <c r="U395" s="441" t="str">
        <f t="shared" si="16"/>
        <v>19 KEI</v>
      </c>
      <c r="V395" s="132">
        <f t="shared" si="17"/>
        <v>451.07</v>
      </c>
      <c r="W395" s="389">
        <f t="shared" si="108"/>
        <v>3.8871940710099966E-2</v>
      </c>
      <c r="X395" s="442">
        <f t="shared" si="19"/>
        <v>0</v>
      </c>
      <c r="Y395" s="391">
        <f t="shared" si="20"/>
        <v>0</v>
      </c>
      <c r="Z395" s="392">
        <f t="shared" si="21"/>
        <v>17</v>
      </c>
      <c r="AA395" s="389">
        <f t="shared" si="103"/>
        <v>1.2677555291998077</v>
      </c>
      <c r="AB395" s="125" t="s">
        <v>485</v>
      </c>
      <c r="AC395" s="98"/>
      <c r="AD395" s="98"/>
    </row>
    <row r="396" spans="1:30" ht="12.75" customHeight="1">
      <c r="A396" s="125" t="s">
        <v>535</v>
      </c>
      <c r="B396" s="125" t="s">
        <v>1326</v>
      </c>
      <c r="C396" s="382" t="s">
        <v>1201</v>
      </c>
      <c r="D396" s="383" t="s">
        <v>1327</v>
      </c>
      <c r="E396" s="384">
        <f t="shared" si="104"/>
        <v>5.2401746724890827E-2</v>
      </c>
      <c r="F396" s="126" t="s">
        <v>1154</v>
      </c>
      <c r="G396" s="126" t="s">
        <v>1155</v>
      </c>
      <c r="H396" s="385">
        <f t="shared" si="101"/>
        <v>229.28</v>
      </c>
      <c r="I396" s="126">
        <v>50</v>
      </c>
      <c r="J396" s="385">
        <v>229</v>
      </c>
      <c r="K396" s="133">
        <v>11464</v>
      </c>
      <c r="L396" s="155">
        <v>44350</v>
      </c>
      <c r="M396" s="129">
        <f t="shared" si="14"/>
        <v>234.1</v>
      </c>
      <c r="N396" s="158">
        <v>234.35</v>
      </c>
      <c r="O396" s="386">
        <v>11705</v>
      </c>
      <c r="P396" s="125">
        <v>44379</v>
      </c>
      <c r="Q396" s="437">
        <v>44377</v>
      </c>
      <c r="R396" s="438">
        <v>15.93</v>
      </c>
      <c r="S396" s="439"/>
      <c r="T396" s="440">
        <f t="shared" si="107"/>
        <v>241</v>
      </c>
      <c r="U396" s="441" t="str">
        <f t="shared" si="16"/>
        <v>50 KNRCON</v>
      </c>
      <c r="V396" s="132">
        <f t="shared" si="17"/>
        <v>225.07</v>
      </c>
      <c r="W396" s="389">
        <f t="shared" si="108"/>
        <v>1.9632763433356595E-2</v>
      </c>
      <c r="X396" s="442">
        <f t="shared" si="19"/>
        <v>0</v>
      </c>
      <c r="Y396" s="391">
        <f t="shared" si="20"/>
        <v>0</v>
      </c>
      <c r="Z396" s="392">
        <f t="shared" si="21"/>
        <v>29</v>
      </c>
      <c r="AA396" s="389">
        <f t="shared" si="103"/>
        <v>0.27724787130866058</v>
      </c>
      <c r="AB396" s="125" t="s">
        <v>485</v>
      </c>
      <c r="AC396" s="98"/>
      <c r="AD396" s="98"/>
    </row>
    <row r="397" spans="1:30" ht="12.75" customHeight="1">
      <c r="A397" s="125" t="s">
        <v>578</v>
      </c>
      <c r="B397" s="125" t="s">
        <v>1007</v>
      </c>
      <c r="C397" s="382" t="s">
        <v>1328</v>
      </c>
      <c r="D397" s="383" t="s">
        <v>1190</v>
      </c>
      <c r="E397" s="384">
        <f t="shared" si="104"/>
        <v>0.22448979591836735</v>
      </c>
      <c r="F397" s="126" t="s">
        <v>1162</v>
      </c>
      <c r="G397" s="126" t="s">
        <v>1163</v>
      </c>
      <c r="H397" s="385">
        <f t="shared" si="101"/>
        <v>73.59</v>
      </c>
      <c r="I397" s="126">
        <v>100</v>
      </c>
      <c r="J397" s="385">
        <v>73.5</v>
      </c>
      <c r="K397" s="133">
        <v>7359</v>
      </c>
      <c r="L397" s="155">
        <v>44454</v>
      </c>
      <c r="M397" s="129">
        <f t="shared" si="14"/>
        <v>74.42</v>
      </c>
      <c r="N397" s="158">
        <v>74.5</v>
      </c>
      <c r="O397" s="386">
        <v>7442</v>
      </c>
      <c r="P397" s="125">
        <v>44511</v>
      </c>
      <c r="Q397" s="437">
        <v>44509</v>
      </c>
      <c r="R397" s="438">
        <v>15.93</v>
      </c>
      <c r="S397" s="439"/>
      <c r="T397" s="440">
        <f t="shared" si="107"/>
        <v>83</v>
      </c>
      <c r="U397" s="441" t="str">
        <f t="shared" si="16"/>
        <v>100 KTKBANK</v>
      </c>
      <c r="V397" s="132">
        <f t="shared" si="17"/>
        <v>67.069999999999993</v>
      </c>
      <c r="W397" s="389">
        <f t="shared" si="108"/>
        <v>9.1140100557140901E-3</v>
      </c>
      <c r="X397" s="442">
        <f t="shared" si="19"/>
        <v>0</v>
      </c>
      <c r="Y397" s="391">
        <f t="shared" si="20"/>
        <v>1</v>
      </c>
      <c r="Z397" s="392">
        <f t="shared" si="21"/>
        <v>27</v>
      </c>
      <c r="AA397" s="389">
        <f t="shared" si="103"/>
        <v>5.9818104648992065E-2</v>
      </c>
      <c r="AB397" s="125" t="s">
        <v>485</v>
      </c>
      <c r="AC397" s="98"/>
      <c r="AD397" s="98"/>
    </row>
    <row r="398" spans="1:30" ht="12.75" customHeight="1">
      <c r="A398" s="125" t="s">
        <v>568</v>
      </c>
      <c r="B398" s="125" t="s">
        <v>1329</v>
      </c>
      <c r="C398" s="382" t="s">
        <v>1330</v>
      </c>
      <c r="D398" s="383" t="s">
        <v>1331</v>
      </c>
      <c r="E398" s="384">
        <f t="shared" si="104"/>
        <v>0.1377245508982036</v>
      </c>
      <c r="F398" s="126" t="s">
        <v>1162</v>
      </c>
      <c r="G398" s="126" t="s">
        <v>1332</v>
      </c>
      <c r="H398" s="385">
        <f t="shared" si="101"/>
        <v>83.6</v>
      </c>
      <c r="I398" s="126">
        <v>25</v>
      </c>
      <c r="J398" s="385">
        <v>83.5</v>
      </c>
      <c r="K398" s="133">
        <v>2090</v>
      </c>
      <c r="L398" s="155">
        <v>44400</v>
      </c>
      <c r="M398" s="129">
        <f t="shared" si="14"/>
        <v>94.92</v>
      </c>
      <c r="N398" s="158">
        <v>95</v>
      </c>
      <c r="O398" s="386">
        <v>2373</v>
      </c>
      <c r="P398" s="125">
        <v>44407</v>
      </c>
      <c r="Q398" s="437">
        <v>44405</v>
      </c>
      <c r="R398" s="438">
        <v>15.93</v>
      </c>
      <c r="S398" s="439"/>
      <c r="T398" s="440">
        <f t="shared" si="107"/>
        <v>283</v>
      </c>
      <c r="U398" s="441" t="str">
        <f t="shared" si="16"/>
        <v>25 KUANTUM</v>
      </c>
      <c r="V398" s="132">
        <f t="shared" si="17"/>
        <v>267.07</v>
      </c>
      <c r="W398" s="389">
        <f t="shared" si="108"/>
        <v>0.12778468899521531</v>
      </c>
      <c r="X398" s="442">
        <f t="shared" si="19"/>
        <v>0</v>
      </c>
      <c r="Y398" s="391">
        <f t="shared" si="20"/>
        <v>0</v>
      </c>
      <c r="Z398" s="392">
        <f t="shared" si="21"/>
        <v>7</v>
      </c>
      <c r="AA398" s="389">
        <f t="shared" si="103"/>
        <v>527.71664743616623</v>
      </c>
      <c r="AB398" s="125" t="s">
        <v>485</v>
      </c>
      <c r="AC398" s="98"/>
      <c r="AD398" s="98"/>
    </row>
    <row r="399" spans="1:30" ht="12.75" customHeight="1">
      <c r="A399" s="125" t="s">
        <v>563</v>
      </c>
      <c r="B399" s="125" t="s">
        <v>1333</v>
      </c>
      <c r="C399" s="382" t="s">
        <v>1158</v>
      </c>
      <c r="D399" s="383" t="s">
        <v>1334</v>
      </c>
      <c r="E399" s="384">
        <f t="shared" si="104"/>
        <v>0.15261472785485589</v>
      </c>
      <c r="F399" s="126" t="s">
        <v>1162</v>
      </c>
      <c r="G399" s="126" t="s">
        <v>1163</v>
      </c>
      <c r="H399" s="385">
        <f t="shared" si="101"/>
        <v>93.82</v>
      </c>
      <c r="I399" s="126">
        <v>50</v>
      </c>
      <c r="J399" s="385">
        <v>93.7</v>
      </c>
      <c r="K399" s="133">
        <v>4691</v>
      </c>
      <c r="L399" s="155">
        <v>44389</v>
      </c>
      <c r="M399" s="129">
        <f t="shared" si="14"/>
        <v>95.2</v>
      </c>
      <c r="N399" s="158">
        <v>95.3</v>
      </c>
      <c r="O399" s="386">
        <v>4760</v>
      </c>
      <c r="P399" s="125">
        <v>44489</v>
      </c>
      <c r="Q399" s="437">
        <v>44487</v>
      </c>
      <c r="R399" s="438">
        <v>15.93</v>
      </c>
      <c r="S399" s="439"/>
      <c r="T399" s="440">
        <f t="shared" si="107"/>
        <v>69</v>
      </c>
      <c r="U399" s="441" t="str">
        <f t="shared" si="16"/>
        <v>50 L&amp;TFH</v>
      </c>
      <c r="V399" s="132">
        <f t="shared" si="17"/>
        <v>53.07</v>
      </c>
      <c r="W399" s="389">
        <f t="shared" si="108"/>
        <v>1.131315284587508E-2</v>
      </c>
      <c r="X399" s="442">
        <f t="shared" si="19"/>
        <v>0</v>
      </c>
      <c r="Y399" s="391">
        <f t="shared" si="20"/>
        <v>3</v>
      </c>
      <c r="Z399" s="392">
        <f t="shared" si="21"/>
        <v>8</v>
      </c>
      <c r="AA399" s="389">
        <f t="shared" si="103"/>
        <v>4.1915845591060208E-2</v>
      </c>
      <c r="AB399" s="125" t="s">
        <v>485</v>
      </c>
      <c r="AC399" s="98"/>
      <c r="AD399" s="98"/>
    </row>
    <row r="400" spans="1:30" ht="12.75" customHeight="1">
      <c r="A400" s="125" t="s">
        <v>524</v>
      </c>
      <c r="B400" s="125" t="s">
        <v>1335</v>
      </c>
      <c r="C400" s="382" t="s">
        <v>1201</v>
      </c>
      <c r="D400" s="383">
        <v>44</v>
      </c>
      <c r="E400" s="384">
        <f t="shared" si="104"/>
        <v>4.7619047619047616E-2</v>
      </c>
      <c r="F400" s="126" t="s">
        <v>1154</v>
      </c>
      <c r="G400" s="126" t="s">
        <v>1261</v>
      </c>
      <c r="H400" s="385">
        <f t="shared" si="101"/>
        <v>42.05</v>
      </c>
      <c r="I400" s="126">
        <v>200</v>
      </c>
      <c r="J400" s="385">
        <v>42</v>
      </c>
      <c r="K400" s="133">
        <v>8410</v>
      </c>
      <c r="L400" s="155">
        <v>44341</v>
      </c>
      <c r="M400" s="129">
        <f t="shared" si="14"/>
        <v>42.555</v>
      </c>
      <c r="N400" s="158">
        <v>42.6</v>
      </c>
      <c r="O400" s="386">
        <v>8511</v>
      </c>
      <c r="P400" s="125">
        <v>44345</v>
      </c>
      <c r="Q400" s="437">
        <v>44342</v>
      </c>
      <c r="R400" s="438"/>
      <c r="S400" s="439"/>
      <c r="T400" s="440">
        <f t="shared" si="107"/>
        <v>101</v>
      </c>
      <c r="U400" s="441" t="str">
        <f t="shared" si="16"/>
        <v>200 LEMONTREE</v>
      </c>
      <c r="V400" s="132">
        <f t="shared" si="17"/>
        <v>101</v>
      </c>
      <c r="W400" s="389">
        <f t="shared" si="108"/>
        <v>1.2009512485136742E-2</v>
      </c>
      <c r="X400" s="442">
        <f t="shared" si="19"/>
        <v>0</v>
      </c>
      <c r="Y400" s="391">
        <f t="shared" si="20"/>
        <v>0</v>
      </c>
      <c r="Z400" s="392">
        <f t="shared" si="21"/>
        <v>4</v>
      </c>
      <c r="AA400" s="389">
        <f t="shared" si="103"/>
        <v>1.9723111317206787</v>
      </c>
      <c r="AB400" s="125" t="s">
        <v>485</v>
      </c>
      <c r="AC400" s="98"/>
      <c r="AD400" s="98"/>
    </row>
    <row r="401" spans="1:30" ht="12.75" customHeight="1">
      <c r="A401" s="125" t="s">
        <v>605</v>
      </c>
      <c r="B401" s="125"/>
      <c r="C401" s="382"/>
      <c r="D401" s="383"/>
      <c r="E401" s="384" t="str">
        <f t="shared" si="104"/>
        <v/>
      </c>
      <c r="F401" s="126"/>
      <c r="G401" s="126"/>
      <c r="H401" s="385">
        <f t="shared" si="101"/>
        <v>365.44</v>
      </c>
      <c r="I401" s="126">
        <v>50</v>
      </c>
      <c r="J401" s="385">
        <v>365</v>
      </c>
      <c r="K401" s="133">
        <v>18272</v>
      </c>
      <c r="L401" s="155">
        <v>44581</v>
      </c>
      <c r="M401" s="129">
        <f t="shared" si="14"/>
        <v>366.62</v>
      </c>
      <c r="N401" s="158">
        <v>367</v>
      </c>
      <c r="O401" s="386">
        <v>18331</v>
      </c>
      <c r="P401" s="125">
        <v>44616</v>
      </c>
      <c r="Q401" s="437">
        <v>44614</v>
      </c>
      <c r="R401" s="438">
        <v>15.93</v>
      </c>
      <c r="S401" s="439"/>
      <c r="T401" s="440">
        <f t="shared" si="107"/>
        <v>59</v>
      </c>
      <c r="U401" s="441" t="str">
        <f t="shared" si="16"/>
        <v>50 LICHSGFIN</v>
      </c>
      <c r="V401" s="132">
        <f t="shared" si="17"/>
        <v>43.07</v>
      </c>
      <c r="W401" s="389">
        <f t="shared" si="108"/>
        <v>2.3571584938704027E-3</v>
      </c>
      <c r="X401" s="442">
        <f t="shared" si="19"/>
        <v>0</v>
      </c>
      <c r="Y401" s="391">
        <f t="shared" si="20"/>
        <v>1</v>
      </c>
      <c r="Z401" s="392">
        <f t="shared" si="21"/>
        <v>4</v>
      </c>
      <c r="AA401" s="389">
        <f t="shared" si="103"/>
        <v>2.4856773416176203E-2</v>
      </c>
      <c r="AB401" s="125" t="s">
        <v>485</v>
      </c>
      <c r="AC401" s="98"/>
      <c r="AD401" s="98"/>
    </row>
    <row r="402" spans="1:30" ht="12.75" customHeight="1">
      <c r="A402" s="125" t="s">
        <v>605</v>
      </c>
      <c r="B402" s="125"/>
      <c r="C402" s="382"/>
      <c r="D402" s="383"/>
      <c r="E402" s="384" t="str">
        <f t="shared" si="104"/>
        <v/>
      </c>
      <c r="F402" s="126"/>
      <c r="G402" s="126"/>
      <c r="H402" s="385">
        <f t="shared" si="101"/>
        <v>343.4</v>
      </c>
      <c r="I402" s="126">
        <v>25</v>
      </c>
      <c r="J402" s="385">
        <v>343</v>
      </c>
      <c r="K402" s="133">
        <v>8585</v>
      </c>
      <c r="L402" s="155">
        <v>44616</v>
      </c>
      <c r="M402" s="129">
        <f t="shared" si="14"/>
        <v>345.64</v>
      </c>
      <c r="N402" s="158">
        <v>346</v>
      </c>
      <c r="O402" s="386">
        <v>8641</v>
      </c>
      <c r="P402" s="125">
        <v>44624</v>
      </c>
      <c r="Q402" s="437">
        <v>44622</v>
      </c>
      <c r="R402" s="438">
        <v>15.93</v>
      </c>
      <c r="S402" s="439"/>
      <c r="T402" s="440">
        <f t="shared" si="107"/>
        <v>56</v>
      </c>
      <c r="U402" s="441" t="str">
        <f t="shared" si="16"/>
        <v>25 LICHSGFIN</v>
      </c>
      <c r="V402" s="132">
        <f t="shared" si="17"/>
        <v>40.07</v>
      </c>
      <c r="W402" s="389">
        <f t="shared" si="108"/>
        <v>4.6674432149097266E-3</v>
      </c>
      <c r="X402" s="442">
        <f t="shared" si="19"/>
        <v>0</v>
      </c>
      <c r="Y402" s="391">
        <f t="shared" si="20"/>
        <v>0</v>
      </c>
      <c r="Z402" s="392">
        <f t="shared" si="21"/>
        <v>8</v>
      </c>
      <c r="AA402" s="389">
        <f t="shared" si="103"/>
        <v>0.23671252165197187</v>
      </c>
      <c r="AB402" s="125" t="s">
        <v>485</v>
      </c>
      <c r="AC402" s="98"/>
      <c r="AD402" s="98"/>
    </row>
    <row r="403" spans="1:30" ht="12.75" customHeight="1">
      <c r="A403" s="125" t="s">
        <v>605</v>
      </c>
      <c r="B403" s="125"/>
      <c r="C403" s="382"/>
      <c r="D403" s="383"/>
      <c r="E403" s="384" t="str">
        <f t="shared" si="104"/>
        <v/>
      </c>
      <c r="F403" s="126"/>
      <c r="G403" s="126"/>
      <c r="H403" s="385">
        <f t="shared" si="101"/>
        <v>365.44</v>
      </c>
      <c r="I403" s="126">
        <v>50</v>
      </c>
      <c r="J403" s="385">
        <v>365</v>
      </c>
      <c r="K403" s="133">
        <v>18272</v>
      </c>
      <c r="L403" s="155">
        <v>44615</v>
      </c>
      <c r="M403" s="129">
        <f t="shared" si="14"/>
        <v>371.62</v>
      </c>
      <c r="N403" s="158">
        <v>372</v>
      </c>
      <c r="O403" s="386">
        <v>18581</v>
      </c>
      <c r="P403" s="125">
        <v>44656</v>
      </c>
      <c r="Q403" s="437">
        <v>44652</v>
      </c>
      <c r="R403" s="438">
        <v>15.93</v>
      </c>
      <c r="S403" s="439"/>
      <c r="T403" s="440">
        <f t="shared" si="107"/>
        <v>309</v>
      </c>
      <c r="U403" s="441" t="str">
        <f t="shared" si="16"/>
        <v>50 LICHSGFIN</v>
      </c>
      <c r="V403" s="132">
        <f t="shared" si="17"/>
        <v>293.07</v>
      </c>
      <c r="W403" s="389">
        <f t="shared" si="108"/>
        <v>1.603929509632224E-2</v>
      </c>
      <c r="X403" s="442">
        <f t="shared" si="19"/>
        <v>0</v>
      </c>
      <c r="Y403" s="391">
        <f t="shared" si="20"/>
        <v>1</v>
      </c>
      <c r="Z403" s="392">
        <f t="shared" si="21"/>
        <v>13</v>
      </c>
      <c r="AA403" s="389">
        <f t="shared" si="103"/>
        <v>0.15218003391850199</v>
      </c>
      <c r="AB403" s="125" t="s">
        <v>485</v>
      </c>
      <c r="AC403" s="98"/>
      <c r="AD403" s="98"/>
    </row>
    <row r="404" spans="1:30" ht="12.75" customHeight="1">
      <c r="A404" s="125" t="s">
        <v>632</v>
      </c>
      <c r="B404" s="125"/>
      <c r="C404" s="382"/>
      <c r="D404" s="383"/>
      <c r="E404" s="384" t="str">
        <f t="shared" si="104"/>
        <v/>
      </c>
      <c r="F404" s="126"/>
      <c r="G404" s="126"/>
      <c r="H404" s="385">
        <f t="shared" si="101"/>
        <v>1792.1</v>
      </c>
      <c r="I404" s="126">
        <v>10</v>
      </c>
      <c r="J404" s="385">
        <v>1790</v>
      </c>
      <c r="K404" s="133">
        <v>17921</v>
      </c>
      <c r="L404" s="155">
        <v>44775</v>
      </c>
      <c r="M404" s="129">
        <f t="shared" si="14"/>
        <v>1908</v>
      </c>
      <c r="N404" s="158">
        <v>1910</v>
      </c>
      <c r="O404" s="386">
        <v>19080</v>
      </c>
      <c r="P404" s="125">
        <v>44795</v>
      </c>
      <c r="Q404" s="437">
        <v>44792</v>
      </c>
      <c r="R404" s="438">
        <v>15.93</v>
      </c>
      <c r="S404" s="439"/>
      <c r="T404" s="440">
        <f t="shared" ref="T404:T406" si="109">IF(OR(O404="",K404=""),"",O404-K404)</f>
        <v>1159</v>
      </c>
      <c r="U404" s="441" t="str">
        <f t="shared" si="16"/>
        <v>10 LT</v>
      </c>
      <c r="V404" s="132">
        <f t="shared" si="17"/>
        <v>1143.07</v>
      </c>
      <c r="W404" s="389">
        <f t="shared" ref="W404:W406" si="110">IF(OR(K404="",V404=""),"",V404/K404)</f>
        <v>6.3783829027398015E-2</v>
      </c>
      <c r="X404" s="442">
        <f t="shared" si="19"/>
        <v>0</v>
      </c>
      <c r="Y404" s="391">
        <f t="shared" si="20"/>
        <v>0</v>
      </c>
      <c r="Z404" s="392">
        <f t="shared" si="21"/>
        <v>20</v>
      </c>
      <c r="AA404" s="389">
        <f t="shared" si="103"/>
        <v>2.0908238941780084</v>
      </c>
      <c r="AB404" s="125" t="s">
        <v>485</v>
      </c>
      <c r="AC404" s="98"/>
      <c r="AD404" s="98"/>
    </row>
    <row r="405" spans="1:30" ht="12.75" customHeight="1">
      <c r="A405" s="125" t="s">
        <v>632</v>
      </c>
      <c r="B405" s="125"/>
      <c r="C405" s="382"/>
      <c r="D405" s="383"/>
      <c r="E405" s="384" t="str">
        <f t="shared" si="104"/>
        <v/>
      </c>
      <c r="F405" s="126"/>
      <c r="G405" s="126"/>
      <c r="H405" s="385">
        <f t="shared" si="101"/>
        <v>1902.2</v>
      </c>
      <c r="I405" s="126">
        <v>5</v>
      </c>
      <c r="J405" s="385">
        <v>1900</v>
      </c>
      <c r="K405" s="133">
        <v>9511</v>
      </c>
      <c r="L405" s="155">
        <v>44805</v>
      </c>
      <c r="M405" s="129">
        <f t="shared" si="14"/>
        <v>1978</v>
      </c>
      <c r="N405" s="158">
        <v>1980</v>
      </c>
      <c r="O405" s="386">
        <v>9890</v>
      </c>
      <c r="P405" s="125">
        <v>44819</v>
      </c>
      <c r="Q405" s="437">
        <v>44817</v>
      </c>
      <c r="R405" s="438">
        <v>15.93</v>
      </c>
      <c r="S405" s="439"/>
      <c r="T405" s="440">
        <f t="shared" si="109"/>
        <v>379</v>
      </c>
      <c r="U405" s="441" t="str">
        <f t="shared" si="16"/>
        <v>5 LT</v>
      </c>
      <c r="V405" s="132">
        <f t="shared" si="17"/>
        <v>363.07</v>
      </c>
      <c r="W405" s="389">
        <f t="shared" si="110"/>
        <v>3.8173693617916095E-2</v>
      </c>
      <c r="X405" s="442">
        <f t="shared" si="19"/>
        <v>0</v>
      </c>
      <c r="Y405" s="391">
        <f t="shared" si="20"/>
        <v>0</v>
      </c>
      <c r="Z405" s="392">
        <f t="shared" si="21"/>
        <v>14</v>
      </c>
      <c r="AA405" s="389">
        <f t="shared" si="103"/>
        <v>1.6557223325289141</v>
      </c>
      <c r="AB405" s="125" t="s">
        <v>485</v>
      </c>
      <c r="AC405" s="98"/>
      <c r="AD405" s="98"/>
    </row>
    <row r="406" spans="1:30" ht="12.75" customHeight="1">
      <c r="A406" s="125" t="s">
        <v>632</v>
      </c>
      <c r="B406" s="125"/>
      <c r="C406" s="382"/>
      <c r="D406" s="383"/>
      <c r="E406" s="384" t="str">
        <f t="shared" si="104"/>
        <v/>
      </c>
      <c r="F406" s="126"/>
      <c r="G406" s="126"/>
      <c r="H406" s="385">
        <f t="shared" si="101"/>
        <v>1906.75</v>
      </c>
      <c r="I406" s="126">
        <v>20</v>
      </c>
      <c r="J406" s="385">
        <v>1904.5</v>
      </c>
      <c r="K406" s="133">
        <v>38135</v>
      </c>
      <c r="L406" s="155">
        <v>44795</v>
      </c>
      <c r="M406" s="129">
        <f t="shared" si="14"/>
        <v>1997.95</v>
      </c>
      <c r="N406" s="158">
        <v>2000</v>
      </c>
      <c r="O406" s="386">
        <v>39959</v>
      </c>
      <c r="P406" s="125">
        <v>44867</v>
      </c>
      <c r="Q406" s="437">
        <v>44865</v>
      </c>
      <c r="R406" s="438">
        <v>15.93</v>
      </c>
      <c r="S406" s="439"/>
      <c r="T406" s="440">
        <f t="shared" si="109"/>
        <v>1824</v>
      </c>
      <c r="U406" s="441" t="str">
        <f t="shared" si="16"/>
        <v>20 LT</v>
      </c>
      <c r="V406" s="132">
        <f t="shared" si="17"/>
        <v>1808.07</v>
      </c>
      <c r="W406" s="389">
        <f t="shared" si="110"/>
        <v>4.7412350858791134E-2</v>
      </c>
      <c r="X406" s="442">
        <f t="shared" si="19"/>
        <v>0</v>
      </c>
      <c r="Y406" s="391">
        <f t="shared" si="20"/>
        <v>2</v>
      </c>
      <c r="Z406" s="392">
        <f t="shared" si="21"/>
        <v>11</v>
      </c>
      <c r="AA406" s="389">
        <f t="shared" si="103"/>
        <v>0.26469416655059663</v>
      </c>
      <c r="AB406" s="125" t="s">
        <v>485</v>
      </c>
      <c r="AC406" s="98"/>
      <c r="AD406" s="98"/>
    </row>
    <row r="407" spans="1:30" ht="12.75" customHeight="1">
      <c r="A407" s="125" t="s">
        <v>575</v>
      </c>
      <c r="B407" s="125" t="s">
        <v>1336</v>
      </c>
      <c r="C407" s="382" t="s">
        <v>1153</v>
      </c>
      <c r="D407" s="383" t="s">
        <v>1337</v>
      </c>
      <c r="E407" s="384">
        <f t="shared" si="104"/>
        <v>0.61453077699293646</v>
      </c>
      <c r="F407" s="126" t="s">
        <v>1162</v>
      </c>
      <c r="G407" s="126" t="s">
        <v>1338</v>
      </c>
      <c r="H407" s="385">
        <f t="shared" si="101"/>
        <v>496.1</v>
      </c>
      <c r="I407" s="126">
        <v>20</v>
      </c>
      <c r="J407" s="385">
        <v>495.5</v>
      </c>
      <c r="K407" s="133">
        <v>9922</v>
      </c>
      <c r="L407" s="155">
        <v>44441</v>
      </c>
      <c r="M407" s="129">
        <f t="shared" si="14"/>
        <v>527.45000000000005</v>
      </c>
      <c r="N407" s="158">
        <v>528</v>
      </c>
      <c r="O407" s="386">
        <v>10549</v>
      </c>
      <c r="P407" s="125">
        <v>44461</v>
      </c>
      <c r="Q407" s="437">
        <v>44459</v>
      </c>
      <c r="R407" s="438">
        <v>15.93</v>
      </c>
      <c r="S407" s="439"/>
      <c r="T407" s="440">
        <f t="shared" ref="T407:T409" si="111">IF(O407="","",O407-K407)</f>
        <v>627</v>
      </c>
      <c r="U407" s="441" t="str">
        <f t="shared" si="16"/>
        <v>20 LXCHEM</v>
      </c>
      <c r="V407" s="132">
        <f t="shared" si="17"/>
        <v>611.07000000000005</v>
      </c>
      <c r="W407" s="389">
        <f t="shared" ref="W407:W408" si="112">IF(M407=0,"",V407/K407)</f>
        <v>6.1587381576295105E-2</v>
      </c>
      <c r="X407" s="442">
        <f t="shared" si="19"/>
        <v>0</v>
      </c>
      <c r="Y407" s="391">
        <f t="shared" si="20"/>
        <v>0</v>
      </c>
      <c r="Z407" s="392">
        <f t="shared" si="21"/>
        <v>20</v>
      </c>
      <c r="AA407" s="389">
        <f t="shared" si="103"/>
        <v>1.9764075365325686</v>
      </c>
      <c r="AB407" s="125" t="s">
        <v>485</v>
      </c>
      <c r="AC407" s="98"/>
      <c r="AD407" s="98"/>
    </row>
    <row r="408" spans="1:30" ht="12.75" customHeight="1">
      <c r="A408" s="125" t="s">
        <v>529</v>
      </c>
      <c r="B408" s="125" t="s">
        <v>1339</v>
      </c>
      <c r="C408" s="382" t="s">
        <v>1340</v>
      </c>
      <c r="D408" s="383">
        <v>863</v>
      </c>
      <c r="E408" s="384">
        <f t="shared" si="104"/>
        <v>2.9832935560859187E-2</v>
      </c>
      <c r="F408" s="126" t="s">
        <v>1154</v>
      </c>
      <c r="G408" s="126" t="s">
        <v>1261</v>
      </c>
      <c r="H408" s="385">
        <f t="shared" si="101"/>
        <v>839</v>
      </c>
      <c r="I408" s="126">
        <v>15</v>
      </c>
      <c r="J408" s="385">
        <v>838</v>
      </c>
      <c r="K408" s="133">
        <v>12585</v>
      </c>
      <c r="L408" s="155">
        <v>44344</v>
      </c>
      <c r="M408" s="129">
        <f t="shared" si="14"/>
        <v>841.6</v>
      </c>
      <c r="N408" s="158">
        <v>842.5</v>
      </c>
      <c r="O408" s="386">
        <v>12624</v>
      </c>
      <c r="P408" s="125">
        <v>44476</v>
      </c>
      <c r="Q408" s="437">
        <v>44474</v>
      </c>
      <c r="R408" s="438">
        <v>15.93</v>
      </c>
      <c r="S408" s="439">
        <v>131.25</v>
      </c>
      <c r="T408" s="440">
        <f t="shared" si="111"/>
        <v>39</v>
      </c>
      <c r="U408" s="441" t="str">
        <f t="shared" si="16"/>
        <v>15 M&amp;M</v>
      </c>
      <c r="V408" s="132">
        <f t="shared" si="17"/>
        <v>154.32</v>
      </c>
      <c r="W408" s="389">
        <f t="shared" si="112"/>
        <v>1.2262216924910608E-2</v>
      </c>
      <c r="X408" s="442">
        <f t="shared" si="19"/>
        <v>0</v>
      </c>
      <c r="Y408" s="391">
        <f t="shared" si="20"/>
        <v>4</v>
      </c>
      <c r="Z408" s="392">
        <f t="shared" si="21"/>
        <v>9</v>
      </c>
      <c r="AA408" s="389">
        <f t="shared" si="103"/>
        <v>3.4274986232013749E-2</v>
      </c>
      <c r="AB408" s="125" t="s">
        <v>485</v>
      </c>
      <c r="AC408" s="98"/>
      <c r="AD408" s="98"/>
    </row>
    <row r="409" spans="1:30" ht="12.75" customHeight="1">
      <c r="A409" s="125" t="s">
        <v>492</v>
      </c>
      <c r="B409" s="125" t="s">
        <v>1341</v>
      </c>
      <c r="C409" s="382" t="s">
        <v>1201</v>
      </c>
      <c r="D409" s="383"/>
      <c r="E409" s="384"/>
      <c r="F409" s="126"/>
      <c r="G409" s="126"/>
      <c r="H409" s="385">
        <v>22.72</v>
      </c>
      <c r="I409" s="126">
        <v>1000</v>
      </c>
      <c r="J409" s="385">
        <v>22.72</v>
      </c>
      <c r="K409" s="133">
        <v>22720</v>
      </c>
      <c r="L409" s="155">
        <v>44243</v>
      </c>
      <c r="M409" s="129">
        <f t="shared" si="14"/>
        <v>19.030200000000001</v>
      </c>
      <c r="N409" s="158">
        <v>19.05</v>
      </c>
      <c r="O409" s="386">
        <v>19030.2</v>
      </c>
      <c r="P409" s="125">
        <v>44245</v>
      </c>
      <c r="Q409" s="437">
        <v>44245</v>
      </c>
      <c r="R409" s="438"/>
      <c r="S409" s="439"/>
      <c r="T409" s="440">
        <f t="shared" si="111"/>
        <v>-3689.7999999999993</v>
      </c>
      <c r="U409" s="441" t="str">
        <f t="shared" si="16"/>
        <v>1000 MAHABANK</v>
      </c>
      <c r="V409" s="132">
        <f t="shared" si="17"/>
        <v>-3689.7999999999993</v>
      </c>
      <c r="W409" s="389">
        <f>IF(M409=0,"",(M409-H409)/H409)</f>
        <v>-0.16240316901408444</v>
      </c>
      <c r="X409" s="442">
        <f t="shared" si="19"/>
        <v>0</v>
      </c>
      <c r="Y409" s="391">
        <f t="shared" si="20"/>
        <v>0</v>
      </c>
      <c r="Z409" s="392">
        <f t="shared" si="21"/>
        <v>2</v>
      </c>
      <c r="AA409" s="389">
        <f>IFERROR((O409/K409)^(1/((P409-L409)/365))-1,"")</f>
        <v>-0.99999999999999101</v>
      </c>
      <c r="AB409" s="125" t="s">
        <v>485</v>
      </c>
      <c r="AC409" s="98"/>
      <c r="AD409" s="98"/>
    </row>
    <row r="410" spans="1:30" ht="12.75" customHeight="1">
      <c r="A410" s="125" t="s">
        <v>625</v>
      </c>
      <c r="B410" s="125"/>
      <c r="C410" s="382"/>
      <c r="D410" s="383">
        <v>1150</v>
      </c>
      <c r="E410" s="384">
        <f>IFERROR(IF(D410="","",(D410-J410)/J410),"")</f>
        <v>0.40243902439024393</v>
      </c>
      <c r="F410" s="126" t="s">
        <v>1179</v>
      </c>
      <c r="G410" s="126"/>
      <c r="H410" s="385">
        <f t="shared" ref="H410:H419" si="113">ROUND(K410/I410,4)</f>
        <v>821</v>
      </c>
      <c r="I410" s="126">
        <v>4</v>
      </c>
      <c r="J410" s="385">
        <v>820</v>
      </c>
      <c r="K410" s="133">
        <v>3284</v>
      </c>
      <c r="L410" s="155">
        <v>44740</v>
      </c>
      <c r="M410" s="129">
        <f t="shared" si="14"/>
        <v>1150</v>
      </c>
      <c r="N410" s="158">
        <v>1150</v>
      </c>
      <c r="O410" s="386">
        <v>4600</v>
      </c>
      <c r="P410" s="125">
        <v>44792</v>
      </c>
      <c r="Q410" s="437">
        <v>44792</v>
      </c>
      <c r="R410" s="438"/>
      <c r="S410" s="439"/>
      <c r="T410" s="440">
        <f>IF(OR(O410="",K410=""),"",O410-K410)</f>
        <v>1316</v>
      </c>
      <c r="U410" s="441" t="str">
        <f t="shared" si="16"/>
        <v>4 MATRIMONY</v>
      </c>
      <c r="V410" s="132">
        <f t="shared" si="17"/>
        <v>1316</v>
      </c>
      <c r="W410" s="389">
        <f>IF(OR(K410="",V410=""),"",V410/K410)</f>
        <v>0.40073081607795369</v>
      </c>
      <c r="X410" s="442">
        <f t="shared" si="19"/>
        <v>0</v>
      </c>
      <c r="Y410" s="391">
        <f t="shared" si="20"/>
        <v>1</v>
      </c>
      <c r="Z410" s="392">
        <f t="shared" si="21"/>
        <v>22</v>
      </c>
      <c r="AA410" s="389">
        <f t="shared" ref="AA410:AA563" si="114">IF(O410="","",IFERROR(((O410+S410-R410)/K410)^(1/((P410-L410)/365))-1,""))</f>
        <v>9.6487172546897106</v>
      </c>
      <c r="AB410" s="125" t="s">
        <v>485</v>
      </c>
      <c r="AC410" s="98"/>
      <c r="AD410" s="98"/>
    </row>
    <row r="411" spans="1:30" ht="12.75" customHeight="1">
      <c r="A411" s="125" t="s">
        <v>503</v>
      </c>
      <c r="B411" s="125" t="s">
        <v>1342</v>
      </c>
      <c r="C411" s="382" t="s">
        <v>1144</v>
      </c>
      <c r="D411" s="383"/>
      <c r="E411" s="384"/>
      <c r="F411" s="126"/>
      <c r="G411" s="126"/>
      <c r="H411" s="385">
        <f t="shared" si="113"/>
        <v>0</v>
      </c>
      <c r="I411" s="126">
        <v>100</v>
      </c>
      <c r="J411" s="385">
        <v>0</v>
      </c>
      <c r="K411" s="133">
        <v>0</v>
      </c>
      <c r="L411" s="155">
        <v>44196</v>
      </c>
      <c r="M411" s="129">
        <f t="shared" si="14"/>
        <v>40.1586</v>
      </c>
      <c r="N411" s="158">
        <v>40.200000000000003</v>
      </c>
      <c r="O411" s="386">
        <v>4015.86</v>
      </c>
      <c r="P411" s="125">
        <v>44313</v>
      </c>
      <c r="Q411" s="437">
        <v>44309</v>
      </c>
      <c r="R411" s="438">
        <f>47.2+35.4+15.93</f>
        <v>98.53</v>
      </c>
      <c r="S411" s="439"/>
      <c r="T411" s="440">
        <f t="shared" ref="T411:T413" si="115">IF(O411="","",O411-K411)</f>
        <v>4015.86</v>
      </c>
      <c r="U411" s="441" t="str">
        <f t="shared" si="16"/>
        <v>100 MAWANASUG</v>
      </c>
      <c r="V411" s="132">
        <f t="shared" si="17"/>
        <v>3917.33</v>
      </c>
      <c r="W411" s="389" t="e">
        <f t="shared" ref="W411:W413" si="116">IF(M411=0,"",V411/K411)</f>
        <v>#DIV/0!</v>
      </c>
      <c r="X411" s="442">
        <f t="shared" si="19"/>
        <v>0</v>
      </c>
      <c r="Y411" s="391">
        <f t="shared" si="20"/>
        <v>3</v>
      </c>
      <c r="Z411" s="392">
        <f t="shared" si="21"/>
        <v>27</v>
      </c>
      <c r="AA411" s="389" t="str">
        <f t="shared" si="114"/>
        <v/>
      </c>
      <c r="AB411" s="125" t="s">
        <v>460</v>
      </c>
      <c r="AC411" s="98"/>
      <c r="AD411" s="98"/>
    </row>
    <row r="412" spans="1:30" ht="12.75" customHeight="1">
      <c r="A412" s="125" t="s">
        <v>503</v>
      </c>
      <c r="B412" s="125" t="s">
        <v>1342</v>
      </c>
      <c r="C412" s="382" t="s">
        <v>1144</v>
      </c>
      <c r="D412" s="383"/>
      <c r="E412" s="384" t="str">
        <f>IFERROR(IF(D412="","",(D412-J412)/J412),"")</f>
        <v/>
      </c>
      <c r="F412" s="126" t="s">
        <v>1145</v>
      </c>
      <c r="G412" s="126"/>
      <c r="H412" s="385">
        <f t="shared" si="113"/>
        <v>0</v>
      </c>
      <c r="I412" s="126">
        <v>4</v>
      </c>
      <c r="J412" s="385">
        <v>0</v>
      </c>
      <c r="K412" s="133">
        <v>0</v>
      </c>
      <c r="L412" s="155">
        <v>44196</v>
      </c>
      <c r="M412" s="129">
        <f t="shared" si="14"/>
        <v>90</v>
      </c>
      <c r="N412" s="158">
        <v>90.013499999999993</v>
      </c>
      <c r="O412" s="386">
        <v>360</v>
      </c>
      <c r="P412" s="125">
        <v>44494</v>
      </c>
      <c r="Q412" s="437">
        <v>44490</v>
      </c>
      <c r="R412" s="438">
        <v>15.93</v>
      </c>
      <c r="S412" s="439">
        <v>12</v>
      </c>
      <c r="T412" s="440">
        <f t="shared" si="115"/>
        <v>360</v>
      </c>
      <c r="U412" s="441" t="str">
        <f t="shared" si="16"/>
        <v>4 MAWANASUG</v>
      </c>
      <c r="V412" s="132">
        <f t="shared" si="17"/>
        <v>356.07</v>
      </c>
      <c r="W412" s="389" t="e">
        <f t="shared" si="116"/>
        <v>#DIV/0!</v>
      </c>
      <c r="X412" s="442">
        <f t="shared" si="19"/>
        <v>0</v>
      </c>
      <c r="Y412" s="391">
        <f t="shared" si="20"/>
        <v>9</v>
      </c>
      <c r="Z412" s="392">
        <f t="shared" si="21"/>
        <v>24</v>
      </c>
      <c r="AA412" s="389" t="str">
        <f t="shared" si="114"/>
        <v/>
      </c>
      <c r="AB412" s="125" t="s">
        <v>460</v>
      </c>
      <c r="AC412" s="98"/>
      <c r="AD412" s="98"/>
    </row>
    <row r="413" spans="1:30" ht="12.75" customHeight="1">
      <c r="A413" s="125" t="s">
        <v>503</v>
      </c>
      <c r="B413" s="125" t="s">
        <v>1342</v>
      </c>
      <c r="C413" s="382" t="s">
        <v>1144</v>
      </c>
      <c r="D413" s="383"/>
      <c r="E413" s="384"/>
      <c r="F413" s="126" t="s">
        <v>1145</v>
      </c>
      <c r="G413" s="126"/>
      <c r="H413" s="385">
        <f t="shared" si="113"/>
        <v>101.6</v>
      </c>
      <c r="I413" s="126">
        <v>20</v>
      </c>
      <c r="J413" s="385">
        <v>101.5</v>
      </c>
      <c r="K413" s="133">
        <v>2032</v>
      </c>
      <c r="L413" s="155">
        <v>44385</v>
      </c>
      <c r="M413" s="129">
        <f t="shared" si="14"/>
        <v>109.5</v>
      </c>
      <c r="N413" s="158">
        <v>109.6</v>
      </c>
      <c r="O413" s="386">
        <v>2190</v>
      </c>
      <c r="P413" s="125">
        <v>44396</v>
      </c>
      <c r="Q413" s="437">
        <v>44392</v>
      </c>
      <c r="R413" s="438">
        <v>15.93</v>
      </c>
      <c r="S413" s="439"/>
      <c r="T413" s="440">
        <f t="shared" si="115"/>
        <v>158</v>
      </c>
      <c r="U413" s="441" t="str">
        <f t="shared" si="16"/>
        <v>20 MAWANASUG</v>
      </c>
      <c r="V413" s="132">
        <f t="shared" si="17"/>
        <v>142.07</v>
      </c>
      <c r="W413" s="389">
        <f t="shared" si="116"/>
        <v>6.9916338582677165E-2</v>
      </c>
      <c r="X413" s="442">
        <f t="shared" si="19"/>
        <v>0</v>
      </c>
      <c r="Y413" s="391">
        <f t="shared" si="20"/>
        <v>0</v>
      </c>
      <c r="Z413" s="392">
        <f t="shared" si="21"/>
        <v>11</v>
      </c>
      <c r="AA413" s="389">
        <f t="shared" si="114"/>
        <v>8.4163020015338752</v>
      </c>
      <c r="AB413" s="125" t="s">
        <v>485</v>
      </c>
      <c r="AC413" s="98"/>
      <c r="AD413" s="98"/>
    </row>
    <row r="414" spans="1:30" ht="12.75" customHeight="1">
      <c r="A414" s="125" t="s">
        <v>606</v>
      </c>
      <c r="B414" s="125"/>
      <c r="C414" s="382"/>
      <c r="D414" s="383"/>
      <c r="E414" s="384" t="str">
        <f t="shared" ref="E414:E418" si="117">IFERROR(IF(D414="","",(D414-J414)/J414),"")</f>
        <v/>
      </c>
      <c r="F414" s="126" t="s">
        <v>1154</v>
      </c>
      <c r="G414" s="126"/>
      <c r="H414" s="385">
        <f t="shared" si="113"/>
        <v>32.8733</v>
      </c>
      <c r="I414" s="126">
        <v>300</v>
      </c>
      <c r="J414" s="385">
        <v>32.833333333333336</v>
      </c>
      <c r="K414" s="133">
        <v>9862</v>
      </c>
      <c r="L414" s="155">
        <v>44582</v>
      </c>
      <c r="M414" s="129">
        <f t="shared" si="14"/>
        <v>34.213299999999997</v>
      </c>
      <c r="N414" s="158">
        <v>34.25</v>
      </c>
      <c r="O414" s="386">
        <v>10264</v>
      </c>
      <c r="P414" s="125">
        <v>44825</v>
      </c>
      <c r="Q414" s="437">
        <v>44823</v>
      </c>
      <c r="R414" s="438">
        <v>15.93</v>
      </c>
      <c r="S414" s="439"/>
      <c r="T414" s="440">
        <f t="shared" ref="T414:T418" si="118">IF(OR(O414="",K414=""),"",O414-K414)</f>
        <v>402</v>
      </c>
      <c r="U414" s="441" t="str">
        <f t="shared" si="16"/>
        <v>300 MCLEODRUSS</v>
      </c>
      <c r="V414" s="132">
        <f t="shared" si="17"/>
        <v>386.07</v>
      </c>
      <c r="W414" s="389">
        <f t="shared" ref="W414:W418" si="119">IF(OR(K414="",V414=""),"",V414/K414)</f>
        <v>3.9147231798823769E-2</v>
      </c>
      <c r="X414" s="442">
        <f t="shared" si="19"/>
        <v>0</v>
      </c>
      <c r="Y414" s="391">
        <f t="shared" si="20"/>
        <v>8</v>
      </c>
      <c r="Z414" s="392">
        <f t="shared" si="21"/>
        <v>0</v>
      </c>
      <c r="AA414" s="389">
        <f t="shared" si="114"/>
        <v>5.9375543091493954E-2</v>
      </c>
      <c r="AB414" s="125" t="s">
        <v>485</v>
      </c>
      <c r="AC414" s="98"/>
      <c r="AD414" s="98"/>
    </row>
    <row r="415" spans="1:30" ht="12.75" customHeight="1">
      <c r="A415" s="125" t="s">
        <v>606</v>
      </c>
      <c r="B415" s="125"/>
      <c r="C415" s="382"/>
      <c r="D415" s="383"/>
      <c r="E415" s="384" t="str">
        <f t="shared" si="117"/>
        <v/>
      </c>
      <c r="F415" s="126" t="s">
        <v>1154</v>
      </c>
      <c r="G415" s="126"/>
      <c r="H415" s="385">
        <f t="shared" si="113"/>
        <v>21.02</v>
      </c>
      <c r="I415" s="126">
        <v>50</v>
      </c>
      <c r="J415" s="385">
        <v>21</v>
      </c>
      <c r="K415" s="133">
        <v>1051</v>
      </c>
      <c r="L415" s="155">
        <v>44768</v>
      </c>
      <c r="M415" s="129">
        <f t="shared" si="14"/>
        <v>34.22</v>
      </c>
      <c r="N415" s="158">
        <v>34.25</v>
      </c>
      <c r="O415" s="386">
        <v>1711</v>
      </c>
      <c r="P415" s="125">
        <v>44825</v>
      </c>
      <c r="Q415" s="437">
        <v>44823</v>
      </c>
      <c r="R415" s="438">
        <v>0</v>
      </c>
      <c r="S415" s="439"/>
      <c r="T415" s="440">
        <f t="shared" si="118"/>
        <v>660</v>
      </c>
      <c r="U415" s="441" t="str">
        <f t="shared" si="16"/>
        <v>50 MCLEODRUSS</v>
      </c>
      <c r="V415" s="132">
        <f t="shared" si="17"/>
        <v>660</v>
      </c>
      <c r="W415" s="389">
        <f t="shared" si="119"/>
        <v>0.62797335870599424</v>
      </c>
      <c r="X415" s="442">
        <f t="shared" si="19"/>
        <v>0</v>
      </c>
      <c r="Y415" s="391">
        <f t="shared" si="20"/>
        <v>1</v>
      </c>
      <c r="Z415" s="392">
        <f t="shared" si="21"/>
        <v>26</v>
      </c>
      <c r="AA415" s="389">
        <f t="shared" si="114"/>
        <v>21.661325064896435</v>
      </c>
      <c r="AB415" s="125" t="s">
        <v>485</v>
      </c>
      <c r="AC415" s="98"/>
      <c r="AD415" s="98"/>
    </row>
    <row r="416" spans="1:30" ht="12.75" customHeight="1">
      <c r="A416" s="125" t="s">
        <v>603</v>
      </c>
      <c r="B416" s="125"/>
      <c r="C416" s="382"/>
      <c r="D416" s="383"/>
      <c r="E416" s="384" t="str">
        <f t="shared" si="117"/>
        <v/>
      </c>
      <c r="F416" s="126" t="s">
        <v>1154</v>
      </c>
      <c r="G416" s="126"/>
      <c r="H416" s="385">
        <f t="shared" si="113"/>
        <v>1638.8</v>
      </c>
      <c r="I416" s="126">
        <v>10</v>
      </c>
      <c r="J416" s="385">
        <v>1636.875</v>
      </c>
      <c r="K416" s="133">
        <v>16388</v>
      </c>
      <c r="L416" s="155">
        <v>44575</v>
      </c>
      <c r="M416" s="129">
        <f t="shared" si="14"/>
        <v>1653.3</v>
      </c>
      <c r="N416" s="158">
        <v>1655</v>
      </c>
      <c r="O416" s="386">
        <v>16533</v>
      </c>
      <c r="P416" s="125">
        <v>44911</v>
      </c>
      <c r="Q416" s="437">
        <v>44909</v>
      </c>
      <c r="R416" s="438">
        <v>15.93</v>
      </c>
      <c r="S416" s="439"/>
      <c r="T416" s="440">
        <f t="shared" si="118"/>
        <v>145</v>
      </c>
      <c r="U416" s="441" t="str">
        <f t="shared" si="16"/>
        <v>10 MCX</v>
      </c>
      <c r="V416" s="132">
        <f t="shared" si="17"/>
        <v>129.07</v>
      </c>
      <c r="W416" s="389">
        <f t="shared" si="119"/>
        <v>7.8758847937515242E-3</v>
      </c>
      <c r="X416" s="442">
        <f t="shared" si="19"/>
        <v>0</v>
      </c>
      <c r="Y416" s="391">
        <f t="shared" si="20"/>
        <v>11</v>
      </c>
      <c r="Z416" s="392">
        <f t="shared" si="21"/>
        <v>2</v>
      </c>
      <c r="AA416" s="389">
        <f t="shared" si="114"/>
        <v>8.5585496212217116E-3</v>
      </c>
      <c r="AB416" s="125" t="s">
        <v>485</v>
      </c>
      <c r="AC416" s="98"/>
      <c r="AD416" s="98"/>
    </row>
    <row r="417" spans="1:30" ht="12.75" customHeight="1">
      <c r="A417" s="125" t="s">
        <v>603</v>
      </c>
      <c r="B417" s="125"/>
      <c r="C417" s="382"/>
      <c r="D417" s="383"/>
      <c r="E417" s="384" t="str">
        <f t="shared" si="117"/>
        <v/>
      </c>
      <c r="F417" s="126"/>
      <c r="G417" s="126"/>
      <c r="H417" s="385">
        <f t="shared" si="113"/>
        <v>1474.1429000000001</v>
      </c>
      <c r="I417" s="126">
        <v>7</v>
      </c>
      <c r="J417" s="385">
        <v>1472.3929000000001</v>
      </c>
      <c r="K417" s="133">
        <v>10319</v>
      </c>
      <c r="L417" s="155">
        <v>44928</v>
      </c>
      <c r="M417" s="129">
        <f t="shared" si="14"/>
        <v>1551</v>
      </c>
      <c r="N417" s="158">
        <v>1552.65</v>
      </c>
      <c r="O417" s="386">
        <v>10857</v>
      </c>
      <c r="P417" s="125">
        <v>44943</v>
      </c>
      <c r="Q417" s="437">
        <v>44939</v>
      </c>
      <c r="R417" s="438">
        <v>15.93</v>
      </c>
      <c r="S417" s="439"/>
      <c r="T417" s="440">
        <f t="shared" si="118"/>
        <v>538</v>
      </c>
      <c r="U417" s="441" t="str">
        <f t="shared" si="16"/>
        <v>7 MCX</v>
      </c>
      <c r="V417" s="132">
        <f t="shared" si="17"/>
        <v>522.07000000000005</v>
      </c>
      <c r="W417" s="389">
        <f t="shared" si="119"/>
        <v>5.0593080724876449E-2</v>
      </c>
      <c r="X417" s="442">
        <f t="shared" si="19"/>
        <v>0</v>
      </c>
      <c r="Y417" s="391">
        <f t="shared" si="20"/>
        <v>0</v>
      </c>
      <c r="Z417" s="392">
        <f t="shared" si="21"/>
        <v>15</v>
      </c>
      <c r="AA417" s="389">
        <f t="shared" si="114"/>
        <v>2.3233318811690489</v>
      </c>
      <c r="AB417" s="125" t="s">
        <v>485</v>
      </c>
      <c r="AC417" s="98"/>
      <c r="AD417" s="98"/>
    </row>
    <row r="418" spans="1:30" ht="12.75" customHeight="1">
      <c r="A418" s="125" t="s">
        <v>603</v>
      </c>
      <c r="B418" s="125"/>
      <c r="C418" s="382"/>
      <c r="D418" s="383"/>
      <c r="E418" s="384" t="str">
        <f t="shared" si="117"/>
        <v/>
      </c>
      <c r="F418" s="126"/>
      <c r="G418" s="126"/>
      <c r="H418" s="385">
        <f t="shared" si="113"/>
        <v>1556.8333</v>
      </c>
      <c r="I418" s="126">
        <v>30</v>
      </c>
      <c r="J418" s="385">
        <v>1555</v>
      </c>
      <c r="K418" s="133">
        <v>46705</v>
      </c>
      <c r="L418" s="155">
        <v>44950</v>
      </c>
      <c r="M418" s="129">
        <f t="shared" si="14"/>
        <v>1570.0667000000001</v>
      </c>
      <c r="N418" s="158">
        <v>1571.6667</v>
      </c>
      <c r="O418" s="386">
        <v>47102</v>
      </c>
      <c r="P418" s="125">
        <v>44951</v>
      </c>
      <c r="Q418" s="437">
        <v>44939</v>
      </c>
      <c r="R418" s="438">
        <v>0</v>
      </c>
      <c r="S418" s="439"/>
      <c r="T418" s="440">
        <f t="shared" si="118"/>
        <v>397</v>
      </c>
      <c r="U418" s="441" t="str">
        <f t="shared" si="16"/>
        <v>30 MCX</v>
      </c>
      <c r="V418" s="132">
        <f t="shared" si="17"/>
        <v>397</v>
      </c>
      <c r="W418" s="389">
        <f t="shared" si="119"/>
        <v>8.5001605823787595E-3</v>
      </c>
      <c r="X418" s="442">
        <f t="shared" si="19"/>
        <v>0</v>
      </c>
      <c r="Y418" s="391">
        <f t="shared" si="20"/>
        <v>0</v>
      </c>
      <c r="Z418" s="392">
        <f t="shared" si="21"/>
        <v>1</v>
      </c>
      <c r="AA418" s="389">
        <f t="shared" si="114"/>
        <v>20.964922278199865</v>
      </c>
      <c r="AB418" s="125" t="s">
        <v>485</v>
      </c>
      <c r="AC418" s="98"/>
      <c r="AD418" s="98"/>
    </row>
    <row r="419" spans="1:30" ht="12.75" customHeight="1">
      <c r="A419" s="125" t="s">
        <v>511</v>
      </c>
      <c r="B419" s="125" t="s">
        <v>511</v>
      </c>
      <c r="C419" s="382" t="s">
        <v>1201</v>
      </c>
      <c r="D419" s="383" t="s">
        <v>1343</v>
      </c>
      <c r="E419" s="384">
        <f>(55-J419)/J419</f>
        <v>0.19305856832971796</v>
      </c>
      <c r="F419" s="126" t="s">
        <v>1162</v>
      </c>
      <c r="G419" s="126" t="s">
        <v>1163</v>
      </c>
      <c r="H419" s="385">
        <f t="shared" si="113"/>
        <v>46.16</v>
      </c>
      <c r="I419" s="126">
        <v>100</v>
      </c>
      <c r="J419" s="385">
        <v>46.1</v>
      </c>
      <c r="K419" s="133">
        <v>4616</v>
      </c>
      <c r="L419" s="155">
        <v>44323</v>
      </c>
      <c r="M419" s="129">
        <f t="shared" si="14"/>
        <v>57.44</v>
      </c>
      <c r="N419" s="158">
        <v>57.5</v>
      </c>
      <c r="O419" s="386">
        <v>5744</v>
      </c>
      <c r="P419" s="125">
        <v>44333</v>
      </c>
      <c r="Q419" s="437">
        <v>44328</v>
      </c>
      <c r="R419" s="438">
        <v>15.93</v>
      </c>
      <c r="S419" s="439"/>
      <c r="T419" s="440">
        <f>IF(O419="","",O419-K419)</f>
        <v>1128</v>
      </c>
      <c r="U419" s="441" t="str">
        <f t="shared" si="16"/>
        <v>100 MMTC</v>
      </c>
      <c r="V419" s="132">
        <f t="shared" si="17"/>
        <v>1112.07</v>
      </c>
      <c r="W419" s="389">
        <f>IF(M419=0,"",V419/K419)</f>
        <v>0.24091637781629116</v>
      </c>
      <c r="X419" s="442">
        <f t="shared" si="19"/>
        <v>0</v>
      </c>
      <c r="Y419" s="391">
        <f t="shared" si="20"/>
        <v>0</v>
      </c>
      <c r="Z419" s="392">
        <f t="shared" si="21"/>
        <v>10</v>
      </c>
      <c r="AA419" s="389">
        <f t="shared" si="114"/>
        <v>2638.987386430415</v>
      </c>
      <c r="AB419" s="125" t="s">
        <v>485</v>
      </c>
      <c r="AC419" s="98"/>
      <c r="AD419" s="98"/>
    </row>
    <row r="420" spans="1:30" ht="12.75" customHeight="1">
      <c r="A420" s="125" t="s">
        <v>631</v>
      </c>
      <c r="B420" s="125"/>
      <c r="C420" s="382"/>
      <c r="D420" s="383"/>
      <c r="E420" s="384"/>
      <c r="F420" s="126"/>
      <c r="G420" s="126"/>
      <c r="H420" s="385"/>
      <c r="I420" s="126">
        <v>50</v>
      </c>
      <c r="J420" s="385">
        <v>121.35</v>
      </c>
      <c r="K420" s="133">
        <v>6075</v>
      </c>
      <c r="L420" s="155">
        <v>44802</v>
      </c>
      <c r="M420" s="129">
        <f t="shared" si="14"/>
        <v>128.36000000000001</v>
      </c>
      <c r="N420" s="158">
        <v>128.5</v>
      </c>
      <c r="O420" s="386">
        <v>6418</v>
      </c>
      <c r="P420" s="125">
        <v>44819</v>
      </c>
      <c r="Q420" s="437">
        <v>44817</v>
      </c>
      <c r="R420" s="438">
        <v>15.93</v>
      </c>
      <c r="S420" s="439"/>
      <c r="T420" s="440">
        <f>IF(OR(O420="",K420=""),"",O420-K420)</f>
        <v>343</v>
      </c>
      <c r="U420" s="441" t="str">
        <f t="shared" si="16"/>
        <v>50 MOTHERSON</v>
      </c>
      <c r="V420" s="132">
        <f t="shared" si="17"/>
        <v>327.07</v>
      </c>
      <c r="W420" s="389">
        <f>IF(OR(K420="",V420=""),"",V420/K420)</f>
        <v>5.3838683127572014E-2</v>
      </c>
      <c r="X420" s="442">
        <f t="shared" si="19"/>
        <v>0</v>
      </c>
      <c r="Y420" s="391">
        <f t="shared" si="20"/>
        <v>0</v>
      </c>
      <c r="Z420" s="392">
        <f t="shared" si="21"/>
        <v>17</v>
      </c>
      <c r="AA420" s="389">
        <f t="shared" si="114"/>
        <v>2.0830040776022525</v>
      </c>
      <c r="AB420" s="125" t="s">
        <v>485</v>
      </c>
      <c r="AC420" s="98"/>
      <c r="AD420" s="98"/>
    </row>
    <row r="421" spans="1:30" ht="12.75" customHeight="1">
      <c r="A421" s="125" t="s">
        <v>516</v>
      </c>
      <c r="B421" s="125" t="s">
        <v>1344</v>
      </c>
      <c r="C421" s="382" t="s">
        <v>1201</v>
      </c>
      <c r="D421" s="383"/>
      <c r="E421" s="384"/>
      <c r="F421" s="126"/>
      <c r="G421" s="126"/>
      <c r="H421" s="385">
        <f t="shared" ref="H421:H445" si="120">ROUND(K421/I421,4)</f>
        <v>220.85</v>
      </c>
      <c r="I421" s="126">
        <v>50</v>
      </c>
      <c r="J421" s="385">
        <v>220.8</v>
      </c>
      <c r="K421" s="133">
        <v>11042.5</v>
      </c>
      <c r="L421" s="155">
        <v>38847</v>
      </c>
      <c r="M421" s="129">
        <f t="shared" si="14"/>
        <v>18.96</v>
      </c>
      <c r="N421" s="158">
        <v>18.600000000000001</v>
      </c>
      <c r="O421" s="386">
        <v>948</v>
      </c>
      <c r="P421" s="125">
        <v>44333</v>
      </c>
      <c r="Q421" s="437">
        <v>44328</v>
      </c>
      <c r="R421" s="438">
        <f>35.4+29.5+15.93</f>
        <v>80.830000000000013</v>
      </c>
      <c r="S421" s="439">
        <f>50+150+150+50</f>
        <v>400</v>
      </c>
      <c r="T421" s="440">
        <f t="shared" ref="T421:T431" si="121">IF(O421="","",O421-K421)</f>
        <v>-10094.5</v>
      </c>
      <c r="U421" s="441" t="str">
        <f t="shared" si="16"/>
        <v>50 MTNL</v>
      </c>
      <c r="V421" s="132">
        <f t="shared" si="17"/>
        <v>-9775.33</v>
      </c>
      <c r="W421" s="389">
        <f t="shared" ref="W421:W431" si="122">IF(M421=0,"",V421/K421)</f>
        <v>-0.88524609463436721</v>
      </c>
      <c r="X421" s="442">
        <f t="shared" si="19"/>
        <v>15</v>
      </c>
      <c r="Y421" s="391">
        <f t="shared" si="20"/>
        <v>0</v>
      </c>
      <c r="Z421" s="392">
        <f t="shared" si="21"/>
        <v>7</v>
      </c>
      <c r="AA421" s="389">
        <f t="shared" si="114"/>
        <v>-0.13414829615623658</v>
      </c>
      <c r="AB421" s="125" t="s">
        <v>460</v>
      </c>
      <c r="AC421" s="98"/>
      <c r="AD421" s="98"/>
    </row>
    <row r="422" spans="1:30" ht="12.75" customHeight="1">
      <c r="A422" s="125" t="s">
        <v>581</v>
      </c>
      <c r="B422" s="125" t="s">
        <v>1345</v>
      </c>
      <c r="C422" s="382" t="s">
        <v>1158</v>
      </c>
      <c r="D422" s="383" t="s">
        <v>1346</v>
      </c>
      <c r="E422" s="384">
        <f t="shared" ref="E422:E423" si="123">IFERROR(IF(D422="","",(D422-J422)/J422),"")</f>
        <v>1.2329656067488644E-2</v>
      </c>
      <c r="F422" s="126" t="s">
        <v>1347</v>
      </c>
      <c r="G422" s="126" t="s">
        <v>1261</v>
      </c>
      <c r="H422" s="385">
        <f t="shared" si="120"/>
        <v>1542.8</v>
      </c>
      <c r="I422" s="126">
        <v>5</v>
      </c>
      <c r="J422" s="385">
        <v>1541</v>
      </c>
      <c r="K422" s="133">
        <v>7714</v>
      </c>
      <c r="L422" s="155">
        <v>44462</v>
      </c>
      <c r="M422" s="129">
        <f t="shared" si="14"/>
        <v>1573.4</v>
      </c>
      <c r="N422" s="158">
        <v>1575</v>
      </c>
      <c r="O422" s="386">
        <v>7867</v>
      </c>
      <c r="P422" s="125">
        <v>44480</v>
      </c>
      <c r="Q422" s="437">
        <v>44476</v>
      </c>
      <c r="R422" s="438">
        <v>15.93</v>
      </c>
      <c r="S422" s="439"/>
      <c r="T422" s="440">
        <f t="shared" si="121"/>
        <v>153</v>
      </c>
      <c r="U422" s="441" t="str">
        <f t="shared" si="16"/>
        <v>5 MUTHOOTFIN</v>
      </c>
      <c r="V422" s="132">
        <f t="shared" si="17"/>
        <v>137.07</v>
      </c>
      <c r="W422" s="389">
        <f t="shared" si="122"/>
        <v>1.7768991444127559E-2</v>
      </c>
      <c r="X422" s="442">
        <f t="shared" si="19"/>
        <v>0</v>
      </c>
      <c r="Y422" s="391">
        <f t="shared" si="20"/>
        <v>0</v>
      </c>
      <c r="Z422" s="392">
        <f t="shared" si="21"/>
        <v>18</v>
      </c>
      <c r="AA422" s="389">
        <f t="shared" si="114"/>
        <v>0.42925290011465922</v>
      </c>
      <c r="AB422" s="125" t="s">
        <v>485</v>
      </c>
      <c r="AC422" s="98"/>
      <c r="AD422" s="98"/>
    </row>
    <row r="423" spans="1:30" ht="12.75" customHeight="1">
      <c r="A423" s="125" t="s">
        <v>525</v>
      </c>
      <c r="B423" s="125" t="s">
        <v>1348</v>
      </c>
      <c r="C423" s="382" t="s">
        <v>1201</v>
      </c>
      <c r="D423" s="383">
        <v>1193</v>
      </c>
      <c r="E423" s="384">
        <f t="shared" si="123"/>
        <v>9.9539170506912439E-2</v>
      </c>
      <c r="F423" s="126" t="s">
        <v>1154</v>
      </c>
      <c r="G423" s="126" t="s">
        <v>1223</v>
      </c>
      <c r="H423" s="385">
        <f t="shared" si="120"/>
        <v>1086.3</v>
      </c>
      <c r="I423" s="126">
        <v>10</v>
      </c>
      <c r="J423" s="385">
        <v>1085</v>
      </c>
      <c r="K423" s="133">
        <v>10863</v>
      </c>
      <c r="L423" s="155">
        <v>44342</v>
      </c>
      <c r="M423" s="129">
        <f t="shared" si="14"/>
        <v>1094.9000000000001</v>
      </c>
      <c r="N423" s="158">
        <v>1096</v>
      </c>
      <c r="O423" s="386">
        <v>10949</v>
      </c>
      <c r="P423" s="125">
        <v>44362</v>
      </c>
      <c r="Q423" s="437">
        <v>44358</v>
      </c>
      <c r="R423" s="438">
        <v>15.93</v>
      </c>
      <c r="S423" s="439"/>
      <c r="T423" s="440">
        <f t="shared" si="121"/>
        <v>86</v>
      </c>
      <c r="U423" s="441" t="str">
        <f t="shared" si="16"/>
        <v>10 NATCOPHARM</v>
      </c>
      <c r="V423" s="132">
        <f t="shared" si="17"/>
        <v>70.069999999999993</v>
      </c>
      <c r="W423" s="389">
        <f t="shared" si="122"/>
        <v>6.4503360029457783E-3</v>
      </c>
      <c r="X423" s="442">
        <f t="shared" si="19"/>
        <v>0</v>
      </c>
      <c r="Y423" s="391">
        <f t="shared" si="20"/>
        <v>0</v>
      </c>
      <c r="Z423" s="392">
        <f t="shared" si="21"/>
        <v>20</v>
      </c>
      <c r="AA423" s="389">
        <f t="shared" si="114"/>
        <v>0.12450236375403256</v>
      </c>
      <c r="AB423" s="125" t="s">
        <v>485</v>
      </c>
      <c r="AC423" s="98"/>
      <c r="AD423" s="98"/>
    </row>
    <row r="424" spans="1:30" ht="12.75" customHeight="1">
      <c r="A424" s="125" t="s">
        <v>496</v>
      </c>
      <c r="B424" s="125" t="s">
        <v>1349</v>
      </c>
      <c r="C424" s="382" t="s">
        <v>1201</v>
      </c>
      <c r="D424" s="383"/>
      <c r="E424" s="384"/>
      <c r="F424" s="126"/>
      <c r="G424" s="126"/>
      <c r="H424" s="385">
        <f t="shared" si="120"/>
        <v>63.632100000000001</v>
      </c>
      <c r="I424" s="126">
        <v>100</v>
      </c>
      <c r="J424" s="385">
        <v>63.55</v>
      </c>
      <c r="K424" s="133">
        <v>6363.21</v>
      </c>
      <c r="L424" s="155">
        <v>44258</v>
      </c>
      <c r="M424" s="129">
        <f t="shared" si="14"/>
        <v>63.43</v>
      </c>
      <c r="N424" s="158">
        <v>63.5</v>
      </c>
      <c r="O424" s="386">
        <v>6343</v>
      </c>
      <c r="P424" s="125">
        <v>44319</v>
      </c>
      <c r="Q424" s="437">
        <v>44315</v>
      </c>
      <c r="R424" s="438">
        <v>0</v>
      </c>
      <c r="S424" s="439">
        <v>200</v>
      </c>
      <c r="T424" s="440">
        <f t="shared" si="121"/>
        <v>-20.210000000000036</v>
      </c>
      <c r="U424" s="441" t="str">
        <f t="shared" si="16"/>
        <v>100 NATIONALUM</v>
      </c>
      <c r="V424" s="132">
        <f t="shared" si="17"/>
        <v>179.78999999999996</v>
      </c>
      <c r="W424" s="389">
        <f t="shared" si="122"/>
        <v>2.8254607344406355E-2</v>
      </c>
      <c r="X424" s="442">
        <f t="shared" si="19"/>
        <v>0</v>
      </c>
      <c r="Y424" s="391">
        <f t="shared" si="20"/>
        <v>2</v>
      </c>
      <c r="Z424" s="392">
        <f t="shared" si="21"/>
        <v>0</v>
      </c>
      <c r="AA424" s="389">
        <f t="shared" si="114"/>
        <v>0.18142352195255129</v>
      </c>
      <c r="AB424" s="125" t="s">
        <v>485</v>
      </c>
      <c r="AC424" s="98"/>
      <c r="AD424" s="98"/>
    </row>
    <row r="425" spans="1:30" ht="12.75" customHeight="1">
      <c r="A425" s="125" t="s">
        <v>496</v>
      </c>
      <c r="B425" s="125" t="s">
        <v>1349</v>
      </c>
      <c r="C425" s="382" t="s">
        <v>1201</v>
      </c>
      <c r="D425" s="383">
        <v>64</v>
      </c>
      <c r="E425" s="384">
        <f t="shared" ref="E425:E437" si="124">IFERROR(IF(D425="","",(D425-J425)/J425),"")</f>
        <v>8.4745762711864403E-2</v>
      </c>
      <c r="F425" s="126" t="s">
        <v>1154</v>
      </c>
      <c r="G425" s="126" t="s">
        <v>1298</v>
      </c>
      <c r="H425" s="385">
        <f t="shared" si="120"/>
        <v>59.06</v>
      </c>
      <c r="I425" s="126">
        <v>50</v>
      </c>
      <c r="J425" s="385">
        <v>59</v>
      </c>
      <c r="K425" s="133">
        <v>2953</v>
      </c>
      <c r="L425" s="155">
        <v>44302</v>
      </c>
      <c r="M425" s="129">
        <f t="shared" si="14"/>
        <v>63.44</v>
      </c>
      <c r="N425" s="158">
        <v>63.5</v>
      </c>
      <c r="O425" s="386">
        <v>3172</v>
      </c>
      <c r="P425" s="125">
        <v>44319</v>
      </c>
      <c r="Q425" s="437">
        <v>44315</v>
      </c>
      <c r="R425" s="438">
        <v>15.93</v>
      </c>
      <c r="S425" s="439"/>
      <c r="T425" s="440">
        <f t="shared" si="121"/>
        <v>219</v>
      </c>
      <c r="U425" s="441" t="str">
        <f t="shared" si="16"/>
        <v>50 NATIONALUM</v>
      </c>
      <c r="V425" s="132">
        <f t="shared" si="17"/>
        <v>203.07</v>
      </c>
      <c r="W425" s="389">
        <f t="shared" si="122"/>
        <v>6.8767355231967489E-2</v>
      </c>
      <c r="X425" s="442">
        <f t="shared" si="19"/>
        <v>0</v>
      </c>
      <c r="Y425" s="391">
        <f t="shared" si="20"/>
        <v>0</v>
      </c>
      <c r="Z425" s="392">
        <f t="shared" si="21"/>
        <v>17</v>
      </c>
      <c r="AA425" s="389">
        <f t="shared" si="114"/>
        <v>3.1700270003856739</v>
      </c>
      <c r="AB425" s="125" t="s">
        <v>485</v>
      </c>
      <c r="AC425" s="98"/>
      <c r="AD425" s="98"/>
    </row>
    <row r="426" spans="1:30" ht="12.75" customHeight="1">
      <c r="A426" s="125" t="s">
        <v>496</v>
      </c>
      <c r="B426" s="125" t="s">
        <v>1350</v>
      </c>
      <c r="C426" s="382" t="s">
        <v>1351</v>
      </c>
      <c r="D426" s="383"/>
      <c r="E426" s="384" t="str">
        <f t="shared" si="124"/>
        <v/>
      </c>
      <c r="F426" s="126" t="s">
        <v>1145</v>
      </c>
      <c r="G426" s="126"/>
      <c r="H426" s="385">
        <f t="shared" si="120"/>
        <v>85</v>
      </c>
      <c r="I426" s="126">
        <v>100</v>
      </c>
      <c r="J426" s="385">
        <v>84.9</v>
      </c>
      <c r="K426" s="133">
        <v>8500</v>
      </c>
      <c r="L426" s="155">
        <v>44417</v>
      </c>
      <c r="M426" s="129">
        <f t="shared" si="14"/>
        <v>89.91</v>
      </c>
      <c r="N426" s="158">
        <v>90</v>
      </c>
      <c r="O426" s="386">
        <v>8991</v>
      </c>
      <c r="P426" s="125">
        <v>44441</v>
      </c>
      <c r="Q426" s="437">
        <v>44439</v>
      </c>
      <c r="R426" s="438">
        <v>15.93</v>
      </c>
      <c r="S426" s="439"/>
      <c r="T426" s="440">
        <f t="shared" si="121"/>
        <v>491</v>
      </c>
      <c r="U426" s="441" t="str">
        <f t="shared" si="16"/>
        <v>100 NATIONALUM</v>
      </c>
      <c r="V426" s="132">
        <f t="shared" si="17"/>
        <v>475.07</v>
      </c>
      <c r="W426" s="389">
        <f t="shared" si="122"/>
        <v>5.5890588235294116E-2</v>
      </c>
      <c r="X426" s="442">
        <f t="shared" si="19"/>
        <v>0</v>
      </c>
      <c r="Y426" s="391">
        <f t="shared" si="20"/>
        <v>0</v>
      </c>
      <c r="Z426" s="392">
        <f t="shared" si="21"/>
        <v>24</v>
      </c>
      <c r="AA426" s="389">
        <f t="shared" si="114"/>
        <v>1.2866747159742125</v>
      </c>
      <c r="AB426" s="125" t="s">
        <v>485</v>
      </c>
      <c r="AC426" s="98"/>
      <c r="AD426" s="98"/>
    </row>
    <row r="427" spans="1:30" ht="12.75" customHeight="1">
      <c r="A427" s="125" t="s">
        <v>496</v>
      </c>
      <c r="B427" s="125" t="s">
        <v>1350</v>
      </c>
      <c r="C427" s="382" t="s">
        <v>1351</v>
      </c>
      <c r="D427" s="383"/>
      <c r="E427" s="384" t="str">
        <f t="shared" si="124"/>
        <v/>
      </c>
      <c r="F427" s="126" t="s">
        <v>1145</v>
      </c>
      <c r="G427" s="126"/>
      <c r="H427" s="385">
        <f t="shared" si="120"/>
        <v>91.222200000000001</v>
      </c>
      <c r="I427" s="126">
        <v>9</v>
      </c>
      <c r="J427" s="385">
        <v>91.15</v>
      </c>
      <c r="K427" s="133">
        <v>821</v>
      </c>
      <c r="L427" s="155">
        <v>44470</v>
      </c>
      <c r="M427" s="129">
        <f t="shared" si="14"/>
        <v>104.11109999999999</v>
      </c>
      <c r="N427" s="158">
        <v>104.2</v>
      </c>
      <c r="O427" s="386">
        <v>937</v>
      </c>
      <c r="P427" s="125">
        <v>44475</v>
      </c>
      <c r="Q427" s="437">
        <v>44473</v>
      </c>
      <c r="R427" s="438"/>
      <c r="S427" s="439"/>
      <c r="T427" s="440">
        <f t="shared" si="121"/>
        <v>116</v>
      </c>
      <c r="U427" s="441" t="str">
        <f t="shared" si="16"/>
        <v>9 NATIONALUM</v>
      </c>
      <c r="V427" s="132">
        <f t="shared" si="17"/>
        <v>116</v>
      </c>
      <c r="W427" s="389">
        <f t="shared" si="122"/>
        <v>0.14129110840438489</v>
      </c>
      <c r="X427" s="442">
        <f t="shared" si="19"/>
        <v>0</v>
      </c>
      <c r="Y427" s="391">
        <f t="shared" si="20"/>
        <v>0</v>
      </c>
      <c r="Z427" s="392">
        <f t="shared" si="21"/>
        <v>5</v>
      </c>
      <c r="AA427" s="389">
        <f t="shared" si="114"/>
        <v>15485.014625463602</v>
      </c>
      <c r="AB427" s="125" t="s">
        <v>485</v>
      </c>
      <c r="AC427" s="98"/>
      <c r="AD427" s="98"/>
    </row>
    <row r="428" spans="1:30" ht="12.75" customHeight="1">
      <c r="A428" s="125" t="s">
        <v>496</v>
      </c>
      <c r="B428" s="125" t="s">
        <v>1350</v>
      </c>
      <c r="C428" s="382" t="s">
        <v>1351</v>
      </c>
      <c r="D428" s="383">
        <v>135</v>
      </c>
      <c r="E428" s="384">
        <f t="shared" si="124"/>
        <v>0.38817480719794345</v>
      </c>
      <c r="F428" s="126" t="s">
        <v>1352</v>
      </c>
      <c r="G428" s="126"/>
      <c r="H428" s="385">
        <f t="shared" si="120"/>
        <v>97.36</v>
      </c>
      <c r="I428" s="126">
        <v>50</v>
      </c>
      <c r="J428" s="385">
        <v>97.25</v>
      </c>
      <c r="K428" s="133">
        <v>4868</v>
      </c>
      <c r="L428" s="155">
        <v>44518</v>
      </c>
      <c r="M428" s="129">
        <f t="shared" si="14"/>
        <v>101.14</v>
      </c>
      <c r="N428" s="158">
        <v>101.25</v>
      </c>
      <c r="O428" s="386">
        <v>5057</v>
      </c>
      <c r="P428" s="125">
        <v>44565</v>
      </c>
      <c r="Q428" s="437">
        <v>44561</v>
      </c>
      <c r="R428" s="438">
        <v>15.93</v>
      </c>
      <c r="S428" s="439"/>
      <c r="T428" s="440">
        <f t="shared" si="121"/>
        <v>189</v>
      </c>
      <c r="U428" s="441" t="str">
        <f t="shared" si="16"/>
        <v>50 NATIONALUM</v>
      </c>
      <c r="V428" s="132">
        <f t="shared" si="17"/>
        <v>173.07</v>
      </c>
      <c r="W428" s="389">
        <f t="shared" si="122"/>
        <v>3.5552588331963841E-2</v>
      </c>
      <c r="X428" s="442">
        <f t="shared" si="19"/>
        <v>0</v>
      </c>
      <c r="Y428" s="391">
        <f t="shared" si="20"/>
        <v>1</v>
      </c>
      <c r="Z428" s="392">
        <f t="shared" si="21"/>
        <v>17</v>
      </c>
      <c r="AA428" s="389">
        <f t="shared" si="114"/>
        <v>0.31167529059930388</v>
      </c>
      <c r="AB428" s="125" t="s">
        <v>485</v>
      </c>
      <c r="AC428" s="98"/>
      <c r="AD428" s="98"/>
    </row>
    <row r="429" spans="1:30" ht="12.75" customHeight="1">
      <c r="A429" s="125" t="s">
        <v>496</v>
      </c>
      <c r="B429" s="125" t="s">
        <v>1350</v>
      </c>
      <c r="C429" s="382" t="s">
        <v>1351</v>
      </c>
      <c r="D429" s="383">
        <v>135</v>
      </c>
      <c r="E429" s="384">
        <f t="shared" si="124"/>
        <v>0.2317518248175183</v>
      </c>
      <c r="F429" s="126" t="s">
        <v>1352</v>
      </c>
      <c r="G429" s="126"/>
      <c r="H429" s="385">
        <f t="shared" si="120"/>
        <v>109.72</v>
      </c>
      <c r="I429" s="126">
        <v>50</v>
      </c>
      <c r="J429" s="385">
        <v>109.6</v>
      </c>
      <c r="K429" s="133">
        <v>5486</v>
      </c>
      <c r="L429" s="155">
        <v>44489</v>
      </c>
      <c r="M429" s="129">
        <f t="shared" si="14"/>
        <v>109.48</v>
      </c>
      <c r="N429" s="158">
        <v>109.6</v>
      </c>
      <c r="O429" s="386">
        <v>5474</v>
      </c>
      <c r="P429" s="125">
        <v>44572</v>
      </c>
      <c r="Q429" s="437">
        <v>44568</v>
      </c>
      <c r="R429" s="438">
        <v>15.93</v>
      </c>
      <c r="S429" s="439">
        <v>200</v>
      </c>
      <c r="T429" s="440">
        <f t="shared" si="121"/>
        <v>-12</v>
      </c>
      <c r="U429" s="441" t="str">
        <f t="shared" si="16"/>
        <v>50 NATIONALUM</v>
      </c>
      <c r="V429" s="132">
        <f t="shared" si="17"/>
        <v>172.07</v>
      </c>
      <c r="W429" s="389">
        <f t="shared" si="122"/>
        <v>3.1365293474298214E-2</v>
      </c>
      <c r="X429" s="442">
        <f t="shared" si="19"/>
        <v>0</v>
      </c>
      <c r="Y429" s="391">
        <f t="shared" si="20"/>
        <v>2</v>
      </c>
      <c r="Z429" s="392">
        <f t="shared" si="21"/>
        <v>22</v>
      </c>
      <c r="AA429" s="389">
        <f t="shared" si="114"/>
        <v>0.14546740937672387</v>
      </c>
      <c r="AB429" s="125" t="s">
        <v>485</v>
      </c>
      <c r="AC429" s="98"/>
      <c r="AD429" s="98"/>
    </row>
    <row r="430" spans="1:30" ht="12.75" customHeight="1">
      <c r="A430" s="125" t="s">
        <v>543</v>
      </c>
      <c r="B430" s="125" t="s">
        <v>1353</v>
      </c>
      <c r="C430" s="382" t="s">
        <v>1201</v>
      </c>
      <c r="D430" s="383" t="s">
        <v>1354</v>
      </c>
      <c r="E430" s="384">
        <f t="shared" si="124"/>
        <v>0.18613138686131392</v>
      </c>
      <c r="F430" s="126" t="s">
        <v>1162</v>
      </c>
      <c r="G430" s="126" t="s">
        <v>1163</v>
      </c>
      <c r="H430" s="385">
        <f t="shared" si="120"/>
        <v>54.866</v>
      </c>
      <c r="I430" s="126">
        <v>500</v>
      </c>
      <c r="J430" s="385">
        <v>54.8</v>
      </c>
      <c r="K430" s="133">
        <v>27433</v>
      </c>
      <c r="L430" s="155">
        <v>44361</v>
      </c>
      <c r="M430" s="129">
        <f t="shared" si="14"/>
        <v>55.442</v>
      </c>
      <c r="N430" s="158">
        <v>55.5</v>
      </c>
      <c r="O430" s="386">
        <v>27721</v>
      </c>
      <c r="P430" s="125">
        <v>44368</v>
      </c>
      <c r="Q430" s="437">
        <v>44364</v>
      </c>
      <c r="R430" s="438">
        <v>15.93</v>
      </c>
      <c r="S430" s="439"/>
      <c r="T430" s="440">
        <f t="shared" si="121"/>
        <v>288</v>
      </c>
      <c r="U430" s="441" t="str">
        <f t="shared" si="16"/>
        <v>500 NBCC</v>
      </c>
      <c r="V430" s="132">
        <f t="shared" si="17"/>
        <v>272.07</v>
      </c>
      <c r="W430" s="389">
        <f t="shared" si="122"/>
        <v>9.9176174680129774E-3</v>
      </c>
      <c r="X430" s="442">
        <f t="shared" si="19"/>
        <v>0</v>
      </c>
      <c r="Y430" s="391">
        <f t="shared" si="20"/>
        <v>0</v>
      </c>
      <c r="Z430" s="392">
        <f t="shared" si="21"/>
        <v>7</v>
      </c>
      <c r="AA430" s="389">
        <f t="shared" si="114"/>
        <v>0.67294471734133809</v>
      </c>
      <c r="AB430" s="125" t="s">
        <v>485</v>
      </c>
      <c r="AC430" s="98"/>
      <c r="AD430" s="98"/>
    </row>
    <row r="431" spans="1:30" ht="12.75" customHeight="1">
      <c r="A431" s="125" t="s">
        <v>547</v>
      </c>
      <c r="B431" s="125" t="s">
        <v>547</v>
      </c>
      <c r="C431" s="382" t="s">
        <v>1201</v>
      </c>
      <c r="D431" s="383" t="s">
        <v>1355</v>
      </c>
      <c r="E431" s="384">
        <f t="shared" si="124"/>
        <v>1.201834862385321</v>
      </c>
      <c r="F431" s="126" t="s">
        <v>1162</v>
      </c>
      <c r="G431" s="126" t="s">
        <v>1356</v>
      </c>
      <c r="H431" s="385">
        <f t="shared" si="120"/>
        <v>81.844999999999999</v>
      </c>
      <c r="I431" s="126">
        <v>200</v>
      </c>
      <c r="J431" s="385">
        <v>81.75</v>
      </c>
      <c r="K431" s="133">
        <v>16369</v>
      </c>
      <c r="L431" s="155">
        <v>44365</v>
      </c>
      <c r="M431" s="129">
        <f t="shared" si="14"/>
        <v>85.51</v>
      </c>
      <c r="N431" s="158">
        <v>85.6</v>
      </c>
      <c r="O431" s="386">
        <v>17102</v>
      </c>
      <c r="P431" s="125">
        <v>44378</v>
      </c>
      <c r="Q431" s="437">
        <v>44376</v>
      </c>
      <c r="R431" s="438">
        <v>15.93</v>
      </c>
      <c r="S431" s="439"/>
      <c r="T431" s="440">
        <f t="shared" si="121"/>
        <v>733</v>
      </c>
      <c r="U431" s="441" t="str">
        <f t="shared" si="16"/>
        <v>200 NCC</v>
      </c>
      <c r="V431" s="132">
        <f t="shared" si="17"/>
        <v>717.07</v>
      </c>
      <c r="W431" s="389">
        <f t="shared" si="122"/>
        <v>4.3806585619158171E-2</v>
      </c>
      <c r="X431" s="442">
        <f t="shared" si="19"/>
        <v>0</v>
      </c>
      <c r="Y431" s="391">
        <f t="shared" si="20"/>
        <v>0</v>
      </c>
      <c r="Z431" s="392">
        <f t="shared" si="21"/>
        <v>13</v>
      </c>
      <c r="AA431" s="389">
        <f t="shared" si="114"/>
        <v>2.3326769887453063</v>
      </c>
      <c r="AB431" s="125" t="s">
        <v>485</v>
      </c>
      <c r="AC431" s="98"/>
      <c r="AD431" s="98"/>
    </row>
    <row r="432" spans="1:30" ht="12.75" customHeight="1">
      <c r="A432" s="125" t="s">
        <v>547</v>
      </c>
      <c r="B432" s="125" t="s">
        <v>547</v>
      </c>
      <c r="C432" s="382" t="s">
        <v>1226</v>
      </c>
      <c r="D432" s="383" t="s">
        <v>1355</v>
      </c>
      <c r="E432" s="384">
        <f t="shared" si="124"/>
        <v>0.88481675392670156</v>
      </c>
      <c r="F432" s="126" t="s">
        <v>1162</v>
      </c>
      <c r="G432" s="126" t="s">
        <v>1356</v>
      </c>
      <c r="H432" s="385">
        <f t="shared" si="120"/>
        <v>95.62</v>
      </c>
      <c r="I432" s="126">
        <v>50</v>
      </c>
      <c r="J432" s="385">
        <v>95.5</v>
      </c>
      <c r="K432" s="133">
        <v>4781</v>
      </c>
      <c r="L432" s="155">
        <v>44389</v>
      </c>
      <c r="M432" s="129">
        <f t="shared" si="14"/>
        <v>84.92</v>
      </c>
      <c r="N432" s="158">
        <v>85</v>
      </c>
      <c r="O432" s="386">
        <v>4246</v>
      </c>
      <c r="P432" s="125">
        <v>44909</v>
      </c>
      <c r="Q432" s="437">
        <v>44907</v>
      </c>
      <c r="R432" s="438">
        <v>15.93</v>
      </c>
      <c r="S432" s="439">
        <v>40</v>
      </c>
      <c r="T432" s="440">
        <f t="shared" ref="T432:T439" si="125">IF(OR(O432="",K432=""),"",O432-K432)</f>
        <v>-535</v>
      </c>
      <c r="U432" s="441" t="str">
        <f t="shared" si="16"/>
        <v>50 NCC</v>
      </c>
      <c r="V432" s="132">
        <f t="shared" si="17"/>
        <v>-510.93</v>
      </c>
      <c r="W432" s="389">
        <f t="shared" ref="W432:W439" si="126">IF(OR(K432="",V432=""),"",V432/K432)</f>
        <v>-0.10686676427525622</v>
      </c>
      <c r="X432" s="442">
        <f t="shared" si="19"/>
        <v>1</v>
      </c>
      <c r="Y432" s="391">
        <f t="shared" si="20"/>
        <v>5</v>
      </c>
      <c r="Z432" s="392">
        <f t="shared" si="21"/>
        <v>2</v>
      </c>
      <c r="AA432" s="389">
        <f t="shared" si="114"/>
        <v>-7.6265883612317897E-2</v>
      </c>
      <c r="AB432" s="125" t="s">
        <v>485</v>
      </c>
      <c r="AC432" s="98"/>
      <c r="AD432" s="98"/>
    </row>
    <row r="433" spans="1:30" ht="12.75" customHeight="1">
      <c r="A433" s="125" t="s">
        <v>547</v>
      </c>
      <c r="B433" s="125"/>
      <c r="C433" s="382"/>
      <c r="D433" s="383"/>
      <c r="E433" s="384" t="str">
        <f t="shared" si="124"/>
        <v/>
      </c>
      <c r="F433" s="126"/>
      <c r="G433" s="126"/>
      <c r="H433" s="385">
        <f t="shared" si="120"/>
        <v>69.58</v>
      </c>
      <c r="I433" s="126">
        <v>50</v>
      </c>
      <c r="J433" s="385">
        <v>69.5</v>
      </c>
      <c r="K433" s="133">
        <v>3479</v>
      </c>
      <c r="L433" s="155">
        <v>44799</v>
      </c>
      <c r="M433" s="129">
        <f t="shared" si="14"/>
        <v>84.9</v>
      </c>
      <c r="N433" s="158">
        <v>85</v>
      </c>
      <c r="O433" s="386">
        <v>4245</v>
      </c>
      <c r="P433" s="125">
        <v>44909</v>
      </c>
      <c r="Q433" s="437">
        <v>44907</v>
      </c>
      <c r="R433" s="438">
        <v>15.93</v>
      </c>
      <c r="S433" s="439"/>
      <c r="T433" s="440">
        <f t="shared" si="125"/>
        <v>766</v>
      </c>
      <c r="U433" s="441" t="str">
        <f t="shared" si="16"/>
        <v>50 NCC</v>
      </c>
      <c r="V433" s="132">
        <f t="shared" si="17"/>
        <v>750.07</v>
      </c>
      <c r="W433" s="389">
        <f t="shared" si="126"/>
        <v>0.21559931014659386</v>
      </c>
      <c r="X433" s="442">
        <f t="shared" si="19"/>
        <v>0</v>
      </c>
      <c r="Y433" s="391">
        <f t="shared" si="20"/>
        <v>3</v>
      </c>
      <c r="Z433" s="392">
        <f t="shared" si="21"/>
        <v>18</v>
      </c>
      <c r="AA433" s="389">
        <f t="shared" si="114"/>
        <v>0.91139353515062815</v>
      </c>
      <c r="AB433" s="125" t="s">
        <v>485</v>
      </c>
      <c r="AC433" s="98"/>
      <c r="AD433" s="98"/>
    </row>
    <row r="434" spans="1:30" ht="12.75" customHeight="1">
      <c r="A434" s="125" t="s">
        <v>619</v>
      </c>
      <c r="B434" s="125"/>
      <c r="C434" s="382"/>
      <c r="D434" s="383">
        <v>95</v>
      </c>
      <c r="E434" s="384">
        <f t="shared" si="124"/>
        <v>0.1875</v>
      </c>
      <c r="F434" s="126" t="s">
        <v>1162</v>
      </c>
      <c r="G434" s="126" t="s">
        <v>1357</v>
      </c>
      <c r="H434" s="385">
        <f t="shared" si="120"/>
        <v>80.19</v>
      </c>
      <c r="I434" s="126">
        <v>100</v>
      </c>
      <c r="J434" s="385">
        <v>80</v>
      </c>
      <c r="K434" s="133">
        <v>8019</v>
      </c>
      <c r="L434" s="155">
        <v>44676</v>
      </c>
      <c r="M434" s="129">
        <f t="shared" si="14"/>
        <v>77.180000000000007</v>
      </c>
      <c r="N434" s="158">
        <v>77.349999999999994</v>
      </c>
      <c r="O434" s="386">
        <v>7718.0000000000009</v>
      </c>
      <c r="P434" s="125">
        <v>44799</v>
      </c>
      <c r="Q434" s="437">
        <v>44797</v>
      </c>
      <c r="R434" s="438">
        <v>0</v>
      </c>
      <c r="S434" s="439"/>
      <c r="T434" s="440">
        <f t="shared" si="125"/>
        <v>-300.99999999999909</v>
      </c>
      <c r="U434" s="441" t="str">
        <f t="shared" si="16"/>
        <v>100 NGIND</v>
      </c>
      <c r="V434" s="132">
        <f t="shared" si="17"/>
        <v>-300.99999999999909</v>
      </c>
      <c r="W434" s="389">
        <f t="shared" si="126"/>
        <v>-3.7535852350667052E-2</v>
      </c>
      <c r="X434" s="442">
        <f t="shared" si="19"/>
        <v>0</v>
      </c>
      <c r="Y434" s="391">
        <f t="shared" si="20"/>
        <v>4</v>
      </c>
      <c r="Z434" s="392">
        <f t="shared" si="21"/>
        <v>1</v>
      </c>
      <c r="AA434" s="389">
        <f t="shared" si="114"/>
        <v>-0.10732366487987832</v>
      </c>
      <c r="AB434" s="125" t="s">
        <v>485</v>
      </c>
      <c r="AC434" s="98"/>
      <c r="AD434" s="98"/>
    </row>
    <row r="435" spans="1:30" ht="12.75" customHeight="1">
      <c r="A435" s="125" t="s">
        <v>619</v>
      </c>
      <c r="B435" s="125"/>
      <c r="C435" s="382"/>
      <c r="D435" s="383">
        <v>95</v>
      </c>
      <c r="E435" s="384">
        <f t="shared" si="124"/>
        <v>0.35714285714285715</v>
      </c>
      <c r="F435" s="126" t="s">
        <v>1162</v>
      </c>
      <c r="G435" s="126" t="s">
        <v>1357</v>
      </c>
      <c r="H435" s="385">
        <f t="shared" si="120"/>
        <v>70.180000000000007</v>
      </c>
      <c r="I435" s="126">
        <v>50</v>
      </c>
      <c r="J435" s="385">
        <v>70</v>
      </c>
      <c r="K435" s="133">
        <v>3509</v>
      </c>
      <c r="L435" s="155">
        <v>44678</v>
      </c>
      <c r="M435" s="129">
        <f t="shared" si="14"/>
        <v>77.180000000000007</v>
      </c>
      <c r="N435" s="158">
        <v>77.349999999999994</v>
      </c>
      <c r="O435" s="386">
        <v>3859.0000000000005</v>
      </c>
      <c r="P435" s="125">
        <v>44799</v>
      </c>
      <c r="Q435" s="437">
        <v>44797</v>
      </c>
      <c r="R435" s="438">
        <v>15.93</v>
      </c>
      <c r="S435" s="439"/>
      <c r="T435" s="440">
        <f t="shared" si="125"/>
        <v>350.00000000000045</v>
      </c>
      <c r="U435" s="441" t="str">
        <f t="shared" si="16"/>
        <v>50 NGIND</v>
      </c>
      <c r="V435" s="132">
        <f t="shared" si="17"/>
        <v>334.07000000000045</v>
      </c>
      <c r="W435" s="389">
        <f t="shared" si="126"/>
        <v>9.5203761755486019E-2</v>
      </c>
      <c r="X435" s="442">
        <f t="shared" si="19"/>
        <v>0</v>
      </c>
      <c r="Y435" s="391">
        <f t="shared" si="20"/>
        <v>3</v>
      </c>
      <c r="Z435" s="392">
        <f t="shared" si="21"/>
        <v>30</v>
      </c>
      <c r="AA435" s="389">
        <f t="shared" si="114"/>
        <v>0.31564157561979522</v>
      </c>
      <c r="AB435" s="125" t="s">
        <v>485</v>
      </c>
      <c r="AC435" s="98"/>
      <c r="AD435" s="98"/>
    </row>
    <row r="436" spans="1:30" ht="12.75" customHeight="1">
      <c r="A436" s="125" t="s">
        <v>627</v>
      </c>
      <c r="B436" s="125"/>
      <c r="C436" s="382"/>
      <c r="D436" s="383"/>
      <c r="E436" s="384" t="str">
        <f t="shared" si="124"/>
        <v/>
      </c>
      <c r="F436" s="126"/>
      <c r="G436" s="126"/>
      <c r="H436" s="385">
        <f t="shared" si="120"/>
        <v>34.04</v>
      </c>
      <c r="I436" s="126">
        <v>100</v>
      </c>
      <c r="J436" s="385">
        <v>34</v>
      </c>
      <c r="K436" s="133">
        <v>3404</v>
      </c>
      <c r="L436" s="155">
        <v>44756</v>
      </c>
      <c r="M436" s="129">
        <f t="shared" si="14"/>
        <v>35.26</v>
      </c>
      <c r="N436" s="158">
        <v>35.299999999999997</v>
      </c>
      <c r="O436" s="386">
        <v>3526</v>
      </c>
      <c r="P436" s="125">
        <v>44802</v>
      </c>
      <c r="Q436" s="437">
        <v>44798</v>
      </c>
      <c r="R436" s="438">
        <v>15.93</v>
      </c>
      <c r="S436" s="439"/>
      <c r="T436" s="440">
        <f t="shared" si="125"/>
        <v>122</v>
      </c>
      <c r="U436" s="441" t="str">
        <f t="shared" si="16"/>
        <v>100 NHPC</v>
      </c>
      <c r="V436" s="132">
        <f t="shared" si="17"/>
        <v>106.07</v>
      </c>
      <c r="W436" s="389">
        <f t="shared" si="126"/>
        <v>3.1160399529964744E-2</v>
      </c>
      <c r="X436" s="442">
        <f t="shared" si="19"/>
        <v>0</v>
      </c>
      <c r="Y436" s="391">
        <f t="shared" si="20"/>
        <v>1</v>
      </c>
      <c r="Z436" s="392">
        <f t="shared" si="21"/>
        <v>15</v>
      </c>
      <c r="AA436" s="389">
        <f t="shared" si="114"/>
        <v>0.27567694641418949</v>
      </c>
      <c r="AB436" s="125" t="s">
        <v>485</v>
      </c>
      <c r="AC436" s="98"/>
      <c r="AD436" s="98"/>
    </row>
    <row r="437" spans="1:30" ht="12.75" customHeight="1">
      <c r="A437" s="125" t="s">
        <v>627</v>
      </c>
      <c r="B437" s="125"/>
      <c r="C437" s="382"/>
      <c r="D437" s="383"/>
      <c r="E437" s="384" t="str">
        <f t="shared" si="124"/>
        <v/>
      </c>
      <c r="F437" s="126"/>
      <c r="G437" s="126"/>
      <c r="H437" s="385">
        <f t="shared" si="120"/>
        <v>40.045000000000002</v>
      </c>
      <c r="I437" s="126">
        <v>200</v>
      </c>
      <c r="J437" s="385">
        <v>40</v>
      </c>
      <c r="K437" s="133">
        <v>8009</v>
      </c>
      <c r="L437" s="155">
        <v>44943</v>
      </c>
      <c r="M437" s="129">
        <f t="shared" si="14"/>
        <v>41.204999999999998</v>
      </c>
      <c r="N437" s="158">
        <v>41.25</v>
      </c>
      <c r="O437" s="386">
        <v>8241</v>
      </c>
      <c r="P437" s="125">
        <v>45029</v>
      </c>
      <c r="Q437" s="437">
        <v>45028</v>
      </c>
      <c r="R437" s="438">
        <v>15.93</v>
      </c>
      <c r="S437" s="439"/>
      <c r="T437" s="440">
        <f t="shared" si="125"/>
        <v>232</v>
      </c>
      <c r="U437" s="441" t="str">
        <f t="shared" si="16"/>
        <v>200 NHPC</v>
      </c>
      <c r="V437" s="132">
        <f t="shared" si="17"/>
        <v>216.07</v>
      </c>
      <c r="W437" s="389">
        <f t="shared" si="126"/>
        <v>2.6978399300786614E-2</v>
      </c>
      <c r="X437" s="442">
        <f t="shared" si="19"/>
        <v>0</v>
      </c>
      <c r="Y437" s="391">
        <f t="shared" si="20"/>
        <v>2</v>
      </c>
      <c r="Z437" s="392">
        <f t="shared" si="21"/>
        <v>27</v>
      </c>
      <c r="AA437" s="389">
        <f t="shared" si="114"/>
        <v>0.11961406764343474</v>
      </c>
      <c r="AB437" s="125" t="s">
        <v>485</v>
      </c>
      <c r="AC437" s="98"/>
      <c r="AD437" s="98"/>
    </row>
    <row r="438" spans="1:30" ht="12.75" customHeight="1">
      <c r="A438" s="125" t="s">
        <v>553</v>
      </c>
      <c r="B438" s="125" t="s">
        <v>553</v>
      </c>
      <c r="C438" s="382" t="s">
        <v>1180</v>
      </c>
      <c r="D438" s="383"/>
      <c r="E438" s="384"/>
      <c r="F438" s="126" t="s">
        <v>1162</v>
      </c>
      <c r="G438" s="126" t="s">
        <v>1163</v>
      </c>
      <c r="H438" s="385">
        <f t="shared" si="120"/>
        <v>121.14</v>
      </c>
      <c r="I438" s="126">
        <v>50</v>
      </c>
      <c r="J438" s="385">
        <v>121</v>
      </c>
      <c r="K438" s="133">
        <v>6057</v>
      </c>
      <c r="L438" s="155">
        <v>44904</v>
      </c>
      <c r="M438" s="129">
        <f t="shared" si="14"/>
        <v>123.12</v>
      </c>
      <c r="N438" s="158">
        <v>123.25</v>
      </c>
      <c r="O438" s="386">
        <v>6156</v>
      </c>
      <c r="P438" s="125">
        <v>44907</v>
      </c>
      <c r="Q438" s="437">
        <v>44903</v>
      </c>
      <c r="R438" s="438">
        <v>15.93</v>
      </c>
      <c r="S438" s="439"/>
      <c r="T438" s="440">
        <f t="shared" si="125"/>
        <v>99</v>
      </c>
      <c r="U438" s="441" t="str">
        <f t="shared" si="16"/>
        <v>50 NMDC</v>
      </c>
      <c r="V438" s="132">
        <f t="shared" si="17"/>
        <v>83.07</v>
      </c>
      <c r="W438" s="389">
        <f t="shared" si="126"/>
        <v>1.3714710252600296E-2</v>
      </c>
      <c r="X438" s="442">
        <f t="shared" si="19"/>
        <v>0</v>
      </c>
      <c r="Y438" s="391">
        <f t="shared" si="20"/>
        <v>0</v>
      </c>
      <c r="Z438" s="392">
        <f t="shared" si="21"/>
        <v>3</v>
      </c>
      <c r="AA438" s="389">
        <f t="shared" si="114"/>
        <v>4.2450474797171402</v>
      </c>
      <c r="AB438" s="125" t="s">
        <v>485</v>
      </c>
      <c r="AC438" s="98"/>
      <c r="AD438" s="98"/>
    </row>
    <row r="439" spans="1:30" ht="12.75" customHeight="1">
      <c r="A439" s="125" t="s">
        <v>553</v>
      </c>
      <c r="B439" s="125" t="s">
        <v>553</v>
      </c>
      <c r="C439" s="382" t="s">
        <v>1180</v>
      </c>
      <c r="D439" s="383" t="s">
        <v>1181</v>
      </c>
      <c r="E439" s="384">
        <f t="shared" ref="E439:E445" si="127">IFERROR(IF(D439="","",(D439-J439)/J439),"")</f>
        <v>0.85950413223140498</v>
      </c>
      <c r="F439" s="126" t="s">
        <v>1162</v>
      </c>
      <c r="G439" s="126" t="s">
        <v>1163</v>
      </c>
      <c r="H439" s="385">
        <f t="shared" si="120"/>
        <v>121.14</v>
      </c>
      <c r="I439" s="126">
        <v>50</v>
      </c>
      <c r="J439" s="385">
        <v>121</v>
      </c>
      <c r="K439" s="133">
        <v>6057</v>
      </c>
      <c r="L439" s="155">
        <v>44953</v>
      </c>
      <c r="M439" s="129">
        <f t="shared" si="14"/>
        <v>122.38</v>
      </c>
      <c r="N439" s="158">
        <v>122.5</v>
      </c>
      <c r="O439" s="386">
        <v>6119</v>
      </c>
      <c r="P439" s="125">
        <v>44954</v>
      </c>
      <c r="Q439" s="437">
        <v>44925</v>
      </c>
      <c r="R439" s="438">
        <v>15.93</v>
      </c>
      <c r="S439" s="439"/>
      <c r="T439" s="440">
        <f t="shared" si="125"/>
        <v>62</v>
      </c>
      <c r="U439" s="441" t="str">
        <f t="shared" si="16"/>
        <v>50 NMDC</v>
      </c>
      <c r="V439" s="132">
        <f t="shared" si="17"/>
        <v>46.07</v>
      </c>
      <c r="W439" s="389">
        <f t="shared" si="126"/>
        <v>7.6060756149909196E-3</v>
      </c>
      <c r="X439" s="442">
        <f t="shared" si="19"/>
        <v>0</v>
      </c>
      <c r="Y439" s="391">
        <f t="shared" si="20"/>
        <v>0</v>
      </c>
      <c r="Z439" s="392">
        <f t="shared" si="21"/>
        <v>1</v>
      </c>
      <c r="AA439" s="389">
        <f t="shared" si="114"/>
        <v>14.890362165991453</v>
      </c>
      <c r="AB439" s="125" t="s">
        <v>485</v>
      </c>
      <c r="AC439" s="98"/>
      <c r="AD439" s="98"/>
    </row>
    <row r="440" spans="1:30" ht="12.75" customHeight="1">
      <c r="A440" s="125" t="s">
        <v>566</v>
      </c>
      <c r="B440" s="125" t="s">
        <v>566</v>
      </c>
      <c r="C440" s="382" t="s">
        <v>1153</v>
      </c>
      <c r="D440" s="383" t="s">
        <v>1358</v>
      </c>
      <c r="E440" s="384">
        <f t="shared" si="127"/>
        <v>0.12781954887218044</v>
      </c>
      <c r="F440" s="126" t="s">
        <v>1162</v>
      </c>
      <c r="G440" s="126" t="s">
        <v>1163</v>
      </c>
      <c r="H440" s="385">
        <f t="shared" si="120"/>
        <v>266.32</v>
      </c>
      <c r="I440" s="126">
        <v>50</v>
      </c>
      <c r="J440" s="385">
        <v>266</v>
      </c>
      <c r="K440" s="133">
        <v>13316</v>
      </c>
      <c r="L440" s="155">
        <v>44393</v>
      </c>
      <c r="M440" s="129">
        <f t="shared" si="14"/>
        <v>268.22000000000003</v>
      </c>
      <c r="N440" s="158">
        <v>268.5</v>
      </c>
      <c r="O440" s="386">
        <v>13411</v>
      </c>
      <c r="P440" s="125">
        <v>44412</v>
      </c>
      <c r="Q440" s="437">
        <v>44410</v>
      </c>
      <c r="R440" s="438">
        <v>15.93</v>
      </c>
      <c r="S440" s="439">
        <v>100</v>
      </c>
      <c r="T440" s="440">
        <f t="shared" ref="T440:T441" si="128">IF(O440="","",O440-K440)</f>
        <v>95</v>
      </c>
      <c r="U440" s="441" t="str">
        <f t="shared" si="16"/>
        <v>50 NOCIL</v>
      </c>
      <c r="V440" s="132">
        <f t="shared" si="17"/>
        <v>179.07</v>
      </c>
      <c r="W440" s="389">
        <f t="shared" ref="W440:W441" si="129">IF(M440=0,"",V440/K440)</f>
        <v>1.3447732051667168E-2</v>
      </c>
      <c r="X440" s="442">
        <f t="shared" si="19"/>
        <v>0</v>
      </c>
      <c r="Y440" s="391">
        <f t="shared" si="20"/>
        <v>0</v>
      </c>
      <c r="Z440" s="392">
        <f t="shared" si="21"/>
        <v>19</v>
      </c>
      <c r="AA440" s="389">
        <f t="shared" si="114"/>
        <v>0.29254920672918328</v>
      </c>
      <c r="AB440" s="125" t="s">
        <v>485</v>
      </c>
      <c r="AC440" s="98"/>
      <c r="AD440" s="98"/>
    </row>
    <row r="441" spans="1:30" ht="12.75" customHeight="1">
      <c r="A441" s="125" t="s">
        <v>566</v>
      </c>
      <c r="B441" s="125" t="s">
        <v>566</v>
      </c>
      <c r="C441" s="382" t="s">
        <v>1153</v>
      </c>
      <c r="D441" s="383" t="s">
        <v>1182</v>
      </c>
      <c r="E441" s="384">
        <f t="shared" si="127"/>
        <v>0.11945392491467577</v>
      </c>
      <c r="F441" s="126" t="s">
        <v>1183</v>
      </c>
      <c r="G441" s="126" t="s">
        <v>1171</v>
      </c>
      <c r="H441" s="385">
        <f t="shared" si="120"/>
        <v>293.33999999999997</v>
      </c>
      <c r="I441" s="126">
        <v>50</v>
      </c>
      <c r="J441" s="385">
        <v>293</v>
      </c>
      <c r="K441" s="133">
        <v>14667</v>
      </c>
      <c r="L441" s="155">
        <v>44459</v>
      </c>
      <c r="M441" s="129">
        <f t="shared" si="14"/>
        <v>302.68</v>
      </c>
      <c r="N441" s="158">
        <v>303</v>
      </c>
      <c r="O441" s="386">
        <v>15134</v>
      </c>
      <c r="P441" s="125">
        <v>44476</v>
      </c>
      <c r="Q441" s="437">
        <v>44474</v>
      </c>
      <c r="R441" s="438">
        <v>15.93</v>
      </c>
      <c r="S441" s="439">
        <v>100</v>
      </c>
      <c r="T441" s="440">
        <f t="shared" si="128"/>
        <v>467</v>
      </c>
      <c r="U441" s="441" t="str">
        <f t="shared" si="16"/>
        <v>50 NOCIL</v>
      </c>
      <c r="V441" s="132">
        <f t="shared" si="17"/>
        <v>551.07000000000005</v>
      </c>
      <c r="W441" s="389">
        <f t="shared" si="129"/>
        <v>3.7572100634076504E-2</v>
      </c>
      <c r="X441" s="442">
        <f t="shared" si="19"/>
        <v>0</v>
      </c>
      <c r="Y441" s="391">
        <f t="shared" si="20"/>
        <v>0</v>
      </c>
      <c r="Z441" s="392">
        <f t="shared" si="21"/>
        <v>17</v>
      </c>
      <c r="AA441" s="389">
        <f t="shared" si="114"/>
        <v>1.2076082640767187</v>
      </c>
      <c r="AB441" s="125" t="s">
        <v>485</v>
      </c>
      <c r="AC441" s="98"/>
      <c r="AD441" s="98"/>
    </row>
    <row r="442" spans="1:30" ht="12.75" customHeight="1">
      <c r="A442" s="125" t="s">
        <v>640</v>
      </c>
      <c r="B442" s="125"/>
      <c r="C442" s="382"/>
      <c r="D442" s="383"/>
      <c r="E442" s="384" t="str">
        <f t="shared" si="127"/>
        <v/>
      </c>
      <c r="F442" s="126"/>
      <c r="G442" s="126"/>
      <c r="H442" s="385">
        <f t="shared" si="120"/>
        <v>170.2</v>
      </c>
      <c r="I442" s="126">
        <v>20</v>
      </c>
      <c r="J442" s="385">
        <v>170</v>
      </c>
      <c r="K442" s="133">
        <v>3404</v>
      </c>
      <c r="L442" s="155">
        <v>44818</v>
      </c>
      <c r="M442" s="129">
        <f t="shared" si="14"/>
        <v>173.3</v>
      </c>
      <c r="N442" s="158">
        <v>173.5</v>
      </c>
      <c r="O442" s="386">
        <v>3466</v>
      </c>
      <c r="P442" s="125">
        <v>44882</v>
      </c>
      <c r="Q442" s="437">
        <v>44880</v>
      </c>
      <c r="R442" s="438">
        <v>15.93</v>
      </c>
      <c r="S442" s="439"/>
      <c r="T442" s="440">
        <f>IF(OR(O442="",K442=""),"",O442-K442)</f>
        <v>62</v>
      </c>
      <c r="U442" s="441" t="str">
        <f t="shared" si="16"/>
        <v>20 NTPC</v>
      </c>
      <c r="V442" s="132">
        <f t="shared" si="17"/>
        <v>46.07</v>
      </c>
      <c r="W442" s="389">
        <f>IF(OR(K442="",V442=""),"",V442/K442)</f>
        <v>1.3534077555816686E-2</v>
      </c>
      <c r="X442" s="442">
        <f t="shared" si="19"/>
        <v>0</v>
      </c>
      <c r="Y442" s="391">
        <f t="shared" si="20"/>
        <v>2</v>
      </c>
      <c r="Z442" s="392">
        <f t="shared" si="21"/>
        <v>3</v>
      </c>
      <c r="AA442" s="389">
        <f t="shared" si="114"/>
        <v>7.9684509079297916E-2</v>
      </c>
      <c r="AB442" s="125" t="s">
        <v>485</v>
      </c>
      <c r="AC442" s="98"/>
      <c r="AD442" s="98"/>
    </row>
    <row r="443" spans="1:30" ht="12.75" customHeight="1">
      <c r="A443" s="125" t="s">
        <v>297</v>
      </c>
      <c r="B443" s="125"/>
      <c r="C443" s="382"/>
      <c r="D443" s="383"/>
      <c r="E443" s="384" t="str">
        <f t="shared" si="127"/>
        <v/>
      </c>
      <c r="F443" s="126"/>
      <c r="G443" s="126"/>
      <c r="H443" s="385">
        <f t="shared" si="120"/>
        <v>159.97</v>
      </c>
      <c r="I443" s="126">
        <v>100</v>
      </c>
      <c r="J443" s="385">
        <v>159.80000000000001</v>
      </c>
      <c r="K443" s="133">
        <v>15997</v>
      </c>
      <c r="L443" s="155">
        <v>44651</v>
      </c>
      <c r="M443" s="129">
        <f t="shared" si="14"/>
        <v>167.33</v>
      </c>
      <c r="N443" s="158">
        <v>167.5</v>
      </c>
      <c r="O443" s="386">
        <v>16733</v>
      </c>
      <c r="P443" s="125">
        <v>44657</v>
      </c>
      <c r="Q443" s="437">
        <v>44655</v>
      </c>
      <c r="R443" s="438"/>
      <c r="S443" s="439"/>
      <c r="T443" s="440">
        <f>IF(O443="","",O443-K443)</f>
        <v>736</v>
      </c>
      <c r="U443" s="441" t="str">
        <f t="shared" si="16"/>
        <v>100 ONGC</v>
      </c>
      <c r="V443" s="132">
        <f t="shared" si="17"/>
        <v>736</v>
      </c>
      <c r="W443" s="389">
        <f>IF(M443=0,"",V443/K443)</f>
        <v>4.6008626617490778E-2</v>
      </c>
      <c r="X443" s="442">
        <f t="shared" si="19"/>
        <v>0</v>
      </c>
      <c r="Y443" s="391">
        <f t="shared" si="20"/>
        <v>0</v>
      </c>
      <c r="Z443" s="392">
        <f t="shared" si="21"/>
        <v>6</v>
      </c>
      <c r="AA443" s="389">
        <f t="shared" si="114"/>
        <v>14.431045914500967</v>
      </c>
      <c r="AB443" s="125" t="s">
        <v>485</v>
      </c>
      <c r="AC443" s="98"/>
      <c r="AD443" s="98"/>
    </row>
    <row r="444" spans="1:30" ht="12.75" customHeight="1">
      <c r="A444" s="125" t="s">
        <v>617</v>
      </c>
      <c r="B444" s="125"/>
      <c r="C444" s="382"/>
      <c r="D444" s="383">
        <v>18</v>
      </c>
      <c r="E444" s="384">
        <f t="shared" si="127"/>
        <v>0.36882129277566539</v>
      </c>
      <c r="F444" s="126" t="s">
        <v>1162</v>
      </c>
      <c r="G444" s="126" t="s">
        <v>1357</v>
      </c>
      <c r="H444" s="385">
        <f t="shared" si="120"/>
        <v>13.166</v>
      </c>
      <c r="I444" s="126">
        <v>1000</v>
      </c>
      <c r="J444" s="385">
        <v>13.15</v>
      </c>
      <c r="K444" s="133">
        <v>13166</v>
      </c>
      <c r="L444" s="155">
        <v>44672</v>
      </c>
      <c r="M444" s="129">
        <f t="shared" si="14"/>
        <v>13.786</v>
      </c>
      <c r="N444" s="158">
        <v>13.8</v>
      </c>
      <c r="O444" s="386">
        <v>13786</v>
      </c>
      <c r="P444" s="125">
        <v>44790</v>
      </c>
      <c r="Q444" s="437">
        <v>44785</v>
      </c>
      <c r="R444" s="438">
        <v>15.93</v>
      </c>
      <c r="S444" s="439"/>
      <c r="T444" s="440">
        <f t="shared" ref="T444:T445" si="130">IF(OR(O444="",K444=""),"",O444-K444)</f>
        <v>620</v>
      </c>
      <c r="U444" s="441" t="str">
        <f t="shared" si="16"/>
        <v>1000 PARACABLES</v>
      </c>
      <c r="V444" s="132">
        <f t="shared" si="17"/>
        <v>604.07000000000005</v>
      </c>
      <c r="W444" s="389">
        <f t="shared" ref="W444:W445" si="131">IF(OR(K444="",V444=""),"",V444/K444)</f>
        <v>4.5881057268722471E-2</v>
      </c>
      <c r="X444" s="442">
        <f t="shared" si="19"/>
        <v>0</v>
      </c>
      <c r="Y444" s="391">
        <f t="shared" si="20"/>
        <v>3</v>
      </c>
      <c r="Z444" s="392">
        <f t="shared" si="21"/>
        <v>27</v>
      </c>
      <c r="AA444" s="389">
        <f t="shared" si="114"/>
        <v>0.14884923149693563</v>
      </c>
      <c r="AB444" s="125" t="s">
        <v>485</v>
      </c>
      <c r="AC444" s="98"/>
      <c r="AD444" s="98"/>
    </row>
    <row r="445" spans="1:30" ht="12.75" customHeight="1">
      <c r="A445" s="125" t="s">
        <v>647</v>
      </c>
      <c r="B445" s="125"/>
      <c r="C445" s="382"/>
      <c r="D445" s="383"/>
      <c r="E445" s="384" t="str">
        <f t="shared" si="127"/>
        <v/>
      </c>
      <c r="F445" s="126"/>
      <c r="G445" s="126"/>
      <c r="H445" s="385">
        <f t="shared" si="120"/>
        <v>1143.2</v>
      </c>
      <c r="I445" s="126">
        <v>5</v>
      </c>
      <c r="J445" s="385">
        <v>1142</v>
      </c>
      <c r="K445" s="133">
        <v>5716</v>
      </c>
      <c r="L445" s="155">
        <v>44943</v>
      </c>
      <c r="M445" s="129">
        <f t="shared" si="14"/>
        <v>1200.8</v>
      </c>
      <c r="N445" s="158">
        <v>1202</v>
      </c>
      <c r="O445" s="386">
        <v>6004</v>
      </c>
      <c r="P445" s="125">
        <v>44950</v>
      </c>
      <c r="Q445" s="437">
        <v>44946</v>
      </c>
      <c r="R445" s="438">
        <v>15.93</v>
      </c>
      <c r="S445" s="439"/>
      <c r="T445" s="440">
        <f t="shared" si="130"/>
        <v>288</v>
      </c>
      <c r="U445" s="441" t="str">
        <f t="shared" si="16"/>
        <v>5 PATANJALI</v>
      </c>
      <c r="V445" s="132">
        <f t="shared" si="17"/>
        <v>272.07</v>
      </c>
      <c r="W445" s="389">
        <f t="shared" si="131"/>
        <v>4.7597970608817354E-2</v>
      </c>
      <c r="X445" s="442">
        <f t="shared" si="19"/>
        <v>0</v>
      </c>
      <c r="Y445" s="391">
        <f t="shared" si="20"/>
        <v>0</v>
      </c>
      <c r="Z445" s="392">
        <f t="shared" si="21"/>
        <v>7</v>
      </c>
      <c r="AA445" s="389">
        <f t="shared" si="114"/>
        <v>10.298132636988811</v>
      </c>
      <c r="AB445" s="125" t="s">
        <v>485</v>
      </c>
      <c r="AC445" s="98"/>
      <c r="AD445" s="98"/>
    </row>
    <row r="446" spans="1:30" ht="12.75" customHeight="1">
      <c r="A446" s="125" t="s">
        <v>466</v>
      </c>
      <c r="B446" s="125" t="s">
        <v>1359</v>
      </c>
      <c r="C446" s="382" t="s">
        <v>1201</v>
      </c>
      <c r="D446" s="383"/>
      <c r="E446" s="384"/>
      <c r="F446" s="126"/>
      <c r="G446" s="126"/>
      <c r="H446" s="385">
        <v>106.9376</v>
      </c>
      <c r="I446" s="126">
        <v>100</v>
      </c>
      <c r="J446" s="385">
        <v>106.35</v>
      </c>
      <c r="K446" s="133">
        <v>10693.76</v>
      </c>
      <c r="L446" s="155">
        <v>40995</v>
      </c>
      <c r="M446" s="129">
        <f t="shared" si="14"/>
        <v>116.3061</v>
      </c>
      <c r="N446" s="158">
        <v>117</v>
      </c>
      <c r="O446" s="386">
        <v>11630.61</v>
      </c>
      <c r="P446" s="125">
        <v>41016</v>
      </c>
      <c r="Q446" s="437">
        <v>41012</v>
      </c>
      <c r="R446" s="438">
        <v>5</v>
      </c>
      <c r="S446" s="439"/>
      <c r="T446" s="440">
        <f t="shared" ref="T446:T450" si="132">IF(O446="","",O446-K446)</f>
        <v>936.85000000000036</v>
      </c>
      <c r="U446" s="441" t="str">
        <f t="shared" si="16"/>
        <v>100 PATELENG</v>
      </c>
      <c r="V446" s="132">
        <f t="shared" si="17"/>
        <v>931.85000000000036</v>
      </c>
      <c r="W446" s="389">
        <f t="shared" ref="W446:W450" si="133">IF(M446=0,"",V446/K446)</f>
        <v>8.7139602908612154E-2</v>
      </c>
      <c r="X446" s="442">
        <f t="shared" si="19"/>
        <v>0</v>
      </c>
      <c r="Y446" s="391">
        <f t="shared" si="20"/>
        <v>0</v>
      </c>
      <c r="Z446" s="392">
        <f t="shared" si="21"/>
        <v>21</v>
      </c>
      <c r="AA446" s="389">
        <f t="shared" si="114"/>
        <v>3.2724143242778458</v>
      </c>
      <c r="AB446" s="125" t="s">
        <v>460</v>
      </c>
      <c r="AC446" s="98"/>
      <c r="AD446" s="98"/>
    </row>
    <row r="447" spans="1:30" ht="12.75" customHeight="1">
      <c r="A447" s="125" t="s">
        <v>514</v>
      </c>
      <c r="B447" s="125" t="s">
        <v>1360</v>
      </c>
      <c r="C447" s="382" t="s">
        <v>1201</v>
      </c>
      <c r="D447" s="383">
        <v>124</v>
      </c>
      <c r="E447" s="384">
        <f t="shared" ref="E447:E453" si="134">IFERROR(IF(D447="","",(D447-J447)/J447),"")</f>
        <v>6.0735671514114575E-2</v>
      </c>
      <c r="F447" s="126" t="s">
        <v>1154</v>
      </c>
      <c r="G447" s="126" t="s">
        <v>1298</v>
      </c>
      <c r="H447" s="385">
        <f t="shared" ref="H447:H453" si="135">ROUND(K447/I447,4)</f>
        <v>117.04</v>
      </c>
      <c r="I447" s="126">
        <v>50</v>
      </c>
      <c r="J447" s="385">
        <v>116.9</v>
      </c>
      <c r="K447" s="133">
        <v>5852</v>
      </c>
      <c r="L447" s="155">
        <v>44327</v>
      </c>
      <c r="M447" s="129">
        <f t="shared" si="14"/>
        <v>118.38</v>
      </c>
      <c r="N447" s="158">
        <v>118.5</v>
      </c>
      <c r="O447" s="386">
        <v>5919</v>
      </c>
      <c r="P447" s="125">
        <v>44341</v>
      </c>
      <c r="Q447" s="437">
        <v>44337</v>
      </c>
      <c r="R447" s="438">
        <v>15.93</v>
      </c>
      <c r="S447" s="439"/>
      <c r="T447" s="440">
        <f t="shared" si="132"/>
        <v>67</v>
      </c>
      <c r="U447" s="441" t="str">
        <f t="shared" si="16"/>
        <v>50 PFC</v>
      </c>
      <c r="V447" s="132">
        <f t="shared" si="17"/>
        <v>51.07</v>
      </c>
      <c r="W447" s="389">
        <f t="shared" si="133"/>
        <v>8.7269309637730691E-3</v>
      </c>
      <c r="X447" s="442">
        <f t="shared" si="19"/>
        <v>0</v>
      </c>
      <c r="Y447" s="391">
        <f t="shared" si="20"/>
        <v>0</v>
      </c>
      <c r="Z447" s="392">
        <f t="shared" si="21"/>
        <v>14</v>
      </c>
      <c r="AA447" s="389">
        <f t="shared" si="114"/>
        <v>0.25424839477353434</v>
      </c>
      <c r="AB447" s="125" t="s">
        <v>485</v>
      </c>
      <c r="AC447" s="98"/>
      <c r="AD447" s="98"/>
    </row>
    <row r="448" spans="1:30" ht="12.75" customHeight="1">
      <c r="A448" s="125" t="s">
        <v>533</v>
      </c>
      <c r="B448" s="125" t="s">
        <v>1361</v>
      </c>
      <c r="C448" s="382" t="s">
        <v>1294</v>
      </c>
      <c r="D448" s="383" t="s">
        <v>1362</v>
      </c>
      <c r="E448" s="384">
        <f t="shared" si="134"/>
        <v>4.5454545454545456E-2</v>
      </c>
      <c r="F448" s="126" t="s">
        <v>1154</v>
      </c>
      <c r="G448" s="126" t="s">
        <v>1261</v>
      </c>
      <c r="H448" s="385">
        <f t="shared" si="135"/>
        <v>44.05</v>
      </c>
      <c r="I448" s="126">
        <v>200</v>
      </c>
      <c r="J448" s="385">
        <v>44</v>
      </c>
      <c r="K448" s="133">
        <v>8810</v>
      </c>
      <c r="L448" s="155">
        <v>44349</v>
      </c>
      <c r="M448" s="129">
        <f t="shared" si="14"/>
        <v>44.704999999999998</v>
      </c>
      <c r="N448" s="158">
        <v>44.75</v>
      </c>
      <c r="O448" s="386">
        <v>8941</v>
      </c>
      <c r="P448" s="125">
        <v>44489</v>
      </c>
      <c r="Q448" s="437">
        <v>44487</v>
      </c>
      <c r="R448" s="438">
        <v>15.93</v>
      </c>
      <c r="S448" s="439"/>
      <c r="T448" s="440">
        <f t="shared" si="132"/>
        <v>131</v>
      </c>
      <c r="U448" s="441" t="str">
        <f t="shared" si="16"/>
        <v>200 PNB</v>
      </c>
      <c r="V448" s="132">
        <f t="shared" si="17"/>
        <v>115.07</v>
      </c>
      <c r="W448" s="389">
        <f t="shared" si="133"/>
        <v>1.3061293984108966E-2</v>
      </c>
      <c r="X448" s="442">
        <f t="shared" si="19"/>
        <v>0</v>
      </c>
      <c r="Y448" s="391">
        <f t="shared" si="20"/>
        <v>4</v>
      </c>
      <c r="Z448" s="392">
        <f t="shared" si="21"/>
        <v>18</v>
      </c>
      <c r="AA448" s="389">
        <f t="shared" si="114"/>
        <v>3.4411008765716122E-2</v>
      </c>
      <c r="AB448" s="125" t="s">
        <v>485</v>
      </c>
      <c r="AC448" s="98"/>
      <c r="AD448" s="98"/>
    </row>
    <row r="449" spans="1:30" ht="12.75" customHeight="1">
      <c r="A449" s="125" t="s">
        <v>564</v>
      </c>
      <c r="B449" s="125" t="s">
        <v>1363</v>
      </c>
      <c r="C449" s="382" t="s">
        <v>1226</v>
      </c>
      <c r="D449" s="383" t="s">
        <v>1364</v>
      </c>
      <c r="E449" s="384">
        <f t="shared" si="134"/>
        <v>8.0645161290322578E-2</v>
      </c>
      <c r="F449" s="126" t="s">
        <v>1154</v>
      </c>
      <c r="G449" s="126" t="s">
        <v>1223</v>
      </c>
      <c r="H449" s="385">
        <f t="shared" si="135"/>
        <v>310.36</v>
      </c>
      <c r="I449" s="126">
        <v>25</v>
      </c>
      <c r="J449" s="385">
        <v>310</v>
      </c>
      <c r="K449" s="133">
        <v>7759</v>
      </c>
      <c r="L449" s="155">
        <v>44389</v>
      </c>
      <c r="M449" s="129">
        <f t="shared" si="14"/>
        <v>322.72000000000003</v>
      </c>
      <c r="N449" s="158">
        <v>323.05</v>
      </c>
      <c r="O449" s="386">
        <v>8068</v>
      </c>
      <c r="P449" s="125">
        <v>44442</v>
      </c>
      <c r="Q449" s="437">
        <v>44440</v>
      </c>
      <c r="R449" s="438">
        <v>15.93</v>
      </c>
      <c r="S449" s="439"/>
      <c r="T449" s="440">
        <f t="shared" si="132"/>
        <v>309</v>
      </c>
      <c r="U449" s="441" t="str">
        <f t="shared" si="16"/>
        <v>25 PNCINFRA</v>
      </c>
      <c r="V449" s="132">
        <f t="shared" si="17"/>
        <v>293.07</v>
      </c>
      <c r="W449" s="389">
        <f t="shared" si="133"/>
        <v>3.7771620054130685E-2</v>
      </c>
      <c r="X449" s="442">
        <f t="shared" si="19"/>
        <v>0</v>
      </c>
      <c r="Y449" s="391">
        <f t="shared" si="20"/>
        <v>1</v>
      </c>
      <c r="Z449" s="392">
        <f t="shared" si="21"/>
        <v>22</v>
      </c>
      <c r="AA449" s="389">
        <f t="shared" si="114"/>
        <v>0.29089133289657143</v>
      </c>
      <c r="AB449" s="125" t="s">
        <v>485</v>
      </c>
      <c r="AC449" s="98"/>
      <c r="AD449" s="98"/>
    </row>
    <row r="450" spans="1:30" ht="12.75" customHeight="1">
      <c r="A450" s="125" t="s">
        <v>610</v>
      </c>
      <c r="B450" s="125" t="s">
        <v>1365</v>
      </c>
      <c r="C450" s="382" t="s">
        <v>1366</v>
      </c>
      <c r="D450" s="383">
        <v>3000</v>
      </c>
      <c r="E450" s="384">
        <f t="shared" si="134"/>
        <v>0.31868131868131866</v>
      </c>
      <c r="F450" s="126" t="s">
        <v>1205</v>
      </c>
      <c r="G450" s="126" t="s">
        <v>1163</v>
      </c>
      <c r="H450" s="385">
        <f t="shared" si="135"/>
        <v>2277.6</v>
      </c>
      <c r="I450" s="126">
        <v>5</v>
      </c>
      <c r="J450" s="385">
        <v>2275</v>
      </c>
      <c r="K450" s="133">
        <v>11388</v>
      </c>
      <c r="L450" s="155">
        <v>44648</v>
      </c>
      <c r="M450" s="129">
        <f t="shared" si="14"/>
        <v>2382.6</v>
      </c>
      <c r="N450" s="158">
        <v>2385</v>
      </c>
      <c r="O450" s="386">
        <v>11913</v>
      </c>
      <c r="P450" s="125">
        <v>44652</v>
      </c>
      <c r="Q450" s="437">
        <v>44650</v>
      </c>
      <c r="R450" s="438">
        <v>15.93</v>
      </c>
      <c r="S450" s="439"/>
      <c r="T450" s="440">
        <f t="shared" si="132"/>
        <v>525</v>
      </c>
      <c r="U450" s="441" t="str">
        <f t="shared" si="16"/>
        <v>5 POLYPLEX</v>
      </c>
      <c r="V450" s="132">
        <f t="shared" si="17"/>
        <v>509.07</v>
      </c>
      <c r="W450" s="389">
        <f t="shared" si="133"/>
        <v>4.4702318229715488E-2</v>
      </c>
      <c r="X450" s="442">
        <f t="shared" si="19"/>
        <v>0</v>
      </c>
      <c r="Y450" s="391">
        <f t="shared" si="20"/>
        <v>0</v>
      </c>
      <c r="Z450" s="392">
        <f t="shared" si="21"/>
        <v>4</v>
      </c>
      <c r="AA450" s="389">
        <f t="shared" si="114"/>
        <v>53.084267968217816</v>
      </c>
      <c r="AB450" s="125" t="s">
        <v>485</v>
      </c>
      <c r="AC450" s="98"/>
      <c r="AD450" s="98"/>
    </row>
    <row r="451" spans="1:30" ht="12.75" customHeight="1">
      <c r="A451" s="125" t="s">
        <v>610</v>
      </c>
      <c r="B451" s="125"/>
      <c r="C451" s="382"/>
      <c r="D451" s="383"/>
      <c r="E451" s="384" t="str">
        <f t="shared" si="134"/>
        <v/>
      </c>
      <c r="F451" s="126"/>
      <c r="G451" s="126"/>
      <c r="H451" s="385">
        <f t="shared" si="135"/>
        <v>1553.8</v>
      </c>
      <c r="I451" s="126">
        <v>10</v>
      </c>
      <c r="J451" s="385">
        <v>1552</v>
      </c>
      <c r="K451" s="133">
        <v>15538</v>
      </c>
      <c r="L451" s="155">
        <v>44949</v>
      </c>
      <c r="M451" s="129">
        <f t="shared" si="14"/>
        <v>1577.4</v>
      </c>
      <c r="N451" s="158">
        <v>1579</v>
      </c>
      <c r="O451" s="386">
        <v>15774</v>
      </c>
      <c r="P451" s="125">
        <v>44950</v>
      </c>
      <c r="Q451" s="437">
        <v>44944</v>
      </c>
      <c r="R451" s="438">
        <v>15.93</v>
      </c>
      <c r="S451" s="439"/>
      <c r="T451" s="440">
        <f>IF(OR(O451="",K451=""),"",O451-K451)</f>
        <v>236</v>
      </c>
      <c r="U451" s="441" t="str">
        <f t="shared" si="16"/>
        <v>10 POLYPLEX</v>
      </c>
      <c r="V451" s="132">
        <f t="shared" si="17"/>
        <v>220.07</v>
      </c>
      <c r="W451" s="389">
        <f>IF(OR(K451="",V451=""),"",V451/K451)</f>
        <v>1.4163341485390654E-2</v>
      </c>
      <c r="X451" s="442">
        <f t="shared" si="19"/>
        <v>0</v>
      </c>
      <c r="Y451" s="391">
        <f t="shared" si="20"/>
        <v>0</v>
      </c>
      <c r="Z451" s="392">
        <f t="shared" si="21"/>
        <v>1</v>
      </c>
      <c r="AA451" s="389">
        <f t="shared" si="114"/>
        <v>168.58463823754158</v>
      </c>
      <c r="AB451" s="125" t="s">
        <v>485</v>
      </c>
      <c r="AC451" s="98"/>
      <c r="AD451" s="98"/>
    </row>
    <row r="452" spans="1:30" ht="12.75" customHeight="1">
      <c r="A452" s="125" t="s">
        <v>515</v>
      </c>
      <c r="B452" s="125" t="s">
        <v>1367</v>
      </c>
      <c r="C452" s="382" t="s">
        <v>1201</v>
      </c>
      <c r="D452" s="383" t="s">
        <v>1368</v>
      </c>
      <c r="E452" s="384" t="str">
        <f t="shared" si="134"/>
        <v/>
      </c>
      <c r="F452" s="126" t="s">
        <v>1162</v>
      </c>
      <c r="G452" s="126" t="s">
        <v>1163</v>
      </c>
      <c r="H452" s="385">
        <f t="shared" si="135"/>
        <v>515.6</v>
      </c>
      <c r="I452" s="126">
        <v>20</v>
      </c>
      <c r="J452" s="385">
        <v>515</v>
      </c>
      <c r="K452" s="133">
        <v>10312</v>
      </c>
      <c r="L452" s="155">
        <v>44327</v>
      </c>
      <c r="M452" s="129">
        <f t="shared" si="14"/>
        <v>559.4</v>
      </c>
      <c r="N452" s="158">
        <v>560</v>
      </c>
      <c r="O452" s="386">
        <v>11188</v>
      </c>
      <c r="P452" s="125">
        <v>44336</v>
      </c>
      <c r="Q452" s="437">
        <v>44334</v>
      </c>
      <c r="R452" s="438">
        <v>15.93</v>
      </c>
      <c r="S452" s="439"/>
      <c r="T452" s="440">
        <f>IF(O452="","",O452-K452)</f>
        <v>876</v>
      </c>
      <c r="U452" s="441" t="str">
        <f t="shared" si="16"/>
        <v>20 RAMCOSYS</v>
      </c>
      <c r="V452" s="132">
        <f t="shared" si="17"/>
        <v>860.07</v>
      </c>
      <c r="W452" s="389">
        <f>IF(M452=0,"",V452/K452)</f>
        <v>8.3404771140418929E-2</v>
      </c>
      <c r="X452" s="442">
        <f t="shared" si="19"/>
        <v>0</v>
      </c>
      <c r="Y452" s="391">
        <f t="shared" si="20"/>
        <v>0</v>
      </c>
      <c r="Z452" s="392">
        <f t="shared" si="21"/>
        <v>9</v>
      </c>
      <c r="AA452" s="389">
        <f t="shared" si="114"/>
        <v>24.760716830444082</v>
      </c>
      <c r="AB452" s="125" t="s">
        <v>485</v>
      </c>
      <c r="AC452" s="98"/>
      <c r="AD452" s="98"/>
    </row>
    <row r="453" spans="1:30" ht="12.75" customHeight="1">
      <c r="A453" s="125" t="s">
        <v>616</v>
      </c>
      <c r="B453" s="125"/>
      <c r="C453" s="382"/>
      <c r="D453" s="383"/>
      <c r="E453" s="384" t="str">
        <f t="shared" si="134"/>
        <v/>
      </c>
      <c r="F453" s="126"/>
      <c r="G453" s="126"/>
      <c r="H453" s="385">
        <f t="shared" si="135"/>
        <v>101.12</v>
      </c>
      <c r="I453" s="126">
        <v>100</v>
      </c>
      <c r="J453" s="385">
        <v>101</v>
      </c>
      <c r="K453" s="133">
        <v>10112</v>
      </c>
      <c r="L453" s="155">
        <v>44663</v>
      </c>
      <c r="M453" s="129">
        <f t="shared" si="14"/>
        <v>105.89</v>
      </c>
      <c r="N453" s="158">
        <v>106</v>
      </c>
      <c r="O453" s="386">
        <v>10589</v>
      </c>
      <c r="P453" s="125">
        <v>44825</v>
      </c>
      <c r="Q453" s="437">
        <v>44823</v>
      </c>
      <c r="R453" s="438">
        <v>15.93</v>
      </c>
      <c r="S453" s="439"/>
      <c r="T453" s="440">
        <f>IF(OR(O453="",K453=""),"",O453-K453)</f>
        <v>477</v>
      </c>
      <c r="U453" s="441" t="str">
        <f t="shared" si="16"/>
        <v>100 RCF</v>
      </c>
      <c r="V453" s="132">
        <f t="shared" si="17"/>
        <v>461.07</v>
      </c>
      <c r="W453" s="389">
        <f>IF(OR(K453="",V453=""),"",V453/K453)</f>
        <v>4.5596321202531646E-2</v>
      </c>
      <c r="X453" s="442">
        <f t="shared" si="19"/>
        <v>0</v>
      </c>
      <c r="Y453" s="391">
        <f t="shared" si="20"/>
        <v>5</v>
      </c>
      <c r="Z453" s="392">
        <f t="shared" si="21"/>
        <v>9</v>
      </c>
      <c r="AA453" s="389">
        <f t="shared" si="114"/>
        <v>0.10567851415899199</v>
      </c>
      <c r="AB453" s="125" t="s">
        <v>485</v>
      </c>
      <c r="AC453" s="98"/>
      <c r="AD453" s="98"/>
    </row>
    <row r="454" spans="1:30" ht="12.75" customHeight="1">
      <c r="A454" s="125" t="s">
        <v>1369</v>
      </c>
      <c r="B454" s="125" t="s">
        <v>1370</v>
      </c>
      <c r="C454" s="382" t="s">
        <v>1201</v>
      </c>
      <c r="D454" s="383"/>
      <c r="E454" s="384"/>
      <c r="F454" s="126" t="s">
        <v>1159</v>
      </c>
      <c r="G454" s="126"/>
      <c r="H454" s="385">
        <v>105</v>
      </c>
      <c r="I454" s="126">
        <v>50</v>
      </c>
      <c r="J454" s="385">
        <v>105</v>
      </c>
      <c r="K454" s="133">
        <v>5250</v>
      </c>
      <c r="L454" s="155">
        <v>39512</v>
      </c>
      <c r="M454" s="129">
        <f t="shared" si="14"/>
        <v>225.68539999999999</v>
      </c>
      <c r="N454" s="158">
        <v>227</v>
      </c>
      <c r="O454" s="386">
        <v>11284.27</v>
      </c>
      <c r="P454" s="125">
        <v>40983</v>
      </c>
      <c r="Q454" s="437">
        <v>40981</v>
      </c>
      <c r="R454" s="438">
        <v>7</v>
      </c>
      <c r="S454" s="439">
        <f>150+100+125+150+175+200+250</f>
        <v>1150</v>
      </c>
      <c r="T454" s="440">
        <f t="shared" ref="T454:T479" si="136">IF(O454="","",O454-K454)</f>
        <v>6034.27</v>
      </c>
      <c r="U454" s="441" t="str">
        <f t="shared" si="16"/>
        <v>50 RECLTD</v>
      </c>
      <c r="V454" s="132">
        <f t="shared" si="17"/>
        <v>7177.27</v>
      </c>
      <c r="W454" s="389">
        <f t="shared" ref="W454:W479" si="137">IF(M454=0,"",V454/K454)</f>
        <v>1.3670990476190477</v>
      </c>
      <c r="X454" s="442">
        <f t="shared" si="19"/>
        <v>4</v>
      </c>
      <c r="Y454" s="391">
        <f t="shared" si="20"/>
        <v>0</v>
      </c>
      <c r="Z454" s="392">
        <f t="shared" si="21"/>
        <v>10</v>
      </c>
      <c r="AA454" s="389">
        <f t="shared" si="114"/>
        <v>0.23838168051970565</v>
      </c>
      <c r="AB454" s="125" t="s">
        <v>460</v>
      </c>
      <c r="AC454" s="98"/>
      <c r="AD454" s="98"/>
    </row>
    <row r="455" spans="1:30" ht="12.75" customHeight="1">
      <c r="A455" s="125" t="s">
        <v>1369</v>
      </c>
      <c r="B455" s="125" t="s">
        <v>1370</v>
      </c>
      <c r="C455" s="382" t="s">
        <v>1201</v>
      </c>
      <c r="D455" s="383"/>
      <c r="E455" s="384"/>
      <c r="F455" s="126" t="s">
        <v>1159</v>
      </c>
      <c r="G455" s="126"/>
      <c r="H455" s="385">
        <v>105</v>
      </c>
      <c r="I455" s="126">
        <v>47</v>
      </c>
      <c r="J455" s="385">
        <v>105</v>
      </c>
      <c r="K455" s="133">
        <v>4935</v>
      </c>
      <c r="L455" s="155">
        <v>39512</v>
      </c>
      <c r="M455" s="129">
        <f t="shared" si="14"/>
        <v>223.68129999999999</v>
      </c>
      <c r="N455" s="158">
        <v>225</v>
      </c>
      <c r="O455" s="386">
        <v>10513.02</v>
      </c>
      <c r="P455" s="125">
        <v>41009</v>
      </c>
      <c r="Q455" s="437">
        <v>41005</v>
      </c>
      <c r="R455" s="438">
        <v>6</v>
      </c>
      <c r="S455" s="439">
        <f>141+94+118+141+165+188+235</f>
        <v>1082</v>
      </c>
      <c r="T455" s="440">
        <f t="shared" si="136"/>
        <v>5578.02</v>
      </c>
      <c r="U455" s="441" t="str">
        <f t="shared" si="16"/>
        <v>47 RECLTD</v>
      </c>
      <c r="V455" s="132">
        <f t="shared" si="17"/>
        <v>6654.02</v>
      </c>
      <c r="W455" s="389">
        <f t="shared" si="137"/>
        <v>1.3483323201621076</v>
      </c>
      <c r="X455" s="442">
        <f t="shared" si="19"/>
        <v>4</v>
      </c>
      <c r="Y455" s="391">
        <f t="shared" si="20"/>
        <v>1</v>
      </c>
      <c r="Z455" s="392">
        <f t="shared" si="21"/>
        <v>5</v>
      </c>
      <c r="AA455" s="389">
        <f t="shared" si="114"/>
        <v>0.23139945312570687</v>
      </c>
      <c r="AB455" s="125" t="s">
        <v>460</v>
      </c>
      <c r="AC455" s="98"/>
      <c r="AD455" s="98"/>
    </row>
    <row r="456" spans="1:30" ht="12.75" customHeight="1">
      <c r="A456" s="125" t="s">
        <v>474</v>
      </c>
      <c r="B456" s="125" t="s">
        <v>1013</v>
      </c>
      <c r="C456" s="382" t="s">
        <v>1371</v>
      </c>
      <c r="D456" s="383"/>
      <c r="E456" s="384"/>
      <c r="F456" s="126" t="s">
        <v>1159</v>
      </c>
      <c r="G456" s="126"/>
      <c r="H456" s="385">
        <v>600</v>
      </c>
      <c r="I456" s="126">
        <v>4</v>
      </c>
      <c r="J456" s="385">
        <v>600</v>
      </c>
      <c r="K456" s="133">
        <v>2400</v>
      </c>
      <c r="L456" s="155">
        <v>39356</v>
      </c>
      <c r="M456" s="129">
        <f t="shared" si="14"/>
        <v>840.53750000000002</v>
      </c>
      <c r="N456" s="158">
        <v>845.2</v>
      </c>
      <c r="O456" s="386">
        <v>3362.15</v>
      </c>
      <c r="P456" s="125">
        <v>41187</v>
      </c>
      <c r="Q456" s="437">
        <v>41185</v>
      </c>
      <c r="R456" s="438">
        <v>6</v>
      </c>
      <c r="S456" s="439">
        <f>26+26+34</f>
        <v>86</v>
      </c>
      <c r="T456" s="440">
        <f t="shared" si="136"/>
        <v>962.15000000000009</v>
      </c>
      <c r="U456" s="441" t="str">
        <f t="shared" si="16"/>
        <v>4 RELIANCE</v>
      </c>
      <c r="V456" s="132">
        <f t="shared" si="17"/>
        <v>1042.1500000000001</v>
      </c>
      <c r="W456" s="389">
        <f t="shared" si="137"/>
        <v>0.43422916666666672</v>
      </c>
      <c r="X456" s="442">
        <f t="shared" si="19"/>
        <v>5</v>
      </c>
      <c r="Y456" s="391">
        <f t="shared" si="20"/>
        <v>0</v>
      </c>
      <c r="Z456" s="392">
        <f t="shared" si="21"/>
        <v>4</v>
      </c>
      <c r="AA456" s="389">
        <f t="shared" si="114"/>
        <v>7.4536235691745611E-2</v>
      </c>
      <c r="AB456" s="125" t="s">
        <v>460</v>
      </c>
      <c r="AC456" s="98"/>
      <c r="AD456" s="98"/>
    </row>
    <row r="457" spans="1:30" ht="12.75" customHeight="1">
      <c r="A457" s="125" t="s">
        <v>474</v>
      </c>
      <c r="B457" s="125" t="s">
        <v>1013</v>
      </c>
      <c r="C457" s="382" t="s">
        <v>1371</v>
      </c>
      <c r="D457" s="383">
        <v>2180</v>
      </c>
      <c r="E457" s="384">
        <f t="shared" ref="E457:E458" si="138">IFERROR(IF(D457="","",(D457-J457)/J457),"")</f>
        <v>0.09</v>
      </c>
      <c r="F457" s="126" t="s">
        <v>1154</v>
      </c>
      <c r="G457" s="126" t="s">
        <v>1155</v>
      </c>
      <c r="H457" s="385">
        <f t="shared" ref="H457:H461" si="139">ROUND(K457/I457,4)</f>
        <v>2002.4</v>
      </c>
      <c r="I457" s="126">
        <v>10</v>
      </c>
      <c r="J457" s="385">
        <v>2000</v>
      </c>
      <c r="K457" s="133">
        <v>20024</v>
      </c>
      <c r="L457" s="155">
        <v>44335</v>
      </c>
      <c r="M457" s="129">
        <f t="shared" si="14"/>
        <v>2047.9</v>
      </c>
      <c r="N457" s="158">
        <v>2050</v>
      </c>
      <c r="O457" s="386">
        <v>20479</v>
      </c>
      <c r="P457" s="125">
        <v>44348</v>
      </c>
      <c r="Q457" s="437">
        <v>44344</v>
      </c>
      <c r="R457" s="438">
        <v>15.93</v>
      </c>
      <c r="S457" s="439"/>
      <c r="T457" s="440">
        <f t="shared" si="136"/>
        <v>455</v>
      </c>
      <c r="U457" s="441" t="str">
        <f t="shared" si="16"/>
        <v>10 RELIANCE</v>
      </c>
      <c r="V457" s="132">
        <f t="shared" si="17"/>
        <v>439.07</v>
      </c>
      <c r="W457" s="389">
        <f t="shared" si="137"/>
        <v>2.1927187375149818E-2</v>
      </c>
      <c r="X457" s="442">
        <f t="shared" si="19"/>
        <v>0</v>
      </c>
      <c r="Y457" s="391">
        <f t="shared" si="20"/>
        <v>0</v>
      </c>
      <c r="Z457" s="392">
        <f t="shared" si="21"/>
        <v>13</v>
      </c>
      <c r="AA457" s="389">
        <f t="shared" si="114"/>
        <v>0.83858326926399962</v>
      </c>
      <c r="AB457" s="125" t="s">
        <v>485</v>
      </c>
      <c r="AC457" s="98"/>
      <c r="AD457" s="98"/>
    </row>
    <row r="458" spans="1:30" ht="12.75" customHeight="1">
      <c r="A458" s="125" t="s">
        <v>474</v>
      </c>
      <c r="B458" s="125" t="s">
        <v>1013</v>
      </c>
      <c r="C458" s="382" t="s">
        <v>1371</v>
      </c>
      <c r="D458" s="383"/>
      <c r="E458" s="384" t="str">
        <f t="shared" si="138"/>
        <v/>
      </c>
      <c r="F458" s="126" t="s">
        <v>1145</v>
      </c>
      <c r="G458" s="126"/>
      <c r="H458" s="385">
        <f t="shared" si="139"/>
        <v>2277.8000000000002</v>
      </c>
      <c r="I458" s="126">
        <v>5</v>
      </c>
      <c r="J458" s="385">
        <v>2275</v>
      </c>
      <c r="K458" s="133">
        <v>11389</v>
      </c>
      <c r="L458" s="155">
        <v>44441</v>
      </c>
      <c r="M458" s="129">
        <f t="shared" si="14"/>
        <v>2387</v>
      </c>
      <c r="N458" s="158">
        <v>2389.5</v>
      </c>
      <c r="O458" s="386">
        <v>11935</v>
      </c>
      <c r="P458" s="125">
        <v>44446</v>
      </c>
      <c r="Q458" s="437">
        <v>44442</v>
      </c>
      <c r="R458" s="438"/>
      <c r="S458" s="439"/>
      <c r="T458" s="440">
        <f t="shared" si="136"/>
        <v>546</v>
      </c>
      <c r="U458" s="441" t="str">
        <f t="shared" si="16"/>
        <v>5 RELIANCE</v>
      </c>
      <c r="V458" s="132">
        <f t="shared" si="17"/>
        <v>546</v>
      </c>
      <c r="W458" s="389">
        <f t="shared" si="137"/>
        <v>4.7940995697602948E-2</v>
      </c>
      <c r="X458" s="442">
        <f t="shared" si="19"/>
        <v>0</v>
      </c>
      <c r="Y458" s="391">
        <f t="shared" si="20"/>
        <v>0</v>
      </c>
      <c r="Z458" s="392">
        <f t="shared" si="21"/>
        <v>5</v>
      </c>
      <c r="AA458" s="389">
        <f t="shared" si="114"/>
        <v>29.520287377063696</v>
      </c>
      <c r="AB458" s="125" t="s">
        <v>485</v>
      </c>
      <c r="AC458" s="98"/>
      <c r="AD458" s="98"/>
    </row>
    <row r="459" spans="1:30" ht="12.75" customHeight="1">
      <c r="A459" s="125" t="s">
        <v>474</v>
      </c>
      <c r="B459" s="125" t="s">
        <v>1013</v>
      </c>
      <c r="C459" s="382" t="s">
        <v>1371</v>
      </c>
      <c r="D459" s="383"/>
      <c r="E459" s="384" t="s">
        <v>132</v>
      </c>
      <c r="F459" s="126" t="s">
        <v>1145</v>
      </c>
      <c r="G459" s="126"/>
      <c r="H459" s="385">
        <f t="shared" si="139"/>
        <v>2379</v>
      </c>
      <c r="I459" s="126">
        <v>2</v>
      </c>
      <c r="J459" s="385">
        <v>2376</v>
      </c>
      <c r="K459" s="133">
        <v>4758</v>
      </c>
      <c r="L459" s="155">
        <v>44452</v>
      </c>
      <c r="M459" s="129">
        <f t="shared" si="14"/>
        <v>2607.5</v>
      </c>
      <c r="N459" s="158">
        <v>2610</v>
      </c>
      <c r="O459" s="386">
        <v>5215</v>
      </c>
      <c r="P459" s="125">
        <v>44481</v>
      </c>
      <c r="Q459" s="437">
        <v>44477</v>
      </c>
      <c r="R459" s="438">
        <v>15.93</v>
      </c>
      <c r="S459" s="439"/>
      <c r="T459" s="440">
        <f t="shared" si="136"/>
        <v>457</v>
      </c>
      <c r="U459" s="441" t="str">
        <f t="shared" si="16"/>
        <v>2 RELIANCE</v>
      </c>
      <c r="V459" s="132">
        <f t="shared" si="17"/>
        <v>441.07</v>
      </c>
      <c r="W459" s="389">
        <f t="shared" si="137"/>
        <v>9.2700714585960492E-2</v>
      </c>
      <c r="X459" s="442">
        <f t="shared" si="19"/>
        <v>0</v>
      </c>
      <c r="Y459" s="391">
        <f t="shared" si="20"/>
        <v>0</v>
      </c>
      <c r="Z459" s="392">
        <f t="shared" si="21"/>
        <v>29</v>
      </c>
      <c r="AA459" s="389">
        <f t="shared" si="114"/>
        <v>2.0519991611616391</v>
      </c>
      <c r="AB459" s="125" t="s">
        <v>485</v>
      </c>
      <c r="AC459" s="98"/>
      <c r="AD459" s="98"/>
    </row>
    <row r="460" spans="1:30" ht="12.75" customHeight="1">
      <c r="A460" s="125" t="s">
        <v>474</v>
      </c>
      <c r="B460" s="125" t="s">
        <v>1013</v>
      </c>
      <c r="C460" s="382" t="s">
        <v>1371</v>
      </c>
      <c r="D460" s="383"/>
      <c r="E460" s="384" t="s">
        <v>132</v>
      </c>
      <c r="F460" s="126" t="s">
        <v>1145</v>
      </c>
      <c r="G460" s="126"/>
      <c r="H460" s="385">
        <f t="shared" si="139"/>
        <v>2678.2</v>
      </c>
      <c r="I460" s="126">
        <v>5</v>
      </c>
      <c r="J460" s="385">
        <v>2675</v>
      </c>
      <c r="K460" s="133">
        <v>13391</v>
      </c>
      <c r="L460" s="155">
        <v>44480</v>
      </c>
      <c r="M460" s="129">
        <f t="shared" si="14"/>
        <v>2681.2</v>
      </c>
      <c r="N460" s="158">
        <v>2684</v>
      </c>
      <c r="O460" s="386">
        <v>13406</v>
      </c>
      <c r="P460" s="125">
        <v>44652</v>
      </c>
      <c r="Q460" s="437">
        <v>44650</v>
      </c>
      <c r="R460" s="438">
        <v>0</v>
      </c>
      <c r="S460" s="439"/>
      <c r="T460" s="440">
        <f t="shared" si="136"/>
        <v>15</v>
      </c>
      <c r="U460" s="441" t="str">
        <f t="shared" si="16"/>
        <v>5 RELIANCE</v>
      </c>
      <c r="V460" s="132">
        <f t="shared" si="17"/>
        <v>15</v>
      </c>
      <c r="W460" s="389">
        <f t="shared" si="137"/>
        <v>1.1201553282055112E-3</v>
      </c>
      <c r="X460" s="442">
        <f t="shared" si="19"/>
        <v>0</v>
      </c>
      <c r="Y460" s="391">
        <f t="shared" si="20"/>
        <v>5</v>
      </c>
      <c r="Z460" s="392">
        <f t="shared" si="21"/>
        <v>21</v>
      </c>
      <c r="AA460" s="389">
        <f t="shared" si="114"/>
        <v>2.3785677690306706E-3</v>
      </c>
      <c r="AB460" s="125" t="s">
        <v>485</v>
      </c>
      <c r="AC460" s="98"/>
      <c r="AD460" s="98"/>
    </row>
    <row r="461" spans="1:30" ht="12.75" customHeight="1">
      <c r="A461" s="125" t="s">
        <v>474</v>
      </c>
      <c r="B461" s="125" t="s">
        <v>1013</v>
      </c>
      <c r="C461" s="382" t="s">
        <v>1371</v>
      </c>
      <c r="D461" s="383"/>
      <c r="E461" s="384" t="str">
        <f>IFERROR(IF(D461="","",(D461-J461)/J461),"")</f>
        <v/>
      </c>
      <c r="F461" s="126" t="s">
        <v>1145</v>
      </c>
      <c r="G461" s="126"/>
      <c r="H461" s="385">
        <f t="shared" si="139"/>
        <v>2503</v>
      </c>
      <c r="I461" s="126">
        <v>2</v>
      </c>
      <c r="J461" s="385">
        <v>2500</v>
      </c>
      <c r="K461" s="133">
        <v>5006</v>
      </c>
      <c r="L461" s="155">
        <v>44508</v>
      </c>
      <c r="M461" s="129">
        <f t="shared" si="14"/>
        <v>2681.5</v>
      </c>
      <c r="N461" s="158">
        <v>2684</v>
      </c>
      <c r="O461" s="386">
        <v>5363</v>
      </c>
      <c r="P461" s="125">
        <v>44652</v>
      </c>
      <c r="Q461" s="437">
        <v>44650</v>
      </c>
      <c r="R461" s="438">
        <v>15.93</v>
      </c>
      <c r="S461" s="439"/>
      <c r="T461" s="440">
        <f t="shared" si="136"/>
        <v>357</v>
      </c>
      <c r="U461" s="441" t="str">
        <f t="shared" si="16"/>
        <v>2 RELIANCE</v>
      </c>
      <c r="V461" s="132">
        <f t="shared" si="17"/>
        <v>341.07</v>
      </c>
      <c r="W461" s="389">
        <f t="shared" si="137"/>
        <v>6.8132241310427485E-2</v>
      </c>
      <c r="X461" s="442">
        <f t="shared" si="19"/>
        <v>0</v>
      </c>
      <c r="Y461" s="391">
        <f t="shared" si="20"/>
        <v>4</v>
      </c>
      <c r="Z461" s="392">
        <f t="shared" si="21"/>
        <v>24</v>
      </c>
      <c r="AA461" s="389">
        <f t="shared" si="114"/>
        <v>0.18183401448747238</v>
      </c>
      <c r="AB461" s="125" t="s">
        <v>485</v>
      </c>
      <c r="AC461" s="98"/>
      <c r="AD461" s="98"/>
    </row>
    <row r="462" spans="1:30" ht="12.75" customHeight="1">
      <c r="A462" s="125" t="s">
        <v>1372</v>
      </c>
      <c r="B462" s="125" t="s">
        <v>1373</v>
      </c>
      <c r="C462" s="382" t="s">
        <v>1371</v>
      </c>
      <c r="D462" s="383"/>
      <c r="E462" s="384"/>
      <c r="F462" s="126"/>
      <c r="G462" s="126"/>
      <c r="H462" s="385">
        <v>1001.5085</v>
      </c>
      <c r="I462" s="126">
        <v>9</v>
      </c>
      <c r="J462" s="385">
        <v>1000.36</v>
      </c>
      <c r="K462" s="133">
        <v>9013.58</v>
      </c>
      <c r="L462" s="155">
        <v>44225</v>
      </c>
      <c r="M462" s="129">
        <f t="shared" si="14"/>
        <v>1042.05</v>
      </c>
      <c r="N462" s="158">
        <v>1043.0999999999999</v>
      </c>
      <c r="O462" s="386">
        <v>9378.4500000000007</v>
      </c>
      <c r="P462" s="125">
        <v>44231</v>
      </c>
      <c r="Q462" s="437">
        <v>44229</v>
      </c>
      <c r="R462" s="438">
        <v>15.93</v>
      </c>
      <c r="S462" s="439"/>
      <c r="T462" s="440">
        <f t="shared" si="136"/>
        <v>364.8700000000008</v>
      </c>
      <c r="U462" s="441" t="str">
        <f t="shared" si="16"/>
        <v>9 RELIANCEPP</v>
      </c>
      <c r="V462" s="132">
        <f t="shared" si="17"/>
        <v>348.94000000000079</v>
      </c>
      <c r="W462" s="389">
        <f t="shared" si="137"/>
        <v>3.8712697951313553E-2</v>
      </c>
      <c r="X462" s="442">
        <f t="shared" si="19"/>
        <v>0</v>
      </c>
      <c r="Y462" s="391">
        <f t="shared" si="20"/>
        <v>0</v>
      </c>
      <c r="Z462" s="392">
        <f t="shared" si="21"/>
        <v>6</v>
      </c>
      <c r="AA462" s="389">
        <f t="shared" si="114"/>
        <v>9.0802811919517268</v>
      </c>
      <c r="AB462" s="125" t="s">
        <v>485</v>
      </c>
      <c r="AC462" s="98"/>
      <c r="AD462" s="98"/>
    </row>
    <row r="463" spans="1:30" ht="12.75" customHeight="1">
      <c r="A463" s="125" t="s">
        <v>561</v>
      </c>
      <c r="B463" s="125" t="s">
        <v>1374</v>
      </c>
      <c r="C463" s="382" t="s">
        <v>1144</v>
      </c>
      <c r="D463" s="383"/>
      <c r="E463" s="384" t="str">
        <f t="shared" ref="E463:E466" si="140">IFERROR(IF(D463="","",(D463-J463)/J463),"")</f>
        <v/>
      </c>
      <c r="F463" s="126" t="s">
        <v>1145</v>
      </c>
      <c r="G463" s="126"/>
      <c r="H463" s="385">
        <f t="shared" ref="H463:H467" si="141">ROUND(K463/I463,4)</f>
        <v>47.81</v>
      </c>
      <c r="I463" s="126">
        <v>100</v>
      </c>
      <c r="J463" s="385">
        <v>47.75</v>
      </c>
      <c r="K463" s="133">
        <v>4781</v>
      </c>
      <c r="L463" s="155">
        <v>44383</v>
      </c>
      <c r="M463" s="129">
        <f t="shared" si="14"/>
        <v>30.47</v>
      </c>
      <c r="N463" s="158">
        <v>30.5</v>
      </c>
      <c r="O463" s="386">
        <v>3047</v>
      </c>
      <c r="P463" s="125">
        <v>44543</v>
      </c>
      <c r="Q463" s="437">
        <v>44539</v>
      </c>
      <c r="R463" s="438">
        <v>0</v>
      </c>
      <c r="S463" s="439"/>
      <c r="T463" s="440">
        <f t="shared" si="136"/>
        <v>-1734</v>
      </c>
      <c r="U463" s="441" t="str">
        <f t="shared" si="16"/>
        <v>100 RENUKA</v>
      </c>
      <c r="V463" s="132">
        <f t="shared" si="17"/>
        <v>-1734</v>
      </c>
      <c r="W463" s="389">
        <f t="shared" si="137"/>
        <v>-0.36268563062120895</v>
      </c>
      <c r="X463" s="442">
        <f t="shared" si="19"/>
        <v>0</v>
      </c>
      <c r="Y463" s="391">
        <f t="shared" si="20"/>
        <v>5</v>
      </c>
      <c r="Z463" s="392">
        <f t="shared" si="21"/>
        <v>7</v>
      </c>
      <c r="AA463" s="389">
        <f t="shared" si="114"/>
        <v>-0.64216575366654038</v>
      </c>
      <c r="AB463" s="125" t="s">
        <v>485</v>
      </c>
      <c r="AC463" s="98"/>
      <c r="AD463" s="98"/>
    </row>
    <row r="464" spans="1:30" ht="12.75" customHeight="1">
      <c r="A464" s="125" t="s">
        <v>561</v>
      </c>
      <c r="B464" s="125" t="s">
        <v>1374</v>
      </c>
      <c r="C464" s="382" t="s">
        <v>1144</v>
      </c>
      <c r="D464" s="383"/>
      <c r="E464" s="384" t="str">
        <f t="shared" si="140"/>
        <v/>
      </c>
      <c r="F464" s="126" t="s">
        <v>1145</v>
      </c>
      <c r="G464" s="126"/>
      <c r="H464" s="385">
        <f t="shared" si="141"/>
        <v>47.06</v>
      </c>
      <c r="I464" s="126">
        <v>100</v>
      </c>
      <c r="J464" s="385">
        <v>47</v>
      </c>
      <c r="K464" s="133">
        <v>4706</v>
      </c>
      <c r="L464" s="155">
        <v>44383</v>
      </c>
      <c r="M464" s="129">
        <f t="shared" si="14"/>
        <v>30.47</v>
      </c>
      <c r="N464" s="158">
        <v>30.5</v>
      </c>
      <c r="O464" s="386">
        <v>3047</v>
      </c>
      <c r="P464" s="125">
        <v>44543</v>
      </c>
      <c r="Q464" s="437">
        <v>44539</v>
      </c>
      <c r="R464" s="438">
        <v>0</v>
      </c>
      <c r="S464" s="439"/>
      <c r="T464" s="440">
        <f t="shared" si="136"/>
        <v>-1659</v>
      </c>
      <c r="U464" s="441" t="str">
        <f t="shared" si="16"/>
        <v>100 RENUKA</v>
      </c>
      <c r="V464" s="132">
        <f t="shared" si="17"/>
        <v>-1659</v>
      </c>
      <c r="W464" s="389">
        <f t="shared" si="137"/>
        <v>-0.35252868678283045</v>
      </c>
      <c r="X464" s="442">
        <f t="shared" si="19"/>
        <v>0</v>
      </c>
      <c r="Y464" s="391">
        <f t="shared" si="20"/>
        <v>5</v>
      </c>
      <c r="Z464" s="392">
        <f t="shared" si="21"/>
        <v>7</v>
      </c>
      <c r="AA464" s="389">
        <f t="shared" si="114"/>
        <v>-0.6290231261209962</v>
      </c>
      <c r="AB464" s="125" t="s">
        <v>485</v>
      </c>
      <c r="AC464" s="98"/>
      <c r="AD464" s="98"/>
    </row>
    <row r="465" spans="1:30" ht="12.75" customHeight="1">
      <c r="A465" s="125" t="s">
        <v>561</v>
      </c>
      <c r="B465" s="125" t="s">
        <v>1374</v>
      </c>
      <c r="C465" s="382" t="s">
        <v>1144</v>
      </c>
      <c r="D465" s="383"/>
      <c r="E465" s="384" t="str">
        <f t="shared" si="140"/>
        <v/>
      </c>
      <c r="F465" s="126" t="s">
        <v>1145</v>
      </c>
      <c r="G465" s="126"/>
      <c r="H465" s="385">
        <f t="shared" si="141"/>
        <v>46.05</v>
      </c>
      <c r="I465" s="126">
        <v>100</v>
      </c>
      <c r="J465" s="385">
        <v>46</v>
      </c>
      <c r="K465" s="133">
        <v>4605</v>
      </c>
      <c r="L465" s="155">
        <v>44383</v>
      </c>
      <c r="M465" s="129">
        <f t="shared" si="14"/>
        <v>30.47</v>
      </c>
      <c r="N465" s="158">
        <v>30.5</v>
      </c>
      <c r="O465" s="386">
        <v>3047</v>
      </c>
      <c r="P465" s="125">
        <v>44543</v>
      </c>
      <c r="Q465" s="437">
        <v>44539</v>
      </c>
      <c r="R465" s="438">
        <v>15.93</v>
      </c>
      <c r="S465" s="439"/>
      <c r="T465" s="440">
        <f t="shared" si="136"/>
        <v>-1558</v>
      </c>
      <c r="U465" s="441" t="str">
        <f t="shared" si="16"/>
        <v>100 RENUKA</v>
      </c>
      <c r="V465" s="132">
        <f t="shared" si="17"/>
        <v>-1573.93</v>
      </c>
      <c r="W465" s="389">
        <f t="shared" si="137"/>
        <v>-0.34178718783930512</v>
      </c>
      <c r="X465" s="442">
        <f t="shared" si="19"/>
        <v>0</v>
      </c>
      <c r="Y465" s="391">
        <f t="shared" si="20"/>
        <v>5</v>
      </c>
      <c r="Z465" s="392">
        <f t="shared" si="21"/>
        <v>7</v>
      </c>
      <c r="AA465" s="389">
        <f t="shared" si="114"/>
        <v>-0.61483377774786718</v>
      </c>
      <c r="AB465" s="125" t="s">
        <v>485</v>
      </c>
      <c r="AC465" s="98"/>
      <c r="AD465" s="98"/>
    </row>
    <row r="466" spans="1:30" ht="12.75" customHeight="1">
      <c r="A466" s="125" t="s">
        <v>561</v>
      </c>
      <c r="B466" s="125" t="s">
        <v>1374</v>
      </c>
      <c r="C466" s="382" t="s">
        <v>1144</v>
      </c>
      <c r="D466" s="383"/>
      <c r="E466" s="384" t="str">
        <f t="shared" si="140"/>
        <v/>
      </c>
      <c r="F466" s="126" t="s">
        <v>1145</v>
      </c>
      <c r="G466" s="126"/>
      <c r="H466" s="385">
        <f t="shared" si="141"/>
        <v>34.24</v>
      </c>
      <c r="I466" s="126">
        <v>100</v>
      </c>
      <c r="J466" s="385">
        <v>34.200000000000003</v>
      </c>
      <c r="K466" s="133">
        <v>3424</v>
      </c>
      <c r="L466" s="155">
        <v>44568</v>
      </c>
      <c r="M466" s="129">
        <f t="shared" si="14"/>
        <v>34.46</v>
      </c>
      <c r="N466" s="158">
        <v>34.5</v>
      </c>
      <c r="O466" s="386">
        <v>3446</v>
      </c>
      <c r="P466" s="125">
        <v>44580</v>
      </c>
      <c r="Q466" s="437">
        <v>44578</v>
      </c>
      <c r="R466" s="438">
        <v>15.93</v>
      </c>
      <c r="S466" s="439"/>
      <c r="T466" s="440">
        <f t="shared" si="136"/>
        <v>22</v>
      </c>
      <c r="U466" s="441" t="str">
        <f t="shared" si="16"/>
        <v>100 RENUKA</v>
      </c>
      <c r="V466" s="132">
        <f t="shared" si="17"/>
        <v>6.07</v>
      </c>
      <c r="W466" s="389">
        <f t="shared" si="137"/>
        <v>1.7727803738317757E-3</v>
      </c>
      <c r="X466" s="442">
        <f t="shared" si="19"/>
        <v>0</v>
      </c>
      <c r="Y466" s="391">
        <f t="shared" si="20"/>
        <v>0</v>
      </c>
      <c r="Z466" s="392">
        <f t="shared" si="21"/>
        <v>12</v>
      </c>
      <c r="AA466" s="389">
        <f t="shared" si="114"/>
        <v>5.5351967869696317E-2</v>
      </c>
      <c r="AB466" s="125" t="s">
        <v>485</v>
      </c>
      <c r="AC466" s="98"/>
      <c r="AD466" s="98"/>
    </row>
    <row r="467" spans="1:30" ht="12.75" customHeight="1">
      <c r="A467" s="125" t="s">
        <v>469</v>
      </c>
      <c r="B467" s="125" t="s">
        <v>1037</v>
      </c>
      <c r="C467" s="382" t="s">
        <v>1201</v>
      </c>
      <c r="D467" s="383"/>
      <c r="E467" s="384"/>
      <c r="F467" s="126"/>
      <c r="G467" s="126"/>
      <c r="H467" s="385">
        <f t="shared" si="141"/>
        <v>94.048500000000004</v>
      </c>
      <c r="I467" s="126">
        <v>100</v>
      </c>
      <c r="J467" s="385">
        <v>93.5</v>
      </c>
      <c r="K467" s="133">
        <v>9404.85</v>
      </c>
      <c r="L467" s="155">
        <v>41009</v>
      </c>
      <c r="M467" s="129">
        <f t="shared" si="14"/>
        <v>5.03</v>
      </c>
      <c r="N467" s="158">
        <v>5.04</v>
      </c>
      <c r="O467" s="386">
        <v>503</v>
      </c>
      <c r="P467" s="125">
        <v>44333</v>
      </c>
      <c r="Q467" s="437">
        <v>44328</v>
      </c>
      <c r="R467" s="438">
        <f>35.4+29.5+15.93</f>
        <v>80.830000000000013</v>
      </c>
      <c r="S467" s="439">
        <f>300+300+225+300</f>
        <v>1125</v>
      </c>
      <c r="T467" s="440">
        <f t="shared" si="136"/>
        <v>-8901.85</v>
      </c>
      <c r="U467" s="441" t="str">
        <f t="shared" si="16"/>
        <v>100 ROLTA</v>
      </c>
      <c r="V467" s="132">
        <f t="shared" si="17"/>
        <v>-7857.68</v>
      </c>
      <c r="W467" s="389">
        <f t="shared" si="137"/>
        <v>-0.83549232576808774</v>
      </c>
      <c r="X467" s="442">
        <f t="shared" si="19"/>
        <v>9</v>
      </c>
      <c r="Y467" s="391">
        <f t="shared" si="20"/>
        <v>1</v>
      </c>
      <c r="Z467" s="392">
        <f t="shared" si="21"/>
        <v>7</v>
      </c>
      <c r="AA467" s="389">
        <f t="shared" si="114"/>
        <v>-0.17977803978998785</v>
      </c>
      <c r="AB467" s="125" t="s">
        <v>460</v>
      </c>
      <c r="AC467" s="98"/>
      <c r="AD467" s="98"/>
    </row>
    <row r="468" spans="1:30" ht="12.75" customHeight="1">
      <c r="A468" s="125" t="s">
        <v>464</v>
      </c>
      <c r="B468" s="125" t="s">
        <v>1375</v>
      </c>
      <c r="C468" s="382" t="s">
        <v>1201</v>
      </c>
      <c r="D468" s="383"/>
      <c r="E468" s="384"/>
      <c r="F468" s="126"/>
      <c r="G468" s="126"/>
      <c r="H468" s="385">
        <v>137.6</v>
      </c>
      <c r="I468" s="126">
        <v>50</v>
      </c>
      <c r="J468" s="385" t="s">
        <v>1376</v>
      </c>
      <c r="K468" s="133">
        <v>6800.42</v>
      </c>
      <c r="L468" s="155">
        <v>39479</v>
      </c>
      <c r="M468" s="129">
        <f t="shared" si="14"/>
        <v>137.19460000000001</v>
      </c>
      <c r="N468" s="158">
        <v>138</v>
      </c>
      <c r="O468" s="386">
        <v>6859.73</v>
      </c>
      <c r="P468" s="125">
        <v>40983</v>
      </c>
      <c r="Q468" s="437">
        <v>40981</v>
      </c>
      <c r="R468" s="438">
        <v>7</v>
      </c>
      <c r="S468" s="439"/>
      <c r="T468" s="440">
        <f t="shared" si="136"/>
        <v>59.309999999999491</v>
      </c>
      <c r="U468" s="441" t="str">
        <f t="shared" si="16"/>
        <v>50 RPOWER</v>
      </c>
      <c r="V468" s="132">
        <f t="shared" si="17"/>
        <v>52.309999999999491</v>
      </c>
      <c r="W468" s="389">
        <f t="shared" si="137"/>
        <v>7.6921719540851141E-3</v>
      </c>
      <c r="X468" s="442">
        <f t="shared" si="19"/>
        <v>4</v>
      </c>
      <c r="Y468" s="391">
        <f t="shared" si="20"/>
        <v>1</v>
      </c>
      <c r="Z468" s="392">
        <f t="shared" si="21"/>
        <v>14</v>
      </c>
      <c r="AA468" s="389">
        <f t="shared" si="114"/>
        <v>1.8613707529611112E-3</v>
      </c>
      <c r="AB468" s="125" t="s">
        <v>460</v>
      </c>
      <c r="AC468" s="98"/>
      <c r="AD468" s="98"/>
    </row>
    <row r="469" spans="1:30" ht="12.75" customHeight="1">
      <c r="A469" s="125" t="s">
        <v>615</v>
      </c>
      <c r="B469" s="125"/>
      <c r="C469" s="382"/>
      <c r="D469" s="383"/>
      <c r="E469" s="384" t="str">
        <f t="shared" ref="E469:E472" si="142">IFERROR(IF(D469="","",(D469-J469)/J469),"")</f>
        <v/>
      </c>
      <c r="F469" s="126"/>
      <c r="G469" s="126"/>
      <c r="H469" s="385">
        <f t="shared" ref="H469:H472" si="143">ROUND(K469/I469,4)</f>
        <v>650</v>
      </c>
      <c r="I469" s="126">
        <v>42</v>
      </c>
      <c r="J469" s="385">
        <v>650</v>
      </c>
      <c r="K469" s="133">
        <v>27300</v>
      </c>
      <c r="L469" s="155">
        <v>44656</v>
      </c>
      <c r="M469" s="129">
        <f t="shared" si="14"/>
        <v>879.09519999999998</v>
      </c>
      <c r="N469" s="158">
        <v>880</v>
      </c>
      <c r="O469" s="386">
        <v>36922</v>
      </c>
      <c r="P469" s="125">
        <v>44663</v>
      </c>
      <c r="Q469" s="437">
        <v>44659</v>
      </c>
      <c r="R469" s="438">
        <v>15.93</v>
      </c>
      <c r="S469" s="439"/>
      <c r="T469" s="440">
        <f t="shared" si="136"/>
        <v>9622</v>
      </c>
      <c r="U469" s="441" t="str">
        <f t="shared" si="16"/>
        <v>42 RUCHI</v>
      </c>
      <c r="V469" s="132">
        <f t="shared" si="17"/>
        <v>9606.07</v>
      </c>
      <c r="W469" s="389">
        <f t="shared" si="137"/>
        <v>0.35187069597069598</v>
      </c>
      <c r="X469" s="442">
        <f t="shared" si="19"/>
        <v>0</v>
      </c>
      <c r="Y469" s="391">
        <f t="shared" si="20"/>
        <v>0</v>
      </c>
      <c r="Z469" s="392">
        <f t="shared" si="21"/>
        <v>7</v>
      </c>
      <c r="AA469" s="389">
        <f t="shared" si="114"/>
        <v>6719438.2992337514</v>
      </c>
      <c r="AB469" s="125" t="s">
        <v>485</v>
      </c>
      <c r="AC469" s="98"/>
      <c r="AD469" s="98"/>
    </row>
    <row r="470" spans="1:30" ht="12.75" customHeight="1">
      <c r="A470" s="125" t="s">
        <v>615</v>
      </c>
      <c r="B470" s="125"/>
      <c r="C470" s="382"/>
      <c r="D470" s="383"/>
      <c r="E470" s="384" t="str">
        <f t="shared" si="142"/>
        <v/>
      </c>
      <c r="F470" s="126"/>
      <c r="G470" s="126"/>
      <c r="H470" s="385">
        <f t="shared" si="143"/>
        <v>951.12</v>
      </c>
      <c r="I470" s="126">
        <v>25</v>
      </c>
      <c r="J470" s="385">
        <v>950</v>
      </c>
      <c r="K470" s="133">
        <v>23778</v>
      </c>
      <c r="L470" s="155">
        <v>44662</v>
      </c>
      <c r="M470" s="129">
        <f t="shared" si="14"/>
        <v>1010.96</v>
      </c>
      <c r="N470" s="158">
        <v>1012</v>
      </c>
      <c r="O470" s="386">
        <v>25274</v>
      </c>
      <c r="P470" s="125">
        <v>44679</v>
      </c>
      <c r="Q470" s="437">
        <v>44677</v>
      </c>
      <c r="R470" s="438">
        <v>0</v>
      </c>
      <c r="S470" s="439"/>
      <c r="T470" s="440">
        <f t="shared" si="136"/>
        <v>1496</v>
      </c>
      <c r="U470" s="441" t="str">
        <f t="shared" si="16"/>
        <v>25 RUCHI</v>
      </c>
      <c r="V470" s="132">
        <f t="shared" si="17"/>
        <v>1496</v>
      </c>
      <c r="W470" s="389">
        <f t="shared" si="137"/>
        <v>6.2915299857010679E-2</v>
      </c>
      <c r="X470" s="442">
        <f t="shared" si="19"/>
        <v>0</v>
      </c>
      <c r="Y470" s="391">
        <f t="shared" si="20"/>
        <v>0</v>
      </c>
      <c r="Z470" s="392">
        <f t="shared" si="21"/>
        <v>17</v>
      </c>
      <c r="AA470" s="389">
        <f t="shared" si="114"/>
        <v>2.7063103643081465</v>
      </c>
      <c r="AB470" s="125" t="s">
        <v>485</v>
      </c>
      <c r="AC470" s="98"/>
      <c r="AD470" s="98"/>
    </row>
    <row r="471" spans="1:30" ht="12.75" customHeight="1">
      <c r="A471" s="125" t="s">
        <v>615</v>
      </c>
      <c r="B471" s="125"/>
      <c r="C471" s="382"/>
      <c r="D471" s="383"/>
      <c r="E471" s="384" t="str">
        <f t="shared" si="142"/>
        <v/>
      </c>
      <c r="F471" s="126"/>
      <c r="G471" s="126"/>
      <c r="H471" s="385">
        <f t="shared" si="143"/>
        <v>901.06669999999997</v>
      </c>
      <c r="I471" s="126">
        <v>30</v>
      </c>
      <c r="J471" s="385">
        <v>900</v>
      </c>
      <c r="K471" s="133">
        <v>27032</v>
      </c>
      <c r="L471" s="155">
        <v>44663</v>
      </c>
      <c r="M471" s="129">
        <f t="shared" si="14"/>
        <v>970</v>
      </c>
      <c r="N471" s="158">
        <v>971</v>
      </c>
      <c r="O471" s="386">
        <v>29100</v>
      </c>
      <c r="P471" s="125">
        <v>44679</v>
      </c>
      <c r="Q471" s="437">
        <v>44677</v>
      </c>
      <c r="R471" s="438">
        <v>15.93</v>
      </c>
      <c r="S471" s="439"/>
      <c r="T471" s="440">
        <f t="shared" si="136"/>
        <v>2068</v>
      </c>
      <c r="U471" s="441" t="str">
        <f t="shared" si="16"/>
        <v>30 RUCHI</v>
      </c>
      <c r="V471" s="132">
        <f t="shared" si="17"/>
        <v>2052.0700000000002</v>
      </c>
      <c r="W471" s="389">
        <f t="shared" si="137"/>
        <v>7.5912622077537739E-2</v>
      </c>
      <c r="X471" s="442">
        <f t="shared" si="19"/>
        <v>0</v>
      </c>
      <c r="Y471" s="391">
        <f t="shared" si="20"/>
        <v>0</v>
      </c>
      <c r="Z471" s="392">
        <f t="shared" si="21"/>
        <v>16</v>
      </c>
      <c r="AA471" s="389">
        <f t="shared" si="114"/>
        <v>4.3077794530316718</v>
      </c>
      <c r="AB471" s="125" t="s">
        <v>485</v>
      </c>
      <c r="AC471" s="98"/>
      <c r="AD471" s="98"/>
    </row>
    <row r="472" spans="1:30" ht="12.75" customHeight="1">
      <c r="A472" s="125" t="s">
        <v>615</v>
      </c>
      <c r="B472" s="125"/>
      <c r="C472" s="382"/>
      <c r="D472" s="383"/>
      <c r="E472" s="384" t="str">
        <f t="shared" si="142"/>
        <v/>
      </c>
      <c r="F472" s="126"/>
      <c r="G472" s="126"/>
      <c r="H472" s="385">
        <f t="shared" si="143"/>
        <v>1111.3</v>
      </c>
      <c r="I472" s="126">
        <v>20</v>
      </c>
      <c r="J472" s="385">
        <v>1110</v>
      </c>
      <c r="K472" s="133">
        <v>22226</v>
      </c>
      <c r="L472" s="155">
        <v>44679</v>
      </c>
      <c r="M472" s="129">
        <f t="shared" si="14"/>
        <v>1138.8</v>
      </c>
      <c r="N472" s="158">
        <v>1140</v>
      </c>
      <c r="O472" s="386">
        <v>22776</v>
      </c>
      <c r="P472" s="125">
        <v>44701</v>
      </c>
      <c r="Q472" s="437">
        <v>44699</v>
      </c>
      <c r="R472" s="438">
        <v>15.93</v>
      </c>
      <c r="S472" s="439"/>
      <c r="T472" s="440">
        <f t="shared" si="136"/>
        <v>550</v>
      </c>
      <c r="U472" s="441" t="str">
        <f t="shared" si="16"/>
        <v>20 RUCHI</v>
      </c>
      <c r="V472" s="132">
        <f t="shared" si="17"/>
        <v>534.07000000000005</v>
      </c>
      <c r="W472" s="389">
        <f t="shared" si="137"/>
        <v>2.4029065058939984E-2</v>
      </c>
      <c r="X472" s="442">
        <f t="shared" si="19"/>
        <v>0</v>
      </c>
      <c r="Y472" s="391">
        <f t="shared" si="20"/>
        <v>0</v>
      </c>
      <c r="Z472" s="392">
        <f t="shared" si="21"/>
        <v>22</v>
      </c>
      <c r="AA472" s="389">
        <f t="shared" si="114"/>
        <v>0.48282587790530607</v>
      </c>
      <c r="AB472" s="125" t="s">
        <v>485</v>
      </c>
      <c r="AC472" s="98"/>
      <c r="AD472" s="98"/>
    </row>
    <row r="473" spans="1:30" ht="12.75" customHeight="1">
      <c r="A473" s="125" t="s">
        <v>495</v>
      </c>
      <c r="B473" s="125" t="s">
        <v>1192</v>
      </c>
      <c r="C473" s="382" t="s">
        <v>1201</v>
      </c>
      <c r="D473" s="383"/>
      <c r="E473" s="384"/>
      <c r="F473" s="126"/>
      <c r="G473" s="126"/>
      <c r="H473" s="385">
        <v>80.043300000000002</v>
      </c>
      <c r="I473" s="126">
        <v>100</v>
      </c>
      <c r="J473" s="385">
        <v>79.95</v>
      </c>
      <c r="K473" s="133">
        <v>8004.33</v>
      </c>
      <c r="L473" s="155">
        <v>44257</v>
      </c>
      <c r="M473" s="129">
        <f t="shared" si="14"/>
        <v>81.92</v>
      </c>
      <c r="N473" s="158">
        <v>82</v>
      </c>
      <c r="O473" s="386">
        <v>8192</v>
      </c>
      <c r="P473" s="125">
        <v>44292</v>
      </c>
      <c r="Q473" s="437">
        <v>44287</v>
      </c>
      <c r="R473" s="438">
        <v>15.93</v>
      </c>
      <c r="S473" s="439"/>
      <c r="T473" s="440">
        <f t="shared" si="136"/>
        <v>187.67000000000007</v>
      </c>
      <c r="U473" s="441" t="str">
        <f t="shared" si="16"/>
        <v>100 SAIL</v>
      </c>
      <c r="V473" s="132">
        <f t="shared" si="17"/>
        <v>171.74000000000007</v>
      </c>
      <c r="W473" s="389">
        <f t="shared" si="137"/>
        <v>2.145588700116063E-2</v>
      </c>
      <c r="X473" s="442">
        <f t="shared" si="19"/>
        <v>0</v>
      </c>
      <c r="Y473" s="391">
        <f t="shared" si="20"/>
        <v>1</v>
      </c>
      <c r="Z473" s="392">
        <f t="shared" si="21"/>
        <v>4</v>
      </c>
      <c r="AA473" s="389">
        <f t="shared" si="114"/>
        <v>0.24780701112061432</v>
      </c>
      <c r="AB473" s="125" t="s">
        <v>485</v>
      </c>
      <c r="AC473" s="98"/>
      <c r="AD473" s="98"/>
    </row>
    <row r="474" spans="1:30" ht="12.75" customHeight="1">
      <c r="A474" s="125" t="s">
        <v>495</v>
      </c>
      <c r="B474" s="125" t="s">
        <v>1192</v>
      </c>
      <c r="C474" s="382" t="s">
        <v>1201</v>
      </c>
      <c r="D474" s="383">
        <v>145</v>
      </c>
      <c r="E474" s="384">
        <f>IFERROR(IF(D474="","",(D474-J474)/J474),"")</f>
        <v>0.10687022900763359</v>
      </c>
      <c r="F474" s="126" t="s">
        <v>1154</v>
      </c>
      <c r="G474" s="126" t="s">
        <v>1223</v>
      </c>
      <c r="H474" s="385">
        <f t="shared" ref="H474:H498" si="144">ROUND(K474/I474,4)</f>
        <v>131.16</v>
      </c>
      <c r="I474" s="126">
        <v>50</v>
      </c>
      <c r="J474" s="385">
        <v>131</v>
      </c>
      <c r="K474" s="133">
        <v>6558</v>
      </c>
      <c r="L474" s="155">
        <v>44322</v>
      </c>
      <c r="M474" s="129">
        <f t="shared" si="14"/>
        <v>144.1</v>
      </c>
      <c r="N474" s="158">
        <v>144.25</v>
      </c>
      <c r="O474" s="386">
        <v>7205</v>
      </c>
      <c r="P474" s="125">
        <v>44327</v>
      </c>
      <c r="Q474" s="437">
        <v>44323</v>
      </c>
      <c r="R474" s="438">
        <v>15.93</v>
      </c>
      <c r="S474" s="439"/>
      <c r="T474" s="440">
        <f t="shared" si="136"/>
        <v>647</v>
      </c>
      <c r="U474" s="441" t="str">
        <f t="shared" si="16"/>
        <v>50 SAIL</v>
      </c>
      <c r="V474" s="132">
        <f t="shared" si="17"/>
        <v>631.07000000000005</v>
      </c>
      <c r="W474" s="389">
        <f t="shared" si="137"/>
        <v>9.6229033241842038E-2</v>
      </c>
      <c r="X474" s="442">
        <f t="shared" si="19"/>
        <v>0</v>
      </c>
      <c r="Y474" s="391">
        <f t="shared" si="20"/>
        <v>0</v>
      </c>
      <c r="Z474" s="392">
        <f t="shared" si="21"/>
        <v>5</v>
      </c>
      <c r="AA474" s="389">
        <f t="shared" si="114"/>
        <v>817.07835457623423</v>
      </c>
      <c r="AB474" s="125" t="s">
        <v>485</v>
      </c>
      <c r="AC474" s="98"/>
      <c r="AD474" s="98"/>
    </row>
    <row r="475" spans="1:30" ht="12.75" customHeight="1">
      <c r="A475" s="125" t="s">
        <v>495</v>
      </c>
      <c r="B475" s="125" t="s">
        <v>495</v>
      </c>
      <c r="C475" s="382" t="s">
        <v>1201</v>
      </c>
      <c r="D475" s="383"/>
      <c r="E475" s="384"/>
      <c r="F475" s="126" t="s">
        <v>1195</v>
      </c>
      <c r="G475" s="126"/>
      <c r="H475" s="385">
        <f t="shared" si="144"/>
        <v>123.15</v>
      </c>
      <c r="I475" s="126">
        <v>100</v>
      </c>
      <c r="J475" s="385">
        <v>123</v>
      </c>
      <c r="K475" s="133">
        <v>12315</v>
      </c>
      <c r="L475" s="155">
        <v>44336</v>
      </c>
      <c r="M475" s="129">
        <f t="shared" si="14"/>
        <v>124.37</v>
      </c>
      <c r="N475" s="158">
        <v>124.5</v>
      </c>
      <c r="O475" s="386">
        <v>12437</v>
      </c>
      <c r="P475" s="125">
        <v>44358</v>
      </c>
      <c r="Q475" s="437">
        <v>44356</v>
      </c>
      <c r="R475" s="438">
        <v>15.93</v>
      </c>
      <c r="S475" s="439"/>
      <c r="T475" s="440">
        <f t="shared" si="136"/>
        <v>122</v>
      </c>
      <c r="U475" s="441" t="str">
        <f t="shared" si="16"/>
        <v>100 SAIL</v>
      </c>
      <c r="V475" s="132">
        <f t="shared" si="17"/>
        <v>106.07</v>
      </c>
      <c r="W475" s="389">
        <f t="shared" si="137"/>
        <v>8.6130734876167271E-3</v>
      </c>
      <c r="X475" s="442">
        <f t="shared" si="19"/>
        <v>0</v>
      </c>
      <c r="Y475" s="391">
        <f t="shared" si="20"/>
        <v>0</v>
      </c>
      <c r="Z475" s="392">
        <f t="shared" si="21"/>
        <v>22</v>
      </c>
      <c r="AA475" s="389">
        <f t="shared" si="114"/>
        <v>0.15290729138105785</v>
      </c>
      <c r="AB475" s="125" t="s">
        <v>485</v>
      </c>
      <c r="AC475" s="98"/>
      <c r="AD475" s="98"/>
    </row>
    <row r="476" spans="1:30" ht="12.75" customHeight="1">
      <c r="A476" s="125" t="s">
        <v>495</v>
      </c>
      <c r="B476" s="125"/>
      <c r="C476" s="382"/>
      <c r="D476" s="383"/>
      <c r="E476" s="384" t="str">
        <f t="shared" ref="E476:E483" si="145">IFERROR(IF(D476="","",(D476-J476)/J476),"")</f>
        <v/>
      </c>
      <c r="F476" s="126"/>
      <c r="G476" s="126"/>
      <c r="H476" s="385">
        <f t="shared" si="144"/>
        <v>97.6</v>
      </c>
      <c r="I476" s="126">
        <v>25</v>
      </c>
      <c r="J476" s="385">
        <v>97.5</v>
      </c>
      <c r="K476" s="133">
        <v>2440</v>
      </c>
      <c r="L476" s="155">
        <v>44589</v>
      </c>
      <c r="M476" s="129">
        <f t="shared" si="14"/>
        <v>98.4</v>
      </c>
      <c r="N476" s="158">
        <v>98.5</v>
      </c>
      <c r="O476" s="386">
        <v>2460</v>
      </c>
      <c r="P476" s="125">
        <v>44594</v>
      </c>
      <c r="Q476" s="437">
        <v>44592</v>
      </c>
      <c r="R476" s="438">
        <v>15.93</v>
      </c>
      <c r="S476" s="439"/>
      <c r="T476" s="440">
        <f t="shared" si="136"/>
        <v>20</v>
      </c>
      <c r="U476" s="441" t="str">
        <f t="shared" si="16"/>
        <v>25 SAIL</v>
      </c>
      <c r="V476" s="132">
        <f t="shared" si="17"/>
        <v>4.07</v>
      </c>
      <c r="W476" s="389">
        <f t="shared" si="137"/>
        <v>1.668032786885246E-3</v>
      </c>
      <c r="X476" s="442">
        <f t="shared" si="19"/>
        <v>0</v>
      </c>
      <c r="Y476" s="391">
        <f t="shared" si="20"/>
        <v>0</v>
      </c>
      <c r="Z476" s="392">
        <f t="shared" si="21"/>
        <v>5</v>
      </c>
      <c r="AA476" s="389">
        <f t="shared" si="114"/>
        <v>0.12937564227624088</v>
      </c>
      <c r="AB476" s="125" t="s">
        <v>485</v>
      </c>
      <c r="AC476" s="98"/>
      <c r="AD476" s="98"/>
    </row>
    <row r="477" spans="1:30" ht="12.75" customHeight="1">
      <c r="A477" s="125" t="s">
        <v>495</v>
      </c>
      <c r="B477" s="125"/>
      <c r="C477" s="382"/>
      <c r="D477" s="383"/>
      <c r="E477" s="384" t="str">
        <f t="shared" si="145"/>
        <v/>
      </c>
      <c r="F477" s="126"/>
      <c r="G477" s="126"/>
      <c r="H477" s="385">
        <f t="shared" si="144"/>
        <v>98.114999999999995</v>
      </c>
      <c r="I477" s="126">
        <v>200</v>
      </c>
      <c r="J477" s="385">
        <v>98</v>
      </c>
      <c r="K477" s="133">
        <v>19623</v>
      </c>
      <c r="L477" s="155">
        <v>44589</v>
      </c>
      <c r="M477" s="129">
        <f t="shared" si="14"/>
        <v>102.645</v>
      </c>
      <c r="N477" s="158">
        <v>102.75</v>
      </c>
      <c r="O477" s="386">
        <v>20529</v>
      </c>
      <c r="P477" s="125">
        <v>44645</v>
      </c>
      <c r="Q477" s="437">
        <v>44643</v>
      </c>
      <c r="R477" s="438">
        <v>15.93</v>
      </c>
      <c r="S477" s="439"/>
      <c r="T477" s="440">
        <f t="shared" si="136"/>
        <v>906</v>
      </c>
      <c r="U477" s="441" t="str">
        <f t="shared" si="16"/>
        <v>200 SAIL</v>
      </c>
      <c r="V477" s="132">
        <f t="shared" si="17"/>
        <v>890.07</v>
      </c>
      <c r="W477" s="389">
        <f t="shared" si="137"/>
        <v>4.5358507873413854E-2</v>
      </c>
      <c r="X477" s="442">
        <f t="shared" si="19"/>
        <v>0</v>
      </c>
      <c r="Y477" s="391">
        <f t="shared" si="20"/>
        <v>1</v>
      </c>
      <c r="Z477" s="392">
        <f t="shared" si="21"/>
        <v>25</v>
      </c>
      <c r="AA477" s="389">
        <f t="shared" si="114"/>
        <v>0.33526726066036372</v>
      </c>
      <c r="AB477" s="125" t="s">
        <v>485</v>
      </c>
      <c r="AC477" s="98"/>
      <c r="AD477" s="98"/>
    </row>
    <row r="478" spans="1:30" ht="12.75" customHeight="1">
      <c r="A478" s="125" t="s">
        <v>495</v>
      </c>
      <c r="B478" s="125"/>
      <c r="C478" s="382"/>
      <c r="D478" s="383"/>
      <c r="E478" s="384" t="str">
        <f t="shared" si="145"/>
        <v/>
      </c>
      <c r="F478" s="126"/>
      <c r="G478" s="126"/>
      <c r="H478" s="385">
        <f t="shared" si="144"/>
        <v>99.117500000000007</v>
      </c>
      <c r="I478" s="126">
        <v>400</v>
      </c>
      <c r="J478" s="385">
        <v>99</v>
      </c>
      <c r="K478" s="133">
        <v>39647</v>
      </c>
      <c r="L478" s="155">
        <v>44589</v>
      </c>
      <c r="M478" s="129">
        <f t="shared" si="14"/>
        <v>103.8925</v>
      </c>
      <c r="N478" s="158">
        <v>104</v>
      </c>
      <c r="O478" s="386">
        <v>41557</v>
      </c>
      <c r="P478" s="125">
        <v>44645</v>
      </c>
      <c r="Q478" s="437">
        <v>44643</v>
      </c>
      <c r="R478" s="438">
        <v>0</v>
      </c>
      <c r="S478" s="439"/>
      <c r="T478" s="440">
        <f t="shared" si="136"/>
        <v>1910</v>
      </c>
      <c r="U478" s="441" t="str">
        <f t="shared" si="16"/>
        <v>400 SAIL</v>
      </c>
      <c r="V478" s="132">
        <f t="shared" si="17"/>
        <v>1910</v>
      </c>
      <c r="W478" s="389">
        <f t="shared" si="137"/>
        <v>4.81751456604535E-2</v>
      </c>
      <c r="X478" s="442">
        <f t="shared" si="19"/>
        <v>0</v>
      </c>
      <c r="Y478" s="391">
        <f t="shared" si="20"/>
        <v>1</v>
      </c>
      <c r="Z478" s="392">
        <f t="shared" si="21"/>
        <v>25</v>
      </c>
      <c r="AA478" s="389">
        <f t="shared" si="114"/>
        <v>0.35889206923861039</v>
      </c>
      <c r="AB478" s="125" t="s">
        <v>485</v>
      </c>
      <c r="AC478" s="98"/>
      <c r="AD478" s="98"/>
    </row>
    <row r="479" spans="1:30" ht="12.75" customHeight="1">
      <c r="A479" s="125" t="s">
        <v>495</v>
      </c>
      <c r="B479" s="125"/>
      <c r="C479" s="382"/>
      <c r="D479" s="383"/>
      <c r="E479" s="384" t="str">
        <f t="shared" si="145"/>
        <v/>
      </c>
      <c r="F479" s="126"/>
      <c r="G479" s="126"/>
      <c r="H479" s="385">
        <f t="shared" si="144"/>
        <v>99.12</v>
      </c>
      <c r="I479" s="126">
        <v>300</v>
      </c>
      <c r="J479" s="385">
        <v>99</v>
      </c>
      <c r="K479" s="133">
        <v>29736</v>
      </c>
      <c r="L479" s="155">
        <v>44589</v>
      </c>
      <c r="M479" s="129">
        <f t="shared" si="14"/>
        <v>100.8967</v>
      </c>
      <c r="N479" s="158">
        <v>101</v>
      </c>
      <c r="O479" s="386">
        <v>30269</v>
      </c>
      <c r="P479" s="125">
        <v>44656</v>
      </c>
      <c r="Q479" s="437">
        <v>44652</v>
      </c>
      <c r="R479" s="438">
        <v>15.93</v>
      </c>
      <c r="S479" s="439"/>
      <c r="T479" s="440">
        <f t="shared" si="136"/>
        <v>533</v>
      </c>
      <c r="U479" s="441" t="str">
        <f t="shared" si="16"/>
        <v>300 SAIL</v>
      </c>
      <c r="V479" s="132">
        <f t="shared" si="17"/>
        <v>517.07000000000005</v>
      </c>
      <c r="W479" s="389">
        <f t="shared" si="137"/>
        <v>1.7388687113263385E-2</v>
      </c>
      <c r="X479" s="442">
        <f t="shared" si="19"/>
        <v>0</v>
      </c>
      <c r="Y479" s="391">
        <f t="shared" si="20"/>
        <v>2</v>
      </c>
      <c r="Z479" s="392">
        <f t="shared" si="21"/>
        <v>8</v>
      </c>
      <c r="AA479" s="389">
        <f t="shared" si="114"/>
        <v>9.8466624569638173E-2</v>
      </c>
      <c r="AB479" s="125" t="s">
        <v>485</v>
      </c>
      <c r="AC479" s="98"/>
      <c r="AD479" s="98"/>
    </row>
    <row r="480" spans="1:30" ht="12.75" customHeight="1">
      <c r="A480" s="125" t="s">
        <v>495</v>
      </c>
      <c r="B480" s="125"/>
      <c r="C480" s="382"/>
      <c r="D480" s="383"/>
      <c r="E480" s="384" t="str">
        <f t="shared" si="145"/>
        <v/>
      </c>
      <c r="F480" s="126"/>
      <c r="G480" s="126"/>
      <c r="H480" s="385">
        <f t="shared" si="144"/>
        <v>86</v>
      </c>
      <c r="I480" s="126">
        <v>25</v>
      </c>
      <c r="J480" s="385">
        <v>85.9</v>
      </c>
      <c r="K480" s="133">
        <v>2150</v>
      </c>
      <c r="L480" s="155">
        <v>44930</v>
      </c>
      <c r="M480" s="129">
        <f t="shared" si="14"/>
        <v>87.88</v>
      </c>
      <c r="N480" s="158">
        <v>88</v>
      </c>
      <c r="O480" s="386">
        <v>2197</v>
      </c>
      <c r="P480" s="125">
        <v>44931</v>
      </c>
      <c r="Q480" s="437">
        <v>44928</v>
      </c>
      <c r="R480" s="438">
        <v>15.93</v>
      </c>
      <c r="S480" s="439"/>
      <c r="T480" s="440">
        <f t="shared" ref="T480:T481" si="146">IF(OR(O480="",K480=""),"",O480-K480)</f>
        <v>47</v>
      </c>
      <c r="U480" s="441" t="str">
        <f t="shared" si="16"/>
        <v>25 SAIL</v>
      </c>
      <c r="V480" s="132">
        <f t="shared" si="17"/>
        <v>31.07</v>
      </c>
      <c r="W480" s="389">
        <f t="shared" ref="W480:W481" si="147">IF(OR(K480="",V480=""),"",V480/K480)</f>
        <v>1.4451162790697674E-2</v>
      </c>
      <c r="X480" s="442">
        <f t="shared" si="19"/>
        <v>0</v>
      </c>
      <c r="Y480" s="391">
        <f t="shared" si="20"/>
        <v>0</v>
      </c>
      <c r="Z480" s="392">
        <f t="shared" si="21"/>
        <v>1</v>
      </c>
      <c r="AA480" s="389">
        <f t="shared" si="114"/>
        <v>187.09084720010483</v>
      </c>
      <c r="AB480" s="125" t="s">
        <v>485</v>
      </c>
      <c r="AC480" s="98"/>
      <c r="AD480" s="98"/>
    </row>
    <row r="481" spans="1:30" ht="12.75" customHeight="1">
      <c r="A481" s="125" t="s">
        <v>495</v>
      </c>
      <c r="B481" s="125"/>
      <c r="C481" s="382"/>
      <c r="D481" s="383"/>
      <c r="E481" s="384" t="str">
        <f t="shared" si="145"/>
        <v/>
      </c>
      <c r="F481" s="126"/>
      <c r="G481" s="126"/>
      <c r="H481" s="385">
        <f t="shared" si="144"/>
        <v>86.36</v>
      </c>
      <c r="I481" s="126">
        <v>50</v>
      </c>
      <c r="J481" s="385">
        <v>86.25</v>
      </c>
      <c r="K481" s="133">
        <v>4318</v>
      </c>
      <c r="L481" s="155">
        <v>44956</v>
      </c>
      <c r="M481" s="129">
        <f t="shared" si="14"/>
        <v>86.92</v>
      </c>
      <c r="N481" s="158">
        <v>87</v>
      </c>
      <c r="O481" s="386">
        <v>4346</v>
      </c>
      <c r="P481" s="125">
        <v>44957</v>
      </c>
      <c r="Q481" s="437">
        <v>44928</v>
      </c>
      <c r="R481" s="438">
        <v>0</v>
      </c>
      <c r="S481" s="439"/>
      <c r="T481" s="440">
        <f t="shared" si="146"/>
        <v>28</v>
      </c>
      <c r="U481" s="441" t="str">
        <f t="shared" si="16"/>
        <v>50 SAIL</v>
      </c>
      <c r="V481" s="132">
        <f t="shared" si="17"/>
        <v>28</v>
      </c>
      <c r="W481" s="389">
        <f t="shared" si="147"/>
        <v>6.4844835572024084E-3</v>
      </c>
      <c r="X481" s="442">
        <f t="shared" si="19"/>
        <v>0</v>
      </c>
      <c r="Y481" s="391">
        <f t="shared" si="20"/>
        <v>0</v>
      </c>
      <c r="Z481" s="392">
        <f t="shared" si="21"/>
        <v>1</v>
      </c>
      <c r="AA481" s="389">
        <f t="shared" si="114"/>
        <v>9.5824361060124872</v>
      </c>
      <c r="AB481" s="125" t="s">
        <v>485</v>
      </c>
      <c r="AC481" s="98"/>
      <c r="AD481" s="98"/>
    </row>
    <row r="482" spans="1:30" ht="12.75" customHeight="1">
      <c r="A482" s="125" t="s">
        <v>582</v>
      </c>
      <c r="B482" s="125" t="s">
        <v>1377</v>
      </c>
      <c r="C482" s="382" t="s">
        <v>1378</v>
      </c>
      <c r="D482" s="383"/>
      <c r="E482" s="384" t="str">
        <f t="shared" si="145"/>
        <v/>
      </c>
      <c r="F482" s="126" t="s">
        <v>1159</v>
      </c>
      <c r="G482" s="126"/>
      <c r="H482" s="385">
        <f t="shared" si="144"/>
        <v>744</v>
      </c>
      <c r="I482" s="126">
        <v>20</v>
      </c>
      <c r="J482" s="385">
        <v>744</v>
      </c>
      <c r="K482" s="133">
        <v>14880</v>
      </c>
      <c r="L482" s="155">
        <v>44460</v>
      </c>
      <c r="M482" s="129">
        <f t="shared" si="14"/>
        <v>837.15</v>
      </c>
      <c r="N482" s="158">
        <v>838</v>
      </c>
      <c r="O482" s="386">
        <v>16743</v>
      </c>
      <c r="P482" s="125">
        <v>44467</v>
      </c>
      <c r="Q482" s="437">
        <v>44463</v>
      </c>
      <c r="R482" s="438">
        <v>15.93</v>
      </c>
      <c r="S482" s="439"/>
      <c r="T482" s="440">
        <f>IF(O482="","",O482-K482)</f>
        <v>1863</v>
      </c>
      <c r="U482" s="441" t="str">
        <f t="shared" si="16"/>
        <v>20 SANSERA</v>
      </c>
      <c r="V482" s="132">
        <f t="shared" si="17"/>
        <v>1847.07</v>
      </c>
      <c r="W482" s="389">
        <f>IF(M482=0,"",V482/K482)</f>
        <v>0.12413104838709677</v>
      </c>
      <c r="X482" s="442">
        <f t="shared" si="19"/>
        <v>0</v>
      </c>
      <c r="Y482" s="391">
        <f t="shared" si="20"/>
        <v>0</v>
      </c>
      <c r="Z482" s="392">
        <f t="shared" si="21"/>
        <v>7</v>
      </c>
      <c r="AA482" s="389">
        <f t="shared" si="114"/>
        <v>445.41687918067277</v>
      </c>
      <c r="AB482" s="125" t="s">
        <v>485</v>
      </c>
      <c r="AC482" s="98"/>
      <c r="AD482" s="98"/>
    </row>
    <row r="483" spans="1:30" ht="12.75" customHeight="1">
      <c r="A483" s="125" t="s">
        <v>620</v>
      </c>
      <c r="B483" s="125"/>
      <c r="C483" s="382"/>
      <c r="D483" s="383">
        <v>1500</v>
      </c>
      <c r="E483" s="384">
        <f t="shared" si="145"/>
        <v>0.1787819253438114</v>
      </c>
      <c r="F483" s="126"/>
      <c r="G483" s="126" t="s">
        <v>1196</v>
      </c>
      <c r="H483" s="385">
        <f t="shared" si="144"/>
        <v>1274</v>
      </c>
      <c r="I483" s="126">
        <v>6</v>
      </c>
      <c r="J483" s="385">
        <v>1272.5</v>
      </c>
      <c r="K483" s="133">
        <v>7644</v>
      </c>
      <c r="L483" s="155">
        <v>44676</v>
      </c>
      <c r="M483" s="129">
        <f t="shared" si="14"/>
        <v>1500</v>
      </c>
      <c r="N483" s="158">
        <v>1500</v>
      </c>
      <c r="O483" s="386">
        <v>9000</v>
      </c>
      <c r="P483" s="125">
        <v>44736</v>
      </c>
      <c r="Q483" s="437">
        <v>44736</v>
      </c>
      <c r="R483" s="438"/>
      <c r="S483" s="439"/>
      <c r="T483" s="440">
        <f>IF(OR(O483="",K483=""),"",O483-K483)</f>
        <v>1356</v>
      </c>
      <c r="U483" s="441" t="str">
        <f t="shared" si="16"/>
        <v>6 SARDAEN</v>
      </c>
      <c r="V483" s="132">
        <f t="shared" si="17"/>
        <v>1356</v>
      </c>
      <c r="W483" s="389">
        <f>IF(OR(K483="",V483=""),"",V483/K483)</f>
        <v>0.17739403453689168</v>
      </c>
      <c r="X483" s="442">
        <f t="shared" si="19"/>
        <v>0</v>
      </c>
      <c r="Y483" s="391">
        <f t="shared" si="20"/>
        <v>1</v>
      </c>
      <c r="Z483" s="392">
        <f t="shared" si="21"/>
        <v>30</v>
      </c>
      <c r="AA483" s="389">
        <f t="shared" si="114"/>
        <v>1.7004810802143813</v>
      </c>
      <c r="AB483" s="125" t="s">
        <v>485</v>
      </c>
      <c r="AC483" s="98"/>
      <c r="AD483" s="98"/>
    </row>
    <row r="484" spans="1:30" ht="12.75" customHeight="1">
      <c r="A484" s="125" t="s">
        <v>502</v>
      </c>
      <c r="B484" s="125" t="s">
        <v>1379</v>
      </c>
      <c r="C484" s="382" t="s">
        <v>1201</v>
      </c>
      <c r="D484" s="383"/>
      <c r="E484" s="384"/>
      <c r="F484" s="126"/>
      <c r="G484" s="126"/>
      <c r="H484" s="385">
        <f t="shared" si="144"/>
        <v>940.6</v>
      </c>
      <c r="I484" s="126">
        <v>5</v>
      </c>
      <c r="J484" s="385">
        <v>939.5</v>
      </c>
      <c r="K484" s="133">
        <v>4703</v>
      </c>
      <c r="L484" s="155">
        <v>44302</v>
      </c>
      <c r="M484" s="129">
        <f t="shared" si="14"/>
        <v>979</v>
      </c>
      <c r="N484" s="158">
        <v>980</v>
      </c>
      <c r="O484" s="386">
        <v>4895</v>
      </c>
      <c r="P484" s="125">
        <v>44316</v>
      </c>
      <c r="Q484" s="437">
        <v>44314</v>
      </c>
      <c r="R484" s="438">
        <v>15.93</v>
      </c>
      <c r="S484" s="439"/>
      <c r="T484" s="440">
        <f t="shared" ref="T484:T494" si="148">IF(O484="","",O484-K484)</f>
        <v>192</v>
      </c>
      <c r="U484" s="441" t="str">
        <f t="shared" si="16"/>
        <v>5 SBICARD</v>
      </c>
      <c r="V484" s="132">
        <f t="shared" si="17"/>
        <v>176.07</v>
      </c>
      <c r="W484" s="389">
        <f t="shared" ref="W484:W494" si="149">IF(M484=0,"",V484/K484)</f>
        <v>3.7437805655964274E-2</v>
      </c>
      <c r="X484" s="442">
        <f t="shared" si="19"/>
        <v>0</v>
      </c>
      <c r="Y484" s="391">
        <f t="shared" si="20"/>
        <v>0</v>
      </c>
      <c r="Z484" s="392">
        <f t="shared" si="21"/>
        <v>14</v>
      </c>
      <c r="AA484" s="389">
        <f t="shared" si="114"/>
        <v>1.6070776943741336</v>
      </c>
      <c r="AB484" s="125" t="s">
        <v>485</v>
      </c>
      <c r="AC484" s="98"/>
      <c r="AD484" s="98"/>
    </row>
    <row r="485" spans="1:30" ht="12.75" customHeight="1">
      <c r="A485" s="125" t="s">
        <v>493</v>
      </c>
      <c r="B485" s="125" t="s">
        <v>1056</v>
      </c>
      <c r="C485" s="382" t="s">
        <v>1380</v>
      </c>
      <c r="D485" s="383"/>
      <c r="E485" s="384"/>
      <c r="F485" s="126"/>
      <c r="G485" s="126"/>
      <c r="H485" s="385">
        <f t="shared" si="144"/>
        <v>332.4</v>
      </c>
      <c r="I485" s="126">
        <v>20</v>
      </c>
      <c r="J485" s="385">
        <v>332</v>
      </c>
      <c r="K485" s="133">
        <v>6648</v>
      </c>
      <c r="L485" s="155">
        <v>44298</v>
      </c>
      <c r="M485" s="129">
        <f t="shared" si="14"/>
        <v>341.65</v>
      </c>
      <c r="N485" s="158">
        <v>342</v>
      </c>
      <c r="O485" s="386">
        <v>6833</v>
      </c>
      <c r="P485" s="125">
        <v>44305</v>
      </c>
      <c r="Q485" s="437">
        <v>44301</v>
      </c>
      <c r="R485" s="438">
        <v>15.93</v>
      </c>
      <c r="S485" s="439"/>
      <c r="T485" s="440">
        <f t="shared" si="148"/>
        <v>185</v>
      </c>
      <c r="U485" s="441" t="str">
        <f t="shared" si="16"/>
        <v>20 SBIN</v>
      </c>
      <c r="V485" s="132">
        <f t="shared" si="17"/>
        <v>169.07</v>
      </c>
      <c r="W485" s="389">
        <f t="shared" si="149"/>
        <v>2.5431708784596871E-2</v>
      </c>
      <c r="X485" s="442">
        <f t="shared" si="19"/>
        <v>0</v>
      </c>
      <c r="Y485" s="391">
        <f t="shared" si="20"/>
        <v>0</v>
      </c>
      <c r="Z485" s="392">
        <f t="shared" si="21"/>
        <v>7</v>
      </c>
      <c r="AA485" s="389">
        <f t="shared" si="114"/>
        <v>2.704321975351935</v>
      </c>
      <c r="AB485" s="125" t="s">
        <v>485</v>
      </c>
      <c r="AC485" s="98"/>
      <c r="AD485" s="98"/>
    </row>
    <row r="486" spans="1:30" ht="12.75" customHeight="1">
      <c r="A486" s="125" t="s">
        <v>493</v>
      </c>
      <c r="B486" s="125" t="s">
        <v>1056</v>
      </c>
      <c r="C486" s="382" t="s">
        <v>1380</v>
      </c>
      <c r="D486" s="383"/>
      <c r="E486" s="384"/>
      <c r="F486" s="126"/>
      <c r="G486" s="126"/>
      <c r="H486" s="385">
        <f t="shared" si="144"/>
        <v>420.62830000000002</v>
      </c>
      <c r="I486" s="126">
        <v>100</v>
      </c>
      <c r="J486" s="385">
        <v>420.13099999999997</v>
      </c>
      <c r="K486" s="133">
        <v>42062.83</v>
      </c>
      <c r="L486" s="155">
        <v>44245</v>
      </c>
      <c r="M486" s="129">
        <f t="shared" si="14"/>
        <v>378.61</v>
      </c>
      <c r="N486" s="158">
        <v>379</v>
      </c>
      <c r="O486" s="386">
        <v>37861</v>
      </c>
      <c r="P486" s="125">
        <v>44335</v>
      </c>
      <c r="Q486" s="437">
        <v>44333</v>
      </c>
      <c r="R486" s="438">
        <v>15.93</v>
      </c>
      <c r="S486" s="439"/>
      <c r="T486" s="440">
        <f t="shared" si="148"/>
        <v>-4201.8300000000017</v>
      </c>
      <c r="U486" s="441" t="str">
        <f t="shared" si="16"/>
        <v>100 SBIN</v>
      </c>
      <c r="V486" s="132">
        <f t="shared" si="17"/>
        <v>-4217.760000000002</v>
      </c>
      <c r="W486" s="389">
        <f t="shared" si="149"/>
        <v>-0.10027285372857703</v>
      </c>
      <c r="X486" s="442">
        <f t="shared" si="19"/>
        <v>0</v>
      </c>
      <c r="Y486" s="391">
        <f t="shared" si="20"/>
        <v>3</v>
      </c>
      <c r="Z486" s="392">
        <f t="shared" si="21"/>
        <v>1</v>
      </c>
      <c r="AA486" s="389">
        <f t="shared" si="114"/>
        <v>-0.34853078569129736</v>
      </c>
      <c r="AB486" s="125" t="s">
        <v>485</v>
      </c>
      <c r="AC486" s="98"/>
      <c r="AD486" s="98"/>
    </row>
    <row r="487" spans="1:30" ht="12.75" customHeight="1">
      <c r="A487" s="125" t="s">
        <v>493</v>
      </c>
      <c r="B487" s="125" t="s">
        <v>1056</v>
      </c>
      <c r="C487" s="382" t="s">
        <v>1380</v>
      </c>
      <c r="D487" s="383"/>
      <c r="E487" s="384"/>
      <c r="F487" s="126" t="s">
        <v>1145</v>
      </c>
      <c r="G487" s="126"/>
      <c r="H487" s="385">
        <f t="shared" si="144"/>
        <v>427</v>
      </c>
      <c r="I487" s="126">
        <v>10</v>
      </c>
      <c r="J487" s="385">
        <v>426.5</v>
      </c>
      <c r="K487" s="133">
        <v>4270</v>
      </c>
      <c r="L487" s="155">
        <v>44424</v>
      </c>
      <c r="M487" s="129">
        <f t="shared" si="14"/>
        <v>439.9</v>
      </c>
      <c r="N487" s="158">
        <v>440.4</v>
      </c>
      <c r="O487" s="386">
        <v>4399</v>
      </c>
      <c r="P487" s="125">
        <v>44456</v>
      </c>
      <c r="Q487" s="437">
        <v>44454</v>
      </c>
      <c r="R487" s="438">
        <v>15.93</v>
      </c>
      <c r="S487" s="439"/>
      <c r="T487" s="440">
        <f t="shared" si="148"/>
        <v>129</v>
      </c>
      <c r="U487" s="441" t="str">
        <f t="shared" si="16"/>
        <v>10 SBIN</v>
      </c>
      <c r="V487" s="132">
        <f t="shared" si="17"/>
        <v>113.07</v>
      </c>
      <c r="W487" s="389">
        <f t="shared" si="149"/>
        <v>2.6480093676814986E-2</v>
      </c>
      <c r="X487" s="442">
        <f t="shared" si="19"/>
        <v>0</v>
      </c>
      <c r="Y487" s="391">
        <f t="shared" si="20"/>
        <v>1</v>
      </c>
      <c r="Z487" s="392">
        <f t="shared" si="21"/>
        <v>1</v>
      </c>
      <c r="AA487" s="389">
        <f t="shared" si="114"/>
        <v>0.34730834919035591</v>
      </c>
      <c r="AB487" s="125" t="s">
        <v>485</v>
      </c>
      <c r="AC487" s="98"/>
      <c r="AD487" s="98"/>
    </row>
    <row r="488" spans="1:30" ht="12.75" customHeight="1">
      <c r="A488" s="125" t="s">
        <v>493</v>
      </c>
      <c r="B488" s="125" t="s">
        <v>1056</v>
      </c>
      <c r="C488" s="382" t="s">
        <v>1380</v>
      </c>
      <c r="D488" s="383"/>
      <c r="E488" s="384" t="str">
        <f t="shared" ref="E488:E498" si="150">IFERROR(IF(D488="","",(D488-J488)/J488),"")</f>
        <v/>
      </c>
      <c r="F488" s="126" t="s">
        <v>1145</v>
      </c>
      <c r="G488" s="126"/>
      <c r="H488" s="385">
        <f t="shared" si="144"/>
        <v>451.5333</v>
      </c>
      <c r="I488" s="126">
        <v>15</v>
      </c>
      <c r="J488" s="385">
        <v>451</v>
      </c>
      <c r="K488" s="133">
        <v>6773</v>
      </c>
      <c r="L488" s="155">
        <v>44470</v>
      </c>
      <c r="M488" s="129">
        <f t="shared" si="14"/>
        <v>504.4667</v>
      </c>
      <c r="N488" s="158">
        <v>505</v>
      </c>
      <c r="O488" s="386">
        <v>7567</v>
      </c>
      <c r="P488" s="125">
        <v>44496</v>
      </c>
      <c r="Q488" s="437">
        <v>44494</v>
      </c>
      <c r="R488" s="438">
        <v>15.93</v>
      </c>
      <c r="S488" s="439"/>
      <c r="T488" s="440">
        <f t="shared" si="148"/>
        <v>794</v>
      </c>
      <c r="U488" s="441" t="str">
        <f t="shared" si="16"/>
        <v>15 SBIN</v>
      </c>
      <c r="V488" s="132">
        <f t="shared" si="17"/>
        <v>778.07</v>
      </c>
      <c r="W488" s="389">
        <f t="shared" si="149"/>
        <v>0.11487819282445003</v>
      </c>
      <c r="X488" s="442">
        <f t="shared" si="19"/>
        <v>0</v>
      </c>
      <c r="Y488" s="391">
        <f t="shared" si="20"/>
        <v>0</v>
      </c>
      <c r="Z488" s="392">
        <f t="shared" si="21"/>
        <v>26</v>
      </c>
      <c r="AA488" s="389">
        <f t="shared" si="114"/>
        <v>3.60256922029156</v>
      </c>
      <c r="AB488" s="125" t="s">
        <v>485</v>
      </c>
      <c r="AC488" s="98"/>
      <c r="AD488" s="98"/>
    </row>
    <row r="489" spans="1:30" ht="12.75" customHeight="1">
      <c r="A489" s="125" t="s">
        <v>493</v>
      </c>
      <c r="B489" s="125" t="s">
        <v>1056</v>
      </c>
      <c r="C489" s="382" t="s">
        <v>1380</v>
      </c>
      <c r="D489" s="383"/>
      <c r="E489" s="384" t="str">
        <f t="shared" si="150"/>
        <v/>
      </c>
      <c r="F489" s="126" t="s">
        <v>1154</v>
      </c>
      <c r="G489" s="126"/>
      <c r="H489" s="385">
        <f t="shared" si="144"/>
        <v>505.6</v>
      </c>
      <c r="I489" s="126">
        <v>10</v>
      </c>
      <c r="J489" s="385">
        <v>505</v>
      </c>
      <c r="K489" s="133">
        <v>5056</v>
      </c>
      <c r="L489" s="155">
        <v>44497</v>
      </c>
      <c r="M489" s="129">
        <f t="shared" si="14"/>
        <v>522</v>
      </c>
      <c r="N489" s="158">
        <v>522.5</v>
      </c>
      <c r="O489" s="386">
        <v>5220</v>
      </c>
      <c r="P489" s="125">
        <v>44508</v>
      </c>
      <c r="Q489" s="437">
        <v>44502</v>
      </c>
      <c r="R489" s="438">
        <v>15.93</v>
      </c>
      <c r="S489" s="439"/>
      <c r="T489" s="440">
        <f t="shared" si="148"/>
        <v>164</v>
      </c>
      <c r="U489" s="441" t="str">
        <f t="shared" si="16"/>
        <v>10 SBIN</v>
      </c>
      <c r="V489" s="132">
        <f t="shared" si="17"/>
        <v>148.07</v>
      </c>
      <c r="W489" s="389">
        <f t="shared" si="149"/>
        <v>2.9285996835443036E-2</v>
      </c>
      <c r="X489" s="442">
        <f t="shared" si="19"/>
        <v>0</v>
      </c>
      <c r="Y489" s="391">
        <f t="shared" si="20"/>
        <v>0</v>
      </c>
      <c r="Z489" s="392">
        <f t="shared" si="21"/>
        <v>11</v>
      </c>
      <c r="AA489" s="389">
        <f t="shared" si="114"/>
        <v>1.6059699779133538</v>
      </c>
      <c r="AB489" s="125" t="s">
        <v>485</v>
      </c>
      <c r="AC489" s="98"/>
      <c r="AD489" s="98"/>
    </row>
    <row r="490" spans="1:30" ht="12.75" customHeight="1">
      <c r="A490" s="125" t="s">
        <v>493</v>
      </c>
      <c r="B490" s="125" t="s">
        <v>1056</v>
      </c>
      <c r="C490" s="382" t="s">
        <v>1380</v>
      </c>
      <c r="D490" s="383"/>
      <c r="E490" s="384" t="str">
        <f t="shared" si="150"/>
        <v/>
      </c>
      <c r="F490" s="126" t="s">
        <v>1145</v>
      </c>
      <c r="G490" s="126"/>
      <c r="H490" s="385">
        <f t="shared" si="144"/>
        <v>519.6</v>
      </c>
      <c r="I490" s="126">
        <v>15</v>
      </c>
      <c r="J490" s="385">
        <v>519</v>
      </c>
      <c r="K490" s="133">
        <v>7794</v>
      </c>
      <c r="L490" s="155">
        <v>44508</v>
      </c>
      <c r="M490" s="129">
        <f t="shared" si="14"/>
        <v>529.46669999999995</v>
      </c>
      <c r="N490" s="158">
        <v>530</v>
      </c>
      <c r="O490" s="386">
        <v>7942</v>
      </c>
      <c r="P490" s="125">
        <v>44511</v>
      </c>
      <c r="Q490" s="437">
        <v>44509</v>
      </c>
      <c r="R490" s="438">
        <v>15.93</v>
      </c>
      <c r="S490" s="439"/>
      <c r="T490" s="440">
        <f t="shared" si="148"/>
        <v>148</v>
      </c>
      <c r="U490" s="441" t="str">
        <f t="shared" si="16"/>
        <v>15 SBIN</v>
      </c>
      <c r="V490" s="132">
        <f t="shared" si="17"/>
        <v>132.07</v>
      </c>
      <c r="W490" s="389">
        <f t="shared" si="149"/>
        <v>1.6945085963561712E-2</v>
      </c>
      <c r="X490" s="442">
        <f t="shared" si="19"/>
        <v>0</v>
      </c>
      <c r="Y490" s="391">
        <f t="shared" si="20"/>
        <v>0</v>
      </c>
      <c r="Z490" s="392">
        <f t="shared" si="21"/>
        <v>3</v>
      </c>
      <c r="AA490" s="389">
        <f t="shared" si="114"/>
        <v>6.724364390742025</v>
      </c>
      <c r="AB490" s="125" t="s">
        <v>485</v>
      </c>
      <c r="AC490" s="98"/>
      <c r="AD490" s="98"/>
    </row>
    <row r="491" spans="1:30" ht="12.75" customHeight="1">
      <c r="A491" s="125" t="s">
        <v>493</v>
      </c>
      <c r="B491" s="125" t="s">
        <v>1056</v>
      </c>
      <c r="C491" s="382" t="s">
        <v>1380</v>
      </c>
      <c r="D491" s="383"/>
      <c r="E491" s="384" t="str">
        <f t="shared" si="150"/>
        <v/>
      </c>
      <c r="F491" s="126" t="s">
        <v>1145</v>
      </c>
      <c r="G491" s="126"/>
      <c r="H491" s="385">
        <f t="shared" si="144"/>
        <v>519.6</v>
      </c>
      <c r="I491" s="126">
        <v>25</v>
      </c>
      <c r="J491" s="385">
        <v>519</v>
      </c>
      <c r="K491" s="133">
        <v>12990</v>
      </c>
      <c r="L491" s="155">
        <v>44511</v>
      </c>
      <c r="M491" s="129">
        <f t="shared" si="14"/>
        <v>525.96</v>
      </c>
      <c r="N491" s="158">
        <v>526.5</v>
      </c>
      <c r="O491" s="386">
        <v>13149</v>
      </c>
      <c r="P491" s="125">
        <v>44592</v>
      </c>
      <c r="Q491" s="437">
        <v>44588</v>
      </c>
      <c r="R491" s="438">
        <v>15.93</v>
      </c>
      <c r="S491" s="439"/>
      <c r="T491" s="440">
        <f t="shared" si="148"/>
        <v>159</v>
      </c>
      <c r="U491" s="441" t="str">
        <f t="shared" si="16"/>
        <v>25 SBIN</v>
      </c>
      <c r="V491" s="132">
        <f t="shared" si="17"/>
        <v>143.07</v>
      </c>
      <c r="W491" s="389">
        <f t="shared" si="149"/>
        <v>1.1013856812933025E-2</v>
      </c>
      <c r="X491" s="442">
        <f t="shared" si="19"/>
        <v>0</v>
      </c>
      <c r="Y491" s="391">
        <f t="shared" si="20"/>
        <v>2</v>
      </c>
      <c r="Z491" s="392">
        <f t="shared" si="21"/>
        <v>20</v>
      </c>
      <c r="AA491" s="389">
        <f t="shared" si="114"/>
        <v>5.0597470704260683E-2</v>
      </c>
      <c r="AB491" s="125" t="s">
        <v>485</v>
      </c>
      <c r="AC491" s="98"/>
      <c r="AD491" s="98"/>
    </row>
    <row r="492" spans="1:30" ht="12.75" customHeight="1">
      <c r="A492" s="125" t="s">
        <v>493</v>
      </c>
      <c r="B492" s="125"/>
      <c r="C492" s="382"/>
      <c r="D492" s="383"/>
      <c r="E492" s="384" t="str">
        <f t="shared" si="150"/>
        <v/>
      </c>
      <c r="F492" s="126"/>
      <c r="G492" s="126"/>
      <c r="H492" s="385">
        <f t="shared" si="144"/>
        <v>434.86</v>
      </c>
      <c r="I492" s="126">
        <v>50</v>
      </c>
      <c r="J492" s="385">
        <v>434.35</v>
      </c>
      <c r="K492" s="133">
        <v>21743</v>
      </c>
      <c r="L492" s="155">
        <v>44628</v>
      </c>
      <c r="M492" s="129">
        <f t="shared" si="14"/>
        <v>499.48</v>
      </c>
      <c r="N492" s="158">
        <v>500</v>
      </c>
      <c r="O492" s="386">
        <v>24974</v>
      </c>
      <c r="P492" s="125">
        <v>44652</v>
      </c>
      <c r="Q492" s="437">
        <v>44650</v>
      </c>
      <c r="R492" s="438">
        <v>15.93</v>
      </c>
      <c r="S492" s="439"/>
      <c r="T492" s="440">
        <f t="shared" si="148"/>
        <v>3231</v>
      </c>
      <c r="U492" s="441" t="str">
        <f t="shared" si="16"/>
        <v>50 SBIN</v>
      </c>
      <c r="V492" s="132">
        <f t="shared" si="17"/>
        <v>3215.07</v>
      </c>
      <c r="W492" s="389">
        <f t="shared" si="149"/>
        <v>0.14786689969185485</v>
      </c>
      <c r="X492" s="442">
        <f t="shared" si="19"/>
        <v>0</v>
      </c>
      <c r="Y492" s="391">
        <f t="shared" si="20"/>
        <v>0</v>
      </c>
      <c r="Z492" s="392">
        <f t="shared" si="21"/>
        <v>24</v>
      </c>
      <c r="AA492" s="389">
        <f t="shared" si="114"/>
        <v>7.1442367786938448</v>
      </c>
      <c r="AB492" s="125" t="s">
        <v>485</v>
      </c>
      <c r="AC492" s="98"/>
      <c r="AD492" s="98"/>
    </row>
    <row r="493" spans="1:30" ht="12.75" customHeight="1">
      <c r="A493" s="125" t="s">
        <v>493</v>
      </c>
      <c r="B493" s="125"/>
      <c r="C493" s="382"/>
      <c r="D493" s="383"/>
      <c r="E493" s="384" t="str">
        <f t="shared" si="150"/>
        <v/>
      </c>
      <c r="F493" s="126"/>
      <c r="G493" s="126"/>
      <c r="H493" s="385">
        <f t="shared" si="144"/>
        <v>434.88</v>
      </c>
      <c r="I493" s="126">
        <v>25</v>
      </c>
      <c r="J493" s="385">
        <v>434.35</v>
      </c>
      <c r="K493" s="133">
        <v>10872</v>
      </c>
      <c r="L493" s="155">
        <v>44628</v>
      </c>
      <c r="M493" s="129">
        <f t="shared" si="14"/>
        <v>499.48</v>
      </c>
      <c r="N493" s="158">
        <v>500</v>
      </c>
      <c r="O493" s="386">
        <v>12487</v>
      </c>
      <c r="P493" s="125">
        <v>44656</v>
      </c>
      <c r="Q493" s="437">
        <v>44652</v>
      </c>
      <c r="R493" s="438">
        <v>15.93</v>
      </c>
      <c r="S493" s="439"/>
      <c r="T493" s="440">
        <f t="shared" si="148"/>
        <v>1615</v>
      </c>
      <c r="U493" s="441" t="str">
        <f t="shared" si="16"/>
        <v>25 SBIN</v>
      </c>
      <c r="V493" s="132">
        <f t="shared" si="17"/>
        <v>1599.07</v>
      </c>
      <c r="W493" s="389">
        <f t="shared" si="149"/>
        <v>0.14708149374540103</v>
      </c>
      <c r="X493" s="442">
        <f t="shared" si="19"/>
        <v>0</v>
      </c>
      <c r="Y493" s="391">
        <f t="shared" si="20"/>
        <v>0</v>
      </c>
      <c r="Z493" s="392">
        <f t="shared" si="21"/>
        <v>28</v>
      </c>
      <c r="AA493" s="389">
        <f t="shared" si="114"/>
        <v>4.9821034412762941</v>
      </c>
      <c r="AB493" s="125" t="s">
        <v>485</v>
      </c>
      <c r="AC493" s="98"/>
      <c r="AD493" s="98"/>
    </row>
    <row r="494" spans="1:30" ht="12.75" customHeight="1">
      <c r="A494" s="125" t="s">
        <v>493</v>
      </c>
      <c r="B494" s="125"/>
      <c r="C494" s="382"/>
      <c r="D494" s="383"/>
      <c r="E494" s="384" t="str">
        <f t="shared" si="150"/>
        <v/>
      </c>
      <c r="F494" s="126"/>
      <c r="G494" s="126"/>
      <c r="H494" s="385">
        <f t="shared" si="144"/>
        <v>500.6</v>
      </c>
      <c r="I494" s="126">
        <v>10</v>
      </c>
      <c r="J494" s="385">
        <v>500</v>
      </c>
      <c r="K494" s="133">
        <v>5006</v>
      </c>
      <c r="L494" s="155">
        <v>44615</v>
      </c>
      <c r="M494" s="129">
        <f t="shared" si="14"/>
        <v>499.5</v>
      </c>
      <c r="N494" s="158">
        <v>500</v>
      </c>
      <c r="O494" s="386">
        <v>4995</v>
      </c>
      <c r="P494" s="125">
        <v>44656</v>
      </c>
      <c r="Q494" s="437">
        <v>44652</v>
      </c>
      <c r="R494" s="438">
        <v>0</v>
      </c>
      <c r="S494" s="439"/>
      <c r="T494" s="440">
        <f t="shared" si="148"/>
        <v>-11</v>
      </c>
      <c r="U494" s="441" t="str">
        <f t="shared" si="16"/>
        <v>10 SBIN</v>
      </c>
      <c r="V494" s="132">
        <f t="shared" si="17"/>
        <v>-11</v>
      </c>
      <c r="W494" s="389">
        <f t="shared" si="149"/>
        <v>-2.1973631642029563E-3</v>
      </c>
      <c r="X494" s="442">
        <f t="shared" si="19"/>
        <v>0</v>
      </c>
      <c r="Y494" s="391">
        <f t="shared" si="20"/>
        <v>1</v>
      </c>
      <c r="Z494" s="392">
        <f t="shared" si="21"/>
        <v>13</v>
      </c>
      <c r="AA494" s="389">
        <f t="shared" si="114"/>
        <v>-1.9392905965797347E-2</v>
      </c>
      <c r="AB494" s="125" t="s">
        <v>485</v>
      </c>
      <c r="AC494" s="98"/>
      <c r="AD494" s="98"/>
    </row>
    <row r="495" spans="1:30" ht="12.75" customHeight="1">
      <c r="A495" s="125" t="s">
        <v>493</v>
      </c>
      <c r="B495" s="125"/>
      <c r="C495" s="382"/>
      <c r="D495" s="383"/>
      <c r="E495" s="384" t="str">
        <f t="shared" si="150"/>
        <v/>
      </c>
      <c r="F495" s="126"/>
      <c r="G495" s="126"/>
      <c r="H495" s="385">
        <f t="shared" si="144"/>
        <v>504.6</v>
      </c>
      <c r="I495" s="126">
        <v>25</v>
      </c>
      <c r="J495" s="385">
        <v>504</v>
      </c>
      <c r="K495" s="133">
        <v>12615</v>
      </c>
      <c r="L495" s="155">
        <v>44673</v>
      </c>
      <c r="M495" s="129">
        <f t="shared" si="14"/>
        <v>522.44000000000005</v>
      </c>
      <c r="N495" s="158">
        <v>523</v>
      </c>
      <c r="O495" s="386">
        <v>13061</v>
      </c>
      <c r="P495" s="125">
        <v>44771</v>
      </c>
      <c r="Q495" s="437">
        <v>44769</v>
      </c>
      <c r="R495" s="438">
        <v>15.93</v>
      </c>
      <c r="S495" s="439"/>
      <c r="T495" s="440">
        <f t="shared" ref="T495:T496" si="151">IF(OR(O495="",K495=""),"",O495-K495)</f>
        <v>446</v>
      </c>
      <c r="U495" s="441" t="str">
        <f t="shared" si="16"/>
        <v>25 SBIN</v>
      </c>
      <c r="V495" s="132">
        <f t="shared" si="17"/>
        <v>430.07</v>
      </c>
      <c r="W495" s="389">
        <f t="shared" ref="W495:W496" si="152">IF(OR(K495="",V495=""),"",V495/K495)</f>
        <v>3.4091954022988508E-2</v>
      </c>
      <c r="X495" s="442">
        <f t="shared" si="19"/>
        <v>0</v>
      </c>
      <c r="Y495" s="391">
        <f t="shared" si="20"/>
        <v>3</v>
      </c>
      <c r="Z495" s="392">
        <f t="shared" si="21"/>
        <v>7</v>
      </c>
      <c r="AA495" s="389">
        <f t="shared" si="114"/>
        <v>0.13298833686553024</v>
      </c>
      <c r="AB495" s="125" t="s">
        <v>485</v>
      </c>
      <c r="AC495" s="98"/>
      <c r="AD495" s="98"/>
    </row>
    <row r="496" spans="1:30" ht="12.75" customHeight="1">
      <c r="A496" s="125" t="s">
        <v>493</v>
      </c>
      <c r="B496" s="125"/>
      <c r="C496" s="382"/>
      <c r="D496" s="383"/>
      <c r="E496" s="384" t="str">
        <f t="shared" si="150"/>
        <v/>
      </c>
      <c r="F496" s="126"/>
      <c r="G496" s="126"/>
      <c r="H496" s="385">
        <f t="shared" si="144"/>
        <v>504.6</v>
      </c>
      <c r="I496" s="126">
        <v>25</v>
      </c>
      <c r="J496" s="385">
        <v>504</v>
      </c>
      <c r="K496" s="133">
        <v>12615</v>
      </c>
      <c r="L496" s="155">
        <v>44673</v>
      </c>
      <c r="M496" s="129">
        <f t="shared" si="14"/>
        <v>541.44000000000005</v>
      </c>
      <c r="N496" s="158">
        <v>542</v>
      </c>
      <c r="O496" s="386">
        <v>13536</v>
      </c>
      <c r="P496" s="125">
        <v>44777</v>
      </c>
      <c r="Q496" s="437">
        <v>44775</v>
      </c>
      <c r="R496" s="438">
        <v>15.93</v>
      </c>
      <c r="S496" s="439"/>
      <c r="T496" s="440">
        <f t="shared" si="151"/>
        <v>921</v>
      </c>
      <c r="U496" s="441" t="str">
        <f t="shared" si="16"/>
        <v>25 SBIN</v>
      </c>
      <c r="V496" s="132">
        <f t="shared" si="17"/>
        <v>905.07</v>
      </c>
      <c r="W496" s="389">
        <f t="shared" si="152"/>
        <v>7.174554102259216E-2</v>
      </c>
      <c r="X496" s="442">
        <f t="shared" si="19"/>
        <v>0</v>
      </c>
      <c r="Y496" s="391">
        <f t="shared" si="20"/>
        <v>3</v>
      </c>
      <c r="Z496" s="392">
        <f t="shared" si="21"/>
        <v>13</v>
      </c>
      <c r="AA496" s="389">
        <f t="shared" si="114"/>
        <v>0.27529378063688981</v>
      </c>
      <c r="AB496" s="125" t="s">
        <v>485</v>
      </c>
      <c r="AC496" s="98"/>
      <c r="AD496" s="98"/>
    </row>
    <row r="497" spans="1:30" ht="12.75" customHeight="1">
      <c r="A497" s="125" t="s">
        <v>532</v>
      </c>
      <c r="B497" s="125" t="s">
        <v>1381</v>
      </c>
      <c r="C497" s="382" t="s">
        <v>1201</v>
      </c>
      <c r="D497" s="383" t="s">
        <v>1194</v>
      </c>
      <c r="E497" s="384">
        <f t="shared" si="150"/>
        <v>0.2</v>
      </c>
      <c r="F497" s="126" t="s">
        <v>1162</v>
      </c>
      <c r="G497" s="126" t="s">
        <v>1163</v>
      </c>
      <c r="H497" s="385">
        <f t="shared" si="144"/>
        <v>125.15</v>
      </c>
      <c r="I497" s="126">
        <v>100</v>
      </c>
      <c r="J497" s="385">
        <v>125</v>
      </c>
      <c r="K497" s="133">
        <v>12515</v>
      </c>
      <c r="L497" s="155">
        <v>44348</v>
      </c>
      <c r="M497" s="129">
        <f t="shared" si="14"/>
        <v>134.56</v>
      </c>
      <c r="N497" s="158">
        <v>134.69999999999999</v>
      </c>
      <c r="O497" s="386">
        <v>13456</v>
      </c>
      <c r="P497" s="125">
        <v>44358</v>
      </c>
      <c r="Q497" s="437">
        <v>44356</v>
      </c>
      <c r="R497" s="438">
        <v>15.93</v>
      </c>
      <c r="S497" s="439"/>
      <c r="T497" s="440">
        <f t="shared" ref="T497:T508" si="153">IF(O497="","",O497-K497)</f>
        <v>941</v>
      </c>
      <c r="U497" s="441" t="str">
        <f t="shared" si="16"/>
        <v>100 SCHNEIDER</v>
      </c>
      <c r="V497" s="388">
        <f t="shared" si="17"/>
        <v>925.07</v>
      </c>
      <c r="W497" s="389">
        <f t="shared" ref="W497:W508" si="154">IF(M497=0,"",V497/K497)</f>
        <v>7.3916899720335605E-2</v>
      </c>
      <c r="X497" s="390">
        <f t="shared" si="19"/>
        <v>0</v>
      </c>
      <c r="Y497" s="391">
        <f t="shared" si="20"/>
        <v>0</v>
      </c>
      <c r="Z497" s="392">
        <f t="shared" si="21"/>
        <v>10</v>
      </c>
      <c r="AA497" s="389">
        <f t="shared" si="114"/>
        <v>12.502982357044511</v>
      </c>
      <c r="AB497" s="125" t="s">
        <v>485</v>
      </c>
      <c r="AC497" s="98"/>
      <c r="AD497" s="98"/>
    </row>
    <row r="498" spans="1:30" ht="12.75" customHeight="1">
      <c r="A498" s="126" t="s">
        <v>609</v>
      </c>
      <c r="B498" s="125" t="s">
        <v>1150</v>
      </c>
      <c r="C498" s="382" t="s">
        <v>1151</v>
      </c>
      <c r="D498" s="383"/>
      <c r="E498" s="384" t="str">
        <f t="shared" si="150"/>
        <v/>
      </c>
      <c r="F498" s="126" t="s">
        <v>1145</v>
      </c>
      <c r="G498" s="126"/>
      <c r="H498" s="385">
        <f t="shared" si="144"/>
        <v>45.063299999999998</v>
      </c>
      <c r="I498" s="126">
        <v>1500</v>
      </c>
      <c r="J498" s="385">
        <v>45.01</v>
      </c>
      <c r="K498" s="133">
        <v>67595</v>
      </c>
      <c r="L498" s="155">
        <v>44616</v>
      </c>
      <c r="M498" s="129">
        <f t="shared" si="14"/>
        <v>45.578000000000003</v>
      </c>
      <c r="N498" s="158">
        <v>45.58</v>
      </c>
      <c r="O498" s="386">
        <v>68367</v>
      </c>
      <c r="P498" s="125">
        <v>44620</v>
      </c>
      <c r="Q498" s="437">
        <v>44616</v>
      </c>
      <c r="R498" s="438">
        <v>15.93</v>
      </c>
      <c r="S498" s="439"/>
      <c r="T498" s="440">
        <f t="shared" si="153"/>
        <v>772</v>
      </c>
      <c r="U498" s="441" t="str">
        <f t="shared" si="16"/>
        <v>1500 SETFGOLD</v>
      </c>
      <c r="V498" s="388">
        <f t="shared" si="17"/>
        <v>756.07</v>
      </c>
      <c r="W498" s="389">
        <f t="shared" si="154"/>
        <v>1.118529477032325E-2</v>
      </c>
      <c r="X498" s="390">
        <f t="shared" si="19"/>
        <v>0</v>
      </c>
      <c r="Y498" s="391">
        <f t="shared" si="20"/>
        <v>0</v>
      </c>
      <c r="Z498" s="392">
        <f t="shared" si="21"/>
        <v>4</v>
      </c>
      <c r="AA498" s="389">
        <f t="shared" si="114"/>
        <v>1.7593418134010599</v>
      </c>
      <c r="AB498" s="125" t="s">
        <v>460</v>
      </c>
      <c r="AC498" s="98"/>
      <c r="AD498" s="98"/>
    </row>
    <row r="499" spans="1:30" ht="12.75" customHeight="1">
      <c r="A499" s="126" t="s">
        <v>609</v>
      </c>
      <c r="B499" s="125" t="s">
        <v>1150</v>
      </c>
      <c r="C499" s="382" t="s">
        <v>1151</v>
      </c>
      <c r="D499" s="383"/>
      <c r="E499" s="384" t="s">
        <v>132</v>
      </c>
      <c r="F499" s="126" t="s">
        <v>1145</v>
      </c>
      <c r="G499" s="126"/>
      <c r="H499" s="385">
        <v>41.857500000000002</v>
      </c>
      <c r="I499" s="126">
        <v>1500</v>
      </c>
      <c r="J499" s="385">
        <v>45.4833</v>
      </c>
      <c r="K499" s="133">
        <v>68237</v>
      </c>
      <c r="L499" s="155">
        <v>44630</v>
      </c>
      <c r="M499" s="129">
        <f t="shared" si="14"/>
        <v>46.8187</v>
      </c>
      <c r="N499" s="158">
        <v>46.82</v>
      </c>
      <c r="O499" s="386">
        <v>70228</v>
      </c>
      <c r="P499" s="125">
        <v>44631</v>
      </c>
      <c r="Q499" s="437">
        <v>44627</v>
      </c>
      <c r="R499" s="438">
        <v>15.93</v>
      </c>
      <c r="S499" s="439"/>
      <c r="T499" s="440">
        <f t="shared" si="153"/>
        <v>1991</v>
      </c>
      <c r="U499" s="441" t="str">
        <f t="shared" si="16"/>
        <v>1500 SETFGOLD</v>
      </c>
      <c r="V499" s="388">
        <f t="shared" si="17"/>
        <v>1975.07</v>
      </c>
      <c r="W499" s="389">
        <f t="shared" si="154"/>
        <v>2.8944267772616029E-2</v>
      </c>
      <c r="X499" s="390">
        <f t="shared" si="19"/>
        <v>0</v>
      </c>
      <c r="Y499" s="391">
        <f t="shared" si="20"/>
        <v>0</v>
      </c>
      <c r="Z499" s="392">
        <f t="shared" si="21"/>
        <v>1</v>
      </c>
      <c r="AA499" s="389">
        <f t="shared" si="114"/>
        <v>33343.637789817549</v>
      </c>
      <c r="AB499" s="125" t="s">
        <v>460</v>
      </c>
      <c r="AC499" s="98"/>
      <c r="AD499" s="98"/>
    </row>
    <row r="500" spans="1:30" ht="12.75" customHeight="1">
      <c r="A500" s="126" t="s">
        <v>609</v>
      </c>
      <c r="B500" s="125" t="s">
        <v>1150</v>
      </c>
      <c r="C500" s="382" t="s">
        <v>1151</v>
      </c>
      <c r="D500" s="383"/>
      <c r="E500" s="384" t="str">
        <f t="shared" ref="E500:E509" si="155">IFERROR(IF(D500="","",(D500-J500)/J500),"")</f>
        <v/>
      </c>
      <c r="F500" s="126" t="s">
        <v>1145</v>
      </c>
      <c r="G500" s="126"/>
      <c r="H500" s="385">
        <f t="shared" ref="H500:H509" si="156">ROUND(K500/I500,4)</f>
        <v>46</v>
      </c>
      <c r="I500" s="126">
        <v>1</v>
      </c>
      <c r="J500" s="385">
        <v>46.35</v>
      </c>
      <c r="K500" s="133">
        <v>46</v>
      </c>
      <c r="L500" s="155">
        <v>44629</v>
      </c>
      <c r="M500" s="129">
        <f t="shared" si="14"/>
        <v>46</v>
      </c>
      <c r="N500" s="158">
        <v>46.280799999999999</v>
      </c>
      <c r="O500" s="386">
        <v>46</v>
      </c>
      <c r="P500" s="125">
        <v>44664</v>
      </c>
      <c r="Q500" s="437">
        <v>44662</v>
      </c>
      <c r="R500" s="438">
        <v>0</v>
      </c>
      <c r="S500" s="439"/>
      <c r="T500" s="440">
        <f t="shared" si="153"/>
        <v>0</v>
      </c>
      <c r="U500" s="441" t="str">
        <f t="shared" si="16"/>
        <v>1 SETFGOLD</v>
      </c>
      <c r="V500" s="388">
        <f t="shared" si="17"/>
        <v>0</v>
      </c>
      <c r="W500" s="389">
        <f t="shared" si="154"/>
        <v>0</v>
      </c>
      <c r="X500" s="390">
        <f t="shared" si="19"/>
        <v>0</v>
      </c>
      <c r="Y500" s="391">
        <f t="shared" si="20"/>
        <v>1</v>
      </c>
      <c r="Z500" s="392">
        <f t="shared" si="21"/>
        <v>4</v>
      </c>
      <c r="AA500" s="389">
        <f t="shared" si="114"/>
        <v>0</v>
      </c>
      <c r="AB500" s="125" t="s">
        <v>460</v>
      </c>
      <c r="AC500" s="98"/>
      <c r="AD500" s="98"/>
    </row>
    <row r="501" spans="1:30" ht="12.75" customHeight="1">
      <c r="A501" s="126" t="s">
        <v>609</v>
      </c>
      <c r="B501" s="125" t="s">
        <v>1150</v>
      </c>
      <c r="C501" s="382" t="s">
        <v>1151</v>
      </c>
      <c r="D501" s="383"/>
      <c r="E501" s="384" t="str">
        <f t="shared" si="155"/>
        <v/>
      </c>
      <c r="F501" s="126" t="s">
        <v>1145</v>
      </c>
      <c r="G501" s="126"/>
      <c r="H501" s="385">
        <f t="shared" si="156"/>
        <v>39.717500000000001</v>
      </c>
      <c r="I501" s="126">
        <v>400</v>
      </c>
      <c r="J501" s="385">
        <v>39.71</v>
      </c>
      <c r="K501" s="133">
        <v>15887</v>
      </c>
      <c r="L501" s="155">
        <v>44260</v>
      </c>
      <c r="M501" s="129">
        <f t="shared" si="14"/>
        <v>46.28</v>
      </c>
      <c r="N501" s="158">
        <v>46.280799999999999</v>
      </c>
      <c r="O501" s="386">
        <v>18512</v>
      </c>
      <c r="P501" s="125">
        <v>44664</v>
      </c>
      <c r="Q501" s="437">
        <v>44662</v>
      </c>
      <c r="R501" s="438">
        <v>15.93</v>
      </c>
      <c r="S501" s="439"/>
      <c r="T501" s="440">
        <f t="shared" si="153"/>
        <v>2625</v>
      </c>
      <c r="U501" s="441" t="str">
        <f t="shared" si="16"/>
        <v>400 SETFGOLD</v>
      </c>
      <c r="V501" s="388">
        <f t="shared" si="17"/>
        <v>2609.0700000000002</v>
      </c>
      <c r="W501" s="389">
        <f t="shared" si="154"/>
        <v>0.16422672625417009</v>
      </c>
      <c r="X501" s="390">
        <f t="shared" si="19"/>
        <v>1</v>
      </c>
      <c r="Y501" s="391">
        <f t="shared" si="20"/>
        <v>1</v>
      </c>
      <c r="Z501" s="392">
        <f t="shared" si="21"/>
        <v>8</v>
      </c>
      <c r="AA501" s="389">
        <f t="shared" si="114"/>
        <v>0.14726211204892237</v>
      </c>
      <c r="AB501" s="125" t="s">
        <v>460</v>
      </c>
      <c r="AC501" s="98"/>
      <c r="AD501" s="98"/>
    </row>
    <row r="502" spans="1:30" ht="12.75" customHeight="1">
      <c r="A502" s="126" t="s">
        <v>609</v>
      </c>
      <c r="B502" s="125" t="s">
        <v>1150</v>
      </c>
      <c r="C502" s="382" t="s">
        <v>1151</v>
      </c>
      <c r="D502" s="383"/>
      <c r="E502" s="384" t="str">
        <f t="shared" si="155"/>
        <v/>
      </c>
      <c r="F502" s="126" t="s">
        <v>1145</v>
      </c>
      <c r="G502" s="126"/>
      <c r="H502" s="385">
        <f t="shared" si="156"/>
        <v>41.957500000000003</v>
      </c>
      <c r="I502" s="126">
        <v>1600</v>
      </c>
      <c r="J502" s="385">
        <v>41.95</v>
      </c>
      <c r="K502" s="133">
        <v>67132</v>
      </c>
      <c r="L502" s="155">
        <v>44368</v>
      </c>
      <c r="M502" s="129">
        <f t="shared" si="14"/>
        <v>46.278799999999997</v>
      </c>
      <c r="N502" s="158">
        <v>46.280799999999999</v>
      </c>
      <c r="O502" s="386">
        <v>74046</v>
      </c>
      <c r="P502" s="125">
        <v>44664</v>
      </c>
      <c r="Q502" s="437">
        <v>44662</v>
      </c>
      <c r="R502" s="438">
        <v>0</v>
      </c>
      <c r="S502" s="439"/>
      <c r="T502" s="440">
        <f t="shared" si="153"/>
        <v>6914</v>
      </c>
      <c r="U502" s="441" t="str">
        <f t="shared" si="16"/>
        <v>1600 SETFGOLD</v>
      </c>
      <c r="V502" s="388">
        <f t="shared" si="17"/>
        <v>6914</v>
      </c>
      <c r="W502" s="389">
        <f t="shared" si="154"/>
        <v>0.10299112196865876</v>
      </c>
      <c r="X502" s="390">
        <f t="shared" si="19"/>
        <v>0</v>
      </c>
      <c r="Y502" s="391">
        <f t="shared" si="20"/>
        <v>9</v>
      </c>
      <c r="Z502" s="392">
        <f t="shared" si="21"/>
        <v>23</v>
      </c>
      <c r="AA502" s="389">
        <f t="shared" si="114"/>
        <v>0.12848528153512206</v>
      </c>
      <c r="AB502" s="125" t="s">
        <v>460</v>
      </c>
      <c r="AC502" s="98"/>
      <c r="AD502" s="98"/>
    </row>
    <row r="503" spans="1:30" ht="12.75" customHeight="1">
      <c r="A503" s="126" t="s">
        <v>609</v>
      </c>
      <c r="B503" s="125" t="s">
        <v>1150</v>
      </c>
      <c r="C503" s="382" t="s">
        <v>1151</v>
      </c>
      <c r="D503" s="383"/>
      <c r="E503" s="384" t="str">
        <f t="shared" si="155"/>
        <v/>
      </c>
      <c r="F503" s="126" t="s">
        <v>1145</v>
      </c>
      <c r="G503" s="126"/>
      <c r="H503" s="385">
        <f t="shared" si="156"/>
        <v>42.107999999999997</v>
      </c>
      <c r="I503" s="126">
        <v>500</v>
      </c>
      <c r="J503" s="385">
        <v>42.1</v>
      </c>
      <c r="K503" s="133">
        <v>21054</v>
      </c>
      <c r="L503" s="155">
        <v>44433</v>
      </c>
      <c r="M503" s="129">
        <f t="shared" si="14"/>
        <v>46.28</v>
      </c>
      <c r="N503" s="158">
        <v>46.280799999999999</v>
      </c>
      <c r="O503" s="386">
        <v>23140</v>
      </c>
      <c r="P503" s="125">
        <v>44664</v>
      </c>
      <c r="Q503" s="437">
        <v>44662</v>
      </c>
      <c r="R503" s="438">
        <v>0</v>
      </c>
      <c r="S503" s="439"/>
      <c r="T503" s="440">
        <f t="shared" si="153"/>
        <v>2086</v>
      </c>
      <c r="U503" s="441" t="str">
        <f t="shared" si="16"/>
        <v>500 SETFGOLD</v>
      </c>
      <c r="V503" s="388">
        <f t="shared" si="17"/>
        <v>2086</v>
      </c>
      <c r="W503" s="389">
        <f t="shared" si="154"/>
        <v>9.9078559893606921E-2</v>
      </c>
      <c r="X503" s="390">
        <f t="shared" si="19"/>
        <v>0</v>
      </c>
      <c r="Y503" s="391">
        <f t="shared" si="20"/>
        <v>7</v>
      </c>
      <c r="Z503" s="392">
        <f t="shared" si="21"/>
        <v>19</v>
      </c>
      <c r="AA503" s="389">
        <f t="shared" si="114"/>
        <v>0.1609912728784566</v>
      </c>
      <c r="AB503" s="125" t="s">
        <v>460</v>
      </c>
      <c r="AC503" s="98"/>
      <c r="AD503" s="98"/>
    </row>
    <row r="504" spans="1:30" ht="12.75" customHeight="1">
      <c r="A504" s="126" t="s">
        <v>609</v>
      </c>
      <c r="B504" s="125" t="s">
        <v>1150</v>
      </c>
      <c r="C504" s="382" t="s">
        <v>1151</v>
      </c>
      <c r="D504" s="383"/>
      <c r="E504" s="384" t="str">
        <f t="shared" si="155"/>
        <v/>
      </c>
      <c r="F504" s="126" t="s">
        <v>1145</v>
      </c>
      <c r="G504" s="126"/>
      <c r="H504" s="385">
        <f t="shared" si="156"/>
        <v>41.857500000000002</v>
      </c>
      <c r="I504" s="126">
        <v>400</v>
      </c>
      <c r="J504" s="385">
        <v>41.85</v>
      </c>
      <c r="K504" s="133">
        <v>16743</v>
      </c>
      <c r="L504" s="155">
        <v>44434</v>
      </c>
      <c r="M504" s="129">
        <f t="shared" si="14"/>
        <v>45.717500000000001</v>
      </c>
      <c r="N504" s="158">
        <v>45.72</v>
      </c>
      <c r="O504" s="386">
        <v>18287</v>
      </c>
      <c r="P504" s="125">
        <v>44692</v>
      </c>
      <c r="Q504" s="437">
        <v>44690</v>
      </c>
      <c r="R504" s="438">
        <v>15.93</v>
      </c>
      <c r="S504" s="439"/>
      <c r="T504" s="440">
        <f t="shared" si="153"/>
        <v>1544</v>
      </c>
      <c r="U504" s="441" t="str">
        <f t="shared" si="16"/>
        <v>400 SETFGOLD</v>
      </c>
      <c r="V504" s="388">
        <f t="shared" si="17"/>
        <v>1528.07</v>
      </c>
      <c r="W504" s="389">
        <f t="shared" si="154"/>
        <v>9.1266200800334471E-2</v>
      </c>
      <c r="X504" s="390">
        <f t="shared" si="19"/>
        <v>0</v>
      </c>
      <c r="Y504" s="391">
        <f t="shared" si="20"/>
        <v>8</v>
      </c>
      <c r="Z504" s="392">
        <f t="shared" si="21"/>
        <v>15</v>
      </c>
      <c r="AA504" s="389">
        <f t="shared" si="114"/>
        <v>0.13151849033131757</v>
      </c>
      <c r="AB504" s="125" t="s">
        <v>460</v>
      </c>
      <c r="AC504" s="98"/>
      <c r="AD504" s="98"/>
    </row>
    <row r="505" spans="1:30" ht="12.75" customHeight="1">
      <c r="A505" s="125" t="s">
        <v>526</v>
      </c>
      <c r="B505" s="125" t="s">
        <v>1382</v>
      </c>
      <c r="C505" s="382" t="s">
        <v>1383</v>
      </c>
      <c r="D505" s="383">
        <v>150</v>
      </c>
      <c r="E505" s="384">
        <f t="shared" si="155"/>
        <v>0.28205128205128205</v>
      </c>
      <c r="F505" s="126" t="s">
        <v>1162</v>
      </c>
      <c r="G505" s="126" t="s">
        <v>1163</v>
      </c>
      <c r="H505" s="385">
        <f t="shared" si="156"/>
        <v>117.14</v>
      </c>
      <c r="I505" s="126">
        <v>100</v>
      </c>
      <c r="J505" s="385">
        <v>117</v>
      </c>
      <c r="K505" s="133">
        <v>11714</v>
      </c>
      <c r="L505" s="155">
        <v>44342</v>
      </c>
      <c r="M505" s="129">
        <f t="shared" si="14"/>
        <v>110.89</v>
      </c>
      <c r="N505" s="158">
        <v>111</v>
      </c>
      <c r="O505" s="386">
        <v>11089</v>
      </c>
      <c r="P505" s="125">
        <v>44559</v>
      </c>
      <c r="Q505" s="437">
        <v>44557</v>
      </c>
      <c r="R505" s="438">
        <v>15.93</v>
      </c>
      <c r="S505" s="439"/>
      <c r="T505" s="440">
        <f t="shared" si="153"/>
        <v>-625</v>
      </c>
      <c r="U505" s="441" t="str">
        <f t="shared" si="16"/>
        <v>100 SHALPAINTS</v>
      </c>
      <c r="V505" s="388">
        <f t="shared" si="17"/>
        <v>-640.92999999999995</v>
      </c>
      <c r="W505" s="389">
        <f t="shared" si="154"/>
        <v>-5.4714871094416931E-2</v>
      </c>
      <c r="X505" s="390">
        <f t="shared" si="19"/>
        <v>0</v>
      </c>
      <c r="Y505" s="391">
        <f t="shared" si="20"/>
        <v>7</v>
      </c>
      <c r="Z505" s="392">
        <f t="shared" si="21"/>
        <v>3</v>
      </c>
      <c r="AA505" s="389">
        <f t="shared" si="114"/>
        <v>-9.0304603190914712E-2</v>
      </c>
      <c r="AB505" s="125" t="s">
        <v>485</v>
      </c>
      <c r="AC505" s="98"/>
      <c r="AD505" s="98"/>
    </row>
    <row r="506" spans="1:30" ht="12.75" customHeight="1">
      <c r="A506" s="125" t="s">
        <v>526</v>
      </c>
      <c r="B506" s="125" t="s">
        <v>1382</v>
      </c>
      <c r="C506" s="382" t="s">
        <v>1383</v>
      </c>
      <c r="D506" s="383">
        <v>150</v>
      </c>
      <c r="E506" s="384">
        <f t="shared" si="155"/>
        <v>0.32743362831858408</v>
      </c>
      <c r="F506" s="126" t="s">
        <v>1162</v>
      </c>
      <c r="G506" s="126" t="s">
        <v>1163</v>
      </c>
      <c r="H506" s="385">
        <f t="shared" si="156"/>
        <v>113.13</v>
      </c>
      <c r="I506" s="126">
        <v>100</v>
      </c>
      <c r="J506" s="385">
        <v>113</v>
      </c>
      <c r="K506" s="133">
        <v>11313</v>
      </c>
      <c r="L506" s="155">
        <v>44558</v>
      </c>
      <c r="M506" s="129">
        <f t="shared" si="14"/>
        <v>114.38</v>
      </c>
      <c r="N506" s="158">
        <v>114.5</v>
      </c>
      <c r="O506" s="386">
        <v>11438</v>
      </c>
      <c r="P506" s="125">
        <v>44565</v>
      </c>
      <c r="Q506" s="437">
        <v>44561</v>
      </c>
      <c r="R506" s="438">
        <v>15.93</v>
      </c>
      <c r="S506" s="439"/>
      <c r="T506" s="440">
        <f t="shared" si="153"/>
        <v>125</v>
      </c>
      <c r="U506" s="441" t="str">
        <f t="shared" si="16"/>
        <v>100 SHALPAINTS</v>
      </c>
      <c r="V506" s="388">
        <f t="shared" si="17"/>
        <v>109.07</v>
      </c>
      <c r="W506" s="389">
        <f t="shared" si="154"/>
        <v>9.6411208344382559E-3</v>
      </c>
      <c r="X506" s="390">
        <f t="shared" si="19"/>
        <v>0</v>
      </c>
      <c r="Y506" s="391">
        <f t="shared" si="20"/>
        <v>0</v>
      </c>
      <c r="Z506" s="392">
        <f t="shared" si="21"/>
        <v>7</v>
      </c>
      <c r="AA506" s="389">
        <f t="shared" si="114"/>
        <v>0.64922862689945338</v>
      </c>
      <c r="AB506" s="125" t="s">
        <v>485</v>
      </c>
      <c r="AC506" s="98"/>
      <c r="AD506" s="98"/>
    </row>
    <row r="507" spans="1:30" ht="12.75" customHeight="1">
      <c r="A507" s="125" t="s">
        <v>526</v>
      </c>
      <c r="B507" s="125" t="s">
        <v>1382</v>
      </c>
      <c r="C507" s="382" t="s">
        <v>1383</v>
      </c>
      <c r="D507" s="383">
        <v>150</v>
      </c>
      <c r="E507" s="384">
        <f t="shared" si="155"/>
        <v>0.37614678899082571</v>
      </c>
      <c r="F507" s="126" t="s">
        <v>1162</v>
      </c>
      <c r="G507" s="126" t="s">
        <v>1163</v>
      </c>
      <c r="H507" s="385">
        <f t="shared" si="156"/>
        <v>109.13</v>
      </c>
      <c r="I507" s="126">
        <v>100</v>
      </c>
      <c r="J507" s="385">
        <v>109</v>
      </c>
      <c r="K507" s="133">
        <v>10913</v>
      </c>
      <c r="L507" s="155">
        <v>44560</v>
      </c>
      <c r="M507" s="129">
        <f t="shared" si="14"/>
        <v>111.84</v>
      </c>
      <c r="N507" s="158">
        <v>111.95</v>
      </c>
      <c r="O507" s="386">
        <v>11184</v>
      </c>
      <c r="P507" s="125">
        <v>44565</v>
      </c>
      <c r="Q507" s="437">
        <v>44561</v>
      </c>
      <c r="R507" s="438">
        <v>15.93</v>
      </c>
      <c r="S507" s="439"/>
      <c r="T507" s="440">
        <f t="shared" si="153"/>
        <v>271</v>
      </c>
      <c r="U507" s="441" t="str">
        <f t="shared" si="16"/>
        <v>100 SHALPAINTS</v>
      </c>
      <c r="V507" s="388">
        <f t="shared" si="17"/>
        <v>255.07</v>
      </c>
      <c r="W507" s="389">
        <f t="shared" si="154"/>
        <v>2.3373041326857875E-2</v>
      </c>
      <c r="X507" s="390">
        <f t="shared" si="19"/>
        <v>0</v>
      </c>
      <c r="Y507" s="391">
        <f t="shared" si="20"/>
        <v>0</v>
      </c>
      <c r="Z507" s="392">
        <f t="shared" si="21"/>
        <v>5</v>
      </c>
      <c r="AA507" s="389">
        <f t="shared" si="114"/>
        <v>4.4010720345006087</v>
      </c>
      <c r="AB507" s="125" t="s">
        <v>485</v>
      </c>
      <c r="AC507" s="98"/>
      <c r="AD507" s="98"/>
    </row>
    <row r="508" spans="1:30" ht="12.75" customHeight="1">
      <c r="A508" s="125" t="s">
        <v>552</v>
      </c>
      <c r="B508" s="125" t="s">
        <v>1384</v>
      </c>
      <c r="C508" s="382" t="s">
        <v>1201</v>
      </c>
      <c r="D508" s="383"/>
      <c r="E508" s="384" t="str">
        <f t="shared" si="155"/>
        <v/>
      </c>
      <c r="F508" s="126" t="s">
        <v>1159</v>
      </c>
      <c r="G508" s="126"/>
      <c r="H508" s="385">
        <f t="shared" si="156"/>
        <v>306</v>
      </c>
      <c r="I508" s="126">
        <v>45</v>
      </c>
      <c r="J508" s="385">
        <v>306</v>
      </c>
      <c r="K508" s="133">
        <v>13770</v>
      </c>
      <c r="L508" s="155">
        <v>44369</v>
      </c>
      <c r="M508" s="129">
        <f t="shared" si="14"/>
        <v>382.6</v>
      </c>
      <c r="N508" s="158">
        <v>383</v>
      </c>
      <c r="O508" s="386">
        <v>17217</v>
      </c>
      <c r="P508" s="125">
        <v>44377</v>
      </c>
      <c r="Q508" s="437">
        <v>44375</v>
      </c>
      <c r="R508" s="438">
        <v>15.93</v>
      </c>
      <c r="S508" s="439"/>
      <c r="T508" s="440">
        <f t="shared" si="153"/>
        <v>3447</v>
      </c>
      <c r="U508" s="441" t="str">
        <f t="shared" si="16"/>
        <v>45 SHYMMETAL</v>
      </c>
      <c r="V508" s="388">
        <f t="shared" si="17"/>
        <v>3431.07</v>
      </c>
      <c r="W508" s="389">
        <f t="shared" si="154"/>
        <v>0.24916993464052289</v>
      </c>
      <c r="X508" s="390">
        <f t="shared" si="19"/>
        <v>0</v>
      </c>
      <c r="Y508" s="391">
        <f t="shared" si="20"/>
        <v>0</v>
      </c>
      <c r="Z508" s="392">
        <f t="shared" si="21"/>
        <v>8</v>
      </c>
      <c r="AA508" s="389">
        <f t="shared" si="114"/>
        <v>25605.898814645738</v>
      </c>
      <c r="AB508" s="125" t="s">
        <v>485</v>
      </c>
      <c r="AC508" s="98"/>
      <c r="AD508" s="98"/>
    </row>
    <row r="509" spans="1:30" ht="12.75" customHeight="1">
      <c r="A509" s="125" t="s">
        <v>557</v>
      </c>
      <c r="B509" s="125" t="s">
        <v>1385</v>
      </c>
      <c r="C509" s="382" t="s">
        <v>1174</v>
      </c>
      <c r="D509" s="383" t="s">
        <v>1316</v>
      </c>
      <c r="E509" s="384">
        <f t="shared" si="155"/>
        <v>0.31147540983606559</v>
      </c>
      <c r="F509" s="126" t="s">
        <v>1162</v>
      </c>
      <c r="G509" s="126" t="s">
        <v>1163</v>
      </c>
      <c r="H509" s="385">
        <f t="shared" si="156"/>
        <v>91.61</v>
      </c>
      <c r="I509" s="126">
        <v>100</v>
      </c>
      <c r="J509" s="385">
        <v>91.5</v>
      </c>
      <c r="K509" s="133">
        <v>9161</v>
      </c>
      <c r="L509" s="155">
        <v>44379</v>
      </c>
      <c r="M509" s="129">
        <f t="shared" si="14"/>
        <v>103.89</v>
      </c>
      <c r="N509" s="158">
        <v>104</v>
      </c>
      <c r="O509" s="386">
        <v>10389</v>
      </c>
      <c r="P509" s="125">
        <v>44901</v>
      </c>
      <c r="Q509" s="437">
        <v>44897</v>
      </c>
      <c r="R509" s="438">
        <v>15.93</v>
      </c>
      <c r="S509" s="439">
        <v>10</v>
      </c>
      <c r="T509" s="440">
        <f>IF(OR(O509="",K509=""),"",O509-K509)</f>
        <v>1228</v>
      </c>
      <c r="U509" s="441" t="str">
        <f t="shared" si="16"/>
        <v>100 SKIPPER</v>
      </c>
      <c r="V509" s="388">
        <f t="shared" si="17"/>
        <v>1222.07</v>
      </c>
      <c r="W509" s="389">
        <f>IF(OR(K509="",V509=""),"",V509/K509)</f>
        <v>0.13339919222792271</v>
      </c>
      <c r="X509" s="390">
        <f t="shared" si="19"/>
        <v>1</v>
      </c>
      <c r="Y509" s="391">
        <f t="shared" si="20"/>
        <v>5</v>
      </c>
      <c r="Z509" s="392">
        <f t="shared" si="21"/>
        <v>4</v>
      </c>
      <c r="AA509" s="389">
        <f t="shared" si="114"/>
        <v>9.1506575705027737E-2</v>
      </c>
      <c r="AB509" s="125" t="s">
        <v>485</v>
      </c>
      <c r="AC509" s="98"/>
      <c r="AD509" s="98"/>
    </row>
    <row r="510" spans="1:30" ht="12.75" customHeight="1">
      <c r="A510" s="125" t="s">
        <v>1386</v>
      </c>
      <c r="B510" s="125" t="s">
        <v>1387</v>
      </c>
      <c r="C510" s="382" t="s">
        <v>1201</v>
      </c>
      <c r="D510" s="383"/>
      <c r="E510" s="384"/>
      <c r="F510" s="126"/>
      <c r="G510" s="126"/>
      <c r="H510" s="385">
        <v>361.10660000000001</v>
      </c>
      <c r="I510" s="126">
        <v>50</v>
      </c>
      <c r="J510" s="385">
        <v>359</v>
      </c>
      <c r="K510" s="133">
        <v>18055.330000000002</v>
      </c>
      <c r="L510" s="155">
        <v>41017</v>
      </c>
      <c r="M510" s="129">
        <f t="shared" si="14"/>
        <v>380.84840000000003</v>
      </c>
      <c r="N510" s="158">
        <v>383</v>
      </c>
      <c r="O510" s="386">
        <v>19042.419999999998</v>
      </c>
      <c r="P510" s="125">
        <v>41190</v>
      </c>
      <c r="Q510" s="437">
        <v>41186</v>
      </c>
      <c r="R510" s="438">
        <v>6</v>
      </c>
      <c r="S510" s="439">
        <f>250</f>
        <v>250</v>
      </c>
      <c r="T510" s="440">
        <f t="shared" ref="T510:T513" si="157">IF(O510="","",O510-K510)</f>
        <v>987.08999999999651</v>
      </c>
      <c r="U510" s="441" t="str">
        <f t="shared" si="16"/>
        <v xml:space="preserve">50 SOBHA </v>
      </c>
      <c r="V510" s="388">
        <f t="shared" si="17"/>
        <v>1231.0899999999965</v>
      </c>
      <c r="W510" s="389">
        <f t="shared" ref="W510:W513" si="158">IF(M510=0,"",V510/K510)</f>
        <v>6.8184297933075524E-2</v>
      </c>
      <c r="X510" s="390">
        <f t="shared" si="19"/>
        <v>0</v>
      </c>
      <c r="Y510" s="391">
        <f t="shared" si="20"/>
        <v>5</v>
      </c>
      <c r="Z510" s="392">
        <f t="shared" si="21"/>
        <v>20</v>
      </c>
      <c r="AA510" s="389">
        <f t="shared" si="114"/>
        <v>0.14931345923473271</v>
      </c>
      <c r="AB510" s="125" t="s">
        <v>460</v>
      </c>
      <c r="AC510" s="98"/>
      <c r="AD510" s="98"/>
    </row>
    <row r="511" spans="1:30" ht="12.75" customHeight="1">
      <c r="A511" s="125" t="s">
        <v>550</v>
      </c>
      <c r="B511" s="125" t="s">
        <v>1388</v>
      </c>
      <c r="C511" s="382" t="s">
        <v>1201</v>
      </c>
      <c r="D511" s="383"/>
      <c r="E511" s="384" t="str">
        <f t="shared" ref="E511:E515" si="159">IFERROR(IF(D511="","",(D511-J511)/J511),"")</f>
        <v/>
      </c>
      <c r="F511" s="126" t="s">
        <v>1159</v>
      </c>
      <c r="G511" s="126"/>
      <c r="H511" s="385">
        <f t="shared" ref="H511:H515" si="160">ROUND(K511/I511,4)</f>
        <v>291</v>
      </c>
      <c r="I511" s="126">
        <v>51</v>
      </c>
      <c r="J511" s="385">
        <v>291</v>
      </c>
      <c r="K511" s="133">
        <v>14841</v>
      </c>
      <c r="L511" s="155">
        <v>44368</v>
      </c>
      <c r="M511" s="129">
        <f t="shared" si="14"/>
        <v>318.66669999999999</v>
      </c>
      <c r="N511" s="158">
        <v>319</v>
      </c>
      <c r="O511" s="386">
        <v>16252</v>
      </c>
      <c r="P511" s="125">
        <v>44375</v>
      </c>
      <c r="Q511" s="437">
        <v>44371</v>
      </c>
      <c r="R511" s="438">
        <v>15.93</v>
      </c>
      <c r="S511" s="439"/>
      <c r="T511" s="440">
        <f t="shared" si="157"/>
        <v>1411</v>
      </c>
      <c r="U511" s="441" t="str">
        <f t="shared" si="16"/>
        <v>51 SONACOMS</v>
      </c>
      <c r="V511" s="388">
        <f t="shared" si="17"/>
        <v>1395.07</v>
      </c>
      <c r="W511" s="389">
        <f t="shared" si="158"/>
        <v>9.4001078094468019E-2</v>
      </c>
      <c r="X511" s="390">
        <f t="shared" si="19"/>
        <v>0</v>
      </c>
      <c r="Y511" s="391">
        <f t="shared" si="20"/>
        <v>0</v>
      </c>
      <c r="Z511" s="392">
        <f t="shared" si="21"/>
        <v>7</v>
      </c>
      <c r="AA511" s="389">
        <f t="shared" si="114"/>
        <v>107.26721443118434</v>
      </c>
      <c r="AB511" s="125" t="s">
        <v>485</v>
      </c>
      <c r="AC511" s="98"/>
      <c r="AD511" s="98"/>
    </row>
    <row r="512" spans="1:30" ht="12.75" customHeight="1">
      <c r="A512" s="125" t="s">
        <v>550</v>
      </c>
      <c r="B512" s="125" t="s">
        <v>1388</v>
      </c>
      <c r="C512" s="382" t="s">
        <v>1201</v>
      </c>
      <c r="D512" s="383"/>
      <c r="E512" s="384" t="str">
        <f t="shared" si="159"/>
        <v/>
      </c>
      <c r="F512" s="126" t="s">
        <v>1145</v>
      </c>
      <c r="G512" s="126"/>
      <c r="H512" s="385">
        <f t="shared" si="160"/>
        <v>405.48</v>
      </c>
      <c r="I512" s="126">
        <v>50</v>
      </c>
      <c r="J512" s="385">
        <v>405</v>
      </c>
      <c r="K512" s="133">
        <v>20274</v>
      </c>
      <c r="L512" s="155">
        <v>44372</v>
      </c>
      <c r="M512" s="129">
        <f t="shared" si="14"/>
        <v>416.56</v>
      </c>
      <c r="N512" s="158">
        <v>417</v>
      </c>
      <c r="O512" s="386">
        <v>20828</v>
      </c>
      <c r="P512" s="125">
        <v>44390</v>
      </c>
      <c r="Q512" s="437">
        <v>44386</v>
      </c>
      <c r="R512" s="438">
        <v>15.93</v>
      </c>
      <c r="S512" s="439"/>
      <c r="T512" s="440">
        <f t="shared" si="157"/>
        <v>554</v>
      </c>
      <c r="U512" s="441" t="str">
        <f t="shared" si="16"/>
        <v>50 SONACOMS</v>
      </c>
      <c r="V512" s="388">
        <f t="shared" si="17"/>
        <v>538.07000000000005</v>
      </c>
      <c r="W512" s="389">
        <f t="shared" si="158"/>
        <v>2.653990332445497E-2</v>
      </c>
      <c r="X512" s="390">
        <f t="shared" si="19"/>
        <v>0</v>
      </c>
      <c r="Y512" s="391">
        <f t="shared" si="20"/>
        <v>0</v>
      </c>
      <c r="Z512" s="392">
        <f t="shared" si="21"/>
        <v>18</v>
      </c>
      <c r="AA512" s="389">
        <f t="shared" si="114"/>
        <v>0.70089173237409241</v>
      </c>
      <c r="AB512" s="125" t="s">
        <v>485</v>
      </c>
      <c r="AC512" s="98"/>
      <c r="AD512" s="98"/>
    </row>
    <row r="513" spans="1:30" ht="12.75" customHeight="1">
      <c r="A513" s="125" t="s">
        <v>556</v>
      </c>
      <c r="B513" s="125" t="s">
        <v>556</v>
      </c>
      <c r="C513" s="382" t="s">
        <v>1210</v>
      </c>
      <c r="D513" s="383" t="s">
        <v>1389</v>
      </c>
      <c r="E513" s="384">
        <f t="shared" si="159"/>
        <v>5.33515731874145E-2</v>
      </c>
      <c r="F513" s="126" t="s">
        <v>1154</v>
      </c>
      <c r="G513" s="126" t="s">
        <v>1390</v>
      </c>
      <c r="H513" s="385">
        <f t="shared" si="160"/>
        <v>7318.5</v>
      </c>
      <c r="I513" s="126">
        <v>2</v>
      </c>
      <c r="J513" s="385">
        <v>7310</v>
      </c>
      <c r="K513" s="133">
        <v>14637</v>
      </c>
      <c r="L513" s="155">
        <v>44378</v>
      </c>
      <c r="M513" s="129">
        <f t="shared" si="14"/>
        <v>7682</v>
      </c>
      <c r="N513" s="158">
        <v>7690</v>
      </c>
      <c r="O513" s="386">
        <v>15364</v>
      </c>
      <c r="P513" s="125">
        <v>44397</v>
      </c>
      <c r="Q513" s="437">
        <v>44393</v>
      </c>
      <c r="R513" s="438">
        <v>15.93</v>
      </c>
      <c r="S513" s="439"/>
      <c r="T513" s="440">
        <f t="shared" si="157"/>
        <v>727</v>
      </c>
      <c r="U513" s="441" t="str">
        <f t="shared" si="16"/>
        <v>2 SRF</v>
      </c>
      <c r="V513" s="388">
        <f t="shared" si="17"/>
        <v>711.07</v>
      </c>
      <c r="W513" s="389">
        <f t="shared" si="158"/>
        <v>4.8580310172849632E-2</v>
      </c>
      <c r="X513" s="390">
        <f t="shared" si="19"/>
        <v>0</v>
      </c>
      <c r="Y513" s="391">
        <f t="shared" si="20"/>
        <v>0</v>
      </c>
      <c r="Z513" s="392">
        <f t="shared" si="21"/>
        <v>19</v>
      </c>
      <c r="AA513" s="389">
        <f t="shared" si="114"/>
        <v>1.4875365468166688</v>
      </c>
      <c r="AB513" s="125" t="s">
        <v>485</v>
      </c>
      <c r="AC513" s="98"/>
      <c r="AD513" s="98"/>
    </row>
    <row r="514" spans="1:30" ht="12.75" customHeight="1">
      <c r="A514" s="125" t="s">
        <v>645</v>
      </c>
      <c r="B514" s="125"/>
      <c r="C514" s="382"/>
      <c r="D514" s="383"/>
      <c r="E514" s="384" t="str">
        <f t="shared" si="159"/>
        <v/>
      </c>
      <c r="F514" s="126"/>
      <c r="G514" s="126"/>
      <c r="H514" s="385">
        <f t="shared" si="160"/>
        <v>357</v>
      </c>
      <c r="I514" s="126">
        <v>42</v>
      </c>
      <c r="J514" s="385">
        <v>357</v>
      </c>
      <c r="K514" s="133">
        <v>14994</v>
      </c>
      <c r="L514" s="155">
        <v>44915</v>
      </c>
      <c r="M514" s="129">
        <f t="shared" si="14"/>
        <v>357.42860000000002</v>
      </c>
      <c r="N514" s="158">
        <v>357.8</v>
      </c>
      <c r="O514" s="386">
        <v>15012</v>
      </c>
      <c r="P514" s="125">
        <v>44943</v>
      </c>
      <c r="Q514" s="437">
        <v>44942</v>
      </c>
      <c r="R514" s="438">
        <v>15.93</v>
      </c>
      <c r="S514" s="439"/>
      <c r="T514" s="440">
        <f>IF(OR(O514="",K514=""),"",O514-K514)</f>
        <v>18</v>
      </c>
      <c r="U514" s="441" t="str">
        <f t="shared" si="16"/>
        <v>42 SULA</v>
      </c>
      <c r="V514" s="388">
        <f t="shared" si="17"/>
        <v>2.0700000000000003</v>
      </c>
      <c r="W514" s="389">
        <f>IF(OR(K514="",V514=""),"",V514/K514)</f>
        <v>1.3805522208883554E-4</v>
      </c>
      <c r="X514" s="390">
        <f t="shared" si="19"/>
        <v>0</v>
      </c>
      <c r="Y514" s="391">
        <f t="shared" si="20"/>
        <v>0</v>
      </c>
      <c r="Z514" s="392">
        <f t="shared" si="21"/>
        <v>28</v>
      </c>
      <c r="AA514" s="389">
        <f t="shared" si="114"/>
        <v>1.8011443321714893E-3</v>
      </c>
      <c r="AB514" s="125" t="s">
        <v>485</v>
      </c>
      <c r="AC514" s="98"/>
      <c r="AD514" s="98"/>
    </row>
    <row r="515" spans="1:30" ht="12.75" customHeight="1">
      <c r="A515" s="125" t="s">
        <v>530</v>
      </c>
      <c r="B515" s="125" t="s">
        <v>1391</v>
      </c>
      <c r="C515" s="382" t="s">
        <v>1201</v>
      </c>
      <c r="D515" s="383">
        <v>580</v>
      </c>
      <c r="E515" s="384">
        <f t="shared" si="159"/>
        <v>5.4545454545454543E-2</v>
      </c>
      <c r="F515" s="126" t="s">
        <v>1154</v>
      </c>
      <c r="G515" s="126" t="s">
        <v>1155</v>
      </c>
      <c r="H515" s="385">
        <f t="shared" si="160"/>
        <v>550.70000000000005</v>
      </c>
      <c r="I515" s="126">
        <v>10</v>
      </c>
      <c r="J515" s="385">
        <v>550</v>
      </c>
      <c r="K515" s="133">
        <v>5507</v>
      </c>
      <c r="L515" s="155">
        <v>44344</v>
      </c>
      <c r="M515" s="129">
        <f t="shared" si="14"/>
        <v>552.4</v>
      </c>
      <c r="N515" s="158">
        <v>553</v>
      </c>
      <c r="O515" s="386">
        <v>5524</v>
      </c>
      <c r="P515" s="125">
        <v>44369</v>
      </c>
      <c r="Q515" s="437">
        <v>44365</v>
      </c>
      <c r="R515" s="438">
        <v>15.93</v>
      </c>
      <c r="S515" s="439"/>
      <c r="T515" s="440">
        <f>IF(O515="","",O515-K515)</f>
        <v>17</v>
      </c>
      <c r="U515" s="441" t="str">
        <f t="shared" si="16"/>
        <v>10 SUNTV</v>
      </c>
      <c r="V515" s="388">
        <f t="shared" si="17"/>
        <v>1.0700000000000003</v>
      </c>
      <c r="W515" s="389">
        <f>IF(M515=0,"",V515/K515)</f>
        <v>1.9429816597058296E-4</v>
      </c>
      <c r="X515" s="390">
        <f t="shared" si="19"/>
        <v>0</v>
      </c>
      <c r="Y515" s="391">
        <f t="shared" si="20"/>
        <v>0</v>
      </c>
      <c r="Z515" s="392">
        <f t="shared" si="21"/>
        <v>25</v>
      </c>
      <c r="AA515" s="389">
        <f t="shared" si="114"/>
        <v>2.8405042799064528E-3</v>
      </c>
      <c r="AB515" s="125" t="s">
        <v>485</v>
      </c>
      <c r="AC515" s="98"/>
      <c r="AD515" s="98"/>
    </row>
    <row r="516" spans="1:30" ht="12.75" customHeight="1">
      <c r="A516" s="125" t="s">
        <v>633</v>
      </c>
      <c r="B516" s="125"/>
      <c r="C516" s="382"/>
      <c r="D516" s="383"/>
      <c r="E516" s="384"/>
      <c r="F516" s="126"/>
      <c r="G516" s="126"/>
      <c r="H516" s="385"/>
      <c r="I516" s="126">
        <v>900</v>
      </c>
      <c r="J516" s="385">
        <v>8.1</v>
      </c>
      <c r="K516" s="133">
        <v>7299</v>
      </c>
      <c r="L516" s="155">
        <v>44802</v>
      </c>
      <c r="M516" s="129">
        <f t="shared" si="14"/>
        <v>9.59</v>
      </c>
      <c r="N516" s="158">
        <v>9.6</v>
      </c>
      <c r="O516" s="386">
        <v>8631</v>
      </c>
      <c r="P516" s="125">
        <v>44811</v>
      </c>
      <c r="Q516" s="437">
        <v>44809</v>
      </c>
      <c r="R516" s="438">
        <v>15.93</v>
      </c>
      <c r="S516" s="439"/>
      <c r="T516" s="440">
        <f t="shared" ref="T516:T518" si="161">IF(OR(O516="",K516=""),"",O516-K516)</f>
        <v>1332</v>
      </c>
      <c r="U516" s="441" t="str">
        <f t="shared" si="16"/>
        <v>900 SUZLON</v>
      </c>
      <c r="V516" s="388">
        <f t="shared" si="17"/>
        <v>1316.07</v>
      </c>
      <c r="W516" s="389">
        <f t="shared" ref="W516:W518" si="162">IF(OR(K516="",V516=""),"",V516/K516)</f>
        <v>0.18030826140567199</v>
      </c>
      <c r="X516" s="390">
        <f t="shared" si="19"/>
        <v>0</v>
      </c>
      <c r="Y516" s="391">
        <f t="shared" si="20"/>
        <v>0</v>
      </c>
      <c r="Z516" s="392">
        <f t="shared" si="21"/>
        <v>9</v>
      </c>
      <c r="AA516" s="389">
        <f t="shared" si="114"/>
        <v>830.4101981331263</v>
      </c>
      <c r="AB516" s="125" t="s">
        <v>485</v>
      </c>
      <c r="AC516" s="98"/>
      <c r="AD516" s="98"/>
    </row>
    <row r="517" spans="1:30" ht="12.75" customHeight="1">
      <c r="A517" s="125" t="s">
        <v>633</v>
      </c>
      <c r="B517" s="125"/>
      <c r="C517" s="382"/>
      <c r="D517" s="383"/>
      <c r="E517" s="384" t="str">
        <f t="shared" ref="E517:E521" si="163">IFERROR(IF(D517="","",(D517-J517)/J517),"")</f>
        <v/>
      </c>
      <c r="F517" s="126"/>
      <c r="G517" s="126"/>
      <c r="H517" s="385">
        <f t="shared" ref="H517:H521" si="164">ROUND(K517/I517,4)</f>
        <v>8.41</v>
      </c>
      <c r="I517" s="126">
        <v>100</v>
      </c>
      <c r="J517" s="385">
        <v>8.4</v>
      </c>
      <c r="K517" s="133">
        <v>841</v>
      </c>
      <c r="L517" s="155">
        <v>44795</v>
      </c>
      <c r="M517" s="129">
        <f t="shared" si="14"/>
        <v>9.59</v>
      </c>
      <c r="N517" s="158">
        <v>9.6</v>
      </c>
      <c r="O517" s="386">
        <v>959</v>
      </c>
      <c r="P517" s="125">
        <v>44811</v>
      </c>
      <c r="Q517" s="437">
        <v>44809</v>
      </c>
      <c r="R517" s="438">
        <v>0</v>
      </c>
      <c r="S517" s="439"/>
      <c r="T517" s="440">
        <f t="shared" si="161"/>
        <v>118</v>
      </c>
      <c r="U517" s="441" t="str">
        <f t="shared" si="16"/>
        <v>100 SUZLON</v>
      </c>
      <c r="V517" s="132">
        <f t="shared" si="17"/>
        <v>118</v>
      </c>
      <c r="W517" s="389">
        <f t="shared" si="162"/>
        <v>0.14030915576694411</v>
      </c>
      <c r="X517" s="442">
        <f t="shared" si="19"/>
        <v>0</v>
      </c>
      <c r="Y517" s="391">
        <f t="shared" si="20"/>
        <v>0</v>
      </c>
      <c r="Z517" s="392">
        <f t="shared" si="21"/>
        <v>16</v>
      </c>
      <c r="AA517" s="389">
        <f t="shared" si="114"/>
        <v>18.990714737900941</v>
      </c>
      <c r="AB517" s="125" t="s">
        <v>485</v>
      </c>
      <c r="AC517" s="98"/>
      <c r="AD517" s="98"/>
    </row>
    <row r="518" spans="1:30" ht="12.75" customHeight="1">
      <c r="A518" s="125" t="s">
        <v>633</v>
      </c>
      <c r="B518" s="125"/>
      <c r="C518" s="382"/>
      <c r="D518" s="383"/>
      <c r="E518" s="384" t="str">
        <f t="shared" si="163"/>
        <v/>
      </c>
      <c r="F518" s="126"/>
      <c r="G518" s="126"/>
      <c r="H518" s="385">
        <f t="shared" si="164"/>
        <v>9.2100000000000009</v>
      </c>
      <c r="I518" s="126">
        <v>100</v>
      </c>
      <c r="J518" s="385">
        <v>9.1999999999999993</v>
      </c>
      <c r="K518" s="133">
        <v>921</v>
      </c>
      <c r="L518" s="155">
        <v>44818</v>
      </c>
      <c r="M518" s="129">
        <f t="shared" si="14"/>
        <v>10.24</v>
      </c>
      <c r="N518" s="158">
        <v>10.25</v>
      </c>
      <c r="O518" s="386">
        <v>1024</v>
      </c>
      <c r="P518" s="125">
        <v>44903</v>
      </c>
      <c r="Q518" s="437">
        <v>44901</v>
      </c>
      <c r="R518" s="438">
        <v>15.93</v>
      </c>
      <c r="S518" s="439"/>
      <c r="T518" s="440">
        <f t="shared" si="161"/>
        <v>103</v>
      </c>
      <c r="U518" s="441" t="str">
        <f t="shared" si="16"/>
        <v>100 SUZLON</v>
      </c>
      <c r="V518" s="132">
        <f t="shared" si="17"/>
        <v>87.07</v>
      </c>
      <c r="W518" s="389">
        <f t="shared" si="162"/>
        <v>9.4538545059717691E-2</v>
      </c>
      <c r="X518" s="442">
        <f t="shared" si="19"/>
        <v>0</v>
      </c>
      <c r="Y518" s="391">
        <f t="shared" si="20"/>
        <v>2</v>
      </c>
      <c r="Z518" s="392">
        <f t="shared" si="21"/>
        <v>24</v>
      </c>
      <c r="AA518" s="389">
        <f t="shared" si="114"/>
        <v>0.4738822475231963</v>
      </c>
      <c r="AB518" s="125" t="s">
        <v>485</v>
      </c>
      <c r="AC518" s="98"/>
      <c r="AD518" s="98"/>
    </row>
    <row r="519" spans="1:30" ht="12.75" customHeight="1">
      <c r="A519" s="125" t="s">
        <v>518</v>
      </c>
      <c r="B519" s="125" t="s">
        <v>1392</v>
      </c>
      <c r="C519" s="382" t="s">
        <v>1201</v>
      </c>
      <c r="D519" s="383">
        <v>345</v>
      </c>
      <c r="E519" s="384">
        <f t="shared" si="163"/>
        <v>5.6661562021439509E-2</v>
      </c>
      <c r="F519" s="126" t="s">
        <v>1154</v>
      </c>
      <c r="G519" s="126" t="s">
        <v>1319</v>
      </c>
      <c r="H519" s="385">
        <f t="shared" si="164"/>
        <v>326.88</v>
      </c>
      <c r="I519" s="126">
        <v>50</v>
      </c>
      <c r="J519" s="385">
        <v>326.5</v>
      </c>
      <c r="K519" s="133">
        <v>16344</v>
      </c>
      <c r="L519" s="155">
        <v>44330</v>
      </c>
      <c r="M519" s="129">
        <f t="shared" si="14"/>
        <v>331.76</v>
      </c>
      <c r="N519" s="158">
        <v>332.1</v>
      </c>
      <c r="O519" s="386">
        <v>16588</v>
      </c>
      <c r="P519" s="125">
        <v>44336</v>
      </c>
      <c r="Q519" s="437">
        <v>44334</v>
      </c>
      <c r="R519" s="438">
        <v>15.93</v>
      </c>
      <c r="S519" s="439"/>
      <c r="T519" s="440">
        <f t="shared" ref="T519:T520" si="165">IF(O519="","",O519-K519)</f>
        <v>244</v>
      </c>
      <c r="U519" s="441" t="str">
        <f t="shared" si="16"/>
        <v>50 TATAMOTORS</v>
      </c>
      <c r="V519" s="132">
        <f t="shared" si="17"/>
        <v>228.07</v>
      </c>
      <c r="W519" s="389">
        <f t="shared" ref="W519:W520" si="166">IF(M519=0,"",V519/K519)</f>
        <v>1.3954356338717572E-2</v>
      </c>
      <c r="X519" s="442">
        <f t="shared" si="19"/>
        <v>0</v>
      </c>
      <c r="Y519" s="391">
        <f t="shared" si="20"/>
        <v>0</v>
      </c>
      <c r="Z519" s="392">
        <f t="shared" si="21"/>
        <v>6</v>
      </c>
      <c r="AA519" s="389">
        <f t="shared" si="114"/>
        <v>1.3233768895574562</v>
      </c>
      <c r="AB519" s="125" t="s">
        <v>485</v>
      </c>
      <c r="AC519" s="98"/>
      <c r="AD519" s="98"/>
    </row>
    <row r="520" spans="1:30" ht="12.75" customHeight="1">
      <c r="A520" s="125" t="s">
        <v>518</v>
      </c>
      <c r="B520" s="125" t="s">
        <v>1392</v>
      </c>
      <c r="C520" s="382" t="s">
        <v>1340</v>
      </c>
      <c r="D520" s="383">
        <v>560</v>
      </c>
      <c r="E520" s="384">
        <f t="shared" si="163"/>
        <v>0.12</v>
      </c>
      <c r="F520" s="126" t="s">
        <v>1162</v>
      </c>
      <c r="G520" s="126" t="s">
        <v>1211</v>
      </c>
      <c r="H520" s="385">
        <f t="shared" si="164"/>
        <v>500.6</v>
      </c>
      <c r="I520" s="126">
        <v>20</v>
      </c>
      <c r="J520" s="385">
        <v>500</v>
      </c>
      <c r="K520" s="133">
        <v>10012</v>
      </c>
      <c r="L520" s="155">
        <v>44496</v>
      </c>
      <c r="M520" s="129">
        <f t="shared" si="14"/>
        <v>510.6</v>
      </c>
      <c r="N520" s="158">
        <v>511.14</v>
      </c>
      <c r="O520" s="386">
        <v>10212</v>
      </c>
      <c r="P520" s="125">
        <v>44511</v>
      </c>
      <c r="Q520" s="437">
        <v>44509</v>
      </c>
      <c r="R520" s="438">
        <v>15.93</v>
      </c>
      <c r="S520" s="439"/>
      <c r="T520" s="440">
        <f t="shared" si="165"/>
        <v>200</v>
      </c>
      <c r="U520" s="441" t="str">
        <f t="shared" si="16"/>
        <v>20 TATAMOTORS</v>
      </c>
      <c r="V520" s="132">
        <f t="shared" si="17"/>
        <v>184.07</v>
      </c>
      <c r="W520" s="389">
        <f t="shared" si="166"/>
        <v>1.8384938074310825E-2</v>
      </c>
      <c r="X520" s="442">
        <f t="shared" si="19"/>
        <v>0</v>
      </c>
      <c r="Y520" s="391">
        <f t="shared" si="20"/>
        <v>0</v>
      </c>
      <c r="Z520" s="392">
        <f t="shared" si="21"/>
        <v>15</v>
      </c>
      <c r="AA520" s="389">
        <f t="shared" si="114"/>
        <v>0.55784606567739825</v>
      </c>
      <c r="AB520" s="125" t="s">
        <v>485</v>
      </c>
      <c r="AC520" s="98"/>
      <c r="AD520" s="98"/>
    </row>
    <row r="521" spans="1:30" ht="12.75" customHeight="1">
      <c r="A521" s="125" t="s">
        <v>518</v>
      </c>
      <c r="B521" s="125"/>
      <c r="C521" s="382"/>
      <c r="D521" s="383"/>
      <c r="E521" s="384" t="str">
        <f t="shared" si="163"/>
        <v/>
      </c>
      <c r="F521" s="126"/>
      <c r="G521" s="126"/>
      <c r="H521" s="385">
        <f t="shared" si="164"/>
        <v>459.5333</v>
      </c>
      <c r="I521" s="126">
        <v>30</v>
      </c>
      <c r="J521" s="385">
        <v>459</v>
      </c>
      <c r="K521" s="133">
        <v>13786</v>
      </c>
      <c r="L521" s="155">
        <v>44657</v>
      </c>
      <c r="M521" s="129">
        <f t="shared" si="14"/>
        <v>477.5</v>
      </c>
      <c r="N521" s="158">
        <v>478</v>
      </c>
      <c r="O521" s="386">
        <v>14325</v>
      </c>
      <c r="P521" s="125">
        <v>44777</v>
      </c>
      <c r="Q521" s="437">
        <v>44775</v>
      </c>
      <c r="R521" s="438">
        <v>15.93</v>
      </c>
      <c r="S521" s="439"/>
      <c r="T521" s="440">
        <f>IF(OR(O521="",K521=""),"",O521-K521)</f>
        <v>539</v>
      </c>
      <c r="U521" s="441" t="str">
        <f t="shared" si="16"/>
        <v>30 TATAMOTORS</v>
      </c>
      <c r="V521" s="132">
        <f t="shared" si="17"/>
        <v>523.07000000000005</v>
      </c>
      <c r="W521" s="389">
        <f>IF(OR(K521="",V521=""),"",V521/K521)</f>
        <v>3.7942115189322508E-2</v>
      </c>
      <c r="X521" s="442">
        <f t="shared" si="19"/>
        <v>0</v>
      </c>
      <c r="Y521" s="391">
        <f t="shared" si="20"/>
        <v>3</v>
      </c>
      <c r="Z521" s="392">
        <f t="shared" si="21"/>
        <v>29</v>
      </c>
      <c r="AA521" s="389">
        <f t="shared" si="114"/>
        <v>0.1199362004721034</v>
      </c>
      <c r="AB521" s="125" t="s">
        <v>485</v>
      </c>
      <c r="AC521" s="98"/>
      <c r="AD521" s="98"/>
    </row>
    <row r="522" spans="1:30" ht="12.75" customHeight="1">
      <c r="A522" s="125" t="s">
        <v>479</v>
      </c>
      <c r="B522" s="125" t="s">
        <v>1393</v>
      </c>
      <c r="C522" s="382" t="s">
        <v>1201</v>
      </c>
      <c r="D522" s="383"/>
      <c r="E522" s="384"/>
      <c r="F522" s="126"/>
      <c r="G522" s="126"/>
      <c r="H522" s="385">
        <v>105.78619999999999</v>
      </c>
      <c r="I522" s="126">
        <v>50</v>
      </c>
      <c r="J522" s="385">
        <v>105.2</v>
      </c>
      <c r="K522" s="133">
        <v>5289.31</v>
      </c>
      <c r="L522" s="155">
        <v>41207</v>
      </c>
      <c r="M522" s="129">
        <f t="shared" si="14"/>
        <v>105.902</v>
      </c>
      <c r="N522" s="158">
        <v>106.5</v>
      </c>
      <c r="O522" s="386">
        <v>5295.1</v>
      </c>
      <c r="P522" s="125">
        <v>41219</v>
      </c>
      <c r="Q522" s="437">
        <v>41215</v>
      </c>
      <c r="R522" s="438">
        <v>11</v>
      </c>
      <c r="S522" s="439"/>
      <c r="T522" s="440">
        <f t="shared" ref="T522:T528" si="167">IF(O522="","",O522-K522)</f>
        <v>5.7899999999999636</v>
      </c>
      <c r="U522" s="441" t="str">
        <f t="shared" si="16"/>
        <v>50 TATAPOWER</v>
      </c>
      <c r="V522" s="132">
        <f t="shared" si="17"/>
        <v>-5.2100000000000364</v>
      </c>
      <c r="W522" s="389">
        <f t="shared" ref="W522:W528" si="168">IF(M522=0,"",V522/K522)</f>
        <v>-9.8500560564611177E-4</v>
      </c>
      <c r="X522" s="442">
        <f t="shared" si="19"/>
        <v>0</v>
      </c>
      <c r="Y522" s="391">
        <f t="shared" si="20"/>
        <v>0</v>
      </c>
      <c r="Z522" s="392">
        <f t="shared" si="21"/>
        <v>12</v>
      </c>
      <c r="AA522" s="389">
        <f t="shared" si="114"/>
        <v>-2.9530547140867003E-2</v>
      </c>
      <c r="AB522" s="125" t="s">
        <v>460</v>
      </c>
      <c r="AC522" s="98"/>
      <c r="AD522" s="98"/>
    </row>
    <row r="523" spans="1:30" ht="12.75" customHeight="1">
      <c r="A523" s="125" t="s">
        <v>479</v>
      </c>
      <c r="B523" s="125" t="s">
        <v>1394</v>
      </c>
      <c r="C523" s="382" t="s">
        <v>1201</v>
      </c>
      <c r="D523" s="383" t="s">
        <v>1395</v>
      </c>
      <c r="E523" s="384">
        <f t="shared" ref="E523:E563" si="169">IFERROR(IF(D523="","",(D523-J523)/J523),"")</f>
        <v>0.13675213675213677</v>
      </c>
      <c r="F523" s="126" t="s">
        <v>1154</v>
      </c>
      <c r="G523" s="126" t="s">
        <v>1208</v>
      </c>
      <c r="H523" s="385">
        <f t="shared" ref="H523:H563" si="170">ROUND(K523/I523,4)</f>
        <v>117.14</v>
      </c>
      <c r="I523" s="126">
        <v>100</v>
      </c>
      <c r="J523" s="385">
        <v>117</v>
      </c>
      <c r="K523" s="133">
        <v>11714</v>
      </c>
      <c r="L523" s="155">
        <v>44355</v>
      </c>
      <c r="M523" s="129">
        <f t="shared" si="14"/>
        <v>127.87</v>
      </c>
      <c r="N523" s="158">
        <v>128</v>
      </c>
      <c r="O523" s="386">
        <v>12787</v>
      </c>
      <c r="P523" s="125">
        <v>44358</v>
      </c>
      <c r="Q523" s="437">
        <v>44356</v>
      </c>
      <c r="R523" s="438">
        <v>15.93</v>
      </c>
      <c r="S523" s="439"/>
      <c r="T523" s="440">
        <f t="shared" si="167"/>
        <v>1073</v>
      </c>
      <c r="U523" s="441" t="str">
        <f t="shared" si="16"/>
        <v>100 TATAPOWER</v>
      </c>
      <c r="V523" s="132">
        <f t="shared" si="17"/>
        <v>1057.07</v>
      </c>
      <c r="W523" s="389">
        <f t="shared" si="168"/>
        <v>9.0239883899607298E-2</v>
      </c>
      <c r="X523" s="442">
        <f t="shared" si="19"/>
        <v>0</v>
      </c>
      <c r="Y523" s="391">
        <f t="shared" si="20"/>
        <v>0</v>
      </c>
      <c r="Z523" s="392">
        <f t="shared" si="21"/>
        <v>3</v>
      </c>
      <c r="AA523" s="389">
        <f t="shared" si="114"/>
        <v>36742.849434475269</v>
      </c>
      <c r="AB523" s="125" t="s">
        <v>485</v>
      </c>
      <c r="AC523" s="98"/>
      <c r="AD523" s="98"/>
    </row>
    <row r="524" spans="1:30" ht="12.75" customHeight="1">
      <c r="A524" s="125" t="s">
        <v>479</v>
      </c>
      <c r="B524" s="125" t="s">
        <v>1394</v>
      </c>
      <c r="C524" s="382" t="s">
        <v>1396</v>
      </c>
      <c r="D524" s="383">
        <v>275</v>
      </c>
      <c r="E524" s="384">
        <f t="shared" si="169"/>
        <v>0.13753877973112719</v>
      </c>
      <c r="F524" s="126" t="s">
        <v>1397</v>
      </c>
      <c r="G524" s="126"/>
      <c r="H524" s="385">
        <f t="shared" si="170"/>
        <v>242.0333</v>
      </c>
      <c r="I524" s="126">
        <v>30</v>
      </c>
      <c r="J524" s="385">
        <v>241.75</v>
      </c>
      <c r="K524" s="133">
        <v>7261</v>
      </c>
      <c r="L524" s="155">
        <v>44515</v>
      </c>
      <c r="M524" s="129">
        <f t="shared" si="14"/>
        <v>249.9333</v>
      </c>
      <c r="N524" s="158">
        <v>250.2</v>
      </c>
      <c r="O524" s="386">
        <v>7498</v>
      </c>
      <c r="P524" s="125">
        <v>44519</v>
      </c>
      <c r="Q524" s="437">
        <v>44517</v>
      </c>
      <c r="R524" s="438">
        <v>15.93</v>
      </c>
      <c r="S524" s="439"/>
      <c r="T524" s="440">
        <f t="shared" si="167"/>
        <v>237</v>
      </c>
      <c r="U524" s="441" t="str">
        <f t="shared" si="16"/>
        <v>30 TATAPOWER</v>
      </c>
      <c r="V524" s="132">
        <f t="shared" si="17"/>
        <v>221.07</v>
      </c>
      <c r="W524" s="389">
        <f t="shared" si="168"/>
        <v>3.0446219528990497E-2</v>
      </c>
      <c r="X524" s="442">
        <f t="shared" si="19"/>
        <v>0</v>
      </c>
      <c r="Y524" s="391">
        <f t="shared" si="20"/>
        <v>0</v>
      </c>
      <c r="Z524" s="392">
        <f t="shared" si="21"/>
        <v>4</v>
      </c>
      <c r="AA524" s="389">
        <f t="shared" si="114"/>
        <v>14.436946021638805</v>
      </c>
      <c r="AB524" s="125" t="s">
        <v>485</v>
      </c>
      <c r="AC524" s="98"/>
      <c r="AD524" s="98"/>
    </row>
    <row r="525" spans="1:30" ht="12.75" customHeight="1">
      <c r="A525" s="125" t="s">
        <v>479</v>
      </c>
      <c r="B525" s="125" t="s">
        <v>1394</v>
      </c>
      <c r="C525" s="382" t="s">
        <v>1396</v>
      </c>
      <c r="D525" s="383">
        <v>275</v>
      </c>
      <c r="E525" s="384">
        <f t="shared" si="169"/>
        <v>0.13753877973112719</v>
      </c>
      <c r="F525" s="126" t="s">
        <v>1397</v>
      </c>
      <c r="G525" s="126"/>
      <c r="H525" s="385">
        <f t="shared" si="170"/>
        <v>242.05</v>
      </c>
      <c r="I525" s="126">
        <v>20</v>
      </c>
      <c r="J525" s="385">
        <v>241.75</v>
      </c>
      <c r="K525" s="133">
        <v>4841</v>
      </c>
      <c r="L525" s="155">
        <v>44515</v>
      </c>
      <c r="M525" s="129">
        <f t="shared" si="14"/>
        <v>243.5</v>
      </c>
      <c r="N525" s="158">
        <v>243.75</v>
      </c>
      <c r="O525" s="386">
        <v>4870</v>
      </c>
      <c r="P525" s="125">
        <v>44529</v>
      </c>
      <c r="Q525" s="437">
        <v>44525</v>
      </c>
      <c r="R525" s="438">
        <v>0</v>
      </c>
      <c r="S525" s="439"/>
      <c r="T525" s="440">
        <f t="shared" si="167"/>
        <v>29</v>
      </c>
      <c r="U525" s="441" t="str">
        <f t="shared" si="16"/>
        <v>20 TATAPOWER</v>
      </c>
      <c r="V525" s="132">
        <f t="shared" si="17"/>
        <v>29</v>
      </c>
      <c r="W525" s="389">
        <f t="shared" si="168"/>
        <v>5.9904978310266477E-3</v>
      </c>
      <c r="X525" s="442">
        <f t="shared" si="19"/>
        <v>0</v>
      </c>
      <c r="Y525" s="391">
        <f t="shared" si="20"/>
        <v>0</v>
      </c>
      <c r="Z525" s="392">
        <f t="shared" si="21"/>
        <v>14</v>
      </c>
      <c r="AA525" s="389">
        <f t="shared" si="114"/>
        <v>0.16849301322791943</v>
      </c>
      <c r="AB525" s="125" t="s">
        <v>485</v>
      </c>
      <c r="AC525" s="98"/>
      <c r="AD525" s="98"/>
    </row>
    <row r="526" spans="1:30" ht="12.75" customHeight="1">
      <c r="A526" s="125" t="s">
        <v>479</v>
      </c>
      <c r="B526" s="125" t="s">
        <v>1394</v>
      </c>
      <c r="C526" s="382" t="s">
        <v>1396</v>
      </c>
      <c r="D526" s="383">
        <v>275</v>
      </c>
      <c r="E526" s="384">
        <f t="shared" si="169"/>
        <v>0.1249744323992637</v>
      </c>
      <c r="F526" s="126" t="s">
        <v>1397</v>
      </c>
      <c r="G526" s="126"/>
      <c r="H526" s="385">
        <f t="shared" si="170"/>
        <v>244.73330000000001</v>
      </c>
      <c r="I526" s="126">
        <v>30</v>
      </c>
      <c r="J526" s="385">
        <v>244.45</v>
      </c>
      <c r="K526" s="133">
        <v>7342</v>
      </c>
      <c r="L526" s="155">
        <v>44518</v>
      </c>
      <c r="M526" s="129">
        <f t="shared" si="14"/>
        <v>243.5</v>
      </c>
      <c r="N526" s="158">
        <v>243.75</v>
      </c>
      <c r="O526" s="386">
        <v>7305</v>
      </c>
      <c r="P526" s="125">
        <v>44529</v>
      </c>
      <c r="Q526" s="437">
        <v>44525</v>
      </c>
      <c r="R526" s="438">
        <v>15.93</v>
      </c>
      <c r="S526" s="439"/>
      <c r="T526" s="440">
        <f t="shared" si="167"/>
        <v>-37</v>
      </c>
      <c r="U526" s="441" t="str">
        <f t="shared" si="16"/>
        <v>30 TATAPOWER</v>
      </c>
      <c r="V526" s="132">
        <f t="shared" si="17"/>
        <v>-52.93</v>
      </c>
      <c r="W526" s="389">
        <f t="shared" si="168"/>
        <v>-7.2092073004630889E-3</v>
      </c>
      <c r="X526" s="442">
        <f t="shared" si="19"/>
        <v>0</v>
      </c>
      <c r="Y526" s="391">
        <f t="shared" si="20"/>
        <v>0</v>
      </c>
      <c r="Z526" s="392">
        <f t="shared" si="21"/>
        <v>11</v>
      </c>
      <c r="AA526" s="389">
        <f t="shared" si="114"/>
        <v>-0.21343588975754468</v>
      </c>
      <c r="AB526" s="125" t="s">
        <v>485</v>
      </c>
      <c r="AC526" s="98"/>
      <c r="AD526" s="98"/>
    </row>
    <row r="527" spans="1:30" ht="12.75" customHeight="1">
      <c r="A527" s="125" t="s">
        <v>479</v>
      </c>
      <c r="B527" s="125" t="s">
        <v>1394</v>
      </c>
      <c r="C527" s="382" t="s">
        <v>1396</v>
      </c>
      <c r="D527" s="383">
        <v>275</v>
      </c>
      <c r="E527" s="384">
        <f t="shared" si="169"/>
        <v>0.17593158216249236</v>
      </c>
      <c r="F527" s="126" t="s">
        <v>1397</v>
      </c>
      <c r="G527" s="126"/>
      <c r="H527" s="385">
        <f t="shared" si="170"/>
        <v>234.1429</v>
      </c>
      <c r="I527" s="126">
        <v>35</v>
      </c>
      <c r="J527" s="385">
        <v>233.85714285714286</v>
      </c>
      <c r="K527" s="133">
        <v>8195</v>
      </c>
      <c r="L527" s="155">
        <v>44526</v>
      </c>
      <c r="M527" s="129">
        <f t="shared" si="14"/>
        <v>247.74289999999999</v>
      </c>
      <c r="N527" s="158">
        <v>248</v>
      </c>
      <c r="O527" s="386">
        <v>8671</v>
      </c>
      <c r="P527" s="125">
        <v>44580</v>
      </c>
      <c r="Q527" s="437">
        <v>44578</v>
      </c>
      <c r="R527" s="438">
        <v>15.93</v>
      </c>
      <c r="S527" s="439"/>
      <c r="T527" s="440">
        <f t="shared" si="167"/>
        <v>476</v>
      </c>
      <c r="U527" s="441" t="str">
        <f t="shared" si="16"/>
        <v>35 TATAPOWER</v>
      </c>
      <c r="V527" s="132">
        <f t="shared" si="17"/>
        <v>460.07</v>
      </c>
      <c r="W527" s="389">
        <f t="shared" si="168"/>
        <v>5.6140329469188531E-2</v>
      </c>
      <c r="X527" s="442">
        <f t="shared" si="19"/>
        <v>0</v>
      </c>
      <c r="Y527" s="391">
        <f t="shared" si="20"/>
        <v>1</v>
      </c>
      <c r="Z527" s="392">
        <f t="shared" si="21"/>
        <v>24</v>
      </c>
      <c r="AA527" s="389">
        <f t="shared" si="114"/>
        <v>0.4465739015176331</v>
      </c>
      <c r="AB527" s="125" t="s">
        <v>485</v>
      </c>
      <c r="AC527" s="98"/>
      <c r="AD527" s="98"/>
    </row>
    <row r="528" spans="1:30" ht="12.75" customHeight="1">
      <c r="A528" s="125" t="s">
        <v>479</v>
      </c>
      <c r="B528" s="125" t="s">
        <v>1394</v>
      </c>
      <c r="C528" s="382" t="s">
        <v>1396</v>
      </c>
      <c r="D528" s="383">
        <v>275</v>
      </c>
      <c r="E528" s="384">
        <f t="shared" si="169"/>
        <v>0.17593158216249236</v>
      </c>
      <c r="F528" s="126" t="s">
        <v>1397</v>
      </c>
      <c r="G528" s="126"/>
      <c r="H528" s="385">
        <f t="shared" si="170"/>
        <v>234.1429</v>
      </c>
      <c r="I528" s="126">
        <v>35</v>
      </c>
      <c r="J528" s="385">
        <v>233.85714285714286</v>
      </c>
      <c r="K528" s="133">
        <v>8195</v>
      </c>
      <c r="L528" s="155">
        <v>44526</v>
      </c>
      <c r="M528" s="129">
        <f t="shared" si="14"/>
        <v>240.25710000000001</v>
      </c>
      <c r="N528" s="158">
        <v>240.5</v>
      </c>
      <c r="O528" s="386">
        <v>8409</v>
      </c>
      <c r="P528" s="125">
        <v>44582</v>
      </c>
      <c r="Q528" s="437">
        <v>44580</v>
      </c>
      <c r="R528" s="438">
        <v>15.93</v>
      </c>
      <c r="S528" s="439"/>
      <c r="T528" s="440">
        <f t="shared" si="167"/>
        <v>214</v>
      </c>
      <c r="U528" s="441" t="str">
        <f t="shared" si="16"/>
        <v>35 TATAPOWER</v>
      </c>
      <c r="V528" s="132">
        <f t="shared" si="17"/>
        <v>198.07</v>
      </c>
      <c r="W528" s="389">
        <f t="shared" si="168"/>
        <v>2.4169615619280049E-2</v>
      </c>
      <c r="X528" s="442">
        <f t="shared" si="19"/>
        <v>0</v>
      </c>
      <c r="Y528" s="391">
        <f t="shared" si="20"/>
        <v>1</v>
      </c>
      <c r="Z528" s="392">
        <f t="shared" si="21"/>
        <v>26</v>
      </c>
      <c r="AA528" s="389">
        <f t="shared" si="114"/>
        <v>0.16842941015265867</v>
      </c>
      <c r="AB528" s="125" t="s">
        <v>485</v>
      </c>
      <c r="AC528" s="98"/>
      <c r="AD528" s="98"/>
    </row>
    <row r="529" spans="1:30" ht="12.75" customHeight="1">
      <c r="A529" s="125" t="s">
        <v>479</v>
      </c>
      <c r="B529" s="125"/>
      <c r="C529" s="382"/>
      <c r="D529" s="383"/>
      <c r="E529" s="384" t="str">
        <f t="shared" si="169"/>
        <v/>
      </c>
      <c r="F529" s="126"/>
      <c r="G529" s="126"/>
      <c r="H529" s="385">
        <f t="shared" si="170"/>
        <v>216.3</v>
      </c>
      <c r="I529" s="126">
        <v>10</v>
      </c>
      <c r="J529" s="385">
        <v>216</v>
      </c>
      <c r="K529" s="133">
        <v>2163</v>
      </c>
      <c r="L529" s="155">
        <v>44769</v>
      </c>
      <c r="M529" s="129">
        <f t="shared" si="14"/>
        <v>234.7</v>
      </c>
      <c r="N529" s="158">
        <v>234.95</v>
      </c>
      <c r="O529" s="386">
        <v>2347</v>
      </c>
      <c r="P529" s="125">
        <v>44790</v>
      </c>
      <c r="Q529" s="437">
        <v>44785</v>
      </c>
      <c r="R529" s="438">
        <v>15.93</v>
      </c>
      <c r="S529" s="439"/>
      <c r="T529" s="440">
        <f t="shared" ref="T529:T530" si="171">IF(OR(O529="",K529=""),"",O529-K529)</f>
        <v>184</v>
      </c>
      <c r="U529" s="441" t="str">
        <f t="shared" si="16"/>
        <v>10 TATAPOWER</v>
      </c>
      <c r="V529" s="132">
        <f t="shared" si="17"/>
        <v>168.07</v>
      </c>
      <c r="W529" s="389">
        <f t="shared" ref="W529:W530" si="172">IF(OR(K529="",V529=""),"",V529/K529)</f>
        <v>7.7702265372168275E-2</v>
      </c>
      <c r="X529" s="442">
        <f t="shared" si="19"/>
        <v>0</v>
      </c>
      <c r="Y529" s="391">
        <f t="shared" si="20"/>
        <v>0</v>
      </c>
      <c r="Z529" s="392">
        <f t="shared" si="21"/>
        <v>21</v>
      </c>
      <c r="AA529" s="389">
        <f t="shared" si="114"/>
        <v>2.6716393999676686</v>
      </c>
      <c r="AB529" s="125" t="s">
        <v>485</v>
      </c>
      <c r="AC529" s="98"/>
      <c r="AD529" s="98"/>
    </row>
    <row r="530" spans="1:30" ht="12.75" customHeight="1">
      <c r="A530" s="125" t="s">
        <v>479</v>
      </c>
      <c r="B530" s="125"/>
      <c r="C530" s="382"/>
      <c r="D530" s="383"/>
      <c r="E530" s="384" t="str">
        <f t="shared" si="169"/>
        <v/>
      </c>
      <c r="F530" s="126"/>
      <c r="G530" s="126"/>
      <c r="H530" s="385">
        <f t="shared" si="170"/>
        <v>245.8</v>
      </c>
      <c r="I530" s="126">
        <v>30</v>
      </c>
      <c r="J530" s="385">
        <v>245.5</v>
      </c>
      <c r="K530" s="133">
        <v>7374</v>
      </c>
      <c r="L530" s="155">
        <v>44579</v>
      </c>
      <c r="M530" s="129">
        <f t="shared" si="14"/>
        <v>245.23330000000001</v>
      </c>
      <c r="N530" s="158">
        <v>245.5</v>
      </c>
      <c r="O530" s="386">
        <v>7357</v>
      </c>
      <c r="P530" s="125">
        <v>44811</v>
      </c>
      <c r="Q530" s="437">
        <v>44810</v>
      </c>
      <c r="R530" s="438">
        <v>15.93</v>
      </c>
      <c r="S530" s="439"/>
      <c r="T530" s="440">
        <f t="shared" si="171"/>
        <v>-17</v>
      </c>
      <c r="U530" s="441" t="str">
        <f t="shared" si="16"/>
        <v>30 TATAPOWER</v>
      </c>
      <c r="V530" s="132">
        <f t="shared" si="17"/>
        <v>-32.93</v>
      </c>
      <c r="W530" s="389">
        <f t="shared" si="172"/>
        <v>-4.46569026308652E-3</v>
      </c>
      <c r="X530" s="442">
        <f t="shared" si="19"/>
        <v>0</v>
      </c>
      <c r="Y530" s="391">
        <f t="shared" si="20"/>
        <v>7</v>
      </c>
      <c r="Z530" s="392">
        <f t="shared" si="21"/>
        <v>20</v>
      </c>
      <c r="AA530" s="389">
        <f t="shared" si="114"/>
        <v>-7.0167637460073484E-3</v>
      </c>
      <c r="AB530" s="125" t="s">
        <v>485</v>
      </c>
      <c r="AC530" s="98"/>
      <c r="AD530" s="98"/>
    </row>
    <row r="531" spans="1:30" ht="12.75" customHeight="1">
      <c r="A531" s="125" t="s">
        <v>604</v>
      </c>
      <c r="B531" s="125" t="s">
        <v>1091</v>
      </c>
      <c r="C531" s="382" t="s">
        <v>1193</v>
      </c>
      <c r="D531" s="383"/>
      <c r="E531" s="384" t="str">
        <f t="shared" si="169"/>
        <v/>
      </c>
      <c r="F531" s="126"/>
      <c r="G531" s="126"/>
      <c r="H531" s="385">
        <f t="shared" si="170"/>
        <v>1345.5</v>
      </c>
      <c r="I531" s="126">
        <v>6</v>
      </c>
      <c r="J531" s="385">
        <v>1343.4</v>
      </c>
      <c r="K531" s="133">
        <f>8810-737</f>
        <v>8073</v>
      </c>
      <c r="L531" s="155">
        <v>44508</v>
      </c>
      <c r="M531" s="129">
        <f t="shared" si="14"/>
        <v>1293.6667</v>
      </c>
      <c r="N531" s="158">
        <v>1295</v>
      </c>
      <c r="O531" s="386">
        <v>7762</v>
      </c>
      <c r="P531" s="125">
        <v>44624</v>
      </c>
      <c r="Q531" s="437">
        <v>44622</v>
      </c>
      <c r="R531" s="438">
        <v>0</v>
      </c>
      <c r="S531" s="439"/>
      <c r="T531" s="440">
        <f t="shared" ref="T531:T532" si="173">IF(O531="","",O531-K531)</f>
        <v>-311</v>
      </c>
      <c r="U531" s="441" t="str">
        <f t="shared" si="16"/>
        <v>6 TATASTEEL</v>
      </c>
      <c r="V531" s="132">
        <f t="shared" si="17"/>
        <v>-311</v>
      </c>
      <c r="W531" s="389">
        <f t="shared" ref="W531:W532" si="174">IF(M531=0,"",V531/K531)</f>
        <v>-3.8523473306082003E-2</v>
      </c>
      <c r="X531" s="442">
        <f t="shared" si="19"/>
        <v>0</v>
      </c>
      <c r="Y531" s="391">
        <f t="shared" si="20"/>
        <v>3</v>
      </c>
      <c r="Z531" s="392">
        <f t="shared" si="21"/>
        <v>24</v>
      </c>
      <c r="AA531" s="389">
        <f t="shared" si="114"/>
        <v>-0.11627794708276284</v>
      </c>
      <c r="AB531" s="125" t="s">
        <v>485</v>
      </c>
      <c r="AC531" s="98"/>
      <c r="AD531" s="98"/>
    </row>
    <row r="532" spans="1:30" ht="12.75" customHeight="1">
      <c r="A532" s="125" t="s">
        <v>604</v>
      </c>
      <c r="B532" s="125"/>
      <c r="C532" s="382"/>
      <c r="D532" s="383"/>
      <c r="E532" s="384" t="str">
        <f t="shared" si="169"/>
        <v/>
      </c>
      <c r="F532" s="126"/>
      <c r="G532" s="126"/>
      <c r="H532" s="385">
        <f t="shared" si="170"/>
        <v>1206.5</v>
      </c>
      <c r="I532" s="126">
        <v>4</v>
      </c>
      <c r="J532" s="385">
        <v>1205</v>
      </c>
      <c r="K532" s="133">
        <v>4826</v>
      </c>
      <c r="L532" s="155">
        <v>44579</v>
      </c>
      <c r="M532" s="129">
        <f t="shared" si="14"/>
        <v>1293.75</v>
      </c>
      <c r="N532" s="158">
        <v>1295</v>
      </c>
      <c r="O532" s="386">
        <v>5175</v>
      </c>
      <c r="P532" s="125">
        <v>44624</v>
      </c>
      <c r="Q532" s="437">
        <v>44622</v>
      </c>
      <c r="R532" s="438">
        <v>15.93</v>
      </c>
      <c r="S532" s="439"/>
      <c r="T532" s="440">
        <f t="shared" si="173"/>
        <v>349</v>
      </c>
      <c r="U532" s="441" t="str">
        <f t="shared" si="16"/>
        <v>4 TATASTEEL</v>
      </c>
      <c r="V532" s="132">
        <f t="shared" si="17"/>
        <v>333.07</v>
      </c>
      <c r="W532" s="389">
        <f t="shared" si="174"/>
        <v>6.9015748031496058E-2</v>
      </c>
      <c r="X532" s="442">
        <f t="shared" si="19"/>
        <v>0</v>
      </c>
      <c r="Y532" s="391">
        <f t="shared" si="20"/>
        <v>1</v>
      </c>
      <c r="Z532" s="392">
        <f t="shared" si="21"/>
        <v>14</v>
      </c>
      <c r="AA532" s="389">
        <f t="shared" si="114"/>
        <v>0.71827740735524981</v>
      </c>
      <c r="AB532" s="125" t="s">
        <v>485</v>
      </c>
      <c r="AC532" s="98"/>
      <c r="AD532" s="98"/>
    </row>
    <row r="533" spans="1:30" ht="12.75" customHeight="1">
      <c r="A533" s="125" t="s">
        <v>604</v>
      </c>
      <c r="B533" s="125"/>
      <c r="C533" s="382"/>
      <c r="D533" s="383"/>
      <c r="E533" s="384" t="str">
        <f t="shared" si="169"/>
        <v/>
      </c>
      <c r="F533" s="126"/>
      <c r="G533" s="126"/>
      <c r="H533" s="385">
        <f t="shared" si="170"/>
        <v>107.62</v>
      </c>
      <c r="I533" s="126">
        <v>50</v>
      </c>
      <c r="J533" s="385">
        <v>107.5</v>
      </c>
      <c r="K533" s="133">
        <v>5381</v>
      </c>
      <c r="L533" s="155">
        <v>44795</v>
      </c>
      <c r="M533" s="129">
        <f t="shared" si="14"/>
        <v>109.14</v>
      </c>
      <c r="N533" s="158">
        <v>109.25</v>
      </c>
      <c r="O533" s="386">
        <v>5457</v>
      </c>
      <c r="P533" s="125">
        <v>44900</v>
      </c>
      <c r="Q533" s="437">
        <v>44896</v>
      </c>
      <c r="R533" s="438">
        <v>15.93</v>
      </c>
      <c r="S533" s="439"/>
      <c r="T533" s="440">
        <f>IF(OR(O533="",K533=""),"",O533-K533)</f>
        <v>76</v>
      </c>
      <c r="U533" s="441" t="str">
        <f t="shared" si="16"/>
        <v>50 TATASTEEL</v>
      </c>
      <c r="V533" s="132">
        <f t="shared" si="17"/>
        <v>60.07</v>
      </c>
      <c r="W533" s="389">
        <f>IF(OR(K533="",V533=""),"",V533/K533)</f>
        <v>1.1163352536703215E-2</v>
      </c>
      <c r="X533" s="442">
        <f t="shared" si="19"/>
        <v>0</v>
      </c>
      <c r="Y533" s="391">
        <f t="shared" si="20"/>
        <v>3</v>
      </c>
      <c r="Z533" s="392">
        <f t="shared" si="21"/>
        <v>13</v>
      </c>
      <c r="AA533" s="389">
        <f t="shared" si="114"/>
        <v>3.934523817204516E-2</v>
      </c>
      <c r="AB533" s="125" t="s">
        <v>485</v>
      </c>
      <c r="AC533" s="98"/>
      <c r="AD533" s="98"/>
    </row>
    <row r="534" spans="1:30" ht="12.75" customHeight="1">
      <c r="A534" s="125" t="s">
        <v>569</v>
      </c>
      <c r="B534" s="125" t="s">
        <v>1398</v>
      </c>
      <c r="C534" s="382" t="s">
        <v>1153</v>
      </c>
      <c r="D534" s="383" t="s">
        <v>1399</v>
      </c>
      <c r="E534" s="384">
        <f t="shared" si="169"/>
        <v>0.19347826086956521</v>
      </c>
      <c r="F534" s="126" t="s">
        <v>1154</v>
      </c>
      <c r="G534" s="126" t="s">
        <v>1223</v>
      </c>
      <c r="H534" s="385">
        <f t="shared" si="170"/>
        <v>2303</v>
      </c>
      <c r="I534" s="126">
        <v>1</v>
      </c>
      <c r="J534" s="385">
        <v>2300</v>
      </c>
      <c r="K534" s="133">
        <v>2303</v>
      </c>
      <c r="L534" s="155">
        <v>44406</v>
      </c>
      <c r="M534" s="129">
        <f t="shared" si="14"/>
        <v>2373</v>
      </c>
      <c r="N534" s="158">
        <v>2375</v>
      </c>
      <c r="O534" s="386">
        <v>2373</v>
      </c>
      <c r="P534" s="125">
        <v>44481</v>
      </c>
      <c r="Q534" s="437">
        <v>44477</v>
      </c>
      <c r="R534" s="438">
        <v>15.93</v>
      </c>
      <c r="S534" s="439"/>
      <c r="T534" s="440">
        <f t="shared" ref="T534:T538" si="175">IF(O534="","",O534-K534)</f>
        <v>70</v>
      </c>
      <c r="U534" s="441" t="str">
        <f t="shared" si="16"/>
        <v>1 TATVA</v>
      </c>
      <c r="V534" s="132">
        <f t="shared" si="17"/>
        <v>54.07</v>
      </c>
      <c r="W534" s="389">
        <f t="shared" ref="W534:W538" si="176">IF(M534=0,"",V534/K534)</f>
        <v>2.3478072079895787E-2</v>
      </c>
      <c r="X534" s="442">
        <f t="shared" si="19"/>
        <v>0</v>
      </c>
      <c r="Y534" s="391">
        <f t="shared" si="20"/>
        <v>2</v>
      </c>
      <c r="Z534" s="392">
        <f t="shared" si="21"/>
        <v>13</v>
      </c>
      <c r="AA534" s="389">
        <f t="shared" si="114"/>
        <v>0.1195639513658846</v>
      </c>
      <c r="AB534" s="125" t="s">
        <v>485</v>
      </c>
      <c r="AC534" s="98"/>
      <c r="AD534" s="98"/>
    </row>
    <row r="535" spans="1:30" ht="12.75" customHeight="1">
      <c r="A535" s="125" t="s">
        <v>588</v>
      </c>
      <c r="B535" s="125" t="s">
        <v>1400</v>
      </c>
      <c r="C535" s="382" t="s">
        <v>1401</v>
      </c>
      <c r="D535" s="383"/>
      <c r="E535" s="384" t="str">
        <f t="shared" si="169"/>
        <v/>
      </c>
      <c r="F535" s="126" t="s">
        <v>1145</v>
      </c>
      <c r="G535" s="126"/>
      <c r="H535" s="385">
        <f t="shared" si="170"/>
        <v>3564.5</v>
      </c>
      <c r="I535" s="126">
        <v>2</v>
      </c>
      <c r="J535" s="385">
        <v>3560</v>
      </c>
      <c r="K535" s="133">
        <v>7129</v>
      </c>
      <c r="L535" s="155">
        <v>44490</v>
      </c>
      <c r="M535" s="129">
        <f t="shared" si="14"/>
        <v>3546.5</v>
      </c>
      <c r="N535" s="158">
        <v>3550</v>
      </c>
      <c r="O535" s="386">
        <v>7093</v>
      </c>
      <c r="P535" s="125">
        <v>44532</v>
      </c>
      <c r="Q535" s="437">
        <v>44530</v>
      </c>
      <c r="R535" s="438">
        <v>15.93</v>
      </c>
      <c r="S535" s="439"/>
      <c r="T535" s="440">
        <f t="shared" si="175"/>
        <v>-36</v>
      </c>
      <c r="U535" s="441" t="str">
        <f t="shared" si="16"/>
        <v>2 TCS</v>
      </c>
      <c r="V535" s="132">
        <f t="shared" si="17"/>
        <v>-51.93</v>
      </c>
      <c r="W535" s="389">
        <f t="shared" si="176"/>
        <v>-7.2843316033104222E-3</v>
      </c>
      <c r="X535" s="442">
        <f t="shared" si="19"/>
        <v>0</v>
      </c>
      <c r="Y535" s="391">
        <f t="shared" si="20"/>
        <v>1</v>
      </c>
      <c r="Z535" s="392">
        <f t="shared" si="21"/>
        <v>11</v>
      </c>
      <c r="AA535" s="389">
        <f t="shared" si="114"/>
        <v>-6.1559666081930531E-2</v>
      </c>
      <c r="AB535" s="125" t="s">
        <v>485</v>
      </c>
      <c r="AC535" s="98"/>
      <c r="AD535" s="98"/>
    </row>
    <row r="536" spans="1:30" ht="12.75" customHeight="1">
      <c r="A536" s="125" t="s">
        <v>588</v>
      </c>
      <c r="B536" s="125" t="s">
        <v>1400</v>
      </c>
      <c r="C536" s="382" t="s">
        <v>1401</v>
      </c>
      <c r="D536" s="383"/>
      <c r="E536" s="384" t="str">
        <f t="shared" si="169"/>
        <v/>
      </c>
      <c r="F536" s="126" t="s">
        <v>1145</v>
      </c>
      <c r="G536" s="126"/>
      <c r="H536" s="385">
        <f t="shared" si="170"/>
        <v>3519</v>
      </c>
      <c r="I536" s="126">
        <v>1</v>
      </c>
      <c r="J536" s="385">
        <v>3515</v>
      </c>
      <c r="K536" s="133">
        <v>3519</v>
      </c>
      <c r="L536" s="155">
        <v>44491</v>
      </c>
      <c r="M536" s="129">
        <f t="shared" si="14"/>
        <v>3547</v>
      </c>
      <c r="N536" s="158">
        <v>3551</v>
      </c>
      <c r="O536" s="386">
        <v>3547</v>
      </c>
      <c r="P536" s="125">
        <v>44533</v>
      </c>
      <c r="Q536" s="437">
        <v>44531</v>
      </c>
      <c r="R536" s="438">
        <v>0</v>
      </c>
      <c r="S536" s="439"/>
      <c r="T536" s="440">
        <f t="shared" si="175"/>
        <v>28</v>
      </c>
      <c r="U536" s="441" t="str">
        <f t="shared" si="16"/>
        <v>1 TCS</v>
      </c>
      <c r="V536" s="132">
        <f t="shared" si="17"/>
        <v>28</v>
      </c>
      <c r="W536" s="389">
        <f t="shared" si="176"/>
        <v>7.956805910770106E-3</v>
      </c>
      <c r="X536" s="442">
        <f t="shared" si="19"/>
        <v>0</v>
      </c>
      <c r="Y536" s="391">
        <f t="shared" si="20"/>
        <v>1</v>
      </c>
      <c r="Z536" s="392">
        <f t="shared" si="21"/>
        <v>11</v>
      </c>
      <c r="AA536" s="389">
        <f t="shared" si="114"/>
        <v>7.1302055111595042E-2</v>
      </c>
      <c r="AB536" s="125" t="s">
        <v>485</v>
      </c>
      <c r="AC536" s="98"/>
      <c r="AD536" s="98"/>
    </row>
    <row r="537" spans="1:30" ht="12.75" customHeight="1">
      <c r="A537" s="125" t="s">
        <v>588</v>
      </c>
      <c r="B537" s="125" t="s">
        <v>1400</v>
      </c>
      <c r="C537" s="382" t="s">
        <v>1401</v>
      </c>
      <c r="D537" s="383"/>
      <c r="E537" s="384" t="str">
        <f t="shared" si="169"/>
        <v/>
      </c>
      <c r="F537" s="126" t="s">
        <v>1145</v>
      </c>
      <c r="G537" s="126"/>
      <c r="H537" s="385">
        <f t="shared" si="170"/>
        <v>3564</v>
      </c>
      <c r="I537" s="126">
        <v>2</v>
      </c>
      <c r="J537" s="385">
        <v>3560</v>
      </c>
      <c r="K537" s="133">
        <v>7128</v>
      </c>
      <c r="L537" s="155">
        <v>44490</v>
      </c>
      <c r="M537" s="129">
        <f t="shared" si="14"/>
        <v>3577.5</v>
      </c>
      <c r="N537" s="158">
        <v>3581.0250000000001</v>
      </c>
      <c r="O537" s="386">
        <v>7155</v>
      </c>
      <c r="P537" s="125">
        <v>44533</v>
      </c>
      <c r="Q537" s="437">
        <v>44531</v>
      </c>
      <c r="R537" s="438">
        <v>15.93</v>
      </c>
      <c r="S537" s="439"/>
      <c r="T537" s="440">
        <f t="shared" si="175"/>
        <v>27</v>
      </c>
      <c r="U537" s="441" t="str">
        <f t="shared" si="16"/>
        <v>2 TCS</v>
      </c>
      <c r="V537" s="132">
        <f t="shared" si="17"/>
        <v>11.07</v>
      </c>
      <c r="W537" s="389">
        <f t="shared" si="176"/>
        <v>1.5530303030303031E-3</v>
      </c>
      <c r="X537" s="442">
        <f t="shared" si="19"/>
        <v>0</v>
      </c>
      <c r="Y537" s="391">
        <f t="shared" si="20"/>
        <v>1</v>
      </c>
      <c r="Z537" s="392">
        <f t="shared" si="21"/>
        <v>12</v>
      </c>
      <c r="AA537" s="389">
        <f t="shared" si="114"/>
        <v>1.3259612320893011E-2</v>
      </c>
      <c r="AB537" s="125" t="s">
        <v>485</v>
      </c>
      <c r="AC537" s="98"/>
      <c r="AD537" s="98"/>
    </row>
    <row r="538" spans="1:30" ht="12.75" customHeight="1">
      <c r="A538" s="125" t="s">
        <v>588</v>
      </c>
      <c r="B538" s="125" t="s">
        <v>1400</v>
      </c>
      <c r="C538" s="382" t="s">
        <v>1401</v>
      </c>
      <c r="D538" s="383"/>
      <c r="E538" s="384" t="str">
        <f t="shared" si="169"/>
        <v/>
      </c>
      <c r="F538" s="126" t="s">
        <v>1145</v>
      </c>
      <c r="G538" s="126"/>
      <c r="H538" s="385">
        <f t="shared" si="170"/>
        <v>3618</v>
      </c>
      <c r="I538" s="126">
        <v>1</v>
      </c>
      <c r="J538" s="385">
        <v>3614</v>
      </c>
      <c r="K538" s="133">
        <v>3618</v>
      </c>
      <c r="L538" s="155">
        <v>44487</v>
      </c>
      <c r="M538" s="129">
        <f t="shared" si="14"/>
        <v>3626</v>
      </c>
      <c r="N538" s="158">
        <v>3630</v>
      </c>
      <c r="O538" s="386">
        <v>3626</v>
      </c>
      <c r="P538" s="125">
        <v>44536</v>
      </c>
      <c r="Q538" s="437">
        <v>44532</v>
      </c>
      <c r="R538" s="438">
        <v>15.93</v>
      </c>
      <c r="S538" s="439"/>
      <c r="T538" s="440">
        <f t="shared" si="175"/>
        <v>8</v>
      </c>
      <c r="U538" s="441" t="str">
        <f t="shared" si="16"/>
        <v>1 TCS</v>
      </c>
      <c r="V538" s="132">
        <f t="shared" si="17"/>
        <v>-7.93</v>
      </c>
      <c r="W538" s="389">
        <f t="shared" si="176"/>
        <v>-2.1918186843559975E-3</v>
      </c>
      <c r="X538" s="442">
        <f t="shared" si="19"/>
        <v>0</v>
      </c>
      <c r="Y538" s="391">
        <f t="shared" si="20"/>
        <v>1</v>
      </c>
      <c r="Z538" s="392">
        <f t="shared" si="21"/>
        <v>18</v>
      </c>
      <c r="AA538" s="389">
        <f t="shared" si="114"/>
        <v>-1.6211881204597267E-2</v>
      </c>
      <c r="AB538" s="125" t="s">
        <v>485</v>
      </c>
      <c r="AC538" s="98"/>
      <c r="AD538" s="98"/>
    </row>
    <row r="539" spans="1:30" ht="12.75" customHeight="1">
      <c r="A539" s="125" t="s">
        <v>588</v>
      </c>
      <c r="B539" s="125"/>
      <c r="C539" s="382"/>
      <c r="D539" s="383"/>
      <c r="E539" s="384" t="str">
        <f t="shared" si="169"/>
        <v/>
      </c>
      <c r="F539" s="126"/>
      <c r="G539" s="126"/>
      <c r="H539" s="385">
        <f t="shared" si="170"/>
        <v>3133.5</v>
      </c>
      <c r="I539" s="126">
        <v>2</v>
      </c>
      <c r="J539" s="385">
        <v>3130</v>
      </c>
      <c r="K539" s="133">
        <v>6267</v>
      </c>
      <c r="L539" s="155">
        <v>44818</v>
      </c>
      <c r="M539" s="129">
        <f t="shared" si="14"/>
        <v>3356.5</v>
      </c>
      <c r="N539" s="158">
        <v>3360</v>
      </c>
      <c r="O539" s="386">
        <v>6713</v>
      </c>
      <c r="P539" s="125">
        <v>44893</v>
      </c>
      <c r="Q539" s="437">
        <v>44889</v>
      </c>
      <c r="R539" s="438">
        <v>15.93</v>
      </c>
      <c r="S539" s="439"/>
      <c r="T539" s="440">
        <f>IF(OR(O539="",K539=""),"",O539-K539)</f>
        <v>446</v>
      </c>
      <c r="U539" s="441" t="str">
        <f t="shared" si="16"/>
        <v>2 TCS</v>
      </c>
      <c r="V539" s="132">
        <f t="shared" si="17"/>
        <v>430.07</v>
      </c>
      <c r="W539" s="389">
        <f>IF(OR(K539="",V539=""),"",V539/K539)</f>
        <v>6.8624541247805967E-2</v>
      </c>
      <c r="X539" s="442">
        <f t="shared" si="19"/>
        <v>0</v>
      </c>
      <c r="Y539" s="391">
        <f t="shared" si="20"/>
        <v>2</v>
      </c>
      <c r="Z539" s="392">
        <f t="shared" si="21"/>
        <v>14</v>
      </c>
      <c r="AA539" s="389">
        <f t="shared" si="114"/>
        <v>0.38128204251775033</v>
      </c>
      <c r="AB539" s="125" t="s">
        <v>485</v>
      </c>
      <c r="AC539" s="98"/>
      <c r="AD539" s="98"/>
    </row>
    <row r="540" spans="1:30" ht="12.75" customHeight="1">
      <c r="A540" s="125" t="s">
        <v>574</v>
      </c>
      <c r="B540" s="125" t="s">
        <v>1402</v>
      </c>
      <c r="C540" s="382" t="s">
        <v>1403</v>
      </c>
      <c r="D540" s="383"/>
      <c r="E540" s="384" t="str">
        <f t="shared" si="169"/>
        <v/>
      </c>
      <c r="F540" s="126" t="s">
        <v>1145</v>
      </c>
      <c r="G540" s="126"/>
      <c r="H540" s="385">
        <f t="shared" si="170"/>
        <v>77.090900000000005</v>
      </c>
      <c r="I540" s="126">
        <v>11</v>
      </c>
      <c r="J540" s="385">
        <v>77</v>
      </c>
      <c r="K540" s="133">
        <v>848</v>
      </c>
      <c r="L540" s="155">
        <v>44433</v>
      </c>
      <c r="M540" s="129">
        <f t="shared" si="14"/>
        <v>103</v>
      </c>
      <c r="N540" s="158">
        <v>103.15</v>
      </c>
      <c r="O540" s="386">
        <v>1133</v>
      </c>
      <c r="P540" s="125">
        <v>44447</v>
      </c>
      <c r="Q540" s="437">
        <v>44445</v>
      </c>
      <c r="R540" s="438">
        <v>15.93</v>
      </c>
      <c r="S540" s="439"/>
      <c r="T540" s="440">
        <f t="shared" ref="T540:T550" si="177">IF(O540="","",O540-K540)</f>
        <v>285</v>
      </c>
      <c r="U540" s="441" t="str">
        <f t="shared" si="16"/>
        <v>11 TIGERLOGS</v>
      </c>
      <c r="V540" s="132">
        <f t="shared" si="17"/>
        <v>269.07</v>
      </c>
      <c r="W540" s="389">
        <f t="shared" ref="W540:W550" si="178">IF(M540=0,"",V540/K540)</f>
        <v>0.31729952830188679</v>
      </c>
      <c r="X540" s="442">
        <f t="shared" si="19"/>
        <v>0</v>
      </c>
      <c r="Y540" s="391">
        <f t="shared" si="20"/>
        <v>0</v>
      </c>
      <c r="Z540" s="392">
        <f t="shared" si="21"/>
        <v>14</v>
      </c>
      <c r="AA540" s="389">
        <f t="shared" si="114"/>
        <v>1318.3099552950305</v>
      </c>
      <c r="AB540" s="125" t="s">
        <v>485</v>
      </c>
      <c r="AC540" s="98"/>
      <c r="AD540" s="98"/>
    </row>
    <row r="541" spans="1:30" ht="12.75" customHeight="1">
      <c r="A541" s="125" t="s">
        <v>600</v>
      </c>
      <c r="B541" s="125"/>
      <c r="C541" s="382"/>
      <c r="D541" s="383">
        <v>9</v>
      </c>
      <c r="E541" s="384">
        <f t="shared" si="169"/>
        <v>0.70777988614800769</v>
      </c>
      <c r="F541" s="126" t="s">
        <v>1162</v>
      </c>
      <c r="G541" s="126" t="s">
        <v>1163</v>
      </c>
      <c r="H541" s="385">
        <f t="shared" si="170"/>
        <v>5.2765000000000004</v>
      </c>
      <c r="I541" s="126">
        <v>2000</v>
      </c>
      <c r="J541" s="385">
        <v>5.27</v>
      </c>
      <c r="K541" s="133">
        <v>10553</v>
      </c>
      <c r="L541" s="155">
        <v>44572</v>
      </c>
      <c r="M541" s="129">
        <f t="shared" si="14"/>
        <v>6.3365</v>
      </c>
      <c r="N541" s="158">
        <v>6.35</v>
      </c>
      <c r="O541" s="386">
        <v>12673</v>
      </c>
      <c r="P541" s="125">
        <v>44580</v>
      </c>
      <c r="Q541" s="437">
        <v>44578</v>
      </c>
      <c r="R541" s="438">
        <v>15.93</v>
      </c>
      <c r="S541" s="439"/>
      <c r="T541" s="440">
        <f t="shared" si="177"/>
        <v>2120</v>
      </c>
      <c r="U541" s="441" t="str">
        <f t="shared" si="16"/>
        <v>2000 TOYAMIND</v>
      </c>
      <c r="V541" s="132">
        <f t="shared" si="17"/>
        <v>2104.0700000000002</v>
      </c>
      <c r="W541" s="389">
        <f t="shared" si="178"/>
        <v>0.19938121861082159</v>
      </c>
      <c r="X541" s="442">
        <f t="shared" si="19"/>
        <v>0</v>
      </c>
      <c r="Y541" s="391">
        <f t="shared" si="20"/>
        <v>0</v>
      </c>
      <c r="Z541" s="392">
        <f t="shared" si="21"/>
        <v>8</v>
      </c>
      <c r="AA541" s="389">
        <f t="shared" si="114"/>
        <v>4002.3563542050092</v>
      </c>
      <c r="AB541" s="125" t="s">
        <v>485</v>
      </c>
      <c r="AC541" s="98"/>
      <c r="AD541" s="98"/>
    </row>
    <row r="542" spans="1:30" ht="12.75" customHeight="1">
      <c r="A542" s="125" t="s">
        <v>600</v>
      </c>
      <c r="B542" s="125"/>
      <c r="C542" s="382"/>
      <c r="D542" s="383"/>
      <c r="E542" s="384" t="str">
        <f t="shared" si="169"/>
        <v/>
      </c>
      <c r="F542" s="126"/>
      <c r="G542" s="126"/>
      <c r="H542" s="385">
        <f t="shared" si="170"/>
        <v>7.468</v>
      </c>
      <c r="I542" s="126">
        <v>500</v>
      </c>
      <c r="J542" s="385">
        <v>7.45</v>
      </c>
      <c r="K542" s="133">
        <v>3734</v>
      </c>
      <c r="L542" s="155">
        <v>44586</v>
      </c>
      <c r="M542" s="129">
        <f t="shared" si="14"/>
        <v>8.9499999999999993</v>
      </c>
      <c r="N542" s="158">
        <v>8.9700000000000006</v>
      </c>
      <c r="O542" s="386">
        <v>4475</v>
      </c>
      <c r="P542" s="125">
        <v>44594</v>
      </c>
      <c r="Q542" s="437">
        <v>44592</v>
      </c>
      <c r="R542" s="438">
        <v>15.93</v>
      </c>
      <c r="S542" s="439"/>
      <c r="T542" s="440">
        <f t="shared" si="177"/>
        <v>741</v>
      </c>
      <c r="U542" s="441" t="str">
        <f t="shared" si="16"/>
        <v>500 TOYAMIND</v>
      </c>
      <c r="V542" s="132">
        <f t="shared" si="17"/>
        <v>725.07</v>
      </c>
      <c r="W542" s="389">
        <f t="shared" si="178"/>
        <v>0.19418050348152116</v>
      </c>
      <c r="X542" s="442">
        <f t="shared" si="19"/>
        <v>0</v>
      </c>
      <c r="Y542" s="391">
        <f t="shared" si="20"/>
        <v>0</v>
      </c>
      <c r="Z542" s="392">
        <f t="shared" si="21"/>
        <v>8</v>
      </c>
      <c r="AA542" s="389">
        <f t="shared" si="114"/>
        <v>3282.3537587104574</v>
      </c>
      <c r="AB542" s="125" t="s">
        <v>485</v>
      </c>
      <c r="AC542" s="98"/>
      <c r="AD542" s="98"/>
    </row>
    <row r="543" spans="1:30" ht="12.75" customHeight="1">
      <c r="A543" s="125" t="s">
        <v>600</v>
      </c>
      <c r="B543" s="125"/>
      <c r="C543" s="382"/>
      <c r="D543" s="383"/>
      <c r="E543" s="384" t="str">
        <f t="shared" si="169"/>
        <v/>
      </c>
      <c r="F543" s="126"/>
      <c r="G543" s="126"/>
      <c r="H543" s="385">
        <f t="shared" si="170"/>
        <v>7.6230000000000002</v>
      </c>
      <c r="I543" s="126">
        <v>1000</v>
      </c>
      <c r="J543" s="385">
        <v>7.6050000000000004</v>
      </c>
      <c r="K543" s="133">
        <v>7623</v>
      </c>
      <c r="L543" s="155">
        <v>44585</v>
      </c>
      <c r="M543" s="129">
        <f t="shared" si="14"/>
        <v>9.2949999999999999</v>
      </c>
      <c r="N543" s="158">
        <v>9.3149999999999995</v>
      </c>
      <c r="O543" s="386">
        <v>9295</v>
      </c>
      <c r="P543" s="125">
        <v>44595</v>
      </c>
      <c r="Q543" s="437">
        <v>44593</v>
      </c>
      <c r="R543" s="438">
        <v>15.93</v>
      </c>
      <c r="S543" s="439"/>
      <c r="T543" s="440">
        <f t="shared" si="177"/>
        <v>1672</v>
      </c>
      <c r="U543" s="441" t="str">
        <f t="shared" si="16"/>
        <v>1000 TOYAMIND</v>
      </c>
      <c r="V543" s="132">
        <f t="shared" si="17"/>
        <v>1656.07</v>
      </c>
      <c r="W543" s="389">
        <f t="shared" si="178"/>
        <v>0.2172464908828545</v>
      </c>
      <c r="X543" s="442">
        <f t="shared" si="19"/>
        <v>0</v>
      </c>
      <c r="Y543" s="391">
        <f t="shared" si="20"/>
        <v>0</v>
      </c>
      <c r="Z543" s="392">
        <f t="shared" si="21"/>
        <v>10</v>
      </c>
      <c r="AA543" s="389">
        <f t="shared" si="114"/>
        <v>1306.1227985539513</v>
      </c>
      <c r="AB543" s="125" t="s">
        <v>485</v>
      </c>
      <c r="AC543" s="98"/>
      <c r="AD543" s="98"/>
    </row>
    <row r="544" spans="1:30" ht="12.75" customHeight="1">
      <c r="A544" s="125" t="s">
        <v>600</v>
      </c>
      <c r="B544" s="125"/>
      <c r="C544" s="382"/>
      <c r="D544" s="383"/>
      <c r="E544" s="384" t="str">
        <f t="shared" si="169"/>
        <v/>
      </c>
      <c r="F544" s="126"/>
      <c r="G544" s="126"/>
      <c r="H544" s="385">
        <f t="shared" si="170"/>
        <v>9.1809999999999992</v>
      </c>
      <c r="I544" s="126">
        <v>1000</v>
      </c>
      <c r="J544" s="385">
        <v>9.16</v>
      </c>
      <c r="K544" s="133">
        <v>9181</v>
      </c>
      <c r="L544" s="155">
        <v>44593</v>
      </c>
      <c r="M544" s="129">
        <f t="shared" si="14"/>
        <v>9.1999999999999993</v>
      </c>
      <c r="N544" s="158">
        <v>9.2200000000000006</v>
      </c>
      <c r="O544" s="386">
        <v>9200</v>
      </c>
      <c r="P544" s="125">
        <v>44655</v>
      </c>
      <c r="Q544" s="437">
        <v>44651</v>
      </c>
      <c r="R544" s="438">
        <v>15.93</v>
      </c>
      <c r="S544" s="439"/>
      <c r="T544" s="440">
        <f t="shared" si="177"/>
        <v>19</v>
      </c>
      <c r="U544" s="441" t="str">
        <f t="shared" si="16"/>
        <v>1000 TOYAMIND</v>
      </c>
      <c r="V544" s="132">
        <f t="shared" si="17"/>
        <v>3.0700000000000003</v>
      </c>
      <c r="W544" s="389">
        <f t="shared" si="178"/>
        <v>3.3438623243655378E-4</v>
      </c>
      <c r="X544" s="442">
        <f t="shared" si="19"/>
        <v>0</v>
      </c>
      <c r="Y544" s="391">
        <f t="shared" si="20"/>
        <v>2</v>
      </c>
      <c r="Z544" s="392">
        <f t="shared" si="21"/>
        <v>3</v>
      </c>
      <c r="AA544" s="389">
        <f t="shared" si="114"/>
        <v>1.970173299341571E-3</v>
      </c>
      <c r="AB544" s="125" t="s">
        <v>485</v>
      </c>
      <c r="AC544" s="98"/>
      <c r="AD544" s="98"/>
    </row>
    <row r="545" spans="1:30" ht="12.75" customHeight="1">
      <c r="A545" s="125" t="s">
        <v>600</v>
      </c>
      <c r="B545" s="125"/>
      <c r="C545" s="382"/>
      <c r="D545" s="383"/>
      <c r="E545" s="384" t="str">
        <f t="shared" si="169"/>
        <v/>
      </c>
      <c r="F545" s="126"/>
      <c r="G545" s="126"/>
      <c r="H545" s="385">
        <f t="shared" si="170"/>
        <v>8.33</v>
      </c>
      <c r="I545" s="126">
        <v>500</v>
      </c>
      <c r="J545" s="385">
        <v>8.31</v>
      </c>
      <c r="K545" s="133">
        <v>4165</v>
      </c>
      <c r="L545" s="155">
        <v>44603</v>
      </c>
      <c r="M545" s="129">
        <f t="shared" si="14"/>
        <v>9.1999999999999993</v>
      </c>
      <c r="N545" s="158">
        <v>9.2200000000000006</v>
      </c>
      <c r="O545" s="386">
        <v>4600</v>
      </c>
      <c r="P545" s="125">
        <v>44655</v>
      </c>
      <c r="Q545" s="437">
        <v>44651</v>
      </c>
      <c r="R545" s="438">
        <v>0</v>
      </c>
      <c r="S545" s="439"/>
      <c r="T545" s="440">
        <f t="shared" si="177"/>
        <v>435</v>
      </c>
      <c r="U545" s="441" t="str">
        <f t="shared" si="16"/>
        <v>500 TOYAMIND</v>
      </c>
      <c r="V545" s="132">
        <f t="shared" si="17"/>
        <v>435</v>
      </c>
      <c r="W545" s="389">
        <f t="shared" si="178"/>
        <v>0.10444177671068428</v>
      </c>
      <c r="X545" s="442">
        <f t="shared" si="19"/>
        <v>0</v>
      </c>
      <c r="Y545" s="391">
        <f t="shared" si="20"/>
        <v>1</v>
      </c>
      <c r="Z545" s="392">
        <f t="shared" si="21"/>
        <v>24</v>
      </c>
      <c r="AA545" s="389">
        <f t="shared" si="114"/>
        <v>1.0083039909472773</v>
      </c>
      <c r="AB545" s="125" t="s">
        <v>485</v>
      </c>
      <c r="AC545" s="98"/>
      <c r="AD545" s="98"/>
    </row>
    <row r="546" spans="1:30" ht="12.75" customHeight="1">
      <c r="A546" s="125" t="s">
        <v>600</v>
      </c>
      <c r="B546" s="125"/>
      <c r="C546" s="382"/>
      <c r="D546" s="383"/>
      <c r="E546" s="384" t="str">
        <f t="shared" si="169"/>
        <v/>
      </c>
      <c r="F546" s="126"/>
      <c r="G546" s="126"/>
      <c r="H546" s="385">
        <f t="shared" si="170"/>
        <v>7.92</v>
      </c>
      <c r="I546" s="126">
        <v>300</v>
      </c>
      <c r="J546" s="385">
        <v>7.9</v>
      </c>
      <c r="K546" s="133">
        <v>2376</v>
      </c>
      <c r="L546" s="155">
        <v>44606</v>
      </c>
      <c r="M546" s="129">
        <f t="shared" si="14"/>
        <v>9.7899999999999991</v>
      </c>
      <c r="N546" s="158">
        <v>9.81</v>
      </c>
      <c r="O546" s="386">
        <v>2937</v>
      </c>
      <c r="P546" s="125">
        <v>44657</v>
      </c>
      <c r="Q546" s="437">
        <v>44655</v>
      </c>
      <c r="R546" s="438">
        <v>15.93</v>
      </c>
      <c r="S546" s="439"/>
      <c r="T546" s="440">
        <f t="shared" si="177"/>
        <v>561</v>
      </c>
      <c r="U546" s="441" t="str">
        <f t="shared" si="16"/>
        <v>300 TOYAMIND</v>
      </c>
      <c r="V546" s="132">
        <f t="shared" si="17"/>
        <v>545.07000000000005</v>
      </c>
      <c r="W546" s="389">
        <f t="shared" si="178"/>
        <v>0.22940656565656567</v>
      </c>
      <c r="X546" s="442">
        <f t="shared" si="19"/>
        <v>0</v>
      </c>
      <c r="Y546" s="391">
        <f t="shared" si="20"/>
        <v>1</v>
      </c>
      <c r="Z546" s="392">
        <f t="shared" si="21"/>
        <v>23</v>
      </c>
      <c r="AA546" s="389">
        <f t="shared" si="114"/>
        <v>3.3846868687020937</v>
      </c>
      <c r="AB546" s="125" t="s">
        <v>485</v>
      </c>
      <c r="AC546" s="98"/>
      <c r="AD546" s="98"/>
    </row>
    <row r="547" spans="1:30" ht="12.75" customHeight="1">
      <c r="A547" s="125" t="s">
        <v>600</v>
      </c>
      <c r="B547" s="125"/>
      <c r="C547" s="382"/>
      <c r="D547" s="383"/>
      <c r="E547" s="384" t="str">
        <f t="shared" si="169"/>
        <v/>
      </c>
      <c r="F547" s="126"/>
      <c r="G547" s="126"/>
      <c r="H547" s="385">
        <f t="shared" si="170"/>
        <v>7.53</v>
      </c>
      <c r="I547" s="126">
        <v>200</v>
      </c>
      <c r="J547" s="385">
        <v>7.51</v>
      </c>
      <c r="K547" s="133">
        <v>1506</v>
      </c>
      <c r="L547" s="155">
        <v>44607</v>
      </c>
      <c r="M547" s="129">
        <f t="shared" si="14"/>
        <v>10.28</v>
      </c>
      <c r="N547" s="158">
        <v>10.3</v>
      </c>
      <c r="O547" s="386">
        <v>2056</v>
      </c>
      <c r="P547" s="125">
        <v>44658</v>
      </c>
      <c r="Q547" s="437">
        <v>44656</v>
      </c>
      <c r="R547" s="438">
        <v>15.93</v>
      </c>
      <c r="S547" s="439"/>
      <c r="T547" s="440">
        <f t="shared" si="177"/>
        <v>550</v>
      </c>
      <c r="U547" s="441" t="str">
        <f t="shared" si="16"/>
        <v>200 TOYAMIND</v>
      </c>
      <c r="V547" s="132">
        <f t="shared" si="17"/>
        <v>534.07000000000005</v>
      </c>
      <c r="W547" s="389">
        <f t="shared" si="178"/>
        <v>0.35462815405046483</v>
      </c>
      <c r="X547" s="442">
        <f t="shared" si="19"/>
        <v>0</v>
      </c>
      <c r="Y547" s="391">
        <f t="shared" si="20"/>
        <v>1</v>
      </c>
      <c r="Z547" s="392">
        <f t="shared" si="21"/>
        <v>23</v>
      </c>
      <c r="AA547" s="389">
        <f t="shared" si="114"/>
        <v>7.7784602176440032</v>
      </c>
      <c r="AB547" s="125" t="s">
        <v>485</v>
      </c>
      <c r="AC547" s="98"/>
      <c r="AD547" s="98"/>
    </row>
    <row r="548" spans="1:30" ht="12.75" customHeight="1">
      <c r="A548" s="125" t="s">
        <v>531</v>
      </c>
      <c r="B548" s="125" t="s">
        <v>1404</v>
      </c>
      <c r="C548" s="382" t="s">
        <v>1201</v>
      </c>
      <c r="D548" s="383">
        <v>890</v>
      </c>
      <c r="E548" s="384">
        <f t="shared" si="169"/>
        <v>5.575326215895611E-2</v>
      </c>
      <c r="F548" s="126" t="s">
        <v>1154</v>
      </c>
      <c r="G548" s="126" t="s">
        <v>1155</v>
      </c>
      <c r="H548" s="385">
        <f t="shared" si="170"/>
        <v>844</v>
      </c>
      <c r="I548" s="126">
        <v>25</v>
      </c>
      <c r="J548" s="385">
        <v>843</v>
      </c>
      <c r="K548" s="133">
        <v>21100</v>
      </c>
      <c r="L548" s="155">
        <v>44344</v>
      </c>
      <c r="M548" s="129">
        <f t="shared" si="14"/>
        <v>869.08</v>
      </c>
      <c r="N548" s="158">
        <v>870</v>
      </c>
      <c r="O548" s="386">
        <v>21727</v>
      </c>
      <c r="P548" s="125">
        <v>44358</v>
      </c>
      <c r="Q548" s="437">
        <v>44356</v>
      </c>
      <c r="R548" s="438">
        <v>15.93</v>
      </c>
      <c r="S548" s="439"/>
      <c r="T548" s="440">
        <f t="shared" si="177"/>
        <v>627</v>
      </c>
      <c r="U548" s="441" t="str">
        <f t="shared" si="16"/>
        <v>25 TRENT</v>
      </c>
      <c r="V548" s="132">
        <f t="shared" si="17"/>
        <v>611.07000000000005</v>
      </c>
      <c r="W548" s="389">
        <f t="shared" si="178"/>
        <v>2.8960663507109009E-2</v>
      </c>
      <c r="X548" s="442">
        <f t="shared" si="19"/>
        <v>0</v>
      </c>
      <c r="Y548" s="391">
        <f t="shared" si="20"/>
        <v>0</v>
      </c>
      <c r="Z548" s="392">
        <f t="shared" si="21"/>
        <v>14</v>
      </c>
      <c r="AA548" s="389">
        <f t="shared" si="114"/>
        <v>1.1050077834939263</v>
      </c>
      <c r="AB548" s="125" t="s">
        <v>485</v>
      </c>
      <c r="AC548" s="98"/>
      <c r="AD548" s="98"/>
    </row>
    <row r="549" spans="1:30" ht="12.75" customHeight="1">
      <c r="A549" s="125" t="s">
        <v>571</v>
      </c>
      <c r="B549" s="125" t="s">
        <v>1405</v>
      </c>
      <c r="C549" s="382" t="s">
        <v>1210</v>
      </c>
      <c r="D549" s="383" t="s">
        <v>1406</v>
      </c>
      <c r="E549" s="384">
        <f t="shared" si="169"/>
        <v>0.46341463414634149</v>
      </c>
      <c r="F549" s="126" t="s">
        <v>1162</v>
      </c>
      <c r="G549" s="126" t="s">
        <v>1407</v>
      </c>
      <c r="H549" s="385">
        <f t="shared" si="170"/>
        <v>20.52</v>
      </c>
      <c r="I549" s="126">
        <v>50</v>
      </c>
      <c r="J549" s="385">
        <v>20.5</v>
      </c>
      <c r="K549" s="133">
        <v>1026</v>
      </c>
      <c r="L549" s="155">
        <v>44407</v>
      </c>
      <c r="M549" s="129">
        <f t="shared" si="14"/>
        <v>20.62</v>
      </c>
      <c r="N549" s="158">
        <v>20.65</v>
      </c>
      <c r="O549" s="386">
        <v>1031</v>
      </c>
      <c r="P549" s="125">
        <v>44438</v>
      </c>
      <c r="Q549" s="437">
        <v>44434</v>
      </c>
      <c r="R549" s="438">
        <v>15.93</v>
      </c>
      <c r="S549" s="439"/>
      <c r="T549" s="440">
        <f t="shared" si="177"/>
        <v>5</v>
      </c>
      <c r="U549" s="441" t="str">
        <f t="shared" si="16"/>
        <v>50 TRIDENT</v>
      </c>
      <c r="V549" s="132">
        <f t="shared" si="17"/>
        <v>-10.93</v>
      </c>
      <c r="W549" s="389">
        <f t="shared" si="178"/>
        <v>-1.0653021442495126E-2</v>
      </c>
      <c r="X549" s="442">
        <f t="shared" si="19"/>
        <v>0</v>
      </c>
      <c r="Y549" s="391">
        <f t="shared" si="20"/>
        <v>1</v>
      </c>
      <c r="Z549" s="392">
        <f t="shared" si="21"/>
        <v>0</v>
      </c>
      <c r="AA549" s="389">
        <f t="shared" si="114"/>
        <v>-0.11847650815905686</v>
      </c>
      <c r="AB549" s="125" t="s">
        <v>485</v>
      </c>
      <c r="AC549" s="98"/>
      <c r="AD549" s="98"/>
    </row>
    <row r="550" spans="1:30" ht="12.75" customHeight="1">
      <c r="A550" s="125" t="s">
        <v>534</v>
      </c>
      <c r="B550" s="125" t="s">
        <v>1408</v>
      </c>
      <c r="C550" s="382" t="s">
        <v>1201</v>
      </c>
      <c r="D550" s="383" t="s">
        <v>1409</v>
      </c>
      <c r="E550" s="384">
        <f t="shared" si="169"/>
        <v>9.2511013215859028E-2</v>
      </c>
      <c r="F550" s="126" t="s">
        <v>1154</v>
      </c>
      <c r="G550" s="126" t="s">
        <v>1155</v>
      </c>
      <c r="H550" s="385">
        <f t="shared" si="170"/>
        <v>113.64</v>
      </c>
      <c r="I550" s="126">
        <v>100</v>
      </c>
      <c r="J550" s="385">
        <v>113.5</v>
      </c>
      <c r="K550" s="133">
        <v>11364</v>
      </c>
      <c r="L550" s="155">
        <v>44349</v>
      </c>
      <c r="M550" s="129">
        <f t="shared" si="14"/>
        <v>116.88</v>
      </c>
      <c r="N550" s="158">
        <v>117</v>
      </c>
      <c r="O550" s="386">
        <v>11688</v>
      </c>
      <c r="P550" s="125">
        <v>44362</v>
      </c>
      <c r="Q550" s="437">
        <v>44358</v>
      </c>
      <c r="R550" s="438">
        <v>15.93</v>
      </c>
      <c r="S550" s="439"/>
      <c r="T550" s="440">
        <f t="shared" si="177"/>
        <v>324</v>
      </c>
      <c r="U550" s="441" t="str">
        <f t="shared" si="16"/>
        <v>100 TRITURBINE</v>
      </c>
      <c r="V550" s="132">
        <f t="shared" si="17"/>
        <v>308.07</v>
      </c>
      <c r="W550" s="389">
        <f t="shared" si="178"/>
        <v>2.7109292502639916E-2</v>
      </c>
      <c r="X550" s="442">
        <f t="shared" si="19"/>
        <v>0</v>
      </c>
      <c r="Y550" s="391">
        <f t="shared" si="20"/>
        <v>0</v>
      </c>
      <c r="Z550" s="392">
        <f t="shared" si="21"/>
        <v>13</v>
      </c>
      <c r="AA550" s="389">
        <f t="shared" si="114"/>
        <v>1.119141831119526</v>
      </c>
      <c r="AB550" s="125" t="s">
        <v>485</v>
      </c>
      <c r="AC550" s="98"/>
      <c r="AD550" s="98"/>
    </row>
    <row r="551" spans="1:30" ht="12.75" customHeight="1">
      <c r="A551" s="125" t="s">
        <v>621</v>
      </c>
      <c r="B551" s="125"/>
      <c r="C551" s="382"/>
      <c r="D551" s="383">
        <v>29</v>
      </c>
      <c r="E551" s="384">
        <f t="shared" si="169"/>
        <v>0.38095238095238093</v>
      </c>
      <c r="F551" s="126" t="s">
        <v>1162</v>
      </c>
      <c r="G551" s="126" t="s">
        <v>1357</v>
      </c>
      <c r="H551" s="385">
        <f t="shared" si="170"/>
        <v>21.024999999999999</v>
      </c>
      <c r="I551" s="126">
        <v>200</v>
      </c>
      <c r="J551" s="385">
        <v>21</v>
      </c>
      <c r="K551" s="133">
        <v>4205</v>
      </c>
      <c r="L551" s="155">
        <v>44679</v>
      </c>
      <c r="M551" s="129">
        <f t="shared" si="14"/>
        <v>21.08</v>
      </c>
      <c r="N551" s="158">
        <v>21.1</v>
      </c>
      <c r="O551" s="386">
        <v>4216</v>
      </c>
      <c r="P551" s="125">
        <v>44799</v>
      </c>
      <c r="Q551" s="437">
        <v>44797</v>
      </c>
      <c r="R551" s="438">
        <v>15.93</v>
      </c>
      <c r="S551" s="439"/>
      <c r="T551" s="440">
        <f>IF(OR(O551="",K551=""),"",O551-K551)</f>
        <v>11</v>
      </c>
      <c r="U551" s="441" t="str">
        <f t="shared" si="16"/>
        <v>200 VASWANI</v>
      </c>
      <c r="V551" s="132">
        <f t="shared" si="17"/>
        <v>-4.93</v>
      </c>
      <c r="W551" s="389">
        <f>IF(OR(K551="",V551=""),"",V551/K551)</f>
        <v>-1.1724137931034481E-3</v>
      </c>
      <c r="X551" s="442">
        <f t="shared" si="19"/>
        <v>0</v>
      </c>
      <c r="Y551" s="391">
        <f t="shared" si="20"/>
        <v>3</v>
      </c>
      <c r="Z551" s="392">
        <f t="shared" si="21"/>
        <v>29</v>
      </c>
      <c r="AA551" s="389">
        <f t="shared" si="114"/>
        <v>-3.56182565325458E-3</v>
      </c>
      <c r="AB551" s="125" t="s">
        <v>485</v>
      </c>
      <c r="AC551" s="98"/>
      <c r="AD551" s="98"/>
    </row>
    <row r="552" spans="1:30" ht="12.75" customHeight="1">
      <c r="A552" s="125" t="s">
        <v>596</v>
      </c>
      <c r="B552" s="125" t="s">
        <v>1410</v>
      </c>
      <c r="C552" s="382" t="s">
        <v>1277</v>
      </c>
      <c r="D552" s="383">
        <v>2400</v>
      </c>
      <c r="E552" s="384">
        <f t="shared" si="169"/>
        <v>0.20906801007556675</v>
      </c>
      <c r="F552" s="126" t="s">
        <v>1162</v>
      </c>
      <c r="G552" s="126" t="s">
        <v>1411</v>
      </c>
      <c r="H552" s="385">
        <f t="shared" si="170"/>
        <v>1987.5</v>
      </c>
      <c r="I552" s="126">
        <v>2</v>
      </c>
      <c r="J552" s="385">
        <v>1985</v>
      </c>
      <c r="K552" s="133">
        <v>3975</v>
      </c>
      <c r="L552" s="155">
        <v>44517</v>
      </c>
      <c r="M552" s="129">
        <f t="shared" si="14"/>
        <v>2123</v>
      </c>
      <c r="N552" s="158">
        <v>2125</v>
      </c>
      <c r="O552" s="386">
        <v>4246</v>
      </c>
      <c r="P552" s="125">
        <v>44536</v>
      </c>
      <c r="Q552" s="437">
        <v>44532</v>
      </c>
      <c r="R552" s="438">
        <v>15.93</v>
      </c>
      <c r="S552" s="439"/>
      <c r="T552" s="440">
        <f t="shared" ref="T552:T562" si="179">IF(O552="","",O552-K552)</f>
        <v>271</v>
      </c>
      <c r="U552" s="441" t="str">
        <f t="shared" si="16"/>
        <v>2 VOLTAMP</v>
      </c>
      <c r="V552" s="132">
        <f t="shared" si="17"/>
        <v>255.07</v>
      </c>
      <c r="W552" s="389">
        <f t="shared" ref="W552:W562" si="180">IF(M552=0,"",V552/K552)</f>
        <v>6.4168553459119496E-2</v>
      </c>
      <c r="X552" s="442">
        <f t="shared" si="19"/>
        <v>0</v>
      </c>
      <c r="Y552" s="391">
        <f t="shared" si="20"/>
        <v>0</v>
      </c>
      <c r="Z552" s="392">
        <f t="shared" si="21"/>
        <v>19</v>
      </c>
      <c r="AA552" s="389">
        <f t="shared" si="114"/>
        <v>2.302816213124582</v>
      </c>
      <c r="AB552" s="125" t="s">
        <v>485</v>
      </c>
      <c r="AC552" s="98"/>
      <c r="AD552" s="98"/>
    </row>
    <row r="553" spans="1:30" ht="12.75" customHeight="1">
      <c r="A553" s="125" t="s">
        <v>591</v>
      </c>
      <c r="B553" s="125" t="s">
        <v>1412</v>
      </c>
      <c r="C553" s="382" t="s">
        <v>1193</v>
      </c>
      <c r="D553" s="383">
        <v>350</v>
      </c>
      <c r="E553" s="384">
        <f t="shared" si="169"/>
        <v>0.32751754219609341</v>
      </c>
      <c r="F553" s="126" t="s">
        <v>1301</v>
      </c>
      <c r="G553" s="126"/>
      <c r="H553" s="385">
        <f t="shared" si="170"/>
        <v>264</v>
      </c>
      <c r="I553" s="126">
        <v>3</v>
      </c>
      <c r="J553" s="385">
        <v>263.64999999999998</v>
      </c>
      <c r="K553" s="133">
        <v>792</v>
      </c>
      <c r="L553" s="155">
        <v>44498</v>
      </c>
      <c r="M553" s="129">
        <f t="shared" si="14"/>
        <v>236.66669999999999</v>
      </c>
      <c r="N553" s="158">
        <v>237</v>
      </c>
      <c r="O553" s="386">
        <v>710</v>
      </c>
      <c r="P553" s="125">
        <v>44559</v>
      </c>
      <c r="Q553" s="437">
        <v>44557</v>
      </c>
      <c r="R553" s="438">
        <v>0</v>
      </c>
      <c r="S553" s="439"/>
      <c r="T553" s="440">
        <f t="shared" si="179"/>
        <v>-82</v>
      </c>
      <c r="U553" s="441" t="str">
        <f t="shared" si="16"/>
        <v>3 VSSL</v>
      </c>
      <c r="V553" s="132">
        <f t="shared" si="17"/>
        <v>-82</v>
      </c>
      <c r="W553" s="389">
        <f t="shared" si="180"/>
        <v>-0.10353535353535354</v>
      </c>
      <c r="X553" s="442">
        <f t="shared" si="19"/>
        <v>0</v>
      </c>
      <c r="Y553" s="391">
        <f t="shared" si="20"/>
        <v>2</v>
      </c>
      <c r="Z553" s="392">
        <f t="shared" si="21"/>
        <v>0</v>
      </c>
      <c r="AA553" s="389">
        <f t="shared" si="114"/>
        <v>-0.48003136475121622</v>
      </c>
      <c r="AB553" s="125" t="s">
        <v>485</v>
      </c>
      <c r="AC553" s="98"/>
      <c r="AD553" s="98"/>
    </row>
    <row r="554" spans="1:30" ht="12.75" customHeight="1">
      <c r="A554" s="125" t="s">
        <v>591</v>
      </c>
      <c r="B554" s="125" t="s">
        <v>1412</v>
      </c>
      <c r="C554" s="382" t="s">
        <v>1193</v>
      </c>
      <c r="D554" s="383">
        <v>350</v>
      </c>
      <c r="E554" s="384">
        <f t="shared" si="169"/>
        <v>0.22807017543859648</v>
      </c>
      <c r="F554" s="126" t="s">
        <v>1301</v>
      </c>
      <c r="G554" s="126"/>
      <c r="H554" s="385">
        <f t="shared" si="170"/>
        <v>285.28570000000002</v>
      </c>
      <c r="I554" s="126">
        <v>7</v>
      </c>
      <c r="J554" s="385">
        <v>285</v>
      </c>
      <c r="K554" s="133">
        <v>1997</v>
      </c>
      <c r="L554" s="155">
        <v>44508</v>
      </c>
      <c r="M554" s="129">
        <f t="shared" si="14"/>
        <v>236.71430000000001</v>
      </c>
      <c r="N554" s="158">
        <v>237</v>
      </c>
      <c r="O554" s="386">
        <v>1657</v>
      </c>
      <c r="P554" s="125">
        <v>44559</v>
      </c>
      <c r="Q554" s="437">
        <v>44557</v>
      </c>
      <c r="R554" s="438">
        <v>0</v>
      </c>
      <c r="S554" s="439"/>
      <c r="T554" s="440">
        <f t="shared" si="179"/>
        <v>-340</v>
      </c>
      <c r="U554" s="441" t="str">
        <f t="shared" si="16"/>
        <v>7 VSSL</v>
      </c>
      <c r="V554" s="132">
        <f t="shared" si="17"/>
        <v>-340</v>
      </c>
      <c r="W554" s="389">
        <f t="shared" si="180"/>
        <v>-0.17025538307461191</v>
      </c>
      <c r="X554" s="442">
        <f t="shared" si="19"/>
        <v>0</v>
      </c>
      <c r="Y554" s="391">
        <f t="shared" si="20"/>
        <v>1</v>
      </c>
      <c r="Z554" s="392">
        <f t="shared" si="21"/>
        <v>21</v>
      </c>
      <c r="AA554" s="389">
        <f t="shared" si="114"/>
        <v>-0.73703587255333769</v>
      </c>
      <c r="AB554" s="125" t="s">
        <v>485</v>
      </c>
      <c r="AC554" s="98"/>
      <c r="AD554" s="98"/>
    </row>
    <row r="555" spans="1:30" ht="12.75" customHeight="1">
      <c r="A555" s="125" t="s">
        <v>591</v>
      </c>
      <c r="B555" s="125" t="s">
        <v>1412</v>
      </c>
      <c r="C555" s="382" t="s">
        <v>1193</v>
      </c>
      <c r="D555" s="383">
        <v>350</v>
      </c>
      <c r="E555" s="384">
        <f t="shared" si="169"/>
        <v>0.28676470588235292</v>
      </c>
      <c r="F555" s="126" t="s">
        <v>1301</v>
      </c>
      <c r="G555" s="126"/>
      <c r="H555" s="385">
        <f t="shared" si="170"/>
        <v>272.32</v>
      </c>
      <c r="I555" s="126">
        <v>25</v>
      </c>
      <c r="J555" s="385">
        <v>272</v>
      </c>
      <c r="K555" s="133">
        <v>6808</v>
      </c>
      <c r="L555" s="155">
        <v>44511</v>
      </c>
      <c r="M555" s="129">
        <f t="shared" si="14"/>
        <v>236.76</v>
      </c>
      <c r="N555" s="158">
        <v>237</v>
      </c>
      <c r="O555" s="386">
        <v>5919</v>
      </c>
      <c r="P555" s="125">
        <v>44559</v>
      </c>
      <c r="Q555" s="437">
        <v>44557</v>
      </c>
      <c r="R555" s="438">
        <v>15.93</v>
      </c>
      <c r="S555" s="439"/>
      <c r="T555" s="440">
        <f t="shared" si="179"/>
        <v>-889</v>
      </c>
      <c r="U555" s="441" t="str">
        <f t="shared" si="16"/>
        <v>25 VSSL</v>
      </c>
      <c r="V555" s="132">
        <f t="shared" si="17"/>
        <v>-904.93</v>
      </c>
      <c r="W555" s="389">
        <f t="shared" si="180"/>
        <v>-0.13292156286721504</v>
      </c>
      <c r="X555" s="442">
        <f t="shared" si="19"/>
        <v>0</v>
      </c>
      <c r="Y555" s="391">
        <f t="shared" si="20"/>
        <v>1</v>
      </c>
      <c r="Z555" s="392">
        <f t="shared" si="21"/>
        <v>18</v>
      </c>
      <c r="AA555" s="389">
        <f t="shared" si="114"/>
        <v>-0.66194633816771475</v>
      </c>
      <c r="AB555" s="125" t="s">
        <v>485</v>
      </c>
      <c r="AC555" s="98"/>
      <c r="AD555" s="98"/>
    </row>
    <row r="556" spans="1:30" ht="12.75" customHeight="1">
      <c r="A556" s="125" t="s">
        <v>591</v>
      </c>
      <c r="B556" s="125" t="s">
        <v>1412</v>
      </c>
      <c r="C556" s="382" t="s">
        <v>1193</v>
      </c>
      <c r="D556" s="383">
        <v>350</v>
      </c>
      <c r="E556" s="384">
        <f t="shared" si="169"/>
        <v>0.38613861386138615</v>
      </c>
      <c r="F556" s="126" t="s">
        <v>1301</v>
      </c>
      <c r="G556" s="126"/>
      <c r="H556" s="385">
        <f t="shared" si="170"/>
        <v>252.8</v>
      </c>
      <c r="I556" s="126">
        <v>50</v>
      </c>
      <c r="J556" s="385">
        <v>252.5</v>
      </c>
      <c r="K556" s="133">
        <v>12640</v>
      </c>
      <c r="L556" s="155">
        <v>44558</v>
      </c>
      <c r="M556" s="129">
        <f t="shared" si="14"/>
        <v>262.72000000000003</v>
      </c>
      <c r="N556" s="158">
        <v>263</v>
      </c>
      <c r="O556" s="386">
        <v>13136</v>
      </c>
      <c r="P556" s="125">
        <v>44568</v>
      </c>
      <c r="Q556" s="437">
        <v>44566</v>
      </c>
      <c r="R556" s="438">
        <v>15.93</v>
      </c>
      <c r="S556" s="439"/>
      <c r="T556" s="440">
        <f t="shared" si="179"/>
        <v>496</v>
      </c>
      <c r="U556" s="441" t="str">
        <f t="shared" si="16"/>
        <v>50 VSSL</v>
      </c>
      <c r="V556" s="132">
        <f t="shared" si="17"/>
        <v>480.07</v>
      </c>
      <c r="W556" s="389">
        <f t="shared" si="180"/>
        <v>3.7980221518987341E-2</v>
      </c>
      <c r="X556" s="442">
        <f t="shared" si="19"/>
        <v>0</v>
      </c>
      <c r="Y556" s="391">
        <f t="shared" si="20"/>
        <v>0</v>
      </c>
      <c r="Z556" s="392">
        <f t="shared" si="21"/>
        <v>10</v>
      </c>
      <c r="AA556" s="389">
        <f t="shared" si="114"/>
        <v>2.8985342549662874</v>
      </c>
      <c r="AB556" s="125" t="s">
        <v>485</v>
      </c>
      <c r="AC556" s="98"/>
      <c r="AD556" s="98"/>
    </row>
    <row r="557" spans="1:30" ht="12.75" customHeight="1">
      <c r="A557" s="125" t="s">
        <v>591</v>
      </c>
      <c r="B557" s="125" t="s">
        <v>1412</v>
      </c>
      <c r="C557" s="382" t="s">
        <v>1193</v>
      </c>
      <c r="D557" s="383"/>
      <c r="E557" s="384" t="str">
        <f t="shared" si="169"/>
        <v/>
      </c>
      <c r="F557" s="126"/>
      <c r="G557" s="126"/>
      <c r="H557" s="385">
        <f t="shared" si="170"/>
        <v>265.32</v>
      </c>
      <c r="I557" s="126">
        <v>50</v>
      </c>
      <c r="J557" s="385">
        <v>265</v>
      </c>
      <c r="K557" s="133">
        <v>13266</v>
      </c>
      <c r="L557" s="155">
        <v>44572</v>
      </c>
      <c r="M557" s="129">
        <f t="shared" si="14"/>
        <v>272.04000000000002</v>
      </c>
      <c r="N557" s="158">
        <v>272.32499999999999</v>
      </c>
      <c r="O557" s="386">
        <v>13602</v>
      </c>
      <c r="P557" s="125">
        <v>44585</v>
      </c>
      <c r="Q557" s="437">
        <v>44581</v>
      </c>
      <c r="R557" s="438">
        <v>15.93</v>
      </c>
      <c r="S557" s="439"/>
      <c r="T557" s="440">
        <f t="shared" si="179"/>
        <v>336</v>
      </c>
      <c r="U557" s="441" t="str">
        <f t="shared" si="16"/>
        <v>50 VSSL</v>
      </c>
      <c r="V557" s="132">
        <f t="shared" si="17"/>
        <v>320.07</v>
      </c>
      <c r="W557" s="389">
        <f t="shared" si="180"/>
        <v>2.4127091813658977E-2</v>
      </c>
      <c r="X557" s="442">
        <f t="shared" si="19"/>
        <v>0</v>
      </c>
      <c r="Y557" s="391">
        <f t="shared" si="20"/>
        <v>0</v>
      </c>
      <c r="Z557" s="392">
        <f t="shared" si="21"/>
        <v>13</v>
      </c>
      <c r="AA557" s="389">
        <f t="shared" si="114"/>
        <v>0.95300964647950726</v>
      </c>
      <c r="AB557" s="125" t="s">
        <v>485</v>
      </c>
      <c r="AC557" s="98"/>
      <c r="AD557" s="98"/>
    </row>
    <row r="558" spans="1:30" ht="12.75" customHeight="1">
      <c r="A558" s="125" t="s">
        <v>538</v>
      </c>
      <c r="B558" s="125" t="s">
        <v>1413</v>
      </c>
      <c r="C558" s="382" t="s">
        <v>1201</v>
      </c>
      <c r="D558" s="383" t="s">
        <v>1414</v>
      </c>
      <c r="E558" s="384">
        <f t="shared" si="169"/>
        <v>4.3203371970495195E-2</v>
      </c>
      <c r="F558" s="126" t="s">
        <v>1154</v>
      </c>
      <c r="G558" s="126" t="s">
        <v>1298</v>
      </c>
      <c r="H558" s="385">
        <f t="shared" si="170"/>
        <v>95.01</v>
      </c>
      <c r="I558" s="126">
        <v>100</v>
      </c>
      <c r="J558" s="385">
        <v>94.9</v>
      </c>
      <c r="K558" s="133">
        <v>9501</v>
      </c>
      <c r="L558" s="155">
        <v>44357</v>
      </c>
      <c r="M558" s="129">
        <f t="shared" si="14"/>
        <v>96.1</v>
      </c>
      <c r="N558" s="158">
        <v>96.2</v>
      </c>
      <c r="O558" s="386">
        <v>9610</v>
      </c>
      <c r="P558" s="125">
        <v>44363</v>
      </c>
      <c r="Q558" s="437">
        <v>44361</v>
      </c>
      <c r="R558" s="438">
        <v>15.93</v>
      </c>
      <c r="S558" s="439"/>
      <c r="T558" s="440">
        <f t="shared" si="179"/>
        <v>109</v>
      </c>
      <c r="U558" s="441" t="str">
        <f t="shared" si="16"/>
        <v>100 WELSPUNIND</v>
      </c>
      <c r="V558" s="132">
        <f t="shared" si="17"/>
        <v>93.07</v>
      </c>
      <c r="W558" s="389">
        <f t="shared" si="180"/>
        <v>9.7958109672666022E-3</v>
      </c>
      <c r="X558" s="442">
        <f t="shared" si="19"/>
        <v>0</v>
      </c>
      <c r="Y558" s="391">
        <f t="shared" si="20"/>
        <v>0</v>
      </c>
      <c r="Z558" s="392">
        <f t="shared" si="21"/>
        <v>6</v>
      </c>
      <c r="AA558" s="389">
        <f t="shared" si="114"/>
        <v>0.80943028465848577</v>
      </c>
      <c r="AB558" s="125" t="s">
        <v>485</v>
      </c>
      <c r="AC558" s="98"/>
      <c r="AD558" s="98"/>
    </row>
    <row r="559" spans="1:30" ht="12.75" customHeight="1">
      <c r="A559" s="125" t="s">
        <v>567</v>
      </c>
      <c r="B559" s="125" t="s">
        <v>1415</v>
      </c>
      <c r="C559" s="382" t="s">
        <v>1294</v>
      </c>
      <c r="D559" s="383"/>
      <c r="E559" s="384" t="str">
        <f t="shared" si="169"/>
        <v/>
      </c>
      <c r="F559" s="126" t="s">
        <v>1145</v>
      </c>
      <c r="G559" s="126"/>
      <c r="H559" s="385">
        <f t="shared" si="170"/>
        <v>13.164999999999999</v>
      </c>
      <c r="I559" s="126">
        <v>200</v>
      </c>
      <c r="J559" s="385">
        <v>13.15</v>
      </c>
      <c r="K559" s="133">
        <v>2633</v>
      </c>
      <c r="L559" s="155">
        <v>44396</v>
      </c>
      <c r="M559" s="129">
        <f t="shared" si="14"/>
        <v>14.135</v>
      </c>
      <c r="N559" s="158">
        <v>17.149999999999999</v>
      </c>
      <c r="O559" s="386">
        <v>2827</v>
      </c>
      <c r="P559" s="125">
        <v>44459</v>
      </c>
      <c r="Q559" s="437">
        <v>44455</v>
      </c>
      <c r="R559" s="438">
        <v>15.93</v>
      </c>
      <c r="S559" s="439"/>
      <c r="T559" s="440">
        <f t="shared" si="179"/>
        <v>194</v>
      </c>
      <c r="U559" s="441" t="str">
        <f t="shared" si="16"/>
        <v>200 YESBANK</v>
      </c>
      <c r="V559" s="132">
        <f t="shared" si="17"/>
        <v>178.07</v>
      </c>
      <c r="W559" s="389">
        <f t="shared" si="180"/>
        <v>6.763007975693125E-2</v>
      </c>
      <c r="X559" s="442">
        <f t="shared" si="19"/>
        <v>0</v>
      </c>
      <c r="Y559" s="391">
        <f t="shared" si="20"/>
        <v>2</v>
      </c>
      <c r="Z559" s="392">
        <f t="shared" si="21"/>
        <v>1</v>
      </c>
      <c r="AA559" s="389">
        <f t="shared" si="114"/>
        <v>0.46103357971326431</v>
      </c>
      <c r="AB559" s="125" t="s">
        <v>485</v>
      </c>
      <c r="AC559" s="98"/>
      <c r="AD559" s="98"/>
    </row>
    <row r="560" spans="1:30" ht="12.75" customHeight="1">
      <c r="A560" s="125" t="s">
        <v>528</v>
      </c>
      <c r="B560" s="125" t="s">
        <v>1416</v>
      </c>
      <c r="C560" s="382" t="s">
        <v>1201</v>
      </c>
      <c r="D560" s="383">
        <v>228</v>
      </c>
      <c r="E560" s="384">
        <f t="shared" si="169"/>
        <v>9.0909090909090912E-2</v>
      </c>
      <c r="F560" s="126" t="s">
        <v>1154</v>
      </c>
      <c r="G560" s="126" t="s">
        <v>1223</v>
      </c>
      <c r="H560" s="385">
        <f t="shared" si="170"/>
        <v>209.24</v>
      </c>
      <c r="I560" s="126">
        <v>50</v>
      </c>
      <c r="J560" s="385">
        <v>209</v>
      </c>
      <c r="K560" s="133">
        <v>10462</v>
      </c>
      <c r="L560" s="155">
        <v>44343</v>
      </c>
      <c r="M560" s="129">
        <f t="shared" si="14"/>
        <v>213.78</v>
      </c>
      <c r="N560" s="158">
        <v>214</v>
      </c>
      <c r="O560" s="386">
        <v>10689</v>
      </c>
      <c r="P560" s="125">
        <v>44348</v>
      </c>
      <c r="Q560" s="437">
        <v>44344</v>
      </c>
      <c r="R560" s="438">
        <v>15.93</v>
      </c>
      <c r="S560" s="439"/>
      <c r="T560" s="440">
        <f t="shared" si="179"/>
        <v>227</v>
      </c>
      <c r="U560" s="441" t="str">
        <f t="shared" si="16"/>
        <v>50 ZEEL</v>
      </c>
      <c r="V560" s="132">
        <f t="shared" si="17"/>
        <v>211.07</v>
      </c>
      <c r="W560" s="389">
        <f t="shared" si="180"/>
        <v>2.01749187535844E-2</v>
      </c>
      <c r="X560" s="442">
        <f t="shared" si="19"/>
        <v>0</v>
      </c>
      <c r="Y560" s="391">
        <f t="shared" si="20"/>
        <v>0</v>
      </c>
      <c r="Z560" s="392">
        <f t="shared" si="21"/>
        <v>5</v>
      </c>
      <c r="AA560" s="389">
        <f t="shared" si="114"/>
        <v>3.2978264340349348</v>
      </c>
      <c r="AB560" s="125" t="s">
        <v>485</v>
      </c>
      <c r="AC560" s="98"/>
      <c r="AD560" s="98"/>
    </row>
    <row r="561" spans="1:30" ht="12.75" customHeight="1">
      <c r="A561" s="125" t="s">
        <v>577</v>
      </c>
      <c r="B561" s="125" t="s">
        <v>1417</v>
      </c>
      <c r="C561" s="382" t="s">
        <v>1401</v>
      </c>
      <c r="D561" s="383"/>
      <c r="E561" s="384" t="str">
        <f t="shared" si="169"/>
        <v/>
      </c>
      <c r="F561" s="126" t="s">
        <v>1145</v>
      </c>
      <c r="G561" s="126"/>
      <c r="H561" s="385">
        <f t="shared" si="170"/>
        <v>207.33330000000001</v>
      </c>
      <c r="I561" s="126">
        <v>3</v>
      </c>
      <c r="J561" s="385">
        <v>207</v>
      </c>
      <c r="K561" s="133">
        <v>622</v>
      </c>
      <c r="L561" s="155">
        <v>44452</v>
      </c>
      <c r="M561" s="129">
        <f t="shared" si="14"/>
        <v>220.66669999999999</v>
      </c>
      <c r="N561" s="158">
        <v>221</v>
      </c>
      <c r="O561" s="386">
        <v>662</v>
      </c>
      <c r="P561" s="125">
        <v>44511</v>
      </c>
      <c r="Q561" s="437">
        <v>44509</v>
      </c>
      <c r="R561" s="438">
        <v>15.93</v>
      </c>
      <c r="S561" s="439"/>
      <c r="T561" s="440">
        <f t="shared" si="179"/>
        <v>40</v>
      </c>
      <c r="U561" s="441" t="str">
        <f t="shared" si="16"/>
        <v>3 ZENTEC</v>
      </c>
      <c r="V561" s="132">
        <f t="shared" si="17"/>
        <v>24.07</v>
      </c>
      <c r="W561" s="389">
        <f t="shared" si="180"/>
        <v>3.8697749196141482E-2</v>
      </c>
      <c r="X561" s="442">
        <f t="shared" si="19"/>
        <v>0</v>
      </c>
      <c r="Y561" s="391">
        <f t="shared" si="20"/>
        <v>1</v>
      </c>
      <c r="Z561" s="392">
        <f t="shared" si="21"/>
        <v>29</v>
      </c>
      <c r="AA561" s="389">
        <f t="shared" si="114"/>
        <v>0.26476371927918874</v>
      </c>
      <c r="AB561" s="125" t="s">
        <v>485</v>
      </c>
      <c r="AC561" s="98"/>
      <c r="AD561" s="98"/>
    </row>
    <row r="562" spans="1:30" ht="12.75" customHeight="1">
      <c r="A562" s="125" t="s">
        <v>577</v>
      </c>
      <c r="B562" s="125" t="s">
        <v>1417</v>
      </c>
      <c r="C562" s="382" t="s">
        <v>1401</v>
      </c>
      <c r="D562" s="383"/>
      <c r="E562" s="384" t="str">
        <f t="shared" si="169"/>
        <v/>
      </c>
      <c r="F562" s="126" t="s">
        <v>1145</v>
      </c>
      <c r="G562" s="126"/>
      <c r="H562" s="385">
        <f t="shared" si="170"/>
        <v>220.2353</v>
      </c>
      <c r="I562" s="126">
        <v>17</v>
      </c>
      <c r="J562" s="385">
        <v>220</v>
      </c>
      <c r="K562" s="133">
        <v>3744</v>
      </c>
      <c r="L562" s="155">
        <v>44454</v>
      </c>
      <c r="M562" s="129">
        <f t="shared" si="14"/>
        <v>220.7647</v>
      </c>
      <c r="N562" s="158">
        <v>221</v>
      </c>
      <c r="O562" s="386">
        <v>3753</v>
      </c>
      <c r="P562" s="125">
        <v>44511</v>
      </c>
      <c r="Q562" s="437">
        <v>44509</v>
      </c>
      <c r="R562" s="438">
        <v>0</v>
      </c>
      <c r="S562" s="439"/>
      <c r="T562" s="440">
        <f t="shared" si="179"/>
        <v>9</v>
      </c>
      <c r="U562" s="441" t="str">
        <f t="shared" si="16"/>
        <v>17 ZENTEC</v>
      </c>
      <c r="V562" s="132">
        <f t="shared" si="17"/>
        <v>9</v>
      </c>
      <c r="W562" s="389">
        <f t="shared" si="180"/>
        <v>2.403846153846154E-3</v>
      </c>
      <c r="X562" s="442">
        <f t="shared" si="19"/>
        <v>0</v>
      </c>
      <c r="Y562" s="391">
        <f t="shared" si="20"/>
        <v>1</v>
      </c>
      <c r="Z562" s="392">
        <f t="shared" si="21"/>
        <v>27</v>
      </c>
      <c r="AA562" s="389">
        <f t="shared" si="114"/>
        <v>1.549337513153981E-2</v>
      </c>
      <c r="AB562" s="125" t="s">
        <v>485</v>
      </c>
      <c r="AC562" s="98"/>
      <c r="AD562" s="98"/>
    </row>
    <row r="563" spans="1:30" ht="12.75" customHeight="1">
      <c r="A563" s="406" t="s">
        <v>495</v>
      </c>
      <c r="B563" s="139"/>
      <c r="C563" s="138"/>
      <c r="D563" s="393"/>
      <c r="E563" s="394" t="str">
        <f t="shared" si="169"/>
        <v/>
      </c>
      <c r="F563" s="139"/>
      <c r="G563" s="139"/>
      <c r="H563" s="157">
        <f t="shared" si="170"/>
        <v>82.6</v>
      </c>
      <c r="I563" s="395">
        <v>100</v>
      </c>
      <c r="J563" s="157">
        <v>82.5</v>
      </c>
      <c r="K563" s="148">
        <v>8260</v>
      </c>
      <c r="L563" s="160">
        <v>45028</v>
      </c>
      <c r="M563" s="396">
        <f t="shared" si="14"/>
        <v>85.16</v>
      </c>
      <c r="N563" s="443">
        <v>85.25</v>
      </c>
      <c r="O563" s="398">
        <v>8516</v>
      </c>
      <c r="P563" s="444">
        <v>45050</v>
      </c>
      <c r="Q563" s="445">
        <v>45049</v>
      </c>
      <c r="R563" s="438">
        <v>15.93</v>
      </c>
      <c r="S563" s="144"/>
      <c r="T563" s="147">
        <f>IF(OR(O563="",K563=""),"",O563-K563)</f>
        <v>256</v>
      </c>
      <c r="U563" s="147" t="str">
        <f t="shared" si="16"/>
        <v>100 SAIL</v>
      </c>
      <c r="V563" s="400">
        <f t="shared" si="17"/>
        <v>240.07</v>
      </c>
      <c r="W563" s="401">
        <f>IF(OR(K563="",V563=""),"",V563/K563)</f>
        <v>2.9064164648910411E-2</v>
      </c>
      <c r="X563" s="402">
        <f t="shared" si="19"/>
        <v>0</v>
      </c>
      <c r="Y563" s="403">
        <f t="shared" si="20"/>
        <v>0</v>
      </c>
      <c r="Z563" s="404">
        <f t="shared" si="21"/>
        <v>22</v>
      </c>
      <c r="AA563" s="401">
        <f t="shared" si="114"/>
        <v>0.60853916067247549</v>
      </c>
      <c r="AB563" s="138" t="s">
        <v>485</v>
      </c>
      <c r="AC563" s="98"/>
      <c r="AD563" s="98"/>
    </row>
    <row r="564" spans="1:30" ht="5.25" customHeight="1">
      <c r="A564" s="98"/>
      <c r="B564" s="98"/>
      <c r="C564" s="98"/>
      <c r="D564" s="446"/>
      <c r="E564" s="446"/>
      <c r="F564" s="98"/>
      <c r="G564" s="98"/>
      <c r="H564" s="447"/>
      <c r="I564" s="98"/>
      <c r="J564" s="447"/>
      <c r="K564" s="268"/>
      <c r="L564" s="448"/>
      <c r="M564" s="449"/>
      <c r="N564" s="449"/>
      <c r="O564" s="268"/>
      <c r="P564" s="180"/>
      <c r="Q564" s="450"/>
      <c r="R564" s="181"/>
      <c r="S564" s="181"/>
      <c r="T564" s="268"/>
      <c r="U564" s="268"/>
      <c r="V564" s="268"/>
      <c r="W564" s="431"/>
      <c r="X564" s="451"/>
      <c r="Y564" s="452"/>
      <c r="Z564" s="453"/>
      <c r="AA564" s="431"/>
      <c r="AB564" s="180"/>
      <c r="AC564" s="98"/>
      <c r="AD564" s="98"/>
    </row>
    <row r="565" spans="1:30" ht="5.25" customHeight="1">
      <c r="B565" s="4"/>
      <c r="C565" s="4"/>
      <c r="D565" s="98"/>
      <c r="F565" s="98"/>
      <c r="G565" s="98"/>
      <c r="H565" s="219"/>
      <c r="I565" s="98"/>
      <c r="J565" s="4"/>
      <c r="K565" s="454"/>
      <c r="L565" s="180"/>
      <c r="M565" s="219"/>
      <c r="N565" s="219"/>
      <c r="O565" s="454"/>
      <c r="P565" s="180"/>
      <c r="W565" s="98"/>
      <c r="X565" s="98"/>
      <c r="Y565" s="98"/>
      <c r="Z565" s="98"/>
      <c r="AA565" s="98"/>
      <c r="AB565" s="98"/>
      <c r="AC565" s="98"/>
      <c r="AD565" s="98"/>
    </row>
    <row r="566" spans="1:30" ht="12.75" customHeight="1">
      <c r="A566" s="455" t="s">
        <v>589</v>
      </c>
      <c r="B566" s="456"/>
      <c r="C566" s="457"/>
      <c r="D566" s="457"/>
      <c r="E566" s="458">
        <f>SUMIFS(V$85:V564,A$85:A564,A566,AB$85:AB564,"Sunita")</f>
        <v>84742.320000000123</v>
      </c>
      <c r="F566" s="457"/>
      <c r="G566" s="459">
        <f t="array" ref="G566">LOOKUP(2,1/(A$85:A$564=A566),Q$85:Q$564)</f>
        <v>44971</v>
      </c>
      <c r="H566" s="438">
        <f t="array" ref="H566">LOOKUP(2,1/(A$85:A$564=A566),N$85:N$564)</f>
        <v>856.9</v>
      </c>
      <c r="I566" s="460"/>
      <c r="J566" s="455" t="s">
        <v>503</v>
      </c>
      <c r="K566" s="458">
        <v>3917.33</v>
      </c>
      <c r="L566" s="461">
        <v>44196</v>
      </c>
      <c r="M566" s="461"/>
      <c r="N566" s="461">
        <v>44309</v>
      </c>
      <c r="O566" s="461">
        <v>44197</v>
      </c>
      <c r="P566" s="461">
        <f>MIN(L85:L564)</f>
        <v>38847</v>
      </c>
      <c r="Q566" s="462" t="s">
        <v>485</v>
      </c>
      <c r="R566" s="463">
        <f>SUMIF($AB85:$AB564,Q566,R85:R564)</f>
        <v>4465.1199999999899</v>
      </c>
      <c r="S566" s="464">
        <f>SUMIF($AB85:$AB564,Q566,S85:S564)</f>
        <v>1791</v>
      </c>
      <c r="T566" s="465">
        <f>SUMIF($AB85:$AB564,Q566,T85:T564)</f>
        <v>126342.91999999998</v>
      </c>
      <c r="U566" s="465"/>
      <c r="V566" s="465">
        <f>SUMIF($AB85:$AB564,Q566,V85:V564)-IF(Q566="Sunita",R570,R569)</f>
        <v>122070.6800000011</v>
      </c>
      <c r="W566" s="98"/>
      <c r="X566" s="98"/>
      <c r="Y566" s="98"/>
      <c r="Z566" s="98"/>
      <c r="AA566" s="98"/>
      <c r="AB566" s="98"/>
      <c r="AC566" s="98"/>
      <c r="AD566" s="98"/>
    </row>
    <row r="567" spans="1:30" ht="12.75" customHeight="1">
      <c r="A567" s="455" t="s">
        <v>609</v>
      </c>
      <c r="B567" s="456"/>
      <c r="C567" s="457"/>
      <c r="D567" s="457"/>
      <c r="E567" s="458">
        <f t="shared" ref="E567:E569" si="181">SUMIFS(V$85:V$564,A$85:A$564,A567,AB$85:AB$564,"Sunita")</f>
        <v>15868.279999999999</v>
      </c>
      <c r="F567" s="457"/>
      <c r="G567" s="459">
        <f t="array" ref="G567">LOOKUP(2,1/(A$85:A$564=A567),Q$85:Q$564)</f>
        <v>44690</v>
      </c>
      <c r="H567" s="438">
        <f t="array" ref="H567">LOOKUP(2,1/(A$85:A$564=A567),N$85:N$564)</f>
        <v>45.72</v>
      </c>
      <c r="I567" s="460"/>
      <c r="J567" s="455" t="s">
        <v>503</v>
      </c>
      <c r="K567" s="458">
        <v>356.07</v>
      </c>
      <c r="L567" s="461">
        <v>44196</v>
      </c>
      <c r="M567" s="461"/>
      <c r="N567" s="461">
        <v>44490</v>
      </c>
      <c r="O567" s="461">
        <f>MAX(Q85:Q564)</f>
        <v>45049</v>
      </c>
      <c r="P567" s="461">
        <v>44196</v>
      </c>
      <c r="Q567" s="466" t="s">
        <v>1418</v>
      </c>
      <c r="R567" s="467"/>
      <c r="S567" s="468">
        <f>IF(Q566="Satya",S566-Zerodha!L1006,IF(Q566="Sunita",S566-R570-R566))</f>
        <v>-4272.24</v>
      </c>
      <c r="T567" s="469">
        <f>V566-T566</f>
        <v>-4272.2399999988847</v>
      </c>
      <c r="U567" s="469"/>
      <c r="V567" s="469">
        <f>T567-S567</f>
        <v>1.11504050437361E-9</v>
      </c>
      <c r="X567" s="98"/>
      <c r="Y567" s="98"/>
      <c r="Z567" s="98"/>
      <c r="AA567" s="98"/>
      <c r="AB567" s="98"/>
      <c r="AC567" s="98"/>
      <c r="AD567" s="98"/>
    </row>
    <row r="568" spans="1:30" ht="12.75" customHeight="1">
      <c r="A568" s="455" t="s">
        <v>498</v>
      </c>
      <c r="B568" s="456"/>
      <c r="C568" s="457"/>
      <c r="D568" s="457"/>
      <c r="E568" s="458">
        <f t="shared" si="181"/>
        <v>-297.86</v>
      </c>
      <c r="F568" s="457"/>
      <c r="G568" s="459">
        <f t="array" ref="G568">LOOKUP(2,1/(A$85:A$564=A568),Q$85:Q$564)</f>
        <v>44824</v>
      </c>
      <c r="H568" s="438">
        <f t="array" ref="H568">LOOKUP(2,1/(A$85:A$564=A568),N$85:N$564)</f>
        <v>7655</v>
      </c>
      <c r="I568" s="460"/>
      <c r="J568" s="455" t="s">
        <v>471</v>
      </c>
      <c r="K568" s="458">
        <v>-6448.3899999999994</v>
      </c>
      <c r="L568" s="461">
        <v>41018</v>
      </c>
      <c r="M568" s="461"/>
      <c r="N568" s="461">
        <v>44327</v>
      </c>
      <c r="O568" s="470"/>
      <c r="P568" s="460"/>
      <c r="Q568" s="471" t="s">
        <v>1419</v>
      </c>
      <c r="R568" s="472"/>
      <c r="S568" s="473"/>
      <c r="T568" s="473"/>
      <c r="U568" s="474"/>
      <c r="V568" s="474"/>
      <c r="X568" s="98"/>
      <c r="Y568" s="98"/>
      <c r="Z568" s="98"/>
      <c r="AA568" s="98"/>
      <c r="AB568" s="98"/>
      <c r="AC568" s="98"/>
      <c r="AD568" s="98"/>
    </row>
    <row r="569" spans="1:30" ht="12.75" customHeight="1">
      <c r="A569" s="455" t="s">
        <v>512</v>
      </c>
      <c r="B569" s="456"/>
      <c r="C569" s="457"/>
      <c r="D569" s="457"/>
      <c r="E569" s="458">
        <f t="shared" si="181"/>
        <v>16.419999999999533</v>
      </c>
      <c r="F569" s="457"/>
      <c r="G569" s="459"/>
      <c r="H569" s="438"/>
      <c r="I569" s="460"/>
      <c r="J569" s="455" t="s">
        <v>516</v>
      </c>
      <c r="K569" s="458">
        <v>-9775.33</v>
      </c>
      <c r="L569" s="461">
        <v>38847</v>
      </c>
      <c r="M569" s="461"/>
      <c r="N569" s="461">
        <v>44328</v>
      </c>
      <c r="O569" s="458">
        <f>SUMIFS(V$85:V564,AB$85:AB564,"Sunita",L85:L564,"&gt;="&amp;O566,Q85:Q564,"&lt;="&amp;O567)</f>
        <v>100329.16000000013</v>
      </c>
      <c r="P569" s="458">
        <f>SUMIFS(V$85:V564,AB$85:AB564,"Sunita",L85:L564,"&gt;="&amp;P566,Q85:Q564,"&lt;="&amp;P567)</f>
        <v>32575.549999999996</v>
      </c>
      <c r="Q569" s="471" t="s">
        <v>485</v>
      </c>
      <c r="R569" s="475">
        <f>2.95+59+59+35.4+4.82+0.99+29.5+(29.5+88.5+88.5+88.5+88.5+88.5+88.5+88.5)+(8.31+10.31+6.2)+(23.6+23.6+23.6+23.6)+(10.62+10.62)+(499+118)</f>
        <v>1598.12</v>
      </c>
      <c r="S569" s="474"/>
      <c r="T569" s="474"/>
      <c r="U569" s="476"/>
      <c r="V569" s="474"/>
      <c r="W569" s="98"/>
      <c r="X569" s="98"/>
      <c r="Y569" s="98"/>
      <c r="Z569" s="98"/>
      <c r="AA569" s="98"/>
      <c r="AB569" s="98"/>
      <c r="AC569" s="98"/>
      <c r="AD569" s="98"/>
    </row>
    <row r="570" spans="1:30" ht="12.75" customHeight="1">
      <c r="A570" s="457"/>
      <c r="B570" s="456"/>
      <c r="C570" s="457"/>
      <c r="D570" s="457"/>
      <c r="E570" s="457"/>
      <c r="F570" s="457"/>
      <c r="G570" s="459"/>
      <c r="H570" s="438"/>
      <c r="I570" s="460"/>
      <c r="J570" s="455" t="s">
        <v>469</v>
      </c>
      <c r="K570" s="458">
        <v>-7857.68</v>
      </c>
      <c r="L570" s="461">
        <v>41009</v>
      </c>
      <c r="M570" s="461"/>
      <c r="N570" s="461">
        <v>44328</v>
      </c>
      <c r="O570" s="477"/>
      <c r="P570" s="470"/>
      <c r="Q570" s="471" t="s">
        <v>460</v>
      </c>
      <c r="R570" s="475">
        <f>35.4+472+(10.62*4)+(88.5*7)+(338+338+338+331+50+11+393+393+393+401+105.42+108.17+118+118+393.33+30.86+363.19)</f>
        <v>5392.35</v>
      </c>
      <c r="S570" s="474"/>
      <c r="T570" s="474"/>
      <c r="U570" s="476"/>
      <c r="V570" s="474"/>
      <c r="W570" s="98"/>
      <c r="X570" s="98"/>
      <c r="Y570" s="98"/>
      <c r="Z570" s="98"/>
      <c r="AA570" s="98"/>
      <c r="AB570" s="98"/>
      <c r="AC570" s="98"/>
      <c r="AD570" s="98"/>
    </row>
    <row r="571" spans="1:30" ht="5.25" customHeight="1">
      <c r="A571" s="98"/>
      <c r="B571" s="98"/>
      <c r="C571" s="98"/>
      <c r="D571" s="446"/>
      <c r="E571" s="446"/>
      <c r="F571" s="98"/>
      <c r="G571" s="98"/>
      <c r="H571" s="447"/>
      <c r="I571" s="98"/>
      <c r="J571" s="447"/>
      <c r="K571" s="268"/>
      <c r="L571" s="448"/>
      <c r="M571" s="449"/>
      <c r="N571" s="449"/>
      <c r="O571" s="268"/>
      <c r="P571" s="180"/>
      <c r="Q571" s="450"/>
      <c r="R571" s="181"/>
      <c r="S571" s="181"/>
      <c r="T571" s="268"/>
      <c r="U571" s="268"/>
      <c r="V571" s="268"/>
      <c r="W571" s="431"/>
      <c r="X571" s="451"/>
      <c r="Y571" s="452"/>
      <c r="Z571" s="453"/>
      <c r="AA571" s="431"/>
      <c r="AB571" s="180"/>
      <c r="AC571" s="180"/>
      <c r="AD571" s="180"/>
    </row>
    <row r="572" spans="1:30" ht="12.75" customHeight="1">
      <c r="A572" s="98" t="s">
        <v>435</v>
      </c>
      <c r="B572" s="98" t="s">
        <v>1420</v>
      </c>
      <c r="C572" s="98" t="s">
        <v>1421</v>
      </c>
      <c r="D572" s="98" t="s">
        <v>1422</v>
      </c>
      <c r="E572" s="41" t="s">
        <v>1423</v>
      </c>
      <c r="F572" s="371" t="s">
        <v>1424</v>
      </c>
      <c r="G572" s="98" t="s">
        <v>1425</v>
      </c>
      <c r="H572" s="98"/>
      <c r="I572" s="98" t="s">
        <v>1426</v>
      </c>
      <c r="J572" s="98" t="s">
        <v>1427</v>
      </c>
      <c r="K572" s="98" t="s">
        <v>1428</v>
      </c>
      <c r="L572" s="41" t="s">
        <v>1429</v>
      </c>
      <c r="M572" s="219"/>
      <c r="N572" s="41" t="s">
        <v>1135</v>
      </c>
      <c r="P572" s="4"/>
      <c r="W572" s="284"/>
      <c r="X572" s="98"/>
      <c r="Y572" s="98"/>
      <c r="Z572" s="98"/>
      <c r="AA572" s="98"/>
      <c r="AB572" s="98"/>
      <c r="AC572" s="98"/>
      <c r="AD572" s="98"/>
    </row>
    <row r="573" spans="1:30" ht="12.75" customHeight="1">
      <c r="A573" s="478" t="s">
        <v>495</v>
      </c>
      <c r="B573" s="459">
        <f t="array" ref="B573">LOOKUP(2,1/(A$85:A$564=A573),Q$85:Q$564)</f>
        <v>45049</v>
      </c>
      <c r="C573" s="479">
        <f t="array" ref="C573">LOOKUP(2,1/(A$85:A$564=A573),N$85:N$564)</f>
        <v>85.25</v>
      </c>
      <c r="D573" s="480">
        <f>COUNTIFS(A$85:A$564,A573,AB$85:AB564,"Satya")</f>
        <v>10</v>
      </c>
      <c r="E573" s="479">
        <f>ROUND(SUMIFS(V$85:V564,A$85:A564,A573,AB$85:AB564,"Satya"),2)</f>
        <v>4529.2299999999996</v>
      </c>
      <c r="F573" s="481">
        <f t="array" ref="F573">LOOKUP(2,1/(A$85:A$564=A573),I$85:I$564)</f>
        <v>100</v>
      </c>
      <c r="G573" s="482">
        <f t="array" ref="G573">IFERROR(LOOKUP(2,1/(A$85:A$564=A573),T$85:T$564),"No Data")</f>
        <v>256</v>
      </c>
      <c r="H573" s="455"/>
      <c r="I573" s="480">
        <f>Trade!I1794</f>
        <v>16</v>
      </c>
      <c r="J573" s="479">
        <f>Trade!A1792</f>
        <v>-337.89999999999992</v>
      </c>
      <c r="K573" s="480">
        <f ca="1">Trade!C1800</f>
        <v>11</v>
      </c>
      <c r="L573" s="479">
        <f ca="1">Trade!C1797</f>
        <v>-35794.32</v>
      </c>
      <c r="M573" s="455"/>
      <c r="N573" s="479">
        <f ca="1">E573+J573+L573</f>
        <v>-31602.989999999998</v>
      </c>
      <c r="P573" s="4"/>
      <c r="U573" s="4"/>
      <c r="V573" s="4"/>
      <c r="W573" s="98"/>
      <c r="X573" s="98"/>
      <c r="Y573" s="98"/>
      <c r="Z573" s="98"/>
      <c r="AA573" s="98"/>
      <c r="AB573" s="98"/>
      <c r="AC573" s="98"/>
      <c r="AD573" s="98"/>
    </row>
    <row r="574" spans="1:30" ht="5.25" customHeight="1">
      <c r="A574" s="483"/>
      <c r="B574" s="483"/>
      <c r="C574" s="483"/>
      <c r="D574" s="484"/>
      <c r="E574" s="484"/>
      <c r="F574" s="98"/>
      <c r="G574" s="485"/>
      <c r="H574" s="447"/>
      <c r="I574" s="98"/>
      <c r="J574" s="447"/>
      <c r="K574" s="268"/>
      <c r="L574" s="448"/>
      <c r="M574" s="449"/>
      <c r="N574" s="449"/>
      <c r="O574" s="268"/>
      <c r="P574" s="180"/>
      <c r="Q574" s="450"/>
      <c r="R574" s="181"/>
      <c r="S574" s="181"/>
      <c r="T574" s="268"/>
      <c r="U574" s="268"/>
      <c r="V574" s="268"/>
      <c r="W574" s="431"/>
      <c r="X574" s="451"/>
      <c r="Y574" s="452"/>
      <c r="Z574" s="453"/>
      <c r="AA574" s="431"/>
      <c r="AB574" s="180"/>
      <c r="AC574" s="180"/>
      <c r="AD574" s="180"/>
    </row>
    <row r="575" spans="1:30" ht="22.5" customHeight="1">
      <c r="A575" s="379" t="s">
        <v>435</v>
      </c>
      <c r="B575" s="486" t="s">
        <v>1430</v>
      </c>
      <c r="C575" s="379" t="s">
        <v>1431</v>
      </c>
      <c r="D575" s="379" t="s">
        <v>1432</v>
      </c>
      <c r="E575" s="379" t="s">
        <v>1433</v>
      </c>
      <c r="F575" s="379" t="s">
        <v>1073</v>
      </c>
      <c r="G575" s="379" t="s">
        <v>1434</v>
      </c>
      <c r="H575" s="98"/>
      <c r="M575" s="98"/>
      <c r="O575" s="4"/>
      <c r="P575" s="4"/>
      <c r="Q575" s="98"/>
      <c r="R575" s="181"/>
      <c r="S575" s="98"/>
      <c r="T575" s="98"/>
      <c r="U575" s="98"/>
      <c r="V575" s="4"/>
      <c r="W575" s="98"/>
      <c r="X575" s="98"/>
      <c r="Y575" s="98"/>
      <c r="Z575" s="98"/>
      <c r="AA575" s="98"/>
      <c r="AB575" s="98"/>
      <c r="AC575" s="98"/>
      <c r="AD575" s="98"/>
    </row>
    <row r="576" spans="1:30" ht="12.75" customHeight="1">
      <c r="A576" s="140" t="s">
        <v>598</v>
      </c>
      <c r="B576" s="154">
        <v>44547</v>
      </c>
      <c r="C576" s="395">
        <v>-7659</v>
      </c>
      <c r="D576" s="395"/>
      <c r="E576" s="487"/>
      <c r="F576" s="488"/>
      <c r="G576" s="488"/>
      <c r="H576" s="98"/>
      <c r="K576" s="98"/>
      <c r="L576" s="98"/>
      <c r="M576" s="98"/>
      <c r="N576" s="98"/>
      <c r="O576" s="98"/>
      <c r="P576" s="98"/>
      <c r="Q576" s="98"/>
      <c r="R576" s="98"/>
      <c r="S576" s="98"/>
      <c r="T576" s="98"/>
      <c r="U576" s="98"/>
      <c r="V576" s="98"/>
      <c r="W576" s="98"/>
      <c r="X576" s="98"/>
      <c r="Y576" s="98"/>
      <c r="Z576" s="98"/>
      <c r="AA576" s="98"/>
      <c r="AB576" s="98"/>
      <c r="AC576" s="98"/>
      <c r="AD576" s="98"/>
    </row>
    <row r="577" spans="1:30" ht="12.75" customHeight="1">
      <c r="A577" s="125" t="s">
        <v>598</v>
      </c>
      <c r="B577" s="155">
        <v>44559</v>
      </c>
      <c r="C577" s="489">
        <v>8651</v>
      </c>
      <c r="D577" s="489">
        <f>C577+C576</f>
        <v>992</v>
      </c>
      <c r="E577" s="490">
        <f>-D577/C576</f>
        <v>0.12952082517299909</v>
      </c>
      <c r="F577" s="383">
        <f>B577-B576</f>
        <v>12</v>
      </c>
      <c r="G577" s="490">
        <f>(C577/-C576)^(1/((B577-B576)/365))-1</f>
        <v>39.631844944682101</v>
      </c>
      <c r="H577" s="98"/>
      <c r="K577" s="98"/>
      <c r="L577" s="98"/>
      <c r="M577" s="98"/>
      <c r="N577" s="98"/>
      <c r="O577" s="98"/>
      <c r="P577" s="98"/>
      <c r="Q577" s="98"/>
      <c r="R577" s="98"/>
      <c r="S577" s="98"/>
      <c r="T577" s="98"/>
      <c r="U577" s="98"/>
      <c r="V577" s="98"/>
      <c r="W577" s="98"/>
      <c r="X577" s="98"/>
      <c r="Y577" s="98"/>
      <c r="Z577" s="98"/>
      <c r="AA577" s="98"/>
      <c r="AB577" s="98"/>
      <c r="AC577" s="98"/>
      <c r="AD577" s="98"/>
    </row>
    <row r="578" spans="1:30" ht="12.75" customHeight="1">
      <c r="A578" s="140" t="s">
        <v>598</v>
      </c>
      <c r="B578" s="154">
        <v>44565</v>
      </c>
      <c r="C578" s="395">
        <v>-10412</v>
      </c>
      <c r="D578" s="395"/>
      <c r="E578" s="487"/>
      <c r="F578" s="488"/>
      <c r="G578" s="488"/>
      <c r="H578" s="98"/>
      <c r="K578" s="98"/>
      <c r="L578" s="98"/>
      <c r="M578" s="98"/>
      <c r="N578" s="98"/>
      <c r="O578" s="98"/>
      <c r="P578" s="98"/>
      <c r="Q578" s="98"/>
      <c r="R578" s="98"/>
      <c r="S578" s="98"/>
      <c r="T578" s="98"/>
      <c r="U578" s="98"/>
      <c r="V578" s="98"/>
      <c r="W578" s="98"/>
      <c r="X578" s="98"/>
      <c r="Y578" s="98"/>
      <c r="Z578" s="98"/>
      <c r="AA578" s="98"/>
      <c r="AB578" s="98"/>
      <c r="AC578" s="98"/>
      <c r="AD578" s="98"/>
    </row>
    <row r="579" spans="1:30" ht="12.75" customHeight="1">
      <c r="A579" s="125" t="s">
        <v>598</v>
      </c>
      <c r="B579" s="155">
        <v>44581</v>
      </c>
      <c r="C579" s="489">
        <v>11388</v>
      </c>
      <c r="D579" s="489">
        <f>C579+C578</f>
        <v>976</v>
      </c>
      <c r="E579" s="490">
        <f>-D579/C578</f>
        <v>9.3737994621590479E-2</v>
      </c>
      <c r="F579" s="383">
        <f>B579-B578</f>
        <v>16</v>
      </c>
      <c r="G579" s="490">
        <f>(C579/-C578)^(1/((B579-B578)/365))-1</f>
        <v>6.7216414990255213</v>
      </c>
      <c r="H579" s="98"/>
      <c r="K579" s="98"/>
      <c r="L579" s="98"/>
      <c r="M579" s="98"/>
      <c r="N579" s="98"/>
      <c r="O579" s="98"/>
      <c r="P579" s="98"/>
      <c r="Q579" s="98"/>
      <c r="R579" s="98"/>
      <c r="S579" s="98"/>
      <c r="T579" s="98"/>
      <c r="U579" s="98"/>
      <c r="V579" s="98"/>
      <c r="W579" s="98"/>
      <c r="X579" s="98"/>
      <c r="Y579" s="98"/>
      <c r="Z579" s="98"/>
      <c r="AA579" s="98"/>
      <c r="AB579" s="98"/>
      <c r="AC579" s="98"/>
      <c r="AD579" s="98"/>
    </row>
    <row r="580" spans="1:30" ht="12.75" customHeight="1">
      <c r="A580" s="140" t="s">
        <v>598</v>
      </c>
      <c r="B580" s="154">
        <v>44585</v>
      </c>
      <c r="C580" s="395">
        <v>-12064</v>
      </c>
      <c r="D580" s="395"/>
      <c r="E580" s="487"/>
      <c r="F580" s="491"/>
      <c r="G580" s="488"/>
      <c r="H580" s="98"/>
      <c r="K580" s="98"/>
      <c r="L580" s="98"/>
      <c r="M580" s="98"/>
      <c r="N580" s="98"/>
      <c r="O580" s="98"/>
      <c r="P580" s="98"/>
      <c r="Q580" s="98"/>
      <c r="R580" s="98"/>
      <c r="S580" s="98"/>
      <c r="T580" s="98"/>
      <c r="U580" s="98"/>
      <c r="V580" s="98"/>
      <c r="W580" s="98"/>
      <c r="X580" s="98"/>
      <c r="Y580" s="98"/>
      <c r="Z580" s="98"/>
      <c r="AA580" s="98"/>
      <c r="AB580" s="98"/>
      <c r="AC580" s="98"/>
      <c r="AD580" s="98"/>
    </row>
    <row r="581" spans="1:30" ht="12.75" customHeight="1">
      <c r="A581" s="125" t="s">
        <v>598</v>
      </c>
      <c r="B581" s="155">
        <v>44589</v>
      </c>
      <c r="C581" s="489">
        <v>12847</v>
      </c>
      <c r="D581" s="489">
        <f>C581+C580</f>
        <v>783</v>
      </c>
      <c r="E581" s="490">
        <f>IFERROR(-D581/C580,0)</f>
        <v>6.4903846153846159E-2</v>
      </c>
      <c r="F581" s="383">
        <f>B581-B580</f>
        <v>4</v>
      </c>
      <c r="G581" s="490">
        <f>(C581/-C580)^(1/((B581-B580)/365))-1</f>
        <v>309.50857501210373</v>
      </c>
      <c r="H581" s="98"/>
      <c r="K581" s="98"/>
      <c r="L581" s="98"/>
      <c r="M581" s="98"/>
      <c r="N581" s="98"/>
      <c r="O581" s="98"/>
      <c r="P581" s="98"/>
      <c r="Q581" s="98"/>
      <c r="R581" s="98"/>
      <c r="S581" s="98"/>
      <c r="T581" s="98"/>
      <c r="U581" s="98"/>
      <c r="V581" s="98"/>
      <c r="W581" s="98"/>
      <c r="X581" s="98"/>
      <c r="Y581" s="98"/>
      <c r="Z581" s="98"/>
      <c r="AA581" s="98"/>
      <c r="AB581" s="98"/>
      <c r="AC581" s="98"/>
      <c r="AD581" s="98"/>
    </row>
    <row r="582" spans="1:30" ht="12.75" customHeight="1">
      <c r="A582" s="140" t="s">
        <v>598</v>
      </c>
      <c r="B582" s="154">
        <v>44593</v>
      </c>
      <c r="C582" s="395">
        <v>-1185</v>
      </c>
      <c r="D582" s="395"/>
      <c r="E582" s="487"/>
      <c r="F582" s="491"/>
      <c r="G582" s="488"/>
      <c r="H582" s="98"/>
      <c r="K582" s="98"/>
      <c r="L582" s="98"/>
      <c r="M582" s="98"/>
      <c r="N582" s="98"/>
      <c r="O582" s="98"/>
      <c r="P582" s="98"/>
      <c r="Q582" s="98"/>
      <c r="R582" s="98"/>
      <c r="S582" s="98"/>
      <c r="T582" s="98"/>
      <c r="U582" s="98"/>
      <c r="V582" s="98"/>
      <c r="W582" s="98"/>
      <c r="X582" s="98"/>
      <c r="Y582" s="98"/>
      <c r="Z582" s="98"/>
      <c r="AA582" s="98"/>
      <c r="AB582" s="98"/>
      <c r="AC582" s="98"/>
      <c r="AD582" s="98"/>
    </row>
    <row r="583" spans="1:30" ht="12.75" customHeight="1">
      <c r="A583" s="125" t="s">
        <v>598</v>
      </c>
      <c r="B583" s="155">
        <v>44664</v>
      </c>
      <c r="C583" s="489">
        <v>1213</v>
      </c>
      <c r="D583" s="489">
        <f>C583+C582</f>
        <v>28</v>
      </c>
      <c r="E583" s="490">
        <f>IFERROR(-D583/C582,0)</f>
        <v>2.3628691983122362E-2</v>
      </c>
      <c r="F583" s="383">
        <f>B583-B582</f>
        <v>71</v>
      </c>
      <c r="G583" s="490">
        <f>(C583/-C582)^(1/((B583-B582)/365))-1</f>
        <v>0.12756287102237285</v>
      </c>
      <c r="H583" s="98"/>
      <c r="K583" s="98"/>
      <c r="L583" s="98"/>
      <c r="M583" s="98"/>
      <c r="N583" s="98"/>
      <c r="O583" s="98"/>
      <c r="P583" s="98"/>
      <c r="Q583" s="98"/>
      <c r="R583" s="98"/>
      <c r="S583" s="98"/>
      <c r="T583" s="98"/>
      <c r="U583" s="98"/>
      <c r="V583" s="98"/>
      <c r="W583" s="98"/>
      <c r="X583" s="98"/>
      <c r="Y583" s="98"/>
      <c r="Z583" s="98"/>
      <c r="AA583" s="98"/>
      <c r="AB583" s="98"/>
      <c r="AC583" s="98"/>
      <c r="AD583" s="98"/>
    </row>
    <row r="584" spans="1:30" ht="12.75" customHeight="1">
      <c r="A584" s="140" t="s">
        <v>598</v>
      </c>
      <c r="B584" s="154">
        <v>44592</v>
      </c>
      <c r="C584" s="395">
        <v>-15797</v>
      </c>
      <c r="D584" s="395"/>
      <c r="E584" s="487"/>
      <c r="F584" s="491"/>
      <c r="G584" s="488"/>
      <c r="H584" s="98"/>
      <c r="K584" s="98"/>
      <c r="L584" s="98"/>
      <c r="M584" s="98"/>
      <c r="N584" s="98"/>
      <c r="O584" s="98"/>
      <c r="P584" s="98"/>
      <c r="Q584" s="98"/>
      <c r="R584" s="98"/>
      <c r="S584" s="98"/>
      <c r="T584" s="98"/>
      <c r="U584" s="98"/>
      <c r="V584" s="98"/>
      <c r="W584" s="98"/>
      <c r="X584" s="98"/>
      <c r="Y584" s="98"/>
      <c r="Z584" s="98"/>
      <c r="AA584" s="98"/>
      <c r="AB584" s="98"/>
      <c r="AC584" s="98"/>
      <c r="AD584" s="98"/>
    </row>
    <row r="585" spans="1:30" ht="12.75" customHeight="1">
      <c r="A585" s="125" t="s">
        <v>598</v>
      </c>
      <c r="B585" s="155">
        <v>44775</v>
      </c>
      <c r="C585" s="489">
        <v>16296</v>
      </c>
      <c r="D585" s="489">
        <f>C585+C584</f>
        <v>499</v>
      </c>
      <c r="E585" s="490">
        <f>IFERROR(-D585/C584,0)</f>
        <v>3.1588276254985122E-2</v>
      </c>
      <c r="F585" s="383">
        <f>B585-B584</f>
        <v>183</v>
      </c>
      <c r="G585" s="490">
        <f>(C585/-C584)^(1/((B585-B584)/365))-1</f>
        <v>6.3993537730992367E-2</v>
      </c>
      <c r="H585" s="98"/>
      <c r="K585" s="98"/>
      <c r="L585" s="98"/>
      <c r="M585" s="98"/>
      <c r="N585" s="98"/>
      <c r="O585" s="98"/>
      <c r="P585" s="98"/>
      <c r="Q585" s="98"/>
      <c r="R585" s="98"/>
      <c r="S585" s="98"/>
      <c r="T585" s="98"/>
      <c r="U585" s="98"/>
      <c r="V585" s="98"/>
      <c r="W585" s="98"/>
      <c r="X585" s="98"/>
      <c r="Y585" s="98"/>
      <c r="Z585" s="98"/>
      <c r="AA585" s="98"/>
      <c r="AB585" s="98"/>
      <c r="AC585" s="98"/>
      <c r="AD585" s="98"/>
    </row>
    <row r="586" spans="1:30" ht="12.75" customHeight="1">
      <c r="A586" s="140" t="s">
        <v>598</v>
      </c>
      <c r="B586" s="154">
        <v>44592</v>
      </c>
      <c r="C586" s="395">
        <v>-12637</v>
      </c>
      <c r="D586" s="395"/>
      <c r="E586" s="487"/>
      <c r="F586" s="491"/>
      <c r="G586" s="488"/>
      <c r="H586" s="98"/>
      <c r="K586" s="98"/>
      <c r="L586" s="98"/>
      <c r="M586" s="98"/>
      <c r="N586" s="98"/>
      <c r="O586" s="98"/>
      <c r="P586" s="98"/>
      <c r="Q586" s="98"/>
      <c r="R586" s="98"/>
      <c r="S586" s="98"/>
      <c r="T586" s="98"/>
      <c r="U586" s="98"/>
      <c r="V586" s="98"/>
      <c r="W586" s="98"/>
      <c r="X586" s="98"/>
      <c r="Y586" s="98"/>
      <c r="Z586" s="98"/>
      <c r="AA586" s="98"/>
      <c r="AB586" s="98"/>
      <c r="AC586" s="98"/>
      <c r="AD586" s="98"/>
    </row>
    <row r="587" spans="1:30" ht="12.75" customHeight="1">
      <c r="A587" s="125" t="s">
        <v>598</v>
      </c>
      <c r="B587" s="155">
        <v>44790</v>
      </c>
      <c r="C587" s="489">
        <v>13476</v>
      </c>
      <c r="D587" s="489">
        <f>C587+C586</f>
        <v>839</v>
      </c>
      <c r="E587" s="490">
        <f>IFERROR(-D587/C586,0)</f>
        <v>6.6392339954103027E-2</v>
      </c>
      <c r="F587" s="383">
        <f>B587-B586</f>
        <v>198</v>
      </c>
      <c r="G587" s="490">
        <f>(C587/-C586)^(1/((B587-B586)/365))-1</f>
        <v>0.12580503739069715</v>
      </c>
      <c r="H587" s="98"/>
      <c r="K587" s="98"/>
      <c r="L587" s="98"/>
      <c r="M587" s="98"/>
      <c r="N587" s="98"/>
      <c r="O587" s="98"/>
      <c r="P587" s="98"/>
      <c r="Q587" s="98"/>
      <c r="R587" s="98"/>
      <c r="S587" s="98"/>
      <c r="T587" s="98"/>
      <c r="U587" s="98"/>
      <c r="V587" s="98"/>
      <c r="W587" s="98"/>
      <c r="X587" s="98"/>
      <c r="Y587" s="98"/>
      <c r="Z587" s="98"/>
      <c r="AA587" s="98"/>
      <c r="AB587" s="98"/>
      <c r="AC587" s="98"/>
      <c r="AD587" s="98"/>
    </row>
    <row r="588" spans="1:30" ht="12.75" customHeight="1">
      <c r="A588" s="138" t="s">
        <v>519</v>
      </c>
      <c r="B588" s="492">
        <v>44334</v>
      </c>
      <c r="C588" s="493">
        <v>-14637</v>
      </c>
      <c r="D588" s="494"/>
      <c r="E588" s="487"/>
      <c r="F588" s="491"/>
      <c r="G588" s="488"/>
      <c r="H588" s="98"/>
      <c r="K588" s="98"/>
      <c r="L588" s="98"/>
      <c r="M588" s="98"/>
      <c r="N588" s="98"/>
      <c r="O588" s="98"/>
      <c r="P588" s="98"/>
      <c r="Q588" s="98"/>
      <c r="R588" s="98"/>
      <c r="S588" s="98"/>
      <c r="T588" s="98"/>
      <c r="U588" s="98"/>
      <c r="V588" s="98"/>
      <c r="W588" s="98"/>
      <c r="X588" s="98"/>
      <c r="Y588" s="98"/>
      <c r="Z588" s="98"/>
      <c r="AA588" s="98"/>
      <c r="AB588" s="98"/>
      <c r="AC588" s="98"/>
      <c r="AD588" s="98"/>
    </row>
    <row r="589" spans="1:30" ht="12.75" customHeight="1">
      <c r="A589" s="125" t="s">
        <v>519</v>
      </c>
      <c r="B589" s="495">
        <v>44343</v>
      </c>
      <c r="C589" s="496">
        <v>15134</v>
      </c>
      <c r="D589" s="489">
        <f>C589+C588</f>
        <v>497</v>
      </c>
      <c r="E589" s="490">
        <f>-D589/C588</f>
        <v>3.3955045432807272E-2</v>
      </c>
      <c r="F589" s="383">
        <f>B589-B588</f>
        <v>9</v>
      </c>
      <c r="G589" s="490">
        <f>(C589/-C588)^(1/((B589-B588)/365))-1</f>
        <v>2.8736711399305168</v>
      </c>
      <c r="H589" s="98"/>
      <c r="K589" s="98"/>
      <c r="L589" s="98"/>
      <c r="M589" s="98"/>
      <c r="N589" s="98"/>
      <c r="O589" s="98"/>
      <c r="P589" s="98"/>
      <c r="Q589" s="98"/>
      <c r="R589" s="98"/>
      <c r="S589" s="98"/>
      <c r="T589" s="98"/>
      <c r="U589" s="98"/>
      <c r="V589" s="98"/>
      <c r="W589" s="98"/>
      <c r="X589" s="98"/>
      <c r="Y589" s="98"/>
      <c r="Z589" s="98"/>
      <c r="AA589" s="98"/>
      <c r="AB589" s="98"/>
      <c r="AC589" s="98"/>
      <c r="AD589" s="98"/>
    </row>
    <row r="590" spans="1:30" ht="12.75" customHeight="1">
      <c r="A590" s="140" t="s">
        <v>642</v>
      </c>
      <c r="B590" s="154">
        <v>44884</v>
      </c>
      <c r="C590" s="395">
        <v>-14652</v>
      </c>
      <c r="D590" s="395"/>
      <c r="E590" s="487"/>
      <c r="F590" s="491"/>
      <c r="G590" s="488"/>
      <c r="H590" s="98"/>
      <c r="K590" s="98"/>
      <c r="L590" s="98"/>
      <c r="M590" s="98"/>
      <c r="N590" s="98"/>
      <c r="O590" s="98"/>
      <c r="P590" s="98"/>
      <c r="Q590" s="98"/>
      <c r="R590" s="98"/>
      <c r="S590" s="98"/>
      <c r="T590" s="98"/>
      <c r="U590" s="98"/>
      <c r="V590" s="98"/>
      <c r="W590" s="98"/>
      <c r="X590" s="98"/>
      <c r="Y590" s="98"/>
      <c r="Z590" s="98"/>
      <c r="AA590" s="98"/>
      <c r="AB590" s="98"/>
      <c r="AC590" s="98"/>
      <c r="AD590" s="98"/>
    </row>
    <row r="591" spans="1:30" ht="12.75" customHeight="1">
      <c r="A591" s="125" t="s">
        <v>642</v>
      </c>
      <c r="B591" s="155">
        <v>44889</v>
      </c>
      <c r="C591" s="489">
        <v>17082</v>
      </c>
      <c r="D591" s="489">
        <f>C591+C590</f>
        <v>2430</v>
      </c>
      <c r="E591" s="490">
        <f>IFERROR(-D591/C590,0)</f>
        <v>0.16584766584766586</v>
      </c>
      <c r="F591" s="383">
        <f>B591-B590</f>
        <v>5</v>
      </c>
      <c r="G591" s="490">
        <f>(C591/-C590)^(1/((B591-B590)/365))-1</f>
        <v>73256.475797402192</v>
      </c>
      <c r="H591" s="98"/>
      <c r="K591" s="98"/>
      <c r="L591" s="98"/>
      <c r="M591" s="98"/>
      <c r="N591" s="98"/>
      <c r="O591" s="98"/>
      <c r="P591" s="98"/>
      <c r="Q591" s="98"/>
      <c r="R591" s="98"/>
      <c r="S591" s="98"/>
      <c r="T591" s="98"/>
      <c r="U591" s="98"/>
      <c r="V591" s="98"/>
      <c r="W591" s="98"/>
      <c r="X591" s="98"/>
      <c r="Y591" s="98"/>
      <c r="Z591" s="98"/>
      <c r="AA591" s="98"/>
      <c r="AB591" s="98"/>
      <c r="AC591" s="98"/>
      <c r="AD591" s="98"/>
    </row>
    <row r="592" spans="1:30" ht="12.75" customHeight="1">
      <c r="A592" s="140" t="s">
        <v>480</v>
      </c>
      <c r="B592" s="154">
        <v>44796</v>
      </c>
      <c r="C592" s="395">
        <v>-3054</v>
      </c>
      <c r="D592" s="395"/>
      <c r="E592" s="487"/>
      <c r="F592" s="491"/>
      <c r="G592" s="488"/>
      <c r="H592" s="98"/>
      <c r="K592" s="98"/>
      <c r="L592" s="98"/>
      <c r="M592" s="98"/>
      <c r="N592" s="98"/>
      <c r="O592" s="98"/>
      <c r="P592" s="98"/>
      <c r="Q592" s="98"/>
      <c r="R592" s="98"/>
      <c r="S592" s="98"/>
      <c r="T592" s="98"/>
      <c r="U592" s="98"/>
      <c r="V592" s="98"/>
      <c r="W592" s="98"/>
      <c r="X592" s="98"/>
      <c r="Y592" s="98"/>
      <c r="Z592" s="98"/>
      <c r="AA592" s="98"/>
      <c r="AB592" s="98"/>
      <c r="AC592" s="98"/>
      <c r="AD592" s="98"/>
    </row>
    <row r="593" spans="1:30" ht="12.75" customHeight="1">
      <c r="A593" s="125" t="s">
        <v>480</v>
      </c>
      <c r="B593" s="155">
        <v>44879</v>
      </c>
      <c r="C593" s="489">
        <v>4056</v>
      </c>
      <c r="D593" s="489">
        <f>C593+C592</f>
        <v>1002</v>
      </c>
      <c r="E593" s="490">
        <f>IFERROR(-D593/C592,0)</f>
        <v>0.32809430255402749</v>
      </c>
      <c r="F593" s="383">
        <f>B593-B592</f>
        <v>83</v>
      </c>
      <c r="G593" s="490">
        <f>(C593/-C592)^(1/((B593-B592)/365))-1</f>
        <v>2.4826536236372401</v>
      </c>
      <c r="H593" s="98"/>
      <c r="K593" s="98"/>
      <c r="L593" s="98"/>
      <c r="M593" s="98"/>
      <c r="N593" s="98"/>
      <c r="O593" s="98"/>
      <c r="P593" s="98"/>
      <c r="Q593" s="98"/>
      <c r="R593" s="98"/>
      <c r="S593" s="98"/>
      <c r="T593" s="98"/>
      <c r="U593" s="98"/>
      <c r="V593" s="98"/>
      <c r="W593" s="98"/>
      <c r="X593" s="98"/>
      <c r="Y593" s="98"/>
      <c r="Z593" s="98"/>
      <c r="AA593" s="98"/>
      <c r="AB593" s="98"/>
      <c r="AC593" s="98"/>
      <c r="AD593" s="98"/>
    </row>
    <row r="594" spans="1:30" ht="12.75" customHeight="1">
      <c r="A594" s="140" t="s">
        <v>546</v>
      </c>
      <c r="B594" s="154">
        <v>44364</v>
      </c>
      <c r="C594" s="140">
        <v>-5246</v>
      </c>
      <c r="D594" s="494"/>
      <c r="E594" s="487"/>
      <c r="F594" s="491"/>
      <c r="G594" s="488"/>
      <c r="H594" s="98"/>
      <c r="K594" s="98"/>
      <c r="L594" s="98"/>
      <c r="M594" s="98"/>
      <c r="N594" s="98"/>
      <c r="O594" s="98"/>
      <c r="P594" s="98"/>
      <c r="Q594" s="98"/>
      <c r="R594" s="98"/>
      <c r="S594" s="98"/>
      <c r="T594" s="98"/>
      <c r="U594" s="98"/>
      <c r="V594" s="98"/>
      <c r="W594" s="98"/>
      <c r="X594" s="98"/>
      <c r="Y594" s="98"/>
      <c r="Z594" s="98"/>
      <c r="AA594" s="98"/>
      <c r="AB594" s="98"/>
      <c r="AC594" s="98"/>
      <c r="AD594" s="98"/>
    </row>
    <row r="595" spans="1:30" ht="12.75" customHeight="1">
      <c r="A595" s="125" t="s">
        <v>546</v>
      </c>
      <c r="B595" s="155">
        <v>44368</v>
      </c>
      <c r="C595" s="489">
        <v>5706</v>
      </c>
      <c r="D595" s="489">
        <f>C595+C594</f>
        <v>460</v>
      </c>
      <c r="E595" s="490">
        <f>-D595/C594</f>
        <v>8.7685855890202058E-2</v>
      </c>
      <c r="F595" s="383">
        <f>B595-B594</f>
        <v>4</v>
      </c>
      <c r="G595" s="490">
        <f>(C595/-C594)^(1/((B595-B594)/365))-1</f>
        <v>2141.6076309931782</v>
      </c>
      <c r="H595" s="98"/>
      <c r="K595" s="98"/>
      <c r="L595" s="98"/>
      <c r="M595" s="98"/>
      <c r="N595" s="98"/>
      <c r="O595" s="98"/>
      <c r="P595" s="98"/>
      <c r="Q595" s="98"/>
      <c r="R595" s="98"/>
      <c r="S595" s="98"/>
      <c r="T595" s="98"/>
      <c r="U595" s="98"/>
      <c r="V595" s="98"/>
      <c r="W595" s="98"/>
      <c r="X595" s="98"/>
      <c r="Y595" s="98"/>
      <c r="Z595" s="98"/>
      <c r="AA595" s="98"/>
      <c r="AB595" s="98"/>
      <c r="AC595" s="98"/>
      <c r="AD595" s="98"/>
    </row>
    <row r="596" spans="1:30" ht="12.75" customHeight="1">
      <c r="A596" s="140" t="s">
        <v>546</v>
      </c>
      <c r="B596" s="154">
        <v>44649</v>
      </c>
      <c r="C596" s="395">
        <v>-7609</v>
      </c>
      <c r="D596" s="395"/>
      <c r="E596" s="487"/>
      <c r="F596" s="491"/>
      <c r="G596" s="488"/>
      <c r="H596" s="98"/>
      <c r="K596" s="98"/>
      <c r="L596" s="98"/>
      <c r="M596" s="98"/>
      <c r="N596" s="98"/>
      <c r="O596" s="98"/>
      <c r="P596" s="98"/>
      <c r="Q596" s="98"/>
      <c r="R596" s="98"/>
      <c r="S596" s="98"/>
      <c r="T596" s="98"/>
      <c r="U596" s="98"/>
      <c r="V596" s="98"/>
      <c r="W596" s="98"/>
      <c r="X596" s="98"/>
      <c r="Y596" s="98"/>
      <c r="Z596" s="98"/>
      <c r="AA596" s="98"/>
      <c r="AB596" s="98"/>
      <c r="AC596" s="98"/>
      <c r="AD596" s="98"/>
    </row>
    <row r="597" spans="1:30" ht="12.75" customHeight="1">
      <c r="A597" s="125" t="s">
        <v>546</v>
      </c>
      <c r="B597" s="155">
        <v>44651</v>
      </c>
      <c r="C597" s="489">
        <v>7772</v>
      </c>
      <c r="D597" s="489">
        <f>C597+C596</f>
        <v>163</v>
      </c>
      <c r="E597" s="490">
        <f>IFERROR(-D597/C596,0)</f>
        <v>2.142200026284663E-2</v>
      </c>
      <c r="F597" s="383">
        <f>B597-B596</f>
        <v>2</v>
      </c>
      <c r="G597" s="490">
        <f>(C597/-C596)^(1/((B597-B596)/365))-1</f>
        <v>46.857546331776895</v>
      </c>
      <c r="H597" s="98"/>
      <c r="K597" s="98"/>
      <c r="L597" s="98"/>
      <c r="M597" s="98"/>
      <c r="N597" s="98"/>
      <c r="O597" s="98"/>
      <c r="P597" s="98"/>
      <c r="Q597" s="98"/>
      <c r="R597" s="98"/>
      <c r="S597" s="98"/>
      <c r="T597" s="98"/>
      <c r="U597" s="98"/>
      <c r="V597" s="98"/>
      <c r="W597" s="98"/>
      <c r="X597" s="98"/>
      <c r="Y597" s="98"/>
      <c r="Z597" s="98"/>
      <c r="AA597" s="98"/>
      <c r="AB597" s="98"/>
      <c r="AC597" s="98"/>
      <c r="AD597" s="98"/>
    </row>
    <row r="598" spans="1:30" ht="12.75" customHeight="1">
      <c r="A598" s="140" t="s">
        <v>635</v>
      </c>
      <c r="B598" s="154">
        <v>44963</v>
      </c>
      <c r="C598" s="395">
        <v>-1827</v>
      </c>
      <c r="D598" s="395"/>
      <c r="E598" s="487"/>
      <c r="F598" s="491"/>
      <c r="G598" s="488"/>
      <c r="H598" s="98"/>
      <c r="K598" s="98"/>
      <c r="L598" s="98"/>
      <c r="M598" s="98"/>
      <c r="N598" s="98"/>
      <c r="O598" s="98"/>
      <c r="P598" s="98"/>
      <c r="Q598" s="98"/>
      <c r="R598" s="98"/>
      <c r="S598" s="98"/>
      <c r="T598" s="98"/>
      <c r="U598" s="98"/>
      <c r="V598" s="98"/>
      <c r="W598" s="98"/>
      <c r="X598" s="98"/>
      <c r="Y598" s="98"/>
      <c r="Z598" s="98"/>
      <c r="AA598" s="98"/>
      <c r="AB598" s="98"/>
      <c r="AC598" s="98"/>
      <c r="AD598" s="98"/>
    </row>
    <row r="599" spans="1:30" ht="12.75" customHeight="1">
      <c r="A599" s="125" t="s">
        <v>635</v>
      </c>
      <c r="B599" s="155">
        <v>45041</v>
      </c>
      <c r="C599" s="489">
        <v>2043</v>
      </c>
      <c r="D599" s="489">
        <f>C599+C598</f>
        <v>216</v>
      </c>
      <c r="E599" s="490">
        <f>IFERROR(-D599/C598,0)</f>
        <v>0.11822660098522167</v>
      </c>
      <c r="F599" s="383">
        <f>B599-B598</f>
        <v>78</v>
      </c>
      <c r="G599" s="490">
        <f>(C599/-C598)^(1/((B599-B598)/365))-1</f>
        <v>0.68692069885924223</v>
      </c>
      <c r="H599" s="98"/>
      <c r="K599" s="98"/>
      <c r="L599" s="98"/>
      <c r="M599" s="98"/>
      <c r="N599" s="98"/>
      <c r="O599" s="98"/>
      <c r="P599" s="98"/>
      <c r="Q599" s="98"/>
      <c r="R599" s="98"/>
      <c r="S599" s="98"/>
      <c r="T599" s="98"/>
      <c r="U599" s="98"/>
      <c r="V599" s="98"/>
      <c r="W599" s="98"/>
      <c r="X599" s="98"/>
      <c r="Y599" s="98"/>
      <c r="Z599" s="98"/>
      <c r="AA599" s="98"/>
      <c r="AB599" s="98"/>
      <c r="AC599" s="98"/>
      <c r="AD599" s="98"/>
    </row>
    <row r="600" spans="1:30" ht="12.75" customHeight="1">
      <c r="A600" s="140" t="s">
        <v>536</v>
      </c>
      <c r="B600" s="154">
        <v>44351</v>
      </c>
      <c r="C600" s="395">
        <v>-22927</v>
      </c>
      <c r="D600" s="395"/>
      <c r="E600" s="487"/>
      <c r="F600" s="491"/>
      <c r="G600" s="488"/>
      <c r="H600" s="98"/>
      <c r="K600" s="98"/>
      <c r="L600" s="98"/>
      <c r="M600" s="98"/>
      <c r="N600" s="98"/>
      <c r="O600" s="98"/>
      <c r="P600" s="98"/>
      <c r="Q600" s="98"/>
      <c r="R600" s="98"/>
      <c r="S600" s="98"/>
      <c r="T600" s="98"/>
      <c r="U600" s="98"/>
      <c r="V600" s="98"/>
      <c r="W600" s="98"/>
      <c r="X600" s="98"/>
      <c r="Y600" s="98"/>
      <c r="Z600" s="98"/>
      <c r="AA600" s="98"/>
      <c r="AB600" s="98"/>
      <c r="AC600" s="98"/>
      <c r="AD600" s="98"/>
    </row>
    <row r="601" spans="1:30" ht="12.75" customHeight="1">
      <c r="A601" s="125" t="s">
        <v>536</v>
      </c>
      <c r="B601" s="495">
        <v>44354</v>
      </c>
      <c r="C601" s="496">
        <v>23775</v>
      </c>
      <c r="D601" s="489">
        <f>C601+C600</f>
        <v>848</v>
      </c>
      <c r="E601" s="490">
        <f>-D601/C600</f>
        <v>3.6986958607755048E-2</v>
      </c>
      <c r="F601" s="383">
        <f>B601-B600</f>
        <v>3</v>
      </c>
      <c r="G601" s="490">
        <f>(C601/-C600)^(1/((B601-B600)/365))-1</f>
        <v>82.001163524269174</v>
      </c>
      <c r="H601" s="98"/>
      <c r="K601" s="98"/>
      <c r="L601" s="98"/>
      <c r="M601" s="98"/>
      <c r="N601" s="98"/>
      <c r="O601" s="98"/>
      <c r="P601" s="98"/>
      <c r="Q601" s="98"/>
      <c r="R601" s="98"/>
      <c r="S601" s="98"/>
      <c r="T601" s="98"/>
      <c r="U601" s="98"/>
      <c r="V601" s="98"/>
      <c r="W601" s="98"/>
      <c r="X601" s="98"/>
      <c r="Y601" s="98"/>
      <c r="Z601" s="98"/>
      <c r="AA601" s="98"/>
      <c r="AB601" s="98"/>
      <c r="AC601" s="98"/>
      <c r="AD601" s="98"/>
    </row>
    <row r="602" spans="1:30" ht="12.75" customHeight="1">
      <c r="A602" s="140" t="s">
        <v>586</v>
      </c>
      <c r="B602" s="154">
        <v>44482</v>
      </c>
      <c r="C602" s="395">
        <v>-6045</v>
      </c>
      <c r="D602" s="395"/>
      <c r="E602" s="487"/>
      <c r="F602" s="491"/>
      <c r="G602" s="488"/>
      <c r="H602" s="98"/>
      <c r="K602" s="98"/>
      <c r="L602" s="98"/>
      <c r="M602" s="98"/>
      <c r="N602" s="98"/>
      <c r="O602" s="98"/>
      <c r="P602" s="98"/>
      <c r="Q602" s="98"/>
      <c r="R602" s="98"/>
      <c r="S602" s="98"/>
      <c r="T602" s="98"/>
      <c r="U602" s="98"/>
      <c r="V602" s="98"/>
      <c r="W602" s="98"/>
      <c r="X602" s="98"/>
      <c r="Y602" s="98"/>
      <c r="Z602" s="98"/>
      <c r="AA602" s="98"/>
      <c r="AB602" s="98"/>
      <c r="AC602" s="98"/>
      <c r="AD602" s="98"/>
    </row>
    <row r="603" spans="1:30" ht="12.75" customHeight="1">
      <c r="A603" s="125" t="s">
        <v>586</v>
      </c>
      <c r="B603" s="155">
        <v>44488</v>
      </c>
      <c r="C603" s="489">
        <v>6718</v>
      </c>
      <c r="D603" s="489">
        <f>C603+C602</f>
        <v>673</v>
      </c>
      <c r="E603" s="490">
        <f>-D603/C602</f>
        <v>0.11133167907361456</v>
      </c>
      <c r="F603" s="383">
        <f>B603-B602</f>
        <v>6</v>
      </c>
      <c r="G603" s="490">
        <f>(C603/-C602)^(1/((B603-B602)/365))-1</f>
        <v>613.92866343877699</v>
      </c>
      <c r="H603" s="98"/>
      <c r="K603" s="98"/>
      <c r="L603" s="98"/>
      <c r="M603" s="98"/>
      <c r="N603" s="98"/>
      <c r="O603" s="98"/>
      <c r="P603" s="98"/>
      <c r="Q603" s="98"/>
      <c r="R603" s="98"/>
      <c r="S603" s="98"/>
      <c r="T603" s="98"/>
      <c r="U603" s="98"/>
      <c r="V603" s="98"/>
      <c r="W603" s="98"/>
      <c r="X603" s="98"/>
      <c r="Y603" s="98"/>
      <c r="Z603" s="98"/>
      <c r="AA603" s="98"/>
      <c r="AB603" s="98"/>
      <c r="AC603" s="98"/>
      <c r="AD603" s="98"/>
    </row>
    <row r="604" spans="1:30" ht="12.75" customHeight="1">
      <c r="A604" s="140" t="s">
        <v>586</v>
      </c>
      <c r="B604" s="154">
        <v>44491</v>
      </c>
      <c r="C604" s="395">
        <v>-6708</v>
      </c>
      <c r="D604" s="395"/>
      <c r="E604" s="487"/>
      <c r="F604" s="491"/>
      <c r="G604" s="488"/>
      <c r="H604" s="98"/>
      <c r="K604" s="98"/>
      <c r="L604" s="98"/>
      <c r="M604" s="98"/>
      <c r="N604" s="98"/>
      <c r="O604" s="98"/>
      <c r="P604" s="98"/>
      <c r="Q604" s="98"/>
      <c r="R604" s="98"/>
      <c r="S604" s="98"/>
      <c r="T604" s="98"/>
      <c r="U604" s="98"/>
      <c r="V604" s="98"/>
      <c r="W604" s="98"/>
      <c r="X604" s="98"/>
      <c r="Y604" s="98"/>
      <c r="Z604" s="98"/>
      <c r="AA604" s="98"/>
      <c r="AB604" s="98"/>
      <c r="AC604" s="98"/>
      <c r="AD604" s="98"/>
    </row>
    <row r="605" spans="1:30" ht="12.75" customHeight="1">
      <c r="A605" s="125" t="s">
        <v>586</v>
      </c>
      <c r="B605" s="155">
        <v>44501</v>
      </c>
      <c r="C605" s="489">
        <v>7242</v>
      </c>
      <c r="D605" s="489">
        <f>C605+C604</f>
        <v>534</v>
      </c>
      <c r="E605" s="490">
        <f>-D605/C604</f>
        <v>7.9606440071556345E-2</v>
      </c>
      <c r="F605" s="383">
        <f>B605-B604</f>
        <v>10</v>
      </c>
      <c r="G605" s="490">
        <f>(C605/-C604)^(1/((B605-B604)/365))-1</f>
        <v>15.375309947942007</v>
      </c>
      <c r="H605" s="98"/>
      <c r="K605" s="98"/>
      <c r="L605" s="98"/>
      <c r="M605" s="98"/>
      <c r="N605" s="98"/>
      <c r="O605" s="98"/>
      <c r="P605" s="98"/>
      <c r="Q605" s="98"/>
      <c r="R605" s="98"/>
      <c r="S605" s="98"/>
      <c r="T605" s="98"/>
      <c r="U605" s="98"/>
      <c r="V605" s="98"/>
      <c r="W605" s="98"/>
      <c r="X605" s="98"/>
      <c r="Y605" s="98"/>
      <c r="Z605" s="98"/>
      <c r="AA605" s="98"/>
      <c r="AB605" s="98"/>
      <c r="AC605" s="98"/>
      <c r="AD605" s="98"/>
    </row>
    <row r="606" spans="1:30" ht="12.75" customHeight="1">
      <c r="A606" s="140" t="s">
        <v>608</v>
      </c>
      <c r="B606" s="154">
        <v>44596</v>
      </c>
      <c r="C606" s="395">
        <v>-1357</v>
      </c>
      <c r="D606" s="395"/>
      <c r="E606" s="487"/>
      <c r="F606" s="491"/>
      <c r="G606" s="488"/>
      <c r="H606" s="98"/>
      <c r="K606" s="98"/>
      <c r="L606" s="98"/>
      <c r="M606" s="98"/>
      <c r="N606" s="98"/>
      <c r="O606" s="98"/>
      <c r="P606" s="98"/>
      <c r="Q606" s="98"/>
      <c r="R606" s="98"/>
      <c r="S606" s="98"/>
      <c r="T606" s="98"/>
      <c r="U606" s="98"/>
      <c r="V606" s="98"/>
      <c r="W606" s="98"/>
      <c r="X606" s="98"/>
      <c r="Y606" s="98"/>
      <c r="Z606" s="98"/>
      <c r="AA606" s="98"/>
      <c r="AB606" s="98"/>
      <c r="AC606" s="98"/>
      <c r="AD606" s="98"/>
    </row>
    <row r="607" spans="1:30" ht="12.75" customHeight="1">
      <c r="A607" s="125" t="s">
        <v>608</v>
      </c>
      <c r="B607" s="155">
        <v>44663</v>
      </c>
      <c r="C607" s="489">
        <v>1401</v>
      </c>
      <c r="D607" s="489">
        <f>C607+C606</f>
        <v>44</v>
      </c>
      <c r="E607" s="490">
        <f>IFERROR(-D607/C606,0)</f>
        <v>3.2424465733235076E-2</v>
      </c>
      <c r="F607" s="383">
        <f>B607-B606</f>
        <v>67</v>
      </c>
      <c r="G607" s="490">
        <f>(C607/-C606)^(1/((B607-B606)/365))-1</f>
        <v>0.18986212776736644</v>
      </c>
      <c r="H607" s="98"/>
      <c r="K607" s="98"/>
      <c r="L607" s="98"/>
      <c r="M607" s="98"/>
      <c r="N607" s="98"/>
      <c r="O607" s="98"/>
      <c r="P607" s="98"/>
      <c r="Q607" s="98"/>
      <c r="R607" s="98"/>
      <c r="S607" s="98"/>
      <c r="T607" s="98"/>
      <c r="U607" s="98"/>
      <c r="V607" s="98"/>
      <c r="W607" s="98"/>
      <c r="X607" s="98"/>
      <c r="Y607" s="98"/>
      <c r="Z607" s="98"/>
      <c r="AA607" s="98"/>
      <c r="AB607" s="98"/>
      <c r="AC607" s="98"/>
      <c r="AD607" s="98"/>
    </row>
    <row r="608" spans="1:30" ht="12.75" customHeight="1">
      <c r="A608" s="140" t="s">
        <v>608</v>
      </c>
      <c r="B608" s="154">
        <v>44599</v>
      </c>
      <c r="C608" s="395">
        <v>-1337</v>
      </c>
      <c r="D608" s="395"/>
      <c r="E608" s="487"/>
      <c r="F608" s="491"/>
      <c r="G608" s="488"/>
      <c r="H608" s="98"/>
      <c r="K608" s="98"/>
      <c r="L608" s="98"/>
      <c r="M608" s="98"/>
      <c r="N608" s="98"/>
      <c r="O608" s="98"/>
      <c r="P608" s="98"/>
      <c r="Q608" s="98"/>
      <c r="R608" s="98"/>
      <c r="S608" s="98"/>
      <c r="T608" s="98"/>
      <c r="U608" s="98"/>
      <c r="V608" s="98"/>
      <c r="W608" s="98"/>
      <c r="X608" s="98"/>
      <c r="Y608" s="98"/>
      <c r="Z608" s="98"/>
      <c r="AA608" s="98"/>
      <c r="AB608" s="98"/>
      <c r="AC608" s="98"/>
      <c r="AD608" s="98"/>
    </row>
    <row r="609" spans="1:30" ht="12.75" customHeight="1">
      <c r="A609" s="125" t="s">
        <v>608</v>
      </c>
      <c r="B609" s="155">
        <v>44663</v>
      </c>
      <c r="C609" s="489">
        <v>1400</v>
      </c>
      <c r="D609" s="489">
        <f>C609+C608</f>
        <v>63</v>
      </c>
      <c r="E609" s="490">
        <f>IFERROR(-D609/C608,0)</f>
        <v>4.712041884816754E-2</v>
      </c>
      <c r="F609" s="383">
        <f>B609-B608</f>
        <v>64</v>
      </c>
      <c r="G609" s="490">
        <f>(C609/-C608)^(1/((B609-B608)/365))-1</f>
        <v>0.30029912839710748</v>
      </c>
      <c r="H609" s="98"/>
      <c r="K609" s="98"/>
      <c r="L609" s="98"/>
      <c r="M609" s="98"/>
      <c r="N609" s="98"/>
      <c r="O609" s="98"/>
      <c r="P609" s="98"/>
      <c r="Q609" s="98"/>
      <c r="R609" s="98"/>
      <c r="S609" s="98"/>
      <c r="T609" s="98"/>
      <c r="U609" s="98"/>
      <c r="V609" s="98"/>
      <c r="W609" s="98"/>
      <c r="X609" s="98"/>
      <c r="Y609" s="98"/>
      <c r="Z609" s="98"/>
      <c r="AA609" s="98"/>
      <c r="AB609" s="98"/>
      <c r="AC609" s="98"/>
      <c r="AD609" s="98"/>
    </row>
    <row r="610" spans="1:30" ht="12.75" customHeight="1">
      <c r="A610" s="140" t="s">
        <v>607</v>
      </c>
      <c r="B610" s="154">
        <v>44586</v>
      </c>
      <c r="C610" s="395">
        <v>-12194</v>
      </c>
      <c r="D610" s="395"/>
      <c r="E610" s="487"/>
      <c r="F610" s="491"/>
      <c r="G610" s="488"/>
      <c r="H610" s="98"/>
      <c r="K610" s="98"/>
      <c r="L610" s="98"/>
      <c r="M610" s="98"/>
      <c r="N610" s="98"/>
      <c r="O610" s="98"/>
      <c r="P610" s="98"/>
      <c r="Q610" s="98"/>
      <c r="R610" s="98"/>
      <c r="S610" s="98"/>
      <c r="T610" s="98"/>
      <c r="U610" s="98"/>
      <c r="V610" s="98"/>
      <c r="W610" s="98"/>
      <c r="X610" s="98"/>
      <c r="Y610" s="98"/>
      <c r="Z610" s="98"/>
      <c r="AA610" s="98"/>
      <c r="AB610" s="98"/>
      <c r="AC610" s="98"/>
      <c r="AD610" s="98"/>
    </row>
    <row r="611" spans="1:30" ht="12.75" customHeight="1">
      <c r="A611" s="125" t="s">
        <v>607</v>
      </c>
      <c r="B611" s="155">
        <v>44614</v>
      </c>
      <c r="C611" s="489">
        <v>12667</v>
      </c>
      <c r="D611" s="489">
        <f>C611+C610</f>
        <v>473</v>
      </c>
      <c r="E611" s="490">
        <f>IFERROR(-D611/C610,0)</f>
        <v>3.8789568640314909E-2</v>
      </c>
      <c r="F611" s="383">
        <f>B611-B610</f>
        <v>28</v>
      </c>
      <c r="G611" s="490">
        <f>(C611/-C610)^(1/((B611-B610)/365))-1</f>
        <v>0.6422860690542771</v>
      </c>
      <c r="H611" s="98"/>
      <c r="K611" s="98"/>
      <c r="L611" s="98"/>
      <c r="M611" s="98"/>
      <c r="N611" s="98"/>
      <c r="O611" s="98"/>
      <c r="P611" s="98"/>
      <c r="Q611" s="98"/>
      <c r="R611" s="98"/>
      <c r="S611" s="98"/>
      <c r="T611" s="98"/>
      <c r="U611" s="98"/>
      <c r="V611" s="98"/>
      <c r="W611" s="98"/>
      <c r="X611" s="98"/>
      <c r="Y611" s="98"/>
      <c r="Z611" s="98"/>
      <c r="AA611" s="98"/>
      <c r="AB611" s="98"/>
      <c r="AC611" s="98"/>
      <c r="AD611" s="98"/>
    </row>
    <row r="612" spans="1:30" ht="12.75" customHeight="1">
      <c r="A612" s="140" t="s">
        <v>607</v>
      </c>
      <c r="B612" s="154">
        <v>44616</v>
      </c>
      <c r="C612" s="395">
        <v>-12525</v>
      </c>
      <c r="D612" s="395"/>
      <c r="E612" s="487"/>
      <c r="F612" s="491"/>
      <c r="G612" s="488"/>
      <c r="H612" s="98"/>
      <c r="K612" s="98"/>
      <c r="L612" s="98"/>
      <c r="M612" s="98"/>
      <c r="N612" s="98"/>
      <c r="O612" s="98"/>
      <c r="P612" s="98"/>
      <c r="Q612" s="98"/>
      <c r="R612" s="98"/>
      <c r="S612" s="98"/>
      <c r="T612" s="98"/>
      <c r="U612" s="98"/>
      <c r="V612" s="98"/>
      <c r="W612" s="98"/>
      <c r="X612" s="98"/>
      <c r="Y612" s="98"/>
      <c r="Z612" s="98"/>
      <c r="AA612" s="98"/>
      <c r="AB612" s="98"/>
      <c r="AC612" s="98"/>
      <c r="AD612" s="98"/>
    </row>
    <row r="613" spans="1:30" ht="12.75" customHeight="1">
      <c r="A613" s="125" t="s">
        <v>607</v>
      </c>
      <c r="B613" s="155">
        <v>44644</v>
      </c>
      <c r="C613" s="489">
        <v>14225</v>
      </c>
      <c r="D613" s="489">
        <f>C613+C612</f>
        <v>1700</v>
      </c>
      <c r="E613" s="490">
        <f>IFERROR(-D613/C612,0)</f>
        <v>0.13572854291417166</v>
      </c>
      <c r="F613" s="383">
        <f>B613-B612</f>
        <v>28</v>
      </c>
      <c r="G613" s="490">
        <f>(C613/-C612)^(1/((B613-B612)/365))-1</f>
        <v>4.2546418161916213</v>
      </c>
      <c r="H613" s="98"/>
      <c r="K613" s="98"/>
      <c r="L613" s="98"/>
      <c r="M613" s="98"/>
      <c r="N613" s="98"/>
      <c r="O613" s="98"/>
      <c r="P613" s="98"/>
      <c r="Q613" s="98"/>
      <c r="R613" s="98"/>
      <c r="S613" s="98"/>
      <c r="T613" s="98"/>
      <c r="U613" s="98"/>
      <c r="V613" s="98"/>
      <c r="W613" s="98"/>
      <c r="X613" s="98"/>
      <c r="Y613" s="98"/>
      <c r="Z613" s="98"/>
      <c r="AA613" s="98"/>
      <c r="AB613" s="98"/>
      <c r="AC613" s="98"/>
      <c r="AD613" s="98"/>
    </row>
    <row r="614" spans="1:30" ht="12.75" customHeight="1">
      <c r="A614" s="140" t="s">
        <v>593</v>
      </c>
      <c r="B614" s="154">
        <v>44515</v>
      </c>
      <c r="C614" s="395">
        <v>-4555</v>
      </c>
      <c r="D614" s="395"/>
      <c r="E614" s="487"/>
      <c r="F614" s="491"/>
      <c r="G614" s="488"/>
      <c r="H614" s="98"/>
      <c r="K614" s="98"/>
      <c r="L614" s="98"/>
      <c r="M614" s="98"/>
      <c r="N614" s="98"/>
      <c r="O614" s="98"/>
      <c r="P614" s="98"/>
      <c r="Q614" s="98"/>
      <c r="R614" s="98"/>
      <c r="S614" s="98"/>
      <c r="T614" s="98"/>
      <c r="U614" s="98"/>
      <c r="V614" s="98"/>
      <c r="W614" s="98"/>
      <c r="X614" s="98"/>
      <c r="Y614" s="98"/>
      <c r="Z614" s="98"/>
      <c r="AA614" s="98"/>
      <c r="AB614" s="98"/>
      <c r="AC614" s="98"/>
      <c r="AD614" s="98"/>
    </row>
    <row r="615" spans="1:30" ht="12.75" customHeight="1">
      <c r="A615" s="125" t="s">
        <v>593</v>
      </c>
      <c r="B615" s="155">
        <v>44558</v>
      </c>
      <c r="C615" s="489">
        <v>4695</v>
      </c>
      <c r="D615" s="489">
        <f>C615+C614</f>
        <v>140</v>
      </c>
      <c r="E615" s="490">
        <f>-D615/C614</f>
        <v>3.0735455543358946E-2</v>
      </c>
      <c r="F615" s="383">
        <f>B615-B614</f>
        <v>43</v>
      </c>
      <c r="G615" s="490">
        <f>(C615/-C614)^(1/((B615-B614)/365))-1</f>
        <v>0.29299979312522484</v>
      </c>
      <c r="H615" s="98"/>
      <c r="K615" s="98"/>
      <c r="L615" s="98"/>
      <c r="M615" s="98"/>
      <c r="N615" s="98"/>
      <c r="O615" s="98"/>
      <c r="P615" s="98"/>
      <c r="Q615" s="98"/>
      <c r="R615" s="98"/>
      <c r="S615" s="98"/>
      <c r="T615" s="98"/>
      <c r="U615" s="98"/>
      <c r="V615" s="98"/>
      <c r="W615" s="98"/>
      <c r="X615" s="98"/>
      <c r="Y615" s="98"/>
      <c r="Z615" s="98"/>
      <c r="AA615" s="98"/>
      <c r="AB615" s="98"/>
      <c r="AC615" s="98"/>
      <c r="AD615" s="98"/>
    </row>
    <row r="616" spans="1:30" ht="12.75" customHeight="1">
      <c r="A616" s="140" t="s">
        <v>562</v>
      </c>
      <c r="B616" s="154">
        <v>44389</v>
      </c>
      <c r="C616" s="395">
        <v>-2433</v>
      </c>
      <c r="D616" s="395"/>
      <c r="E616" s="487"/>
      <c r="F616" s="491"/>
      <c r="G616" s="488"/>
      <c r="H616" s="98"/>
      <c r="K616" s="98"/>
      <c r="L616" s="98"/>
      <c r="M616" s="98"/>
      <c r="N616" s="98"/>
      <c r="O616" s="98"/>
      <c r="P616" s="98"/>
      <c r="Q616" s="98"/>
      <c r="R616" s="98"/>
      <c r="S616" s="98"/>
      <c r="T616" s="98"/>
      <c r="U616" s="98"/>
      <c r="V616" s="98"/>
      <c r="W616" s="98"/>
      <c r="X616" s="98"/>
      <c r="Y616" s="98"/>
      <c r="Z616" s="98"/>
      <c r="AA616" s="98"/>
      <c r="AB616" s="98"/>
      <c r="AC616" s="98"/>
      <c r="AD616" s="98"/>
    </row>
    <row r="617" spans="1:30" ht="12.75" customHeight="1">
      <c r="A617" s="125" t="s">
        <v>562</v>
      </c>
      <c r="B617" s="155">
        <v>44533</v>
      </c>
      <c r="C617" s="489">
        <v>1324</v>
      </c>
      <c r="D617" s="489">
        <f>C617+C616</f>
        <v>-1109</v>
      </c>
      <c r="E617" s="490">
        <f>-D617/C616</f>
        <v>-0.45581586518701189</v>
      </c>
      <c r="F617" s="383">
        <f>B617-B616</f>
        <v>144</v>
      </c>
      <c r="G617" s="490">
        <f>(C617/-C616)^(1/((B617-B616)/365))-1</f>
        <v>-0.7861106306221135</v>
      </c>
      <c r="H617" s="98"/>
      <c r="K617" s="98"/>
      <c r="L617" s="98"/>
      <c r="M617" s="98"/>
      <c r="N617" s="98"/>
      <c r="O617" s="98"/>
      <c r="P617" s="98"/>
      <c r="Q617" s="98"/>
      <c r="R617" s="98"/>
      <c r="S617" s="98"/>
      <c r="T617" s="98"/>
      <c r="U617" s="98"/>
      <c r="V617" s="98"/>
      <c r="W617" s="98"/>
      <c r="X617" s="98"/>
      <c r="Y617" s="98"/>
      <c r="Z617" s="98"/>
      <c r="AA617" s="98"/>
      <c r="AB617" s="98"/>
      <c r="AC617" s="98"/>
      <c r="AD617" s="98"/>
    </row>
    <row r="618" spans="1:30" ht="12.75" customHeight="1">
      <c r="A618" s="140" t="s">
        <v>562</v>
      </c>
      <c r="B618" s="154">
        <v>44554</v>
      </c>
      <c r="C618" s="395">
        <v>-1352</v>
      </c>
      <c r="D618" s="395"/>
      <c r="E618" s="487"/>
      <c r="F618" s="491"/>
      <c r="G618" s="488"/>
      <c r="H618" s="98"/>
      <c r="K618" s="98"/>
      <c r="L618" s="98"/>
      <c r="M618" s="98"/>
      <c r="N618" s="98"/>
      <c r="O618" s="98"/>
      <c r="P618" s="98"/>
      <c r="Q618" s="98"/>
      <c r="R618" s="98"/>
      <c r="S618" s="98"/>
      <c r="T618" s="98"/>
      <c r="U618" s="98"/>
      <c r="V618" s="98"/>
      <c r="W618" s="98"/>
      <c r="X618" s="98"/>
      <c r="Y618" s="98"/>
      <c r="Z618" s="98"/>
      <c r="AA618" s="98"/>
      <c r="AB618" s="98"/>
      <c r="AC618" s="98"/>
      <c r="AD618" s="98"/>
    </row>
    <row r="619" spans="1:30" ht="12.75" customHeight="1">
      <c r="A619" s="125" t="s">
        <v>562</v>
      </c>
      <c r="B619" s="155">
        <v>44557</v>
      </c>
      <c r="C619" s="489">
        <v>1423</v>
      </c>
      <c r="D619" s="489">
        <f>C619+C618</f>
        <v>71</v>
      </c>
      <c r="E619" s="490">
        <f>-D619/C618</f>
        <v>5.2514792899408282E-2</v>
      </c>
      <c r="F619" s="383">
        <f>B619-B618</f>
        <v>3</v>
      </c>
      <c r="G619" s="490">
        <f>(C619/-C618)^(1/((B619-B618)/365))-1</f>
        <v>505.32810140979495</v>
      </c>
      <c r="H619" s="98"/>
      <c r="K619" s="98"/>
      <c r="L619" s="98"/>
      <c r="M619" s="98"/>
      <c r="N619" s="98"/>
      <c r="O619" s="98"/>
      <c r="P619" s="98"/>
      <c r="Q619" s="98"/>
      <c r="R619" s="98"/>
      <c r="S619" s="98"/>
      <c r="T619" s="98"/>
      <c r="U619" s="98"/>
      <c r="V619" s="98"/>
      <c r="W619" s="98"/>
      <c r="X619" s="98"/>
      <c r="Y619" s="98"/>
      <c r="Z619" s="98"/>
      <c r="AA619" s="98"/>
      <c r="AB619" s="98"/>
      <c r="AC619" s="98"/>
      <c r="AD619" s="98"/>
    </row>
    <row r="620" spans="1:30" ht="12.75" customHeight="1">
      <c r="A620" s="140" t="s">
        <v>562</v>
      </c>
      <c r="B620" s="154">
        <v>44389</v>
      </c>
      <c r="C620" s="395">
        <v>-2433</v>
      </c>
      <c r="D620" s="395"/>
      <c r="E620" s="487"/>
      <c r="F620" s="491"/>
      <c r="G620" s="488"/>
      <c r="H620" s="98"/>
      <c r="K620" s="98"/>
      <c r="L620" s="98"/>
      <c r="M620" s="98"/>
      <c r="N620" s="98"/>
      <c r="O620" s="98"/>
      <c r="P620" s="98"/>
      <c r="Q620" s="98"/>
      <c r="R620" s="98"/>
      <c r="S620" s="98"/>
      <c r="T620" s="98"/>
      <c r="U620" s="98"/>
      <c r="V620" s="98"/>
      <c r="W620" s="98"/>
      <c r="X620" s="98"/>
      <c r="Y620" s="98"/>
      <c r="Z620" s="98"/>
      <c r="AA620" s="98"/>
      <c r="AB620" s="98"/>
      <c r="AC620" s="98"/>
      <c r="AD620" s="98"/>
    </row>
    <row r="621" spans="1:30" ht="12.75" customHeight="1">
      <c r="A621" s="125" t="s">
        <v>562</v>
      </c>
      <c r="B621" s="155">
        <v>44558</v>
      </c>
      <c r="C621" s="489">
        <v>1473</v>
      </c>
      <c r="D621" s="489">
        <f>C621+C620</f>
        <v>-960</v>
      </c>
      <c r="E621" s="490">
        <f>-D621/C620</f>
        <v>-0.39457459926017263</v>
      </c>
      <c r="F621" s="383">
        <f>B621-B620</f>
        <v>169</v>
      </c>
      <c r="G621" s="490">
        <f>(C621/-C620)^(1/((B621-B620)/365))-1</f>
        <v>-0.66169956114472561</v>
      </c>
      <c r="H621" s="98"/>
      <c r="K621" s="98"/>
      <c r="L621" s="98"/>
      <c r="M621" s="98"/>
      <c r="N621" s="98"/>
      <c r="O621" s="98"/>
      <c r="P621" s="98"/>
      <c r="Q621" s="98"/>
      <c r="R621" s="98"/>
      <c r="S621" s="98"/>
      <c r="T621" s="98"/>
      <c r="U621" s="98"/>
      <c r="V621" s="98"/>
      <c r="W621" s="98"/>
      <c r="X621" s="98"/>
      <c r="Y621" s="98"/>
      <c r="Z621" s="98"/>
      <c r="AA621" s="98"/>
      <c r="AB621" s="98"/>
      <c r="AC621" s="98"/>
      <c r="AD621" s="98"/>
    </row>
    <row r="622" spans="1:30" ht="12.75" customHeight="1">
      <c r="A622" s="140" t="s">
        <v>562</v>
      </c>
      <c r="B622" s="154">
        <v>44554</v>
      </c>
      <c r="C622" s="395">
        <v>-3004</v>
      </c>
      <c r="D622" s="395"/>
      <c r="E622" s="487"/>
      <c r="F622" s="491"/>
      <c r="G622" s="488"/>
      <c r="H622" s="98"/>
      <c r="K622" s="98"/>
      <c r="L622" s="98"/>
      <c r="M622" s="98"/>
      <c r="N622" s="98"/>
      <c r="O622" s="98"/>
      <c r="P622" s="98"/>
      <c r="Q622" s="98"/>
      <c r="R622" s="98"/>
      <c r="S622" s="98"/>
      <c r="T622" s="98"/>
      <c r="U622" s="98"/>
      <c r="V622" s="98"/>
      <c r="W622" s="98"/>
      <c r="X622" s="98"/>
      <c r="Y622" s="98"/>
      <c r="Z622" s="98"/>
      <c r="AA622" s="98"/>
      <c r="AB622" s="98"/>
      <c r="AC622" s="98"/>
      <c r="AD622" s="98"/>
    </row>
    <row r="623" spans="1:30" ht="12.75" customHeight="1">
      <c r="A623" s="125" t="s">
        <v>562</v>
      </c>
      <c r="B623" s="155">
        <v>44565</v>
      </c>
      <c r="C623" s="489">
        <v>3167</v>
      </c>
      <c r="D623" s="489">
        <f>C623+C622</f>
        <v>163</v>
      </c>
      <c r="E623" s="490">
        <f>-D623/C622</f>
        <v>5.4260985352862848E-2</v>
      </c>
      <c r="F623" s="383">
        <f>B623-B622</f>
        <v>11</v>
      </c>
      <c r="G623" s="490">
        <f>(C623/-C622)^(1/((B623-B622)/365))-1</f>
        <v>4.7737881454786724</v>
      </c>
      <c r="H623" s="98"/>
      <c r="K623" s="98"/>
      <c r="L623" s="98"/>
      <c r="M623" s="98"/>
      <c r="N623" s="98"/>
      <c r="O623" s="98"/>
      <c r="P623" s="98"/>
      <c r="Q623" s="98"/>
      <c r="R623" s="98"/>
      <c r="S623" s="98"/>
      <c r="T623" s="98"/>
      <c r="U623" s="98"/>
      <c r="V623" s="98"/>
      <c r="W623" s="98"/>
      <c r="X623" s="98"/>
      <c r="Y623" s="98"/>
      <c r="Z623" s="98"/>
      <c r="AA623" s="98"/>
      <c r="AB623" s="98"/>
      <c r="AC623" s="98"/>
      <c r="AD623" s="98"/>
    </row>
    <row r="624" spans="1:30" ht="12.75" customHeight="1">
      <c r="A624" s="140" t="s">
        <v>498</v>
      </c>
      <c r="B624" s="154">
        <v>44299</v>
      </c>
      <c r="C624" s="395">
        <v>-9130</v>
      </c>
      <c r="D624" s="395"/>
      <c r="E624" s="487"/>
      <c r="F624" s="491"/>
      <c r="G624" s="488"/>
      <c r="H624" s="98"/>
      <c r="K624" s="98"/>
      <c r="L624" s="98"/>
      <c r="M624" s="98"/>
      <c r="N624" s="98"/>
      <c r="O624" s="98"/>
      <c r="P624" s="98"/>
      <c r="Q624" s="98"/>
      <c r="R624" s="98"/>
      <c r="S624" s="98"/>
      <c r="T624" s="98"/>
      <c r="U624" s="98"/>
      <c r="V624" s="98"/>
      <c r="W624" s="98"/>
      <c r="X624" s="98"/>
      <c r="Y624" s="98"/>
      <c r="Z624" s="98"/>
      <c r="AA624" s="98"/>
      <c r="AB624" s="98"/>
      <c r="AC624" s="98"/>
      <c r="AD624" s="98"/>
    </row>
    <row r="625" spans="1:30" ht="12.75" customHeight="1">
      <c r="A625" s="125" t="s">
        <v>498</v>
      </c>
      <c r="B625" s="495">
        <v>44313</v>
      </c>
      <c r="C625" s="496">
        <v>9616</v>
      </c>
      <c r="D625" s="489">
        <f>C625+C624</f>
        <v>486</v>
      </c>
      <c r="E625" s="490">
        <f>-D625/C624</f>
        <v>5.3231106243154434E-2</v>
      </c>
      <c r="F625" s="383">
        <f>B625-B624</f>
        <v>14</v>
      </c>
      <c r="G625" s="490">
        <f>(C625/-C624)^(1/((B625-B624)/365))-1</f>
        <v>2.8656669948591271</v>
      </c>
      <c r="H625" s="98"/>
      <c r="K625" s="98"/>
      <c r="L625" s="98"/>
      <c r="M625" s="98"/>
      <c r="N625" s="98"/>
      <c r="O625" s="98"/>
      <c r="P625" s="98"/>
      <c r="Q625" s="98"/>
      <c r="R625" s="98"/>
      <c r="S625" s="98"/>
      <c r="T625" s="98"/>
      <c r="U625" s="98"/>
      <c r="V625" s="98"/>
      <c r="W625" s="98"/>
      <c r="X625" s="98"/>
      <c r="Y625" s="98"/>
      <c r="Z625" s="98"/>
      <c r="AA625" s="98"/>
      <c r="AB625" s="98"/>
      <c r="AC625" s="98"/>
      <c r="AD625" s="98"/>
    </row>
    <row r="626" spans="1:30" ht="12.75" customHeight="1">
      <c r="A626" s="140" t="s">
        <v>498</v>
      </c>
      <c r="B626" s="154">
        <v>44327</v>
      </c>
      <c r="C626" s="395">
        <v>-10813</v>
      </c>
      <c r="D626" s="395"/>
      <c r="E626" s="487"/>
      <c r="F626" s="491"/>
      <c r="G626" s="488"/>
      <c r="H626" s="98"/>
      <c r="K626" s="98"/>
      <c r="L626" s="98"/>
      <c r="M626" s="98"/>
      <c r="N626" s="98"/>
      <c r="O626" s="98"/>
      <c r="P626" s="98"/>
      <c r="Q626" s="98"/>
      <c r="R626" s="98"/>
      <c r="S626" s="98"/>
      <c r="T626" s="98"/>
      <c r="U626" s="98"/>
      <c r="V626" s="98"/>
      <c r="W626" s="98"/>
      <c r="X626" s="98"/>
      <c r="Y626" s="98"/>
      <c r="Z626" s="98"/>
      <c r="AA626" s="98"/>
      <c r="AB626" s="98"/>
      <c r="AC626" s="98"/>
      <c r="AD626" s="98"/>
    </row>
    <row r="627" spans="1:30" ht="12.75" customHeight="1">
      <c r="A627" s="125" t="s">
        <v>498</v>
      </c>
      <c r="B627" s="495">
        <v>44334</v>
      </c>
      <c r="C627" s="496">
        <v>11288</v>
      </c>
      <c r="D627" s="489">
        <f>C627+C626</f>
        <v>475</v>
      </c>
      <c r="E627" s="490">
        <f>-D627/C626</f>
        <v>4.3928604457597338E-2</v>
      </c>
      <c r="F627" s="383">
        <f>B627-B626</f>
        <v>7</v>
      </c>
      <c r="G627" s="490">
        <f>(C627/-C626)^(1/((B627-B626)/365))-1</f>
        <v>8.4091142099897969</v>
      </c>
      <c r="H627" s="98"/>
      <c r="K627" s="98"/>
      <c r="L627" s="98"/>
      <c r="M627" s="98"/>
      <c r="N627" s="98"/>
      <c r="O627" s="98"/>
      <c r="P627" s="98"/>
      <c r="Q627" s="98"/>
      <c r="R627" s="98"/>
      <c r="S627" s="98"/>
      <c r="T627" s="98"/>
      <c r="U627" s="98"/>
      <c r="V627" s="98"/>
      <c r="W627" s="98"/>
      <c r="X627" s="98"/>
      <c r="Y627" s="98"/>
      <c r="Z627" s="98"/>
      <c r="AA627" s="98"/>
      <c r="AB627" s="98"/>
      <c r="AC627" s="98"/>
      <c r="AD627" s="98"/>
    </row>
    <row r="628" spans="1:30" ht="12.75" customHeight="1">
      <c r="A628" s="140" t="s">
        <v>498</v>
      </c>
      <c r="B628" s="154">
        <v>44379</v>
      </c>
      <c r="C628" s="395">
        <v>-11974</v>
      </c>
      <c r="D628" s="395"/>
      <c r="E628" s="487"/>
      <c r="F628" s="491"/>
      <c r="G628" s="488"/>
      <c r="H628" s="98"/>
      <c r="K628" s="98"/>
      <c r="L628" s="98"/>
      <c r="M628" s="98"/>
      <c r="N628" s="98"/>
      <c r="O628" s="98"/>
      <c r="P628" s="98"/>
      <c r="Q628" s="98"/>
      <c r="R628" s="98"/>
      <c r="S628" s="98"/>
      <c r="T628" s="98"/>
      <c r="U628" s="98"/>
      <c r="V628" s="98"/>
      <c r="W628" s="98"/>
      <c r="X628" s="98"/>
      <c r="Y628" s="98"/>
      <c r="Z628" s="98"/>
      <c r="AA628" s="98"/>
      <c r="AB628" s="98"/>
      <c r="AC628" s="98"/>
      <c r="AD628" s="98"/>
    </row>
    <row r="629" spans="1:30" ht="12.75" customHeight="1">
      <c r="A629" s="125" t="s">
        <v>498</v>
      </c>
      <c r="B629" s="155">
        <v>44383</v>
      </c>
      <c r="C629" s="489">
        <v>12217</v>
      </c>
      <c r="D629" s="489">
        <f>C629+C628</f>
        <v>243</v>
      </c>
      <c r="E629" s="490">
        <f>-D629/C628</f>
        <v>2.0293970268915985E-2</v>
      </c>
      <c r="F629" s="383">
        <f>B629-B628</f>
        <v>4</v>
      </c>
      <c r="G629" s="490">
        <f>(C629/-C628)^(1/((B629-B628)/365))-1</f>
        <v>5.2543971638211575</v>
      </c>
      <c r="H629" s="98"/>
      <c r="K629" s="98"/>
      <c r="L629" s="98"/>
      <c r="M629" s="98"/>
      <c r="N629" s="98"/>
      <c r="O629" s="98"/>
      <c r="P629" s="98"/>
      <c r="Q629" s="98"/>
      <c r="R629" s="98"/>
      <c r="S629" s="98"/>
      <c r="T629" s="98"/>
      <c r="U629" s="98"/>
      <c r="V629" s="98"/>
      <c r="W629" s="98"/>
      <c r="X629" s="98"/>
      <c r="Y629" s="98"/>
      <c r="Z629" s="98"/>
      <c r="AA629" s="98"/>
      <c r="AB629" s="98"/>
      <c r="AC629" s="98"/>
      <c r="AD629" s="98"/>
    </row>
    <row r="630" spans="1:30" ht="12.75" customHeight="1">
      <c r="A630" s="140" t="s">
        <v>498</v>
      </c>
      <c r="B630" s="154">
        <v>44445</v>
      </c>
      <c r="C630" s="395">
        <v>-15110</v>
      </c>
      <c r="D630" s="395"/>
      <c r="E630" s="487"/>
      <c r="F630" s="491"/>
      <c r="G630" s="488"/>
      <c r="H630" s="98"/>
      <c r="K630" s="98"/>
      <c r="L630" s="98"/>
      <c r="M630" s="98"/>
      <c r="N630" s="98"/>
      <c r="O630" s="98"/>
      <c r="P630" s="98"/>
      <c r="Q630" s="98"/>
      <c r="R630" s="98"/>
      <c r="S630" s="98"/>
      <c r="T630" s="98"/>
      <c r="U630" s="98"/>
      <c r="V630" s="98"/>
      <c r="W630" s="98"/>
      <c r="X630" s="98"/>
      <c r="Y630" s="98"/>
      <c r="Z630" s="98"/>
      <c r="AA630" s="98"/>
      <c r="AB630" s="98"/>
      <c r="AC630" s="98"/>
      <c r="AD630" s="98"/>
    </row>
    <row r="631" spans="1:30" ht="12.75" customHeight="1">
      <c r="A631" s="125" t="s">
        <v>498</v>
      </c>
      <c r="B631" s="155">
        <v>44459</v>
      </c>
      <c r="C631" s="489">
        <v>15584</v>
      </c>
      <c r="D631" s="489">
        <f>C631+C630</f>
        <v>474</v>
      </c>
      <c r="E631" s="490">
        <f>-D631/C630</f>
        <v>3.1369953673064194E-2</v>
      </c>
      <c r="F631" s="383">
        <f>B631-B630</f>
        <v>14</v>
      </c>
      <c r="G631" s="490">
        <f>(C631/-C630)^(1/((B631-B630)/365))-1</f>
        <v>1.2373531094839403</v>
      </c>
      <c r="H631" s="98"/>
      <c r="K631" s="98"/>
      <c r="L631" s="98"/>
      <c r="M631" s="98"/>
      <c r="N631" s="98"/>
      <c r="O631" s="98"/>
      <c r="P631" s="98"/>
      <c r="Q631" s="98"/>
      <c r="R631" s="98"/>
      <c r="S631" s="98"/>
      <c r="T631" s="98"/>
      <c r="U631" s="98"/>
      <c r="V631" s="98"/>
      <c r="W631" s="98"/>
      <c r="X631" s="98"/>
      <c r="Y631" s="98"/>
      <c r="Z631" s="98"/>
      <c r="AA631" s="98"/>
      <c r="AB631" s="98"/>
      <c r="AC631" s="98"/>
      <c r="AD631" s="98"/>
    </row>
    <row r="632" spans="1:30" ht="12.75" customHeight="1">
      <c r="A632" s="140" t="s">
        <v>498</v>
      </c>
      <c r="B632" s="154">
        <v>44467</v>
      </c>
      <c r="C632" s="395">
        <v>-7639</v>
      </c>
      <c r="D632" s="395"/>
      <c r="E632" s="487"/>
      <c r="F632" s="491"/>
      <c r="G632" s="488"/>
      <c r="H632" s="98"/>
      <c r="K632" s="98"/>
      <c r="L632" s="98"/>
      <c r="M632" s="98"/>
      <c r="N632" s="98"/>
      <c r="O632" s="98"/>
      <c r="P632" s="98"/>
      <c r="Q632" s="98"/>
      <c r="R632" s="98"/>
      <c r="S632" s="98"/>
      <c r="T632" s="98"/>
      <c r="U632" s="98"/>
      <c r="V632" s="98"/>
      <c r="W632" s="98"/>
      <c r="X632" s="98"/>
      <c r="Y632" s="98"/>
      <c r="Z632" s="98"/>
      <c r="AA632" s="98"/>
      <c r="AB632" s="98"/>
      <c r="AC632" s="98"/>
      <c r="AD632" s="98"/>
    </row>
    <row r="633" spans="1:30" ht="12.75" customHeight="1">
      <c r="A633" s="125" t="s">
        <v>498</v>
      </c>
      <c r="B633" s="155">
        <v>44469</v>
      </c>
      <c r="C633" s="489">
        <v>7642</v>
      </c>
      <c r="D633" s="489">
        <f>C633+C632</f>
        <v>3</v>
      </c>
      <c r="E633" s="490">
        <f>-D633/C632</f>
        <v>3.9272156041366671E-4</v>
      </c>
      <c r="F633" s="383">
        <f>B633-B632</f>
        <v>2</v>
      </c>
      <c r="G633" s="490">
        <f>(C633/-C632)^(1/((B633-B632)/365))-1</f>
        <v>7.4287461123689225E-2</v>
      </c>
      <c r="H633" s="98"/>
      <c r="K633" s="98"/>
      <c r="L633" s="98"/>
      <c r="M633" s="98"/>
      <c r="N633" s="98"/>
      <c r="O633" s="98"/>
      <c r="P633" s="98"/>
      <c r="Q633" s="98"/>
      <c r="R633" s="98"/>
      <c r="S633" s="98"/>
      <c r="T633" s="98"/>
      <c r="U633" s="98"/>
      <c r="V633" s="98"/>
      <c r="W633" s="98"/>
      <c r="X633" s="98"/>
      <c r="Y633" s="98"/>
      <c r="Z633" s="98"/>
      <c r="AA633" s="98"/>
      <c r="AB633" s="98"/>
      <c r="AC633" s="98"/>
      <c r="AD633" s="98"/>
    </row>
    <row r="634" spans="1:30" ht="12.75" customHeight="1">
      <c r="A634" s="140" t="s">
        <v>498</v>
      </c>
      <c r="B634" s="154">
        <v>44497</v>
      </c>
      <c r="C634" s="395">
        <v>-14968</v>
      </c>
      <c r="D634" s="395"/>
      <c r="E634" s="487"/>
      <c r="F634" s="491"/>
      <c r="G634" s="488"/>
      <c r="H634" s="98"/>
      <c r="K634" s="98"/>
      <c r="L634" s="98"/>
      <c r="M634" s="98"/>
      <c r="N634" s="98"/>
      <c r="O634" s="98"/>
      <c r="P634" s="98"/>
      <c r="Q634" s="98"/>
      <c r="R634" s="98"/>
      <c r="S634" s="98"/>
      <c r="T634" s="98"/>
      <c r="U634" s="98"/>
      <c r="V634" s="98"/>
      <c r="W634" s="98"/>
      <c r="X634" s="98"/>
      <c r="Y634" s="98"/>
      <c r="Z634" s="98"/>
      <c r="AA634" s="98"/>
      <c r="AB634" s="98"/>
      <c r="AC634" s="98"/>
      <c r="AD634" s="98"/>
    </row>
    <row r="635" spans="1:30" ht="12.75" customHeight="1">
      <c r="A635" s="125" t="s">
        <v>498</v>
      </c>
      <c r="B635" s="155">
        <v>44508</v>
      </c>
      <c r="C635" s="489">
        <v>15254</v>
      </c>
      <c r="D635" s="489">
        <f>C635+C634</f>
        <v>286</v>
      </c>
      <c r="E635" s="490">
        <f>-D635/C634</f>
        <v>1.9107429182255477E-2</v>
      </c>
      <c r="F635" s="383">
        <f>B635-B634</f>
        <v>11</v>
      </c>
      <c r="G635" s="490">
        <f>(C635/-C634)^(1/((B635-B634)/365))-1</f>
        <v>0.87393045360111166</v>
      </c>
      <c r="H635" s="98"/>
      <c r="K635" s="98"/>
      <c r="L635" s="98"/>
      <c r="M635" s="98"/>
      <c r="N635" s="98"/>
      <c r="O635" s="98"/>
      <c r="P635" s="98"/>
      <c r="Q635" s="98"/>
      <c r="R635" s="98"/>
      <c r="S635" s="98"/>
      <c r="T635" s="98"/>
      <c r="U635" s="98"/>
      <c r="V635" s="98"/>
      <c r="W635" s="98"/>
      <c r="X635" s="98"/>
      <c r="Y635" s="98"/>
      <c r="Z635" s="98"/>
      <c r="AA635" s="98"/>
      <c r="AB635" s="98"/>
      <c r="AC635" s="98"/>
      <c r="AD635" s="98"/>
    </row>
    <row r="636" spans="1:30" ht="12.75" customHeight="1">
      <c r="A636" s="140" t="s">
        <v>498</v>
      </c>
      <c r="B636" s="154">
        <v>44467</v>
      </c>
      <c r="C636" s="395">
        <v>-15418</v>
      </c>
      <c r="D636" s="395"/>
      <c r="E636" s="487"/>
      <c r="F636" s="491"/>
      <c r="G636" s="488"/>
      <c r="H636" s="98"/>
      <c r="K636" s="98"/>
      <c r="L636" s="98"/>
      <c r="M636" s="98"/>
      <c r="N636" s="98"/>
      <c r="O636" s="98"/>
      <c r="P636" s="98"/>
      <c r="Q636" s="98"/>
      <c r="R636" s="98"/>
      <c r="S636" s="98"/>
      <c r="T636" s="98"/>
      <c r="U636" s="98"/>
      <c r="V636" s="98"/>
      <c r="W636" s="98"/>
      <c r="X636" s="98"/>
      <c r="Y636" s="98"/>
      <c r="Z636" s="98"/>
      <c r="AA636" s="98"/>
      <c r="AB636" s="98"/>
      <c r="AC636" s="98"/>
      <c r="AD636" s="98"/>
    </row>
    <row r="637" spans="1:30" ht="12.75" customHeight="1">
      <c r="A637" s="125" t="s">
        <v>498</v>
      </c>
      <c r="B637" s="155">
        <v>44508</v>
      </c>
      <c r="C637" s="489">
        <v>15454</v>
      </c>
      <c r="D637" s="489">
        <f>C637+C636</f>
        <v>36</v>
      </c>
      <c r="E637" s="490">
        <f>-D637/C636</f>
        <v>2.3349331949669219E-3</v>
      </c>
      <c r="F637" s="383">
        <f>B637-B636</f>
        <v>41</v>
      </c>
      <c r="G637" s="490">
        <f>(C637/-C636)^(1/((B637-B636)/365))-1</f>
        <v>2.0979407923714E-2</v>
      </c>
      <c r="H637" s="98"/>
      <c r="K637" s="98"/>
      <c r="L637" s="98"/>
      <c r="M637" s="98"/>
      <c r="N637" s="98"/>
      <c r="O637" s="98"/>
      <c r="P637" s="98"/>
      <c r="Q637" s="98"/>
      <c r="R637" s="98"/>
      <c r="S637" s="98"/>
      <c r="T637" s="98"/>
      <c r="U637" s="98"/>
      <c r="V637" s="98"/>
      <c r="W637" s="98"/>
      <c r="X637" s="98"/>
      <c r="Y637" s="98"/>
      <c r="Z637" s="98"/>
      <c r="AA637" s="98"/>
      <c r="AB637" s="98"/>
      <c r="AC637" s="98"/>
      <c r="AD637" s="98"/>
    </row>
    <row r="638" spans="1:30" ht="12.75" customHeight="1">
      <c r="A638" s="140" t="s">
        <v>498</v>
      </c>
      <c r="B638" s="154">
        <v>44550</v>
      </c>
      <c r="C638" s="395">
        <v>-6658</v>
      </c>
      <c r="D638" s="395"/>
      <c r="E638" s="487"/>
      <c r="F638" s="491"/>
      <c r="G638" s="488"/>
      <c r="H638" s="98"/>
      <c r="K638" s="98"/>
      <c r="L638" s="98"/>
      <c r="M638" s="98"/>
      <c r="N638" s="98"/>
      <c r="O638" s="98"/>
      <c r="P638" s="98"/>
      <c r="Q638" s="98"/>
      <c r="R638" s="98"/>
      <c r="S638" s="98"/>
      <c r="T638" s="98"/>
      <c r="U638" s="98"/>
      <c r="V638" s="98"/>
      <c r="W638" s="98"/>
      <c r="X638" s="98"/>
      <c r="Y638" s="98"/>
      <c r="Z638" s="98"/>
      <c r="AA638" s="98"/>
      <c r="AB638" s="98"/>
      <c r="AC638" s="98"/>
      <c r="AD638" s="98"/>
    </row>
    <row r="639" spans="1:30" ht="12.75" customHeight="1">
      <c r="A639" s="125" t="s">
        <v>498</v>
      </c>
      <c r="B639" s="155">
        <v>44557</v>
      </c>
      <c r="C639" s="489">
        <v>6888</v>
      </c>
      <c r="D639" s="489">
        <f>C639+C638</f>
        <v>230</v>
      </c>
      <c r="E639" s="490">
        <f>-D639/C638</f>
        <v>3.4544908380895162E-2</v>
      </c>
      <c r="F639" s="383">
        <f>B639-B638</f>
        <v>7</v>
      </c>
      <c r="G639" s="490">
        <f>(C639/-C638)^(1/((B639-B638)/365))-1</f>
        <v>4.8758828184645111</v>
      </c>
      <c r="H639" s="98"/>
      <c r="K639" s="98"/>
      <c r="L639" s="98"/>
      <c r="M639" s="98"/>
      <c r="N639" s="98"/>
      <c r="O639" s="98"/>
      <c r="P639" s="98"/>
      <c r="Q639" s="98"/>
      <c r="R639" s="98"/>
      <c r="S639" s="98"/>
      <c r="T639" s="98"/>
      <c r="U639" s="98"/>
      <c r="V639" s="98"/>
      <c r="W639" s="98"/>
      <c r="X639" s="98"/>
      <c r="Y639" s="98"/>
      <c r="Z639" s="98"/>
      <c r="AA639" s="98"/>
      <c r="AB639" s="98"/>
      <c r="AC639" s="98"/>
      <c r="AD639" s="98"/>
    </row>
    <row r="640" spans="1:30" ht="12.75" customHeight="1">
      <c r="A640" s="140" t="s">
        <v>498</v>
      </c>
      <c r="B640" s="154">
        <v>44509</v>
      </c>
      <c r="C640" s="395">
        <v>-15318</v>
      </c>
      <c r="D640" s="395"/>
      <c r="E640" s="487"/>
      <c r="F640" s="491"/>
      <c r="G640" s="488"/>
      <c r="H640" s="98"/>
      <c r="K640" s="98"/>
      <c r="L640" s="98"/>
      <c r="M640" s="98"/>
      <c r="N640" s="98"/>
      <c r="O640" s="98"/>
      <c r="P640" s="98"/>
      <c r="Q640" s="98"/>
      <c r="R640" s="98"/>
      <c r="S640" s="98"/>
      <c r="T640" s="98"/>
      <c r="U640" s="98"/>
      <c r="V640" s="98"/>
      <c r="W640" s="98"/>
      <c r="X640" s="98"/>
      <c r="Y640" s="98"/>
      <c r="Z640" s="98"/>
      <c r="AA640" s="98"/>
      <c r="AB640" s="98"/>
      <c r="AC640" s="98"/>
      <c r="AD640" s="98"/>
    </row>
    <row r="641" spans="1:30" ht="12.75" customHeight="1">
      <c r="A641" s="125" t="s">
        <v>498</v>
      </c>
      <c r="B641" s="155">
        <v>44566</v>
      </c>
      <c r="C641" s="489">
        <v>15154</v>
      </c>
      <c r="D641" s="489">
        <f>C641+C640</f>
        <v>-164</v>
      </c>
      <c r="E641" s="490">
        <f>-D641/C640</f>
        <v>-1.070635853244549E-2</v>
      </c>
      <c r="F641" s="383">
        <f>B641-B640</f>
        <v>57</v>
      </c>
      <c r="G641" s="490">
        <f>(C641/-C640)^(1/((B641-B640)/365))-1</f>
        <v>-6.6606030407140415E-2</v>
      </c>
      <c r="H641" s="98"/>
      <c r="K641" s="98"/>
      <c r="L641" s="98"/>
      <c r="M641" s="98"/>
      <c r="N641" s="98"/>
      <c r="O641" s="98"/>
      <c r="P641" s="98"/>
      <c r="Q641" s="98"/>
      <c r="R641" s="98"/>
      <c r="S641" s="98"/>
      <c r="T641" s="98"/>
      <c r="U641" s="98"/>
      <c r="V641" s="98"/>
      <c r="W641" s="98"/>
      <c r="X641" s="98"/>
      <c r="Y641" s="98"/>
      <c r="Z641" s="98"/>
      <c r="AA641" s="98"/>
      <c r="AB641" s="98"/>
      <c r="AC641" s="98"/>
      <c r="AD641" s="98"/>
    </row>
    <row r="642" spans="1:30" ht="12.75" customHeight="1">
      <c r="A642" s="140" t="s">
        <v>498</v>
      </c>
      <c r="B642" s="154">
        <v>44511</v>
      </c>
      <c r="C642" s="395">
        <v>-7469</v>
      </c>
      <c r="D642" s="395"/>
      <c r="E642" s="487"/>
      <c r="F642" s="491"/>
      <c r="G642" s="488"/>
      <c r="H642" s="98"/>
      <c r="K642" s="98"/>
      <c r="L642" s="98"/>
      <c r="M642" s="98"/>
      <c r="N642" s="98"/>
      <c r="O642" s="98"/>
      <c r="P642" s="98"/>
      <c r="Q642" s="98"/>
      <c r="R642" s="98"/>
      <c r="S642" s="98"/>
      <c r="T642" s="98"/>
      <c r="U642" s="98"/>
      <c r="V642" s="98"/>
      <c r="W642" s="98"/>
      <c r="X642" s="98"/>
      <c r="Y642" s="98"/>
      <c r="Z642" s="98"/>
      <c r="AA642" s="98"/>
      <c r="AB642" s="98"/>
      <c r="AC642" s="98"/>
      <c r="AD642" s="98"/>
    </row>
    <row r="643" spans="1:30" ht="12.75" customHeight="1">
      <c r="A643" s="125" t="s">
        <v>498</v>
      </c>
      <c r="B643" s="155">
        <v>44566</v>
      </c>
      <c r="C643" s="489">
        <v>7520</v>
      </c>
      <c r="D643" s="489">
        <f>C643+C642</f>
        <v>51</v>
      </c>
      <c r="E643" s="490">
        <f>-D643/C642</f>
        <v>6.8282233230686842E-3</v>
      </c>
      <c r="F643" s="383">
        <f>B643-B642</f>
        <v>55</v>
      </c>
      <c r="G643" s="490">
        <f>(C643/-C642)^(1/((B643-B642)/365))-1</f>
        <v>4.6195828460785959E-2</v>
      </c>
      <c r="H643" s="98"/>
      <c r="K643" s="98"/>
      <c r="L643" s="98"/>
      <c r="M643" s="98"/>
      <c r="N643" s="98"/>
      <c r="O643" s="98"/>
      <c r="P643" s="98"/>
      <c r="Q643" s="98"/>
      <c r="R643" s="98"/>
      <c r="S643" s="98"/>
      <c r="T643" s="98"/>
      <c r="U643" s="98"/>
      <c r="V643" s="98"/>
      <c r="W643" s="98"/>
      <c r="X643" s="98"/>
      <c r="Y643" s="98"/>
      <c r="Z643" s="98"/>
      <c r="AA643" s="98"/>
      <c r="AB643" s="98"/>
      <c r="AC643" s="98"/>
      <c r="AD643" s="98"/>
    </row>
    <row r="644" spans="1:30" ht="12.75" customHeight="1">
      <c r="A644" s="140" t="s">
        <v>498</v>
      </c>
      <c r="B644" s="154">
        <v>44582</v>
      </c>
      <c r="C644" s="395">
        <v>-14818</v>
      </c>
      <c r="D644" s="395"/>
      <c r="E644" s="497"/>
      <c r="F644" s="498"/>
      <c r="G644" s="488"/>
      <c r="H644" s="98"/>
      <c r="K644" s="98"/>
      <c r="L644" s="98"/>
      <c r="M644" s="98"/>
      <c r="N644" s="98"/>
      <c r="O644" s="98"/>
      <c r="P644" s="98"/>
      <c r="Q644" s="98"/>
      <c r="R644" s="98"/>
      <c r="S644" s="98"/>
      <c r="T644" s="98"/>
      <c r="U644" s="98"/>
      <c r="V644" s="98"/>
      <c r="W644" s="98"/>
      <c r="X644" s="98"/>
      <c r="Y644" s="98"/>
      <c r="Z644" s="98"/>
      <c r="AA644" s="98"/>
      <c r="AB644" s="98"/>
      <c r="AC644" s="98"/>
      <c r="AD644" s="98"/>
    </row>
    <row r="645" spans="1:30" ht="12.75" customHeight="1">
      <c r="A645" s="125" t="s">
        <v>498</v>
      </c>
      <c r="B645" s="155">
        <v>44824</v>
      </c>
      <c r="C645" s="489">
        <v>15205</v>
      </c>
      <c r="D645" s="489">
        <f>C645+C644</f>
        <v>387</v>
      </c>
      <c r="E645" s="490">
        <f>IFERROR(-D645/C644,0)</f>
        <v>2.6116884869753002E-2</v>
      </c>
      <c r="F645" s="383">
        <f>B645-B644</f>
        <v>242</v>
      </c>
      <c r="G645" s="490">
        <f>(C645/-C644)^(1/((B645-B644)/365))-1</f>
        <v>3.9651505672626541E-2</v>
      </c>
      <c r="H645" s="98"/>
      <c r="K645" s="98"/>
      <c r="L645" s="98"/>
      <c r="M645" s="98"/>
      <c r="N645" s="98"/>
      <c r="O645" s="98"/>
      <c r="P645" s="98"/>
      <c r="Q645" s="98"/>
      <c r="R645" s="98"/>
      <c r="S645" s="98"/>
      <c r="T645" s="98"/>
      <c r="U645" s="98"/>
      <c r="V645" s="98"/>
      <c r="W645" s="98"/>
      <c r="X645" s="98"/>
      <c r="Y645" s="98"/>
      <c r="Z645" s="98"/>
      <c r="AA645" s="98"/>
      <c r="AB645" s="98"/>
      <c r="AC645" s="98"/>
      <c r="AD645" s="98"/>
    </row>
    <row r="646" spans="1:30" ht="12.75" customHeight="1">
      <c r="A646" s="140" t="s">
        <v>498</v>
      </c>
      <c r="B646" s="154">
        <v>44580</v>
      </c>
      <c r="C646" s="395">
        <v>-7584</v>
      </c>
      <c r="D646" s="395"/>
      <c r="E646" s="497"/>
      <c r="F646" s="498"/>
      <c r="G646" s="488"/>
      <c r="H646" s="98"/>
      <c r="K646" s="98"/>
      <c r="L646" s="98"/>
      <c r="M646" s="98"/>
      <c r="N646" s="98"/>
      <c r="O646" s="98"/>
      <c r="P646" s="98"/>
      <c r="Q646" s="98"/>
      <c r="R646" s="98"/>
      <c r="S646" s="98"/>
      <c r="T646" s="98"/>
      <c r="U646" s="98"/>
      <c r="V646" s="98"/>
      <c r="W646" s="98"/>
      <c r="X646" s="98"/>
      <c r="Y646" s="98"/>
      <c r="Z646" s="98"/>
      <c r="AA646" s="98"/>
      <c r="AB646" s="98"/>
      <c r="AC646" s="98"/>
      <c r="AD646" s="98"/>
    </row>
    <row r="647" spans="1:30" ht="12.75" customHeight="1">
      <c r="A647" s="125" t="s">
        <v>498</v>
      </c>
      <c r="B647" s="155">
        <v>44824</v>
      </c>
      <c r="C647" s="489">
        <v>7647</v>
      </c>
      <c r="D647" s="489">
        <f>C647+C646</f>
        <v>63</v>
      </c>
      <c r="E647" s="490">
        <f>IFERROR(-D647/C646,0)</f>
        <v>8.3069620253164549E-3</v>
      </c>
      <c r="F647" s="383">
        <f>B647-B646</f>
        <v>244</v>
      </c>
      <c r="G647" s="490">
        <f>(C647/-C646)^(1/((B647-B646)/365))-1</f>
        <v>1.245195737277438E-2</v>
      </c>
      <c r="H647" s="98"/>
      <c r="K647" s="98"/>
      <c r="L647" s="98"/>
      <c r="M647" s="98"/>
      <c r="N647" s="98"/>
      <c r="O647" s="98"/>
      <c r="P647" s="98"/>
      <c r="Q647" s="98"/>
      <c r="R647" s="98"/>
      <c r="S647" s="98"/>
      <c r="T647" s="98"/>
      <c r="U647" s="98"/>
      <c r="V647" s="98"/>
      <c r="W647" s="98"/>
      <c r="X647" s="98"/>
      <c r="Y647" s="98"/>
      <c r="Z647" s="98"/>
      <c r="AA647" s="98"/>
      <c r="AB647" s="98"/>
      <c r="AC647" s="98"/>
      <c r="AD647" s="98"/>
    </row>
    <row r="648" spans="1:30" ht="12.75" customHeight="1">
      <c r="A648" s="140" t="s">
        <v>637</v>
      </c>
      <c r="B648" s="154">
        <v>44806</v>
      </c>
      <c r="C648" s="395">
        <v>-3304</v>
      </c>
      <c r="D648" s="395"/>
      <c r="E648" s="497"/>
      <c r="F648" s="498"/>
      <c r="G648" s="488"/>
      <c r="H648" s="98"/>
      <c r="K648" s="98"/>
      <c r="L648" s="98"/>
      <c r="M648" s="98"/>
      <c r="N648" s="98"/>
      <c r="O648" s="98"/>
      <c r="P648" s="98"/>
      <c r="Q648" s="98"/>
      <c r="R648" s="98"/>
      <c r="S648" s="98"/>
      <c r="T648" s="98"/>
      <c r="U648" s="98"/>
      <c r="V648" s="98"/>
      <c r="W648" s="98"/>
      <c r="X648" s="98"/>
      <c r="Y648" s="98"/>
      <c r="Z648" s="98"/>
      <c r="AA648" s="98"/>
      <c r="AB648" s="98"/>
      <c r="AC648" s="98"/>
      <c r="AD648" s="98"/>
    </row>
    <row r="649" spans="1:30" ht="12.75" customHeight="1">
      <c r="A649" s="125" t="s">
        <v>637</v>
      </c>
      <c r="B649" s="155">
        <v>44859</v>
      </c>
      <c r="C649" s="489">
        <v>3699</v>
      </c>
      <c r="D649" s="489">
        <f>C649+C648</f>
        <v>395</v>
      </c>
      <c r="E649" s="490">
        <f>IFERROR(-D649/C648,0)</f>
        <v>0.11955205811138014</v>
      </c>
      <c r="F649" s="383">
        <f>B649-B648</f>
        <v>53</v>
      </c>
      <c r="G649" s="490">
        <f>(C649/-C648)^(1/((B649-B648)/365))-1</f>
        <v>1.1764959561647923</v>
      </c>
      <c r="H649" s="98"/>
      <c r="K649" s="98"/>
      <c r="L649" s="98"/>
      <c r="M649" s="98"/>
      <c r="N649" s="98"/>
      <c r="O649" s="98"/>
      <c r="P649" s="98"/>
      <c r="Q649" s="98"/>
      <c r="R649" s="98"/>
      <c r="S649" s="98"/>
      <c r="T649" s="98"/>
      <c r="U649" s="98"/>
      <c r="V649" s="98"/>
      <c r="W649" s="98"/>
      <c r="X649" s="98"/>
      <c r="Y649" s="98"/>
      <c r="Z649" s="98"/>
      <c r="AA649" s="98"/>
      <c r="AB649" s="98"/>
      <c r="AC649" s="98"/>
      <c r="AD649" s="98"/>
    </row>
    <row r="650" spans="1:30" ht="12.75" customHeight="1">
      <c r="A650" s="139" t="s">
        <v>488</v>
      </c>
      <c r="B650" s="492">
        <v>44188</v>
      </c>
      <c r="C650" s="493">
        <v>-14400</v>
      </c>
      <c r="D650" s="395"/>
      <c r="E650" s="497"/>
      <c r="F650" s="498"/>
      <c r="G650" s="488"/>
      <c r="H650" s="98"/>
      <c r="K650" s="98"/>
      <c r="L650" s="98"/>
      <c r="M650" s="98"/>
      <c r="N650" s="98"/>
      <c r="O650" s="98"/>
      <c r="P650" s="98"/>
      <c r="Q650" s="98"/>
      <c r="R650" s="98"/>
      <c r="S650" s="98"/>
      <c r="T650" s="98"/>
      <c r="U650" s="98"/>
      <c r="V650" s="98"/>
      <c r="W650" s="98"/>
      <c r="X650" s="98"/>
      <c r="Y650" s="98"/>
      <c r="Z650" s="98"/>
      <c r="AA650" s="98"/>
      <c r="AB650" s="98"/>
      <c r="AC650" s="98"/>
      <c r="AD650" s="98"/>
    </row>
    <row r="651" spans="1:30" ht="12.75" customHeight="1">
      <c r="A651" s="125" t="s">
        <v>488</v>
      </c>
      <c r="B651" s="495">
        <v>44229</v>
      </c>
      <c r="C651" s="496">
        <v>19480.68</v>
      </c>
      <c r="D651" s="489">
        <f>C651+C650</f>
        <v>5080.68</v>
      </c>
      <c r="E651" s="490">
        <f>-D651/C650</f>
        <v>0.352825</v>
      </c>
      <c r="F651" s="383">
        <f>B651-B650</f>
        <v>41</v>
      </c>
      <c r="G651" s="490">
        <f>(C651/-C650)^(1/((B651-B650)/365))-1</f>
        <v>13.735691566718142</v>
      </c>
      <c r="H651" s="98"/>
      <c r="K651" s="98"/>
      <c r="L651" s="98"/>
      <c r="M651" s="98"/>
      <c r="N651" s="98"/>
      <c r="O651" s="98"/>
      <c r="P651" s="98"/>
      <c r="Q651" s="98"/>
      <c r="R651" s="98"/>
      <c r="S651" s="98"/>
      <c r="T651" s="98"/>
      <c r="U651" s="98"/>
      <c r="V651" s="98"/>
      <c r="W651" s="98"/>
      <c r="X651" s="98"/>
      <c r="Y651" s="98"/>
      <c r="Z651" s="98"/>
      <c r="AA651" s="98"/>
      <c r="AB651" s="98"/>
      <c r="AC651" s="98"/>
      <c r="AD651" s="98"/>
    </row>
    <row r="652" spans="1:30" ht="12.75" customHeight="1">
      <c r="A652" s="138" t="s">
        <v>494</v>
      </c>
      <c r="B652" s="492">
        <v>44257</v>
      </c>
      <c r="C652" s="493">
        <v>-15002.42</v>
      </c>
      <c r="D652" s="395"/>
      <c r="E652" s="497"/>
      <c r="F652" s="498"/>
      <c r="G652" s="488"/>
      <c r="H652" s="98"/>
      <c r="K652" s="98"/>
      <c r="L652" s="98"/>
      <c r="M652" s="98"/>
      <c r="N652" s="98"/>
      <c r="O652" s="98"/>
      <c r="P652" s="98"/>
      <c r="Q652" s="98"/>
      <c r="R652" s="98"/>
      <c r="S652" s="98"/>
      <c r="T652" s="98"/>
      <c r="U652" s="98"/>
      <c r="V652" s="98"/>
      <c r="W652" s="98"/>
      <c r="X652" s="98"/>
      <c r="Y652" s="98"/>
      <c r="Z652" s="98"/>
      <c r="AA652" s="98"/>
      <c r="AB652" s="98"/>
      <c r="AC652" s="98"/>
      <c r="AD652" s="98"/>
    </row>
    <row r="653" spans="1:30" ht="12.75" customHeight="1">
      <c r="A653" s="125" t="s">
        <v>494</v>
      </c>
      <c r="B653" s="495">
        <v>44334</v>
      </c>
      <c r="C653" s="496">
        <v>15044</v>
      </c>
      <c r="D653" s="489">
        <f>C653+C652</f>
        <v>41.579999999999927</v>
      </c>
      <c r="E653" s="490">
        <f>-D653/C652</f>
        <v>2.7715528561392047E-3</v>
      </c>
      <c r="F653" s="383">
        <f>B653-B652</f>
        <v>77</v>
      </c>
      <c r="G653" s="490">
        <f>(C653/-C652)^(1/((B653-B652)/365))-1</f>
        <v>1.3206148806618412E-2</v>
      </c>
      <c r="H653" s="98"/>
      <c r="K653" s="98"/>
      <c r="L653" s="98"/>
      <c r="M653" s="98"/>
      <c r="N653" s="98"/>
      <c r="O653" s="98"/>
      <c r="P653" s="98"/>
      <c r="Q653" s="98"/>
      <c r="R653" s="98"/>
      <c r="S653" s="98"/>
      <c r="T653" s="98"/>
      <c r="U653" s="98"/>
      <c r="V653" s="98"/>
      <c r="W653" s="98"/>
      <c r="X653" s="98"/>
      <c r="Y653" s="98"/>
      <c r="Z653" s="98"/>
      <c r="AA653" s="98"/>
      <c r="AB653" s="98"/>
      <c r="AC653" s="98"/>
      <c r="AD653" s="98"/>
    </row>
    <row r="654" spans="1:30" ht="12.75" customHeight="1">
      <c r="A654" s="140" t="s">
        <v>471</v>
      </c>
      <c r="B654" s="154">
        <v>44650</v>
      </c>
      <c r="C654" s="395">
        <v>-5006</v>
      </c>
      <c r="D654" s="395"/>
      <c r="E654" s="497"/>
      <c r="F654" s="498"/>
      <c r="G654" s="488"/>
      <c r="H654" s="98"/>
      <c r="K654" s="98"/>
      <c r="L654" s="98"/>
      <c r="M654" s="98"/>
      <c r="N654" s="98"/>
      <c r="O654" s="98"/>
      <c r="P654" s="98"/>
      <c r="Q654" s="98"/>
      <c r="R654" s="98"/>
      <c r="S654" s="98"/>
      <c r="T654" s="98"/>
      <c r="U654" s="98"/>
      <c r="V654" s="98"/>
      <c r="W654" s="98"/>
      <c r="X654" s="98"/>
      <c r="Y654" s="98"/>
      <c r="Z654" s="98"/>
      <c r="AA654" s="98"/>
      <c r="AB654" s="98"/>
      <c r="AC654" s="98"/>
      <c r="AD654" s="98"/>
    </row>
    <row r="655" spans="1:30" ht="12.75" customHeight="1">
      <c r="A655" s="125" t="s">
        <v>471</v>
      </c>
      <c r="B655" s="155">
        <v>44652</v>
      </c>
      <c r="C655" s="489">
        <v>5220</v>
      </c>
      <c r="D655" s="489">
        <f>C655+C654</f>
        <v>214</v>
      </c>
      <c r="E655" s="490">
        <f>IFERROR(-D655/C654,0)</f>
        <v>4.2748701558130243E-2</v>
      </c>
      <c r="F655" s="383">
        <f>B655-B654</f>
        <v>2</v>
      </c>
      <c r="G655" s="490">
        <f>(C655/-C654)^(1/((B655-B654)/365))-1</f>
        <v>2077.6795128591602</v>
      </c>
      <c r="H655" s="98"/>
      <c r="K655" s="98"/>
      <c r="L655" s="98"/>
      <c r="M655" s="98"/>
      <c r="N655" s="98"/>
      <c r="O655" s="98"/>
      <c r="P655" s="98"/>
      <c r="Q655" s="98"/>
      <c r="R655" s="98"/>
      <c r="S655" s="98"/>
      <c r="T655" s="98"/>
      <c r="U655" s="98"/>
      <c r="V655" s="98"/>
      <c r="W655" s="98"/>
      <c r="X655" s="98"/>
      <c r="Y655" s="98"/>
      <c r="Z655" s="98"/>
      <c r="AA655" s="98"/>
      <c r="AB655" s="98"/>
      <c r="AC655" s="98"/>
      <c r="AD655" s="98"/>
    </row>
    <row r="656" spans="1:30" ht="12.75" customHeight="1">
      <c r="A656" s="138" t="s">
        <v>508</v>
      </c>
      <c r="B656" s="492">
        <v>44321</v>
      </c>
      <c r="C656" s="493">
        <v>-9511</v>
      </c>
      <c r="D656" s="395"/>
      <c r="E656" s="497"/>
      <c r="F656" s="498"/>
      <c r="G656" s="488"/>
      <c r="H656" s="98"/>
      <c r="K656" s="98"/>
      <c r="L656" s="98"/>
      <c r="M656" s="98"/>
      <c r="N656" s="98"/>
      <c r="O656" s="98"/>
      <c r="P656" s="98"/>
      <c r="Q656" s="98"/>
      <c r="R656" s="98"/>
      <c r="S656" s="98"/>
      <c r="T656" s="98"/>
      <c r="U656" s="98"/>
      <c r="V656" s="98"/>
      <c r="W656" s="98"/>
      <c r="X656" s="98"/>
      <c r="Y656" s="98"/>
      <c r="Z656" s="98"/>
      <c r="AA656" s="98"/>
      <c r="AB656" s="98"/>
      <c r="AC656" s="98"/>
      <c r="AD656" s="98"/>
    </row>
    <row r="657" spans="1:30" ht="12.75" customHeight="1">
      <c r="A657" s="125" t="s">
        <v>508</v>
      </c>
      <c r="B657" s="495">
        <v>44330</v>
      </c>
      <c r="C657" s="496">
        <v>9765</v>
      </c>
      <c r="D657" s="489">
        <f>C657+C656</f>
        <v>254</v>
      </c>
      <c r="E657" s="490">
        <f>-D657/C656</f>
        <v>2.6705919461675953E-2</v>
      </c>
      <c r="F657" s="383">
        <f>B657-B656</f>
        <v>9</v>
      </c>
      <c r="G657" s="490">
        <f>(C657/-C656)^(1/((B657-B656)/365))-1</f>
        <v>1.9120683452329317</v>
      </c>
      <c r="H657" s="98"/>
      <c r="K657" s="98"/>
      <c r="L657" s="98"/>
      <c r="M657" s="98"/>
      <c r="N657" s="98"/>
      <c r="O657" s="98"/>
      <c r="P657" s="98"/>
      <c r="Q657" s="98"/>
      <c r="R657" s="98"/>
      <c r="S657" s="98"/>
      <c r="T657" s="98"/>
      <c r="U657" s="98"/>
      <c r="V657" s="98"/>
      <c r="W657" s="98"/>
      <c r="X657" s="98"/>
      <c r="Y657" s="98"/>
      <c r="Z657" s="98"/>
      <c r="AA657" s="98"/>
      <c r="AB657" s="98"/>
      <c r="AC657" s="98"/>
      <c r="AD657" s="98"/>
    </row>
    <row r="658" spans="1:30" ht="12.75" customHeight="1">
      <c r="A658" s="138" t="s">
        <v>508</v>
      </c>
      <c r="B658" s="492">
        <v>44356</v>
      </c>
      <c r="C658" s="493">
        <v>-20524</v>
      </c>
      <c r="D658" s="395"/>
      <c r="E658" s="497"/>
      <c r="F658" s="498"/>
      <c r="G658" s="488"/>
      <c r="H658" s="98"/>
      <c r="K658" s="98"/>
      <c r="L658" s="98"/>
      <c r="M658" s="98"/>
      <c r="N658" s="98"/>
      <c r="O658" s="98"/>
      <c r="P658" s="98"/>
      <c r="Q658" s="98"/>
      <c r="R658" s="98"/>
      <c r="S658" s="98"/>
      <c r="T658" s="98"/>
      <c r="U658" s="98"/>
      <c r="V658" s="98"/>
      <c r="W658" s="98"/>
      <c r="X658" s="98"/>
      <c r="Y658" s="98"/>
      <c r="Z658" s="98"/>
      <c r="AA658" s="98"/>
      <c r="AB658" s="98"/>
      <c r="AC658" s="98"/>
      <c r="AD658" s="98"/>
    </row>
    <row r="659" spans="1:30" ht="12.75" customHeight="1">
      <c r="A659" s="125" t="s">
        <v>508</v>
      </c>
      <c r="B659" s="495">
        <v>44358</v>
      </c>
      <c r="C659" s="496">
        <v>20828</v>
      </c>
      <c r="D659" s="489">
        <f>C659+C658</f>
        <v>304</v>
      </c>
      <c r="E659" s="490">
        <f>-D659/C658</f>
        <v>1.4811927499512765E-2</v>
      </c>
      <c r="F659" s="383">
        <f>B659-B658</f>
        <v>2</v>
      </c>
      <c r="G659" s="490">
        <f>(C659/-C658)^(1/((B659-B658)/365))-1</f>
        <v>13.634074148597309</v>
      </c>
      <c r="H659" s="98"/>
      <c r="K659" s="98"/>
      <c r="L659" s="98"/>
      <c r="M659" s="98"/>
      <c r="N659" s="98"/>
      <c r="O659" s="98"/>
      <c r="P659" s="98"/>
      <c r="Q659" s="98"/>
      <c r="R659" s="98"/>
      <c r="S659" s="98"/>
      <c r="T659" s="98"/>
      <c r="U659" s="98"/>
      <c r="V659" s="98"/>
      <c r="W659" s="98"/>
      <c r="X659" s="98"/>
      <c r="Y659" s="98"/>
      <c r="Z659" s="98"/>
      <c r="AA659" s="98"/>
      <c r="AB659" s="98"/>
      <c r="AC659" s="98"/>
      <c r="AD659" s="98"/>
    </row>
    <row r="660" spans="1:30" ht="12.75" customHeight="1">
      <c r="A660" s="139" t="s">
        <v>527</v>
      </c>
      <c r="B660" s="492">
        <v>44343</v>
      </c>
      <c r="C660" s="493">
        <v>-23778</v>
      </c>
      <c r="D660" s="494"/>
      <c r="E660" s="497"/>
      <c r="F660" s="498"/>
      <c r="G660" s="488"/>
      <c r="H660" s="98"/>
      <c r="M660" s="98"/>
      <c r="O660" s="98"/>
      <c r="P660" s="98"/>
      <c r="Q660" s="98"/>
      <c r="R660" s="98"/>
      <c r="S660" s="98"/>
      <c r="T660" s="98"/>
      <c r="U660" s="98"/>
      <c r="V660" s="98"/>
      <c r="W660" s="98"/>
      <c r="X660" s="98"/>
      <c r="Y660" s="98"/>
      <c r="Z660" s="98"/>
      <c r="AA660" s="98"/>
      <c r="AB660" s="98"/>
      <c r="AC660" s="98"/>
      <c r="AD660" s="98"/>
    </row>
    <row r="661" spans="1:30" ht="12.75" customHeight="1">
      <c r="A661" s="125" t="s">
        <v>527</v>
      </c>
      <c r="B661" s="495">
        <v>44351</v>
      </c>
      <c r="C661" s="496">
        <v>24075</v>
      </c>
      <c r="D661" s="489">
        <f>C661+C660</f>
        <v>297</v>
      </c>
      <c r="E661" s="490">
        <f>-D661/C660</f>
        <v>1.2490537471612415E-2</v>
      </c>
      <c r="F661" s="383">
        <f>B661-B660</f>
        <v>8</v>
      </c>
      <c r="G661" s="490">
        <f>(C661/-C660)^(1/((B661-B660)/365))-1</f>
        <v>0.76182653531087752</v>
      </c>
      <c r="H661" s="98"/>
      <c r="M661" s="98"/>
      <c r="O661" s="98"/>
      <c r="P661" s="98"/>
      <c r="Q661" s="98"/>
      <c r="R661" s="98"/>
      <c r="S661" s="98"/>
      <c r="T661" s="98"/>
      <c r="U661" s="98"/>
      <c r="V661" s="98"/>
      <c r="W661" s="98"/>
      <c r="X661" s="98"/>
      <c r="Y661" s="98"/>
      <c r="Z661" s="98"/>
      <c r="AA661" s="98"/>
      <c r="AB661" s="98"/>
      <c r="AC661" s="98"/>
      <c r="AD661" s="98"/>
    </row>
    <row r="662" spans="1:30" ht="12.75" customHeight="1">
      <c r="A662" s="140" t="s">
        <v>527</v>
      </c>
      <c r="B662" s="154">
        <v>44616</v>
      </c>
      <c r="C662" s="395">
        <v>-3454</v>
      </c>
      <c r="D662" s="494"/>
      <c r="E662" s="497"/>
      <c r="F662" s="498"/>
      <c r="G662" s="488"/>
      <c r="H662" s="98"/>
      <c r="K662" s="98"/>
      <c r="L662" s="98"/>
      <c r="M662" s="98"/>
      <c r="N662" s="98"/>
      <c r="O662" s="98"/>
      <c r="P662" s="98"/>
      <c r="Q662" s="98"/>
      <c r="R662" s="98"/>
      <c r="S662" s="98"/>
      <c r="T662" s="98"/>
      <c r="U662" s="98"/>
      <c r="V662" s="98"/>
      <c r="W662" s="98"/>
      <c r="X662" s="98"/>
      <c r="Y662" s="98"/>
      <c r="Z662" s="98"/>
      <c r="AA662" s="98"/>
      <c r="AB662" s="98"/>
      <c r="AC662" s="98"/>
      <c r="AD662" s="98"/>
    </row>
    <row r="663" spans="1:30" ht="12.75" customHeight="1">
      <c r="A663" s="125" t="s">
        <v>527</v>
      </c>
      <c r="B663" s="155">
        <v>44620</v>
      </c>
      <c r="C663" s="489">
        <v>3480</v>
      </c>
      <c r="D663" s="489">
        <f>C663+C662</f>
        <v>26</v>
      </c>
      <c r="E663" s="490">
        <f>IFERROR(-D663/C662,0)</f>
        <v>7.5275043427909666E-3</v>
      </c>
      <c r="F663" s="383">
        <f>B663-B662</f>
        <v>4</v>
      </c>
      <c r="G663" s="490">
        <f>(C663/-C662)^(1/((B663-B662)/365))-1</f>
        <v>0.98240827902574557</v>
      </c>
      <c r="H663" s="98"/>
      <c r="K663" s="98"/>
      <c r="L663" s="98"/>
      <c r="M663" s="98"/>
      <c r="N663" s="98"/>
      <c r="O663" s="98"/>
      <c r="P663" s="98"/>
      <c r="Q663" s="98"/>
      <c r="R663" s="98"/>
      <c r="S663" s="98"/>
      <c r="T663" s="98"/>
      <c r="U663" s="98"/>
      <c r="V663" s="98"/>
      <c r="W663" s="98"/>
      <c r="X663" s="98"/>
      <c r="Y663" s="98"/>
      <c r="Z663" s="98"/>
      <c r="AA663" s="98"/>
      <c r="AB663" s="98"/>
      <c r="AC663" s="98"/>
      <c r="AD663" s="98"/>
    </row>
    <row r="664" spans="1:30" ht="12.75" customHeight="1">
      <c r="A664" s="140" t="s">
        <v>527</v>
      </c>
      <c r="B664" s="154">
        <v>44593</v>
      </c>
      <c r="C664" s="395">
        <v>-15388</v>
      </c>
      <c r="D664" s="494"/>
      <c r="E664" s="497"/>
      <c r="F664" s="498"/>
      <c r="G664" s="488"/>
      <c r="H664" s="98"/>
      <c r="K664" s="98"/>
      <c r="L664" s="98"/>
      <c r="M664" s="98"/>
      <c r="N664" s="98"/>
      <c r="O664" s="98"/>
      <c r="P664" s="98"/>
      <c r="Q664" s="98"/>
      <c r="R664" s="98"/>
      <c r="S664" s="98"/>
      <c r="T664" s="98"/>
      <c r="U664" s="98"/>
      <c r="V664" s="98"/>
      <c r="W664" s="98"/>
      <c r="X664" s="98"/>
      <c r="Y664" s="98"/>
      <c r="Z664" s="98"/>
      <c r="AA664" s="98"/>
      <c r="AB664" s="98"/>
      <c r="AC664" s="98"/>
      <c r="AD664" s="98"/>
    </row>
    <row r="665" spans="1:30" ht="12.75" customHeight="1">
      <c r="A665" s="125" t="s">
        <v>527</v>
      </c>
      <c r="B665" s="155">
        <v>44652</v>
      </c>
      <c r="C665" s="489">
        <v>14865</v>
      </c>
      <c r="D665" s="489">
        <f>C665+C664</f>
        <v>-523</v>
      </c>
      <c r="E665" s="490">
        <f>IFERROR(-D665/C664,0)</f>
        <v>-3.3987522744996099E-2</v>
      </c>
      <c r="F665" s="383">
        <f>B665-B664</f>
        <v>59</v>
      </c>
      <c r="G665" s="490">
        <f>(C665/-C664)^(1/((B665-B664)/365))-1</f>
        <v>-0.19258542174631021</v>
      </c>
      <c r="H665" s="98"/>
      <c r="K665" s="98"/>
      <c r="L665" s="98"/>
      <c r="M665" s="98"/>
      <c r="N665" s="98"/>
      <c r="O665" s="98"/>
      <c r="P665" s="98"/>
      <c r="Q665" s="98"/>
      <c r="R665" s="98"/>
      <c r="S665" s="98"/>
      <c r="T665" s="98"/>
      <c r="U665" s="98"/>
      <c r="V665" s="98"/>
      <c r="W665" s="98"/>
      <c r="X665" s="98"/>
      <c r="Y665" s="98"/>
      <c r="Z665" s="98"/>
      <c r="AA665" s="98"/>
      <c r="AB665" s="98"/>
      <c r="AC665" s="98"/>
      <c r="AD665" s="98"/>
    </row>
    <row r="666" spans="1:30" ht="12.75" customHeight="1">
      <c r="A666" s="140" t="s">
        <v>527</v>
      </c>
      <c r="B666" s="154">
        <v>44599</v>
      </c>
      <c r="C666" s="395">
        <v>-7424</v>
      </c>
      <c r="D666" s="494"/>
      <c r="E666" s="497"/>
      <c r="F666" s="498"/>
      <c r="G666" s="488"/>
      <c r="H666" s="98"/>
      <c r="K666" s="98"/>
      <c r="L666" s="98"/>
      <c r="M666" s="98"/>
      <c r="N666" s="98"/>
      <c r="O666" s="98"/>
      <c r="P666" s="98"/>
      <c r="Q666" s="98"/>
      <c r="R666" s="98"/>
      <c r="S666" s="98"/>
      <c r="T666" s="98"/>
      <c r="U666" s="98"/>
      <c r="V666" s="98"/>
      <c r="W666" s="98"/>
      <c r="X666" s="98"/>
      <c r="Y666" s="98"/>
      <c r="Z666" s="98"/>
      <c r="AA666" s="98"/>
      <c r="AB666" s="98"/>
      <c r="AC666" s="98"/>
      <c r="AD666" s="98"/>
    </row>
    <row r="667" spans="1:30" ht="12.75" customHeight="1">
      <c r="A667" s="125" t="s">
        <v>527</v>
      </c>
      <c r="B667" s="155">
        <v>44652</v>
      </c>
      <c r="C667" s="489">
        <v>7432</v>
      </c>
      <c r="D667" s="489">
        <f>C667+C666</f>
        <v>8</v>
      </c>
      <c r="E667" s="490">
        <f>IFERROR(-D667/C666,0)</f>
        <v>1.0775862068965517E-3</v>
      </c>
      <c r="F667" s="383">
        <f>B667-B666</f>
        <v>53</v>
      </c>
      <c r="G667" s="490">
        <f>(C667/-C666)^(1/((B667-B666)/365))-1</f>
        <v>7.4446919283306379E-3</v>
      </c>
      <c r="H667" s="98"/>
      <c r="K667" s="98"/>
      <c r="L667" s="98"/>
      <c r="M667" s="98"/>
      <c r="N667" s="98"/>
      <c r="O667" s="98"/>
      <c r="P667" s="98"/>
      <c r="Q667" s="98"/>
      <c r="R667" s="98"/>
      <c r="S667" s="98"/>
      <c r="T667" s="98"/>
      <c r="U667" s="98"/>
      <c r="V667" s="98"/>
      <c r="W667" s="98"/>
      <c r="X667" s="98"/>
      <c r="Y667" s="98"/>
      <c r="Z667" s="98"/>
      <c r="AA667" s="98"/>
      <c r="AB667" s="98"/>
      <c r="AC667" s="98"/>
      <c r="AD667" s="98"/>
    </row>
    <row r="668" spans="1:30" ht="12.75" customHeight="1">
      <c r="A668" s="140" t="s">
        <v>527</v>
      </c>
      <c r="B668" s="154">
        <v>44603</v>
      </c>
      <c r="C668" s="395">
        <v>-7424</v>
      </c>
      <c r="D668" s="494"/>
      <c r="E668" s="497"/>
      <c r="F668" s="498"/>
      <c r="G668" s="488"/>
      <c r="H668" s="98"/>
      <c r="K668" s="98"/>
      <c r="L668" s="98"/>
      <c r="M668" s="98"/>
      <c r="N668" s="98"/>
      <c r="O668" s="98"/>
      <c r="P668" s="98"/>
      <c r="Q668" s="98"/>
      <c r="R668" s="98"/>
      <c r="S668" s="98"/>
      <c r="T668" s="98"/>
      <c r="U668" s="98"/>
      <c r="V668" s="98"/>
      <c r="W668" s="98"/>
      <c r="X668" s="98"/>
      <c r="Y668" s="98"/>
      <c r="Z668" s="98"/>
      <c r="AA668" s="98"/>
      <c r="AB668" s="98"/>
      <c r="AC668" s="98"/>
      <c r="AD668" s="98"/>
    </row>
    <row r="669" spans="1:30" ht="12.75" customHeight="1">
      <c r="A669" s="125" t="s">
        <v>527</v>
      </c>
      <c r="B669" s="155">
        <v>44652</v>
      </c>
      <c r="C669" s="489">
        <v>7432</v>
      </c>
      <c r="D669" s="489">
        <f>C669+C668</f>
        <v>8</v>
      </c>
      <c r="E669" s="490">
        <f>IFERROR(-D669/C668,0)</f>
        <v>1.0775862068965517E-3</v>
      </c>
      <c r="F669" s="383">
        <f>B669-B668</f>
        <v>49</v>
      </c>
      <c r="G669" s="490">
        <f>(C669/-C668)^(1/((B669-B668)/365))-1</f>
        <v>8.0548631741368393E-3</v>
      </c>
      <c r="H669" s="98"/>
      <c r="K669" s="98"/>
      <c r="L669" s="98"/>
      <c r="M669" s="98"/>
      <c r="N669" s="98"/>
      <c r="O669" s="98"/>
      <c r="P669" s="98"/>
      <c r="Q669" s="98"/>
      <c r="R669" s="98"/>
      <c r="S669" s="98"/>
      <c r="T669" s="98"/>
      <c r="U669" s="98"/>
      <c r="V669" s="98"/>
      <c r="W669" s="98"/>
      <c r="X669" s="98"/>
      <c r="Y669" s="98"/>
      <c r="Z669" s="98"/>
      <c r="AA669" s="98"/>
      <c r="AB669" s="98"/>
      <c r="AC669" s="98"/>
      <c r="AD669" s="98"/>
    </row>
    <row r="670" spans="1:30" ht="12.75" customHeight="1">
      <c r="A670" s="140" t="s">
        <v>565</v>
      </c>
      <c r="B670" s="154">
        <v>44391</v>
      </c>
      <c r="C670" s="395">
        <v>-3654</v>
      </c>
      <c r="D670" s="494"/>
      <c r="E670" s="497"/>
      <c r="F670" s="498"/>
      <c r="G670" s="488"/>
      <c r="H670" s="98"/>
      <c r="K670" s="98"/>
      <c r="L670" s="98"/>
      <c r="M670" s="98"/>
      <c r="N670" s="98"/>
      <c r="O670" s="98"/>
      <c r="P670" s="98"/>
      <c r="Q670" s="98"/>
      <c r="R670" s="98"/>
      <c r="S670" s="98"/>
      <c r="T670" s="98"/>
      <c r="U670" s="98"/>
      <c r="V670" s="98"/>
      <c r="W670" s="98"/>
      <c r="X670" s="98"/>
      <c r="Y670" s="98"/>
      <c r="Z670" s="98"/>
      <c r="AA670" s="98"/>
      <c r="AB670" s="98"/>
      <c r="AC670" s="98"/>
      <c r="AD670" s="98"/>
    </row>
    <row r="671" spans="1:30" ht="12.75" customHeight="1">
      <c r="A671" s="125" t="s">
        <v>565</v>
      </c>
      <c r="B671" s="155">
        <v>44578</v>
      </c>
      <c r="C671" s="489">
        <v>3476</v>
      </c>
      <c r="D671" s="489">
        <f>C671+C670</f>
        <v>-178</v>
      </c>
      <c r="E671" s="490">
        <f>-D671/C670</f>
        <v>-4.8713738368910783E-2</v>
      </c>
      <c r="F671" s="383">
        <f>B671-B670</f>
        <v>187</v>
      </c>
      <c r="G671" s="490">
        <f>(C671/-C670)^(1/((B671-B670)/365))-1</f>
        <v>-9.2876758234282875E-2</v>
      </c>
      <c r="H671" s="98"/>
      <c r="K671" s="98"/>
      <c r="L671" s="98"/>
      <c r="M671" s="98"/>
      <c r="N671" s="98"/>
      <c r="O671" s="98"/>
      <c r="P671" s="98"/>
      <c r="Q671" s="98"/>
      <c r="R671" s="98"/>
      <c r="S671" s="98"/>
      <c r="T671" s="98"/>
      <c r="U671" s="98"/>
      <c r="V671" s="98"/>
      <c r="W671" s="98"/>
      <c r="X671" s="98"/>
      <c r="Y671" s="98"/>
      <c r="Z671" s="98"/>
      <c r="AA671" s="98"/>
      <c r="AB671" s="98"/>
      <c r="AC671" s="98"/>
      <c r="AD671" s="98"/>
    </row>
    <row r="672" spans="1:30" ht="12.75" customHeight="1">
      <c r="A672" s="138" t="s">
        <v>499</v>
      </c>
      <c r="B672" s="492">
        <v>44299</v>
      </c>
      <c r="C672" s="493">
        <v>-6482</v>
      </c>
      <c r="D672" s="494"/>
      <c r="E672" s="497"/>
      <c r="F672" s="499"/>
      <c r="G672" s="488"/>
      <c r="H672" s="98"/>
      <c r="K672" s="98"/>
      <c r="L672" s="98"/>
      <c r="M672" s="98"/>
      <c r="N672" s="98"/>
      <c r="O672" s="98"/>
      <c r="P672" s="98"/>
      <c r="Q672" s="98"/>
      <c r="R672" s="98"/>
      <c r="S672" s="98"/>
      <c r="T672" s="98"/>
      <c r="U672" s="98"/>
      <c r="V672" s="98"/>
      <c r="W672" s="98"/>
      <c r="X672" s="98"/>
      <c r="Y672" s="98"/>
      <c r="Z672" s="98"/>
      <c r="AA672" s="98"/>
      <c r="AB672" s="98"/>
      <c r="AC672" s="98"/>
      <c r="AD672" s="98"/>
    </row>
    <row r="673" spans="1:30" ht="12.75" customHeight="1">
      <c r="A673" s="125" t="s">
        <v>499</v>
      </c>
      <c r="B673" s="495">
        <v>44335</v>
      </c>
      <c r="C673" s="496">
        <v>6756</v>
      </c>
      <c r="D673" s="489">
        <f>C673+C672</f>
        <v>274</v>
      </c>
      <c r="E673" s="490">
        <f>-D673/C672</f>
        <v>4.2270904041962355E-2</v>
      </c>
      <c r="F673" s="383">
        <f>B673-B672</f>
        <v>36</v>
      </c>
      <c r="G673" s="490">
        <f>(C673/-C672)^(1/((B673-B672)/365))-1</f>
        <v>0.52161033556391145</v>
      </c>
      <c r="H673" s="98"/>
      <c r="K673" s="98"/>
      <c r="L673" s="98"/>
      <c r="M673" s="98"/>
      <c r="N673" s="98"/>
      <c r="O673" s="98"/>
      <c r="P673" s="98"/>
      <c r="Q673" s="98"/>
      <c r="R673" s="98"/>
      <c r="S673" s="98"/>
      <c r="T673" s="98"/>
      <c r="U673" s="98"/>
      <c r="V673" s="98"/>
      <c r="W673" s="98"/>
      <c r="X673" s="98"/>
      <c r="Y673" s="98"/>
      <c r="Z673" s="98"/>
      <c r="AA673" s="98"/>
      <c r="AB673" s="98"/>
      <c r="AC673" s="98"/>
      <c r="AD673" s="98"/>
    </row>
    <row r="674" spans="1:30" ht="12.75" customHeight="1">
      <c r="A674" s="138" t="s">
        <v>520</v>
      </c>
      <c r="B674" s="492">
        <v>44334</v>
      </c>
      <c r="C674" s="493">
        <v>-14467</v>
      </c>
      <c r="D674" s="494"/>
      <c r="E674" s="497"/>
      <c r="F674" s="498"/>
      <c r="G674" s="488"/>
      <c r="H674" s="98"/>
      <c r="K674" s="98"/>
      <c r="L674" s="98"/>
      <c r="M674" s="98"/>
      <c r="N674" s="98"/>
      <c r="O674" s="98"/>
      <c r="P674" s="98"/>
      <c r="Q674" s="98"/>
      <c r="R674" s="98"/>
      <c r="S674" s="98"/>
      <c r="T674" s="98"/>
      <c r="U674" s="98"/>
      <c r="V674" s="98"/>
      <c r="W674" s="98"/>
      <c r="X674" s="98"/>
      <c r="Y674" s="98"/>
      <c r="Z674" s="98"/>
      <c r="AA674" s="98"/>
      <c r="AB674" s="98"/>
      <c r="AC674" s="98"/>
      <c r="AD674" s="98"/>
    </row>
    <row r="675" spans="1:30" ht="12.75" customHeight="1">
      <c r="A675" s="125" t="s">
        <v>520</v>
      </c>
      <c r="B675" s="495">
        <v>44341</v>
      </c>
      <c r="C675" s="496">
        <v>15384</v>
      </c>
      <c r="D675" s="489">
        <f>C675+C674</f>
        <v>917</v>
      </c>
      <c r="E675" s="490">
        <f>-D675/C674</f>
        <v>6.338563627566185E-2</v>
      </c>
      <c r="F675" s="383">
        <f>B675-B674</f>
        <v>7</v>
      </c>
      <c r="G675" s="490">
        <f>(C675/-C674)^(1/((B675-B674)/365))-1</f>
        <v>23.645295960564592</v>
      </c>
      <c r="H675" s="98"/>
      <c r="K675" s="98"/>
      <c r="L675" s="98"/>
      <c r="M675" s="98"/>
      <c r="N675" s="98"/>
      <c r="O675" s="98"/>
      <c r="P675" s="98"/>
      <c r="Q675" s="98"/>
      <c r="R675" s="98"/>
      <c r="S675" s="98"/>
      <c r="T675" s="98"/>
      <c r="U675" s="98"/>
      <c r="V675" s="98"/>
      <c r="W675" s="98"/>
      <c r="X675" s="98"/>
      <c r="Y675" s="98"/>
      <c r="Z675" s="98"/>
      <c r="AA675" s="98"/>
      <c r="AB675" s="98"/>
      <c r="AC675" s="98"/>
      <c r="AD675" s="98"/>
    </row>
    <row r="676" spans="1:30" ht="12.75" customHeight="1">
      <c r="A676" s="140" t="s">
        <v>1231</v>
      </c>
      <c r="B676" s="154">
        <v>44686</v>
      </c>
      <c r="C676" s="395">
        <v>-14892</v>
      </c>
      <c r="D676" s="494"/>
      <c r="E676" s="497"/>
      <c r="F676" s="498"/>
      <c r="G676" s="488"/>
      <c r="H676" s="98"/>
      <c r="K676" s="98"/>
      <c r="L676" s="98"/>
      <c r="M676" s="98"/>
      <c r="N676" s="98"/>
      <c r="O676" s="98"/>
      <c r="P676" s="98"/>
      <c r="Q676" s="98"/>
      <c r="R676" s="98"/>
      <c r="S676" s="98"/>
      <c r="T676" s="98"/>
      <c r="U676" s="98"/>
      <c r="V676" s="98"/>
      <c r="W676" s="98"/>
      <c r="X676" s="98"/>
      <c r="Y676" s="98"/>
      <c r="Z676" s="98"/>
      <c r="AA676" s="98"/>
      <c r="AB676" s="98"/>
      <c r="AC676" s="98"/>
      <c r="AD676" s="98"/>
    </row>
    <row r="677" spans="1:30" ht="12.75" customHeight="1">
      <c r="A677" s="126" t="s">
        <v>1231</v>
      </c>
      <c r="B677" s="155">
        <v>44690</v>
      </c>
      <c r="C677" s="489">
        <v>18596</v>
      </c>
      <c r="D677" s="489">
        <f>C677+C676</f>
        <v>3704</v>
      </c>
      <c r="E677" s="490">
        <f>IFERROR(-D677/C676,0)</f>
        <v>0.24872414719312383</v>
      </c>
      <c r="F677" s="383">
        <f>B677-B676</f>
        <v>4</v>
      </c>
      <c r="G677" s="490">
        <f>(C677/-C676)^(1/((B677-B676)/365))-1</f>
        <v>634700782.28612924</v>
      </c>
      <c r="H677" s="98"/>
      <c r="K677" s="98"/>
      <c r="L677" s="98"/>
      <c r="M677" s="98"/>
      <c r="N677" s="98"/>
      <c r="O677" s="98"/>
      <c r="P677" s="98"/>
      <c r="Q677" s="98"/>
      <c r="R677" s="98"/>
      <c r="S677" s="98"/>
      <c r="T677" s="98"/>
      <c r="U677" s="98"/>
      <c r="V677" s="98"/>
      <c r="W677" s="98"/>
      <c r="X677" s="98"/>
      <c r="Y677" s="98"/>
      <c r="Z677" s="98"/>
      <c r="AA677" s="98"/>
      <c r="AB677" s="98"/>
      <c r="AC677" s="98"/>
      <c r="AD677" s="98"/>
    </row>
    <row r="678" spans="1:30" ht="12.75" customHeight="1">
      <c r="A678" s="139" t="s">
        <v>484</v>
      </c>
      <c r="B678" s="492">
        <v>44103</v>
      </c>
      <c r="C678" s="493">
        <v>-14760</v>
      </c>
      <c r="D678" s="494"/>
      <c r="E678" s="497"/>
      <c r="F678" s="498"/>
      <c r="G678" s="488"/>
      <c r="H678" s="98"/>
      <c r="K678" s="98"/>
      <c r="L678" s="98"/>
      <c r="M678" s="98"/>
      <c r="N678" s="98"/>
      <c r="O678" s="98"/>
      <c r="P678" s="98"/>
      <c r="Q678" s="98"/>
      <c r="R678" s="98"/>
      <c r="S678" s="98"/>
      <c r="T678" s="98"/>
      <c r="U678" s="98"/>
      <c r="V678" s="98"/>
      <c r="W678" s="98"/>
      <c r="X678" s="98"/>
      <c r="Y678" s="98"/>
      <c r="Z678" s="98"/>
      <c r="AA678" s="98"/>
      <c r="AB678" s="98"/>
      <c r="AC678" s="98"/>
      <c r="AD678" s="98"/>
    </row>
    <row r="679" spans="1:30" ht="12.75" customHeight="1">
      <c r="A679" s="125" t="s">
        <v>484</v>
      </c>
      <c r="B679" s="495">
        <v>44148</v>
      </c>
      <c r="C679" s="496">
        <v>15739.42</v>
      </c>
      <c r="D679" s="489">
        <f>C679+C678</f>
        <v>979.42000000000007</v>
      </c>
      <c r="E679" s="490">
        <f>-D679/C678</f>
        <v>6.6356368563685639E-2</v>
      </c>
      <c r="F679" s="383">
        <f>B679-B678</f>
        <v>45</v>
      </c>
      <c r="G679" s="490">
        <f>(C679/-C678)^(1/((B679-B678)/365))-1</f>
        <v>0.68391125269674857</v>
      </c>
      <c r="H679" s="98"/>
      <c r="K679" s="98"/>
      <c r="L679" s="98"/>
      <c r="M679" s="98"/>
      <c r="N679" s="98"/>
      <c r="O679" s="98"/>
      <c r="P679" s="98"/>
      <c r="Q679" s="98"/>
      <c r="R679" s="98"/>
      <c r="S679" s="98"/>
      <c r="T679" s="98"/>
      <c r="U679" s="98"/>
      <c r="V679" s="98"/>
      <c r="W679" s="98"/>
      <c r="X679" s="98"/>
      <c r="Y679" s="98"/>
      <c r="Z679" s="98"/>
      <c r="AA679" s="98"/>
      <c r="AB679" s="98"/>
      <c r="AC679" s="98"/>
      <c r="AD679" s="98"/>
    </row>
    <row r="680" spans="1:30" ht="12.75" customHeight="1">
      <c r="A680" s="140" t="s">
        <v>611</v>
      </c>
      <c r="B680" s="154">
        <v>44649</v>
      </c>
      <c r="C680" s="395">
        <v>-11514</v>
      </c>
      <c r="D680" s="494"/>
      <c r="E680" s="497"/>
      <c r="F680" s="498"/>
      <c r="G680" s="488"/>
      <c r="H680" s="98"/>
      <c r="K680" s="98"/>
      <c r="L680" s="98"/>
      <c r="M680" s="98"/>
      <c r="N680" s="98"/>
      <c r="O680" s="98"/>
      <c r="P680" s="98"/>
      <c r="Q680" s="98"/>
      <c r="R680" s="98"/>
      <c r="S680" s="98"/>
      <c r="T680" s="98"/>
      <c r="U680" s="98"/>
      <c r="V680" s="98"/>
      <c r="W680" s="98"/>
      <c r="X680" s="98"/>
      <c r="Y680" s="98"/>
      <c r="Z680" s="98"/>
      <c r="AA680" s="98"/>
      <c r="AB680" s="98"/>
      <c r="AC680" s="98"/>
      <c r="AD680" s="98"/>
    </row>
    <row r="681" spans="1:30" ht="12.75" customHeight="1">
      <c r="A681" s="125" t="s">
        <v>611</v>
      </c>
      <c r="B681" s="155">
        <v>44652</v>
      </c>
      <c r="C681" s="489">
        <v>11913</v>
      </c>
      <c r="D681" s="489">
        <f>C681+C680</f>
        <v>399</v>
      </c>
      <c r="E681" s="490">
        <f>IFERROR(-D681/C680,0)</f>
        <v>3.4653465346534656E-2</v>
      </c>
      <c r="F681" s="383">
        <f>B681-B680</f>
        <v>3</v>
      </c>
      <c r="G681" s="490">
        <f>(C681/-C680)^(1/((B681-B680)/365))-1</f>
        <v>62.102736644815451</v>
      </c>
      <c r="H681" s="98"/>
      <c r="K681" s="98"/>
      <c r="L681" s="98"/>
      <c r="M681" s="98"/>
      <c r="N681" s="98"/>
      <c r="O681" s="98"/>
      <c r="P681" s="98"/>
      <c r="Q681" s="98"/>
      <c r="R681" s="98"/>
      <c r="S681" s="98"/>
      <c r="T681" s="98"/>
      <c r="U681" s="98"/>
      <c r="V681" s="98"/>
      <c r="W681" s="98"/>
      <c r="X681" s="98"/>
      <c r="Y681" s="98"/>
      <c r="Z681" s="98"/>
      <c r="AA681" s="98"/>
      <c r="AB681" s="98"/>
      <c r="AC681" s="98"/>
      <c r="AD681" s="98"/>
    </row>
    <row r="682" spans="1:30" ht="12.75" customHeight="1">
      <c r="A682" s="140" t="s">
        <v>614</v>
      </c>
      <c r="B682" s="154">
        <v>44652</v>
      </c>
      <c r="C682" s="395">
        <v>-3945</v>
      </c>
      <c r="D682" s="395"/>
      <c r="E682" s="497"/>
      <c r="F682" s="498"/>
      <c r="G682" s="488"/>
      <c r="H682" s="98"/>
      <c r="K682" s="98"/>
      <c r="L682" s="98"/>
      <c r="M682" s="98"/>
      <c r="N682" s="98"/>
      <c r="O682" s="98"/>
      <c r="P682" s="98"/>
      <c r="Q682" s="98"/>
      <c r="R682" s="98"/>
      <c r="S682" s="98"/>
      <c r="T682" s="98"/>
      <c r="U682" s="98"/>
      <c r="V682" s="98"/>
      <c r="W682" s="98"/>
      <c r="X682" s="98"/>
      <c r="Y682" s="98"/>
      <c r="Z682" s="98"/>
      <c r="AA682" s="98"/>
      <c r="AB682" s="98"/>
      <c r="AC682" s="98"/>
      <c r="AD682" s="98"/>
    </row>
    <row r="683" spans="1:30" ht="12.75" customHeight="1">
      <c r="A683" s="125" t="s">
        <v>614</v>
      </c>
      <c r="B683" s="155">
        <v>44776</v>
      </c>
      <c r="C683" s="489">
        <v>4246</v>
      </c>
      <c r="D683" s="489">
        <f>C683+C682</f>
        <v>301</v>
      </c>
      <c r="E683" s="490">
        <f>IFERROR(-D683/C682,0)</f>
        <v>7.6299112801013938E-2</v>
      </c>
      <c r="F683" s="383">
        <f>B683-B682</f>
        <v>124</v>
      </c>
      <c r="G683" s="490">
        <f>(C683/-C682)^(1/((B683-B682)/365))-1</f>
        <v>0.24164166782864505</v>
      </c>
      <c r="H683" s="98"/>
      <c r="K683" s="98"/>
      <c r="L683" s="98"/>
      <c r="M683" s="98"/>
      <c r="N683" s="98"/>
      <c r="O683" s="98"/>
      <c r="P683" s="98"/>
      <c r="Q683" s="98"/>
      <c r="R683" s="98"/>
      <c r="S683" s="98"/>
      <c r="T683" s="98"/>
      <c r="U683" s="98"/>
      <c r="V683" s="98"/>
      <c r="W683" s="98"/>
      <c r="X683" s="98"/>
      <c r="Y683" s="98"/>
      <c r="Z683" s="98"/>
      <c r="AA683" s="98"/>
      <c r="AB683" s="98"/>
      <c r="AC683" s="98"/>
      <c r="AD683" s="98"/>
    </row>
    <row r="684" spans="1:30" ht="12.75" customHeight="1">
      <c r="A684" s="140" t="s">
        <v>614</v>
      </c>
      <c r="B684" s="154">
        <v>44652</v>
      </c>
      <c r="C684" s="395">
        <v>-7889</v>
      </c>
      <c r="D684" s="395"/>
      <c r="E684" s="497"/>
      <c r="F684" s="498"/>
      <c r="G684" s="488"/>
      <c r="H684" s="98"/>
      <c r="K684" s="98"/>
      <c r="L684" s="98"/>
      <c r="M684" s="98"/>
      <c r="N684" s="98"/>
      <c r="O684" s="98"/>
      <c r="P684" s="98"/>
      <c r="Q684" s="98"/>
      <c r="R684" s="98"/>
      <c r="S684" s="98"/>
      <c r="T684" s="98"/>
      <c r="U684" s="98"/>
      <c r="V684" s="98"/>
      <c r="W684" s="98"/>
      <c r="X684" s="98"/>
      <c r="Y684" s="98"/>
      <c r="Z684" s="98"/>
      <c r="AA684" s="98"/>
      <c r="AB684" s="98"/>
      <c r="AC684" s="98"/>
      <c r="AD684" s="98"/>
    </row>
    <row r="685" spans="1:30" ht="12.75" customHeight="1">
      <c r="A685" s="125" t="s">
        <v>614</v>
      </c>
      <c r="B685" s="155">
        <v>44796</v>
      </c>
      <c r="C685" s="489">
        <v>8192</v>
      </c>
      <c r="D685" s="489">
        <f>C685+C684</f>
        <v>303</v>
      </c>
      <c r="E685" s="490">
        <f>IFERROR(-D685/C684,0)</f>
        <v>3.8407909747750033E-2</v>
      </c>
      <c r="F685" s="383">
        <f>B685-B684</f>
        <v>144</v>
      </c>
      <c r="G685" s="490">
        <f>(C685/-C684)^(1/((B685-B684)/365))-1</f>
        <v>0.10024220873807721</v>
      </c>
      <c r="H685" s="98"/>
      <c r="K685" s="98"/>
      <c r="L685" s="98"/>
      <c r="M685" s="98"/>
      <c r="N685" s="98"/>
      <c r="O685" s="98"/>
      <c r="P685" s="98"/>
      <c r="Q685" s="98"/>
      <c r="R685" s="98"/>
      <c r="S685" s="98"/>
      <c r="T685" s="98"/>
      <c r="U685" s="98"/>
      <c r="V685" s="98"/>
      <c r="W685" s="98"/>
      <c r="X685" s="98"/>
      <c r="Y685" s="98"/>
      <c r="Z685" s="98"/>
      <c r="AA685" s="98"/>
      <c r="AB685" s="98"/>
      <c r="AC685" s="98"/>
      <c r="AD685" s="98"/>
    </row>
    <row r="686" spans="1:30" ht="12.75" customHeight="1">
      <c r="A686" s="140" t="s">
        <v>614</v>
      </c>
      <c r="B686" s="154">
        <v>44652</v>
      </c>
      <c r="C686" s="395">
        <v>-7889</v>
      </c>
      <c r="D686" s="395"/>
      <c r="E686" s="497"/>
      <c r="F686" s="498"/>
      <c r="G686" s="488"/>
      <c r="H686" s="98"/>
      <c r="K686" s="98"/>
      <c r="L686" s="98"/>
      <c r="M686" s="98"/>
      <c r="N686" s="98"/>
      <c r="O686" s="98"/>
      <c r="P686" s="98"/>
      <c r="Q686" s="98"/>
      <c r="R686" s="98"/>
      <c r="S686" s="98"/>
      <c r="T686" s="98"/>
      <c r="U686" s="98"/>
      <c r="V686" s="98"/>
      <c r="W686" s="98"/>
      <c r="X686" s="98"/>
      <c r="Y686" s="98"/>
      <c r="Z686" s="98"/>
      <c r="AA686" s="98"/>
      <c r="AB686" s="98"/>
      <c r="AC686" s="98"/>
      <c r="AD686" s="98"/>
    </row>
    <row r="687" spans="1:30" ht="12.75" customHeight="1">
      <c r="A687" s="125" t="s">
        <v>614</v>
      </c>
      <c r="B687" s="155">
        <v>44797</v>
      </c>
      <c r="C687" s="489">
        <v>8291</v>
      </c>
      <c r="D687" s="489">
        <f>C687+C686</f>
        <v>402</v>
      </c>
      <c r="E687" s="490">
        <f>IFERROR(-D687/C686,0)</f>
        <v>5.0957028774242616E-2</v>
      </c>
      <c r="F687" s="383">
        <f>B687-B686</f>
        <v>145</v>
      </c>
      <c r="G687" s="490">
        <f>(C687/-C686)^(1/((B687-B686)/365))-1</f>
        <v>0.13327302678823227</v>
      </c>
      <c r="H687" s="98"/>
      <c r="K687" s="98"/>
      <c r="L687" s="98"/>
      <c r="M687" s="98"/>
      <c r="N687" s="98"/>
      <c r="O687" s="98"/>
      <c r="P687" s="98"/>
      <c r="Q687" s="98"/>
      <c r="R687" s="98"/>
      <c r="S687" s="98"/>
      <c r="T687" s="98"/>
      <c r="U687" s="98"/>
      <c r="V687" s="98"/>
      <c r="W687" s="98"/>
      <c r="X687" s="98"/>
      <c r="Y687" s="98"/>
      <c r="Z687" s="98"/>
      <c r="AA687" s="98"/>
      <c r="AB687" s="98"/>
      <c r="AC687" s="98"/>
      <c r="AD687" s="98"/>
    </row>
    <row r="688" spans="1:30" ht="12.75" customHeight="1">
      <c r="A688" s="138" t="s">
        <v>505</v>
      </c>
      <c r="B688" s="492">
        <v>44316</v>
      </c>
      <c r="C688" s="493">
        <v>-11193</v>
      </c>
      <c r="D688" s="494"/>
      <c r="E688" s="497"/>
      <c r="F688" s="498"/>
      <c r="G688" s="488"/>
      <c r="H688" s="98"/>
      <c r="K688" s="98"/>
      <c r="L688" s="98"/>
      <c r="M688" s="98"/>
      <c r="N688" s="98"/>
      <c r="O688" s="98"/>
      <c r="P688" s="98"/>
      <c r="Q688" s="98"/>
      <c r="R688" s="98"/>
      <c r="S688" s="98"/>
      <c r="T688" s="98"/>
      <c r="U688" s="98"/>
      <c r="V688" s="98"/>
      <c r="W688" s="98"/>
      <c r="X688" s="98"/>
      <c r="Y688" s="98"/>
      <c r="Z688" s="98"/>
      <c r="AA688" s="98"/>
      <c r="AB688" s="98"/>
      <c r="AC688" s="98"/>
      <c r="AD688" s="98"/>
    </row>
    <row r="689" spans="1:30" ht="12.75" customHeight="1">
      <c r="A689" s="125" t="s">
        <v>505</v>
      </c>
      <c r="B689" s="495">
        <v>44320</v>
      </c>
      <c r="C689" s="496">
        <v>11668</v>
      </c>
      <c r="D689" s="489">
        <f>C689+C688</f>
        <v>475</v>
      </c>
      <c r="E689" s="490">
        <f>-D689/C688</f>
        <v>4.2437237559188781E-2</v>
      </c>
      <c r="F689" s="383">
        <f>B689-B688</f>
        <v>4</v>
      </c>
      <c r="G689" s="490">
        <f>(C689/-C688)^(1/((B689-B688)/365))-1</f>
        <v>43.366472274142495</v>
      </c>
      <c r="H689" s="98"/>
      <c r="K689" s="98"/>
      <c r="L689" s="98"/>
      <c r="M689" s="98"/>
      <c r="N689" s="98"/>
      <c r="O689" s="98"/>
      <c r="P689" s="98"/>
      <c r="Q689" s="98"/>
      <c r="R689" s="98"/>
      <c r="S689" s="98"/>
      <c r="T689" s="98"/>
      <c r="U689" s="98"/>
      <c r="V689" s="98"/>
      <c r="W689" s="98"/>
      <c r="X689" s="98"/>
      <c r="Y689" s="98"/>
      <c r="Z689" s="98"/>
      <c r="AA689" s="98"/>
      <c r="AB689" s="98"/>
      <c r="AC689" s="98"/>
      <c r="AD689" s="98"/>
    </row>
    <row r="690" spans="1:30" ht="12.75" customHeight="1">
      <c r="A690" s="140" t="s">
        <v>505</v>
      </c>
      <c r="B690" s="154">
        <v>44378</v>
      </c>
      <c r="C690" s="140">
        <v>-15894</v>
      </c>
      <c r="D690" s="494"/>
      <c r="E690" s="497"/>
      <c r="F690" s="498"/>
      <c r="G690" s="488"/>
      <c r="H690" s="98"/>
      <c r="K690" s="98"/>
      <c r="L690" s="98"/>
      <c r="M690" s="98"/>
      <c r="N690" s="98"/>
      <c r="O690" s="98"/>
      <c r="P690" s="98"/>
      <c r="Q690" s="98"/>
      <c r="R690" s="98"/>
      <c r="S690" s="98"/>
      <c r="T690" s="98"/>
      <c r="U690" s="98"/>
      <c r="V690" s="98"/>
      <c r="W690" s="98"/>
      <c r="X690" s="98"/>
      <c r="Y690" s="98"/>
      <c r="Z690" s="98"/>
      <c r="AA690" s="98"/>
      <c r="AB690" s="98"/>
      <c r="AC690" s="98"/>
      <c r="AD690" s="98"/>
    </row>
    <row r="691" spans="1:30" ht="12.75" customHeight="1">
      <c r="A691" s="125" t="s">
        <v>505</v>
      </c>
      <c r="B691" s="155">
        <v>44379</v>
      </c>
      <c r="C691" s="489">
        <v>16508</v>
      </c>
      <c r="D691" s="489">
        <f>C691+C690</f>
        <v>614</v>
      </c>
      <c r="E691" s="490">
        <f>-D691/C690</f>
        <v>3.8630929910658113E-2</v>
      </c>
      <c r="F691" s="383">
        <f>B691-B690</f>
        <v>1</v>
      </c>
      <c r="G691" s="490">
        <f>(C691/-C690)^(1/((B691-B690)/365))-1</f>
        <v>1019427.5833765446</v>
      </c>
      <c r="H691" s="98"/>
      <c r="K691" s="98"/>
      <c r="L691" s="98"/>
      <c r="M691" s="98"/>
      <c r="N691" s="98"/>
      <c r="O691" s="98"/>
      <c r="P691" s="98"/>
      <c r="Q691" s="98"/>
      <c r="R691" s="98"/>
      <c r="S691" s="98"/>
      <c r="T691" s="98"/>
      <c r="U691" s="98"/>
      <c r="V691" s="98"/>
      <c r="W691" s="98"/>
      <c r="X691" s="98"/>
      <c r="Y691" s="98"/>
      <c r="Z691" s="98"/>
      <c r="AA691" s="98"/>
      <c r="AB691" s="98"/>
      <c r="AC691" s="98"/>
      <c r="AD691" s="98"/>
    </row>
    <row r="692" spans="1:30" ht="12.75" customHeight="1">
      <c r="A692" s="140" t="s">
        <v>576</v>
      </c>
      <c r="B692" s="154">
        <v>44445</v>
      </c>
      <c r="C692" s="395">
        <v>-6057</v>
      </c>
      <c r="D692" s="494"/>
      <c r="E692" s="497"/>
      <c r="F692" s="498"/>
      <c r="G692" s="488"/>
      <c r="H692" s="98"/>
      <c r="K692" s="98"/>
      <c r="L692" s="98"/>
      <c r="M692" s="98"/>
      <c r="N692" s="98"/>
      <c r="O692" s="98"/>
      <c r="P692" s="98"/>
      <c r="Q692" s="98"/>
      <c r="R692" s="98"/>
      <c r="S692" s="98"/>
      <c r="T692" s="98"/>
      <c r="U692" s="98"/>
      <c r="V692" s="98"/>
      <c r="W692" s="98"/>
      <c r="X692" s="98"/>
      <c r="Y692" s="98"/>
      <c r="Z692" s="98"/>
      <c r="AA692" s="98"/>
      <c r="AB692" s="98"/>
      <c r="AC692" s="98"/>
      <c r="AD692" s="98"/>
    </row>
    <row r="693" spans="1:30" ht="12.75" customHeight="1">
      <c r="A693" s="125" t="s">
        <v>576</v>
      </c>
      <c r="B693" s="155">
        <v>44512</v>
      </c>
      <c r="C693" s="489">
        <v>7322</v>
      </c>
      <c r="D693" s="489">
        <f>C693+C692</f>
        <v>1265</v>
      </c>
      <c r="E693" s="490">
        <f>-D693/C692</f>
        <v>0.20884926531286116</v>
      </c>
      <c r="F693" s="383">
        <f>B693-B692</f>
        <v>67</v>
      </c>
      <c r="G693" s="490">
        <f>(C693/-C692)^(1/((B693-B692)/365))-1</f>
        <v>1.810242562163781</v>
      </c>
      <c r="H693" s="98"/>
      <c r="K693" s="98"/>
      <c r="L693" s="98"/>
      <c r="M693" s="98"/>
      <c r="N693" s="98"/>
      <c r="O693" s="98"/>
      <c r="P693" s="98"/>
      <c r="Q693" s="98"/>
      <c r="R693" s="98"/>
      <c r="S693" s="98"/>
      <c r="T693" s="98"/>
      <c r="U693" s="98"/>
      <c r="V693" s="98"/>
      <c r="W693" s="98"/>
      <c r="X693" s="98"/>
      <c r="Y693" s="98"/>
      <c r="Z693" s="98"/>
      <c r="AA693" s="98"/>
      <c r="AB693" s="98"/>
      <c r="AC693" s="98"/>
      <c r="AD693" s="98"/>
    </row>
    <row r="694" spans="1:30" ht="12.75" customHeight="1">
      <c r="A694" s="140" t="s">
        <v>576</v>
      </c>
      <c r="B694" s="154">
        <v>44510</v>
      </c>
      <c r="C694" s="395">
        <v>-7259</v>
      </c>
      <c r="D694" s="494"/>
      <c r="E694" s="497"/>
      <c r="F694" s="498"/>
      <c r="G694" s="488"/>
      <c r="H694" s="98"/>
      <c r="K694" s="98"/>
      <c r="L694" s="98"/>
      <c r="M694" s="98"/>
      <c r="N694" s="98"/>
      <c r="O694" s="98"/>
      <c r="P694" s="98"/>
      <c r="Q694" s="98"/>
      <c r="R694" s="98"/>
      <c r="S694" s="98"/>
      <c r="T694" s="98"/>
      <c r="U694" s="98"/>
      <c r="V694" s="98"/>
      <c r="W694" s="98"/>
      <c r="X694" s="98"/>
      <c r="Y694" s="98"/>
      <c r="Z694" s="98"/>
      <c r="AA694" s="98"/>
      <c r="AB694" s="98"/>
      <c r="AC694" s="98"/>
      <c r="AD694" s="98"/>
    </row>
    <row r="695" spans="1:30" ht="12.75" customHeight="1">
      <c r="A695" s="125" t="s">
        <v>576</v>
      </c>
      <c r="B695" s="155">
        <v>44512</v>
      </c>
      <c r="C695" s="489">
        <v>7323</v>
      </c>
      <c r="D695" s="489">
        <f>C695+C694</f>
        <v>64</v>
      </c>
      <c r="E695" s="490">
        <f>-D695/C694</f>
        <v>8.8166414106626255E-3</v>
      </c>
      <c r="F695" s="383">
        <f>B695-B694</f>
        <v>2</v>
      </c>
      <c r="G695" s="490">
        <f>(C695/-C694)^(1/((B695-B694)/365))-1</f>
        <v>3.9628755670227971</v>
      </c>
      <c r="H695" s="98"/>
      <c r="K695" s="98"/>
      <c r="L695" s="98"/>
      <c r="M695" s="98"/>
      <c r="N695" s="98"/>
      <c r="O695" s="98"/>
      <c r="P695" s="98"/>
      <c r="Q695" s="98"/>
      <c r="R695" s="98"/>
      <c r="S695" s="98"/>
      <c r="T695" s="98"/>
      <c r="U695" s="98"/>
      <c r="V695" s="98"/>
      <c r="W695" s="98"/>
      <c r="X695" s="98"/>
      <c r="Y695" s="98"/>
      <c r="Z695" s="98"/>
      <c r="AA695" s="98"/>
      <c r="AB695" s="98"/>
      <c r="AC695" s="98"/>
      <c r="AD695" s="98"/>
    </row>
    <row r="696" spans="1:30" ht="12.75" customHeight="1">
      <c r="A696" s="140" t="s">
        <v>576</v>
      </c>
      <c r="B696" s="154">
        <v>44561</v>
      </c>
      <c r="C696" s="395">
        <v>-2994</v>
      </c>
      <c r="D696" s="494"/>
      <c r="E696" s="497"/>
      <c r="F696" s="498"/>
      <c r="G696" s="488"/>
      <c r="H696" s="98"/>
      <c r="K696" s="98"/>
      <c r="L696" s="98"/>
      <c r="M696" s="98"/>
      <c r="N696" s="98"/>
      <c r="O696" s="98"/>
      <c r="P696" s="98"/>
      <c r="Q696" s="98"/>
      <c r="R696" s="98"/>
      <c r="S696" s="98"/>
      <c r="T696" s="98"/>
      <c r="U696" s="98"/>
      <c r="V696" s="98"/>
      <c r="W696" s="98"/>
      <c r="X696" s="98"/>
      <c r="Y696" s="98"/>
      <c r="Z696" s="98"/>
      <c r="AA696" s="98"/>
      <c r="AB696" s="98"/>
      <c r="AC696" s="98"/>
      <c r="AD696" s="98"/>
    </row>
    <row r="697" spans="1:30" ht="12.75" customHeight="1">
      <c r="A697" s="125" t="s">
        <v>576</v>
      </c>
      <c r="B697" s="155">
        <v>44634</v>
      </c>
      <c r="C697" s="489">
        <v>3117</v>
      </c>
      <c r="D697" s="489">
        <f>C697+C696</f>
        <v>123</v>
      </c>
      <c r="E697" s="490">
        <f>IFERROR(-D697/C696,0)</f>
        <v>4.1082164328657314E-2</v>
      </c>
      <c r="F697" s="383">
        <f>B697-B696</f>
        <v>73</v>
      </c>
      <c r="G697" s="490">
        <f>(C697/-C696)^(1/((B697-B696)/365))-1</f>
        <v>0.22299598518350572</v>
      </c>
      <c r="H697" s="98"/>
      <c r="K697" s="98"/>
      <c r="L697" s="98"/>
      <c r="M697" s="98"/>
      <c r="N697" s="98"/>
      <c r="O697" s="98"/>
      <c r="P697" s="98"/>
      <c r="Q697" s="98"/>
      <c r="R697" s="98"/>
      <c r="S697" s="98"/>
      <c r="T697" s="98"/>
      <c r="U697" s="98"/>
      <c r="V697" s="98"/>
      <c r="W697" s="98"/>
      <c r="X697" s="98"/>
      <c r="Y697" s="98"/>
      <c r="Z697" s="98"/>
      <c r="AA697" s="98"/>
      <c r="AB697" s="98"/>
      <c r="AC697" s="98"/>
      <c r="AD697" s="98"/>
    </row>
    <row r="698" spans="1:30" ht="12.75" customHeight="1">
      <c r="A698" s="138" t="s">
        <v>500</v>
      </c>
      <c r="B698" s="492">
        <v>44299</v>
      </c>
      <c r="C698" s="493">
        <v>-12806</v>
      </c>
      <c r="D698" s="494"/>
      <c r="E698" s="497"/>
      <c r="F698" s="498"/>
      <c r="G698" s="488"/>
      <c r="H698" s="98"/>
      <c r="K698" s="98"/>
      <c r="L698" s="98"/>
      <c r="M698" s="98"/>
      <c r="N698" s="98"/>
      <c r="O698" s="98"/>
      <c r="P698" s="98"/>
      <c r="Q698" s="98"/>
      <c r="R698" s="98"/>
      <c r="S698" s="98"/>
      <c r="T698" s="98"/>
      <c r="U698" s="98"/>
      <c r="V698" s="98"/>
      <c r="W698" s="98"/>
      <c r="X698" s="98"/>
      <c r="Y698" s="98"/>
      <c r="Z698" s="98"/>
      <c r="AA698" s="98"/>
      <c r="AB698" s="98"/>
      <c r="AC698" s="98"/>
      <c r="AD698" s="98"/>
    </row>
    <row r="699" spans="1:30" ht="12.75" customHeight="1">
      <c r="A699" s="125" t="s">
        <v>500</v>
      </c>
      <c r="B699" s="495">
        <v>44308</v>
      </c>
      <c r="C699" s="496">
        <v>13779</v>
      </c>
      <c r="D699" s="489">
        <f>C699+C698</f>
        <v>973</v>
      </c>
      <c r="E699" s="490">
        <f>-D699/C698</f>
        <v>7.5980009370607532E-2</v>
      </c>
      <c r="F699" s="383">
        <f>B699-B698</f>
        <v>9</v>
      </c>
      <c r="G699" s="490">
        <f>(C699/-C698)^(1/((B699-B698)/365))-1</f>
        <v>18.491134009603876</v>
      </c>
      <c r="H699" s="98"/>
      <c r="K699" s="98"/>
      <c r="L699" s="98"/>
      <c r="M699" s="98"/>
      <c r="N699" s="98"/>
      <c r="O699" s="98"/>
      <c r="P699" s="98"/>
      <c r="Q699" s="98"/>
      <c r="R699" s="98"/>
      <c r="S699" s="98"/>
      <c r="T699" s="98"/>
      <c r="U699" s="98"/>
      <c r="V699" s="98"/>
      <c r="W699" s="98"/>
      <c r="X699" s="98"/>
      <c r="Y699" s="98"/>
      <c r="Z699" s="98"/>
      <c r="AA699" s="98"/>
      <c r="AB699" s="98"/>
      <c r="AC699" s="98"/>
      <c r="AD699" s="98"/>
    </row>
    <row r="700" spans="1:30" ht="12.75" customHeight="1">
      <c r="A700" s="138" t="s">
        <v>500</v>
      </c>
      <c r="B700" s="492">
        <v>44328</v>
      </c>
      <c r="C700" s="493">
        <v>-2628</v>
      </c>
      <c r="D700" s="494"/>
      <c r="E700" s="497"/>
      <c r="F700" s="498"/>
      <c r="G700" s="488"/>
      <c r="H700" s="98"/>
      <c r="K700" s="98"/>
      <c r="L700" s="98"/>
      <c r="M700" s="98"/>
      <c r="N700" s="98"/>
      <c r="O700" s="98"/>
      <c r="P700" s="98"/>
      <c r="Q700" s="98"/>
      <c r="R700" s="98"/>
      <c r="S700" s="98"/>
      <c r="T700" s="98"/>
      <c r="U700" s="98"/>
      <c r="V700" s="98"/>
      <c r="W700" s="98"/>
      <c r="X700" s="98"/>
      <c r="Y700" s="98"/>
      <c r="Z700" s="98"/>
      <c r="AA700" s="98"/>
      <c r="AB700" s="98"/>
      <c r="AC700" s="98"/>
      <c r="AD700" s="98"/>
    </row>
    <row r="701" spans="1:30" ht="12.75" customHeight="1">
      <c r="A701" s="125" t="s">
        <v>500</v>
      </c>
      <c r="B701" s="495">
        <v>44335</v>
      </c>
      <c r="C701" s="496">
        <v>2742</v>
      </c>
      <c r="D701" s="489">
        <f>C701+C700</f>
        <v>114</v>
      </c>
      <c r="E701" s="490">
        <f>-D701/C700</f>
        <v>4.3378995433789952E-2</v>
      </c>
      <c r="F701" s="383">
        <f>B701-B700</f>
        <v>7</v>
      </c>
      <c r="G701" s="490">
        <f>(C701/-C700)^(1/((B701-B700)/365))-1</f>
        <v>8.1542599686104573</v>
      </c>
      <c r="H701" s="98"/>
      <c r="K701" s="98"/>
      <c r="L701" s="98"/>
      <c r="M701" s="98"/>
      <c r="N701" s="98"/>
      <c r="O701" s="98"/>
      <c r="P701" s="98"/>
      <c r="Q701" s="98"/>
      <c r="R701" s="98"/>
      <c r="S701" s="98"/>
      <c r="T701" s="98"/>
      <c r="U701" s="98"/>
      <c r="V701" s="98"/>
      <c r="W701" s="98"/>
      <c r="X701" s="98"/>
      <c r="Y701" s="98"/>
      <c r="Z701" s="98"/>
      <c r="AA701" s="98"/>
      <c r="AB701" s="98"/>
      <c r="AC701" s="98"/>
      <c r="AD701" s="98"/>
    </row>
    <row r="702" spans="1:30" ht="12.75" customHeight="1">
      <c r="A702" s="138" t="s">
        <v>500</v>
      </c>
      <c r="B702" s="492">
        <v>44322</v>
      </c>
      <c r="C702" s="493">
        <v>-5756</v>
      </c>
      <c r="D702" s="494"/>
      <c r="E702" s="497"/>
      <c r="F702" s="498"/>
      <c r="G702" s="488"/>
      <c r="H702" s="98"/>
      <c r="K702" s="98"/>
      <c r="L702" s="98"/>
      <c r="M702" s="98"/>
      <c r="N702" s="98"/>
      <c r="O702" s="98"/>
      <c r="P702" s="98"/>
      <c r="Q702" s="98"/>
      <c r="R702" s="98"/>
      <c r="S702" s="98"/>
      <c r="T702" s="98"/>
      <c r="U702" s="98"/>
      <c r="V702" s="98"/>
      <c r="W702" s="98"/>
      <c r="X702" s="98"/>
      <c r="Y702" s="98"/>
      <c r="Z702" s="98"/>
      <c r="AA702" s="98"/>
      <c r="AB702" s="98"/>
      <c r="AC702" s="98"/>
      <c r="AD702" s="98"/>
    </row>
    <row r="703" spans="1:30" ht="12.75" customHeight="1">
      <c r="A703" s="125" t="s">
        <v>500</v>
      </c>
      <c r="B703" s="495">
        <v>44336</v>
      </c>
      <c r="C703" s="496">
        <v>5546</v>
      </c>
      <c r="D703" s="489">
        <f>C703+C702</f>
        <v>-210</v>
      </c>
      <c r="E703" s="490">
        <f>-D703/C702</f>
        <v>-3.648366921473245E-2</v>
      </c>
      <c r="F703" s="383">
        <f>B703-B702</f>
        <v>14</v>
      </c>
      <c r="G703" s="490">
        <f>(C703/-C702)^(1/((B703-B702)/365))-1</f>
        <v>-0.62052501143686967</v>
      </c>
      <c r="H703" s="98"/>
      <c r="K703" s="98"/>
      <c r="L703" s="98"/>
      <c r="M703" s="98"/>
      <c r="N703" s="98"/>
      <c r="O703" s="98"/>
      <c r="P703" s="98"/>
      <c r="Q703" s="98"/>
      <c r="R703" s="98"/>
      <c r="S703" s="98"/>
      <c r="T703" s="98"/>
      <c r="U703" s="98"/>
      <c r="V703" s="98"/>
      <c r="W703" s="98"/>
      <c r="X703" s="98"/>
      <c r="Y703" s="98"/>
      <c r="Z703" s="98"/>
      <c r="AA703" s="98"/>
      <c r="AB703" s="98"/>
      <c r="AC703" s="98"/>
      <c r="AD703" s="98"/>
    </row>
    <row r="704" spans="1:30" ht="12.75" customHeight="1">
      <c r="A704" s="138" t="s">
        <v>500</v>
      </c>
      <c r="B704" s="492">
        <v>44341</v>
      </c>
      <c r="C704" s="493">
        <v>-16520</v>
      </c>
      <c r="D704" s="494"/>
      <c r="E704" s="497"/>
      <c r="F704" s="498"/>
      <c r="G704" s="488"/>
      <c r="H704" s="98"/>
      <c r="K704" s="98"/>
      <c r="L704" s="98"/>
      <c r="M704" s="98"/>
      <c r="N704" s="98"/>
      <c r="O704" s="98"/>
      <c r="P704" s="98"/>
      <c r="Q704" s="98"/>
      <c r="R704" s="98"/>
      <c r="S704" s="98"/>
      <c r="T704" s="98"/>
      <c r="U704" s="98"/>
      <c r="V704" s="98"/>
      <c r="W704" s="98"/>
      <c r="X704" s="98"/>
      <c r="Y704" s="98"/>
      <c r="Z704" s="98"/>
      <c r="AA704" s="98"/>
      <c r="AB704" s="98"/>
      <c r="AC704" s="98"/>
      <c r="AD704" s="98"/>
    </row>
    <row r="705" spans="1:30" ht="12.75" customHeight="1">
      <c r="A705" s="125" t="s">
        <v>500</v>
      </c>
      <c r="B705" s="495">
        <v>44354</v>
      </c>
      <c r="C705" s="496">
        <v>17322</v>
      </c>
      <c r="D705" s="489">
        <f>C705+C704</f>
        <v>802</v>
      </c>
      <c r="E705" s="490">
        <f>-D705/C704</f>
        <v>4.8547215496368042E-2</v>
      </c>
      <c r="F705" s="383">
        <f>B705-B704</f>
        <v>13</v>
      </c>
      <c r="G705" s="490">
        <f>(C705/-C704)^(1/((B705-B704)/365))-1</f>
        <v>2.7848393252938988</v>
      </c>
      <c r="H705" s="98"/>
      <c r="K705" s="98"/>
      <c r="L705" s="98"/>
      <c r="M705" s="98"/>
      <c r="N705" s="98"/>
      <c r="O705" s="98"/>
      <c r="P705" s="98"/>
      <c r="Q705" s="98"/>
      <c r="R705" s="98"/>
      <c r="S705" s="98"/>
      <c r="T705" s="98"/>
      <c r="U705" s="98"/>
      <c r="V705" s="98"/>
      <c r="W705" s="98"/>
      <c r="X705" s="98"/>
      <c r="Y705" s="98"/>
      <c r="Z705" s="98"/>
      <c r="AA705" s="98"/>
      <c r="AB705" s="98"/>
      <c r="AC705" s="98"/>
      <c r="AD705" s="98"/>
    </row>
    <row r="706" spans="1:30" ht="12.75" customHeight="1">
      <c r="A706" s="140" t="s">
        <v>500</v>
      </c>
      <c r="B706" s="154">
        <v>44357</v>
      </c>
      <c r="C706" s="140">
        <v>-28309</v>
      </c>
      <c r="D706" s="494"/>
      <c r="E706" s="497"/>
      <c r="F706" s="498"/>
      <c r="G706" s="488"/>
      <c r="H706" s="98"/>
      <c r="K706" s="98"/>
      <c r="L706" s="98"/>
      <c r="M706" s="98"/>
      <c r="N706" s="98"/>
      <c r="O706" s="98"/>
      <c r="P706" s="98"/>
      <c r="Q706" s="98"/>
      <c r="R706" s="98"/>
      <c r="S706" s="98"/>
      <c r="T706" s="98"/>
      <c r="U706" s="98"/>
      <c r="V706" s="98"/>
      <c r="W706" s="98"/>
      <c r="X706" s="98"/>
      <c r="Y706" s="98"/>
      <c r="Z706" s="98"/>
      <c r="AA706" s="98"/>
      <c r="AB706" s="98"/>
      <c r="AC706" s="98"/>
      <c r="AD706" s="98"/>
    </row>
    <row r="707" spans="1:30" ht="12.75" customHeight="1">
      <c r="A707" s="125" t="s">
        <v>500</v>
      </c>
      <c r="B707" s="155">
        <v>44452</v>
      </c>
      <c r="C707" s="489">
        <v>29070</v>
      </c>
      <c r="D707" s="489">
        <f>C707+C706</f>
        <v>761</v>
      </c>
      <c r="E707" s="490">
        <f>-D707/C706</f>
        <v>2.6881910346532905E-2</v>
      </c>
      <c r="F707" s="383">
        <f>B707-B706</f>
        <v>95</v>
      </c>
      <c r="G707" s="490">
        <f>(C707/-C706)^(1/((B707-B706)/365))-1</f>
        <v>0.1072941017545177</v>
      </c>
      <c r="H707" s="98"/>
      <c r="K707" s="98"/>
      <c r="L707" s="98"/>
      <c r="M707" s="98"/>
      <c r="N707" s="98"/>
      <c r="O707" s="98"/>
      <c r="P707" s="98"/>
      <c r="Q707" s="98"/>
      <c r="R707" s="98"/>
      <c r="S707" s="98"/>
      <c r="T707" s="98"/>
      <c r="U707" s="98"/>
      <c r="V707" s="98"/>
      <c r="W707" s="98"/>
      <c r="X707" s="98"/>
      <c r="Y707" s="98"/>
      <c r="Z707" s="98"/>
      <c r="AA707" s="98"/>
      <c r="AB707" s="98"/>
      <c r="AC707" s="98"/>
      <c r="AD707" s="98"/>
    </row>
    <row r="708" spans="1:30" ht="12.75" customHeight="1">
      <c r="A708" s="140" t="s">
        <v>473</v>
      </c>
      <c r="B708" s="154">
        <v>44574</v>
      </c>
      <c r="C708" s="395">
        <v>-65022</v>
      </c>
      <c r="D708" s="494"/>
      <c r="E708" s="497"/>
      <c r="F708" s="498"/>
      <c r="G708" s="488"/>
      <c r="H708" s="98"/>
      <c r="K708" s="98"/>
      <c r="L708" s="98"/>
      <c r="M708" s="98"/>
      <c r="N708" s="98"/>
      <c r="O708" s="98"/>
      <c r="P708" s="98"/>
      <c r="Q708" s="98"/>
      <c r="R708" s="98"/>
      <c r="S708" s="98"/>
      <c r="T708" s="98"/>
      <c r="U708" s="98"/>
      <c r="V708" s="98"/>
      <c r="W708" s="98"/>
      <c r="X708" s="98"/>
      <c r="Y708" s="98"/>
      <c r="Z708" s="98"/>
      <c r="AA708" s="98"/>
      <c r="AB708" s="98"/>
      <c r="AC708" s="98"/>
      <c r="AD708" s="98"/>
    </row>
    <row r="709" spans="1:30" ht="12.75" customHeight="1">
      <c r="A709" s="125" t="s">
        <v>473</v>
      </c>
      <c r="B709" s="155">
        <v>44589</v>
      </c>
      <c r="C709" s="489">
        <v>65592</v>
      </c>
      <c r="D709" s="489">
        <f>C709+C708</f>
        <v>570</v>
      </c>
      <c r="E709" s="490">
        <f>IFERROR(-D709/C708,0)</f>
        <v>8.7662637261234667E-3</v>
      </c>
      <c r="F709" s="383">
        <f>B709-B708</f>
        <v>15</v>
      </c>
      <c r="G709" s="490">
        <f>(C709/-C708)^(1/((B709-B708)/365))-1</f>
        <v>0.23662125885994922</v>
      </c>
      <c r="H709" s="98"/>
      <c r="K709" s="98"/>
      <c r="L709" s="98"/>
      <c r="M709" s="98"/>
      <c r="N709" s="98"/>
      <c r="O709" s="98"/>
      <c r="P709" s="98"/>
      <c r="Q709" s="98"/>
      <c r="R709" s="98"/>
      <c r="S709" s="98"/>
      <c r="T709" s="98"/>
      <c r="U709" s="98"/>
      <c r="V709" s="98"/>
      <c r="W709" s="98"/>
      <c r="X709" s="98"/>
      <c r="Y709" s="98"/>
      <c r="Z709" s="98"/>
      <c r="AA709" s="98"/>
      <c r="AB709" s="98"/>
      <c r="AC709" s="98"/>
      <c r="AD709" s="98"/>
    </row>
    <row r="710" spans="1:30" ht="12.75" customHeight="1">
      <c r="A710" s="140" t="s">
        <v>544</v>
      </c>
      <c r="B710" s="154">
        <v>44362</v>
      </c>
      <c r="C710" s="140">
        <v>-14918</v>
      </c>
      <c r="D710" s="494"/>
      <c r="E710" s="497"/>
      <c r="F710" s="498"/>
      <c r="G710" s="488"/>
      <c r="H710" s="98"/>
      <c r="K710" s="98"/>
      <c r="L710" s="98"/>
      <c r="M710" s="98"/>
      <c r="N710" s="98"/>
      <c r="O710" s="98"/>
      <c r="P710" s="98"/>
      <c r="Q710" s="98"/>
      <c r="R710" s="98"/>
      <c r="S710" s="98"/>
      <c r="T710" s="98"/>
      <c r="U710" s="98"/>
      <c r="V710" s="98"/>
      <c r="W710" s="98"/>
      <c r="X710" s="98"/>
      <c r="Y710" s="98"/>
      <c r="Z710" s="98"/>
      <c r="AA710" s="98"/>
      <c r="AB710" s="98"/>
      <c r="AC710" s="98"/>
      <c r="AD710" s="98"/>
    </row>
    <row r="711" spans="1:30" ht="12.75" customHeight="1">
      <c r="A711" s="125" t="s">
        <v>544</v>
      </c>
      <c r="B711" s="155">
        <v>44376</v>
      </c>
      <c r="C711" s="489">
        <v>15124</v>
      </c>
      <c r="D711" s="489">
        <f>C711+C710</f>
        <v>206</v>
      </c>
      <c r="E711" s="490">
        <f>-D711/C710</f>
        <v>1.3808821557849578E-2</v>
      </c>
      <c r="F711" s="383">
        <f>B711-B710</f>
        <v>14</v>
      </c>
      <c r="G711" s="490">
        <f>(C711/-C710)^(1/((B711-B710)/365))-1</f>
        <v>0.42982585510570148</v>
      </c>
      <c r="H711" s="98"/>
      <c r="K711" s="98"/>
      <c r="L711" s="98"/>
      <c r="M711" s="98"/>
      <c r="N711" s="98"/>
      <c r="O711" s="98"/>
      <c r="P711" s="98"/>
      <c r="Q711" s="98"/>
      <c r="R711" s="98"/>
      <c r="S711" s="98"/>
      <c r="T711" s="98"/>
      <c r="U711" s="98"/>
      <c r="V711" s="98"/>
      <c r="W711" s="98"/>
      <c r="X711" s="98"/>
      <c r="Y711" s="98"/>
      <c r="Z711" s="98"/>
      <c r="AA711" s="98"/>
      <c r="AB711" s="98"/>
      <c r="AC711" s="98"/>
      <c r="AD711" s="98"/>
    </row>
    <row r="712" spans="1:30" ht="12.75" customHeight="1">
      <c r="A712" s="138" t="s">
        <v>510</v>
      </c>
      <c r="B712" s="492">
        <v>44333</v>
      </c>
      <c r="C712" s="493">
        <v>-6783</v>
      </c>
      <c r="D712" s="494"/>
      <c r="E712" s="497"/>
      <c r="F712" s="498"/>
      <c r="G712" s="488"/>
      <c r="H712" s="98"/>
      <c r="K712" s="98"/>
      <c r="L712" s="98"/>
      <c r="M712" s="98"/>
      <c r="N712" s="98"/>
      <c r="O712" s="98"/>
      <c r="P712" s="98"/>
      <c r="Q712" s="98"/>
      <c r="R712" s="98"/>
      <c r="S712" s="98"/>
      <c r="T712" s="98"/>
      <c r="U712" s="98"/>
      <c r="V712" s="98"/>
      <c r="W712" s="98"/>
      <c r="X712" s="98"/>
      <c r="Y712" s="98"/>
      <c r="Z712" s="98"/>
      <c r="AA712" s="98"/>
      <c r="AB712" s="98"/>
      <c r="AC712" s="98"/>
      <c r="AD712" s="98"/>
    </row>
    <row r="713" spans="1:30" ht="12.75" customHeight="1">
      <c r="A713" s="125" t="s">
        <v>510</v>
      </c>
      <c r="B713" s="495">
        <v>44334</v>
      </c>
      <c r="C713" s="496">
        <v>6958</v>
      </c>
      <c r="D713" s="489">
        <f>C713+C712</f>
        <v>175</v>
      </c>
      <c r="E713" s="490">
        <f>-D713/C712</f>
        <v>2.5799793601651185E-2</v>
      </c>
      <c r="F713" s="383">
        <f>B713-B712</f>
        <v>1</v>
      </c>
      <c r="G713" s="490">
        <f>(C713/-C712)^(1/((B713-B712)/365))-1</f>
        <v>10909.676557634555</v>
      </c>
      <c r="H713" s="98"/>
      <c r="K713" s="98"/>
      <c r="L713" s="98"/>
      <c r="M713" s="98"/>
      <c r="N713" s="98"/>
      <c r="O713" s="98"/>
      <c r="P713" s="98"/>
      <c r="Q713" s="98"/>
      <c r="R713" s="98"/>
      <c r="S713" s="98"/>
      <c r="T713" s="98"/>
      <c r="U713" s="98"/>
      <c r="V713" s="98"/>
      <c r="W713" s="98"/>
      <c r="X713" s="98"/>
      <c r="Y713" s="98"/>
      <c r="Z713" s="98"/>
      <c r="AA713" s="98"/>
      <c r="AB713" s="98"/>
      <c r="AC713" s="98"/>
      <c r="AD713" s="98"/>
    </row>
    <row r="714" spans="1:30" ht="12.75" customHeight="1">
      <c r="A714" s="140" t="s">
        <v>510</v>
      </c>
      <c r="B714" s="154">
        <v>44327</v>
      </c>
      <c r="C714" s="140">
        <v>-7659</v>
      </c>
      <c r="D714" s="494"/>
      <c r="E714" s="497"/>
      <c r="F714" s="498"/>
      <c r="G714" s="488"/>
      <c r="H714" s="98"/>
      <c r="K714" s="98"/>
      <c r="L714" s="98"/>
      <c r="M714" s="98"/>
      <c r="N714" s="98"/>
      <c r="O714" s="98"/>
      <c r="P714" s="98"/>
      <c r="Q714" s="98"/>
      <c r="R714" s="98"/>
      <c r="S714" s="98"/>
      <c r="T714" s="98"/>
      <c r="U714" s="98"/>
      <c r="V714" s="98"/>
      <c r="W714" s="98"/>
      <c r="X714" s="98"/>
      <c r="Y714" s="98"/>
      <c r="Z714" s="98"/>
      <c r="AA714" s="98"/>
      <c r="AB714" s="98"/>
      <c r="AC714" s="98"/>
      <c r="AD714" s="98"/>
    </row>
    <row r="715" spans="1:30" ht="12.75" customHeight="1">
      <c r="A715" s="125" t="s">
        <v>510</v>
      </c>
      <c r="B715" s="155">
        <v>44377</v>
      </c>
      <c r="C715" s="489">
        <v>7742</v>
      </c>
      <c r="D715" s="489">
        <f>C715+C714</f>
        <v>83</v>
      </c>
      <c r="E715" s="490">
        <f>-D715/C714</f>
        <v>1.0836923880402142E-2</v>
      </c>
      <c r="F715" s="383">
        <f>B715-B714</f>
        <v>50</v>
      </c>
      <c r="G715" s="490">
        <f>(C715/-C714)^(1/((B715-B714)/365))-1</f>
        <v>8.1862360761959518E-2</v>
      </c>
      <c r="H715" s="98"/>
      <c r="K715" s="98"/>
      <c r="L715" s="98"/>
      <c r="M715" s="98"/>
      <c r="N715" s="98"/>
      <c r="O715" s="98"/>
      <c r="P715" s="98"/>
      <c r="Q715" s="98"/>
      <c r="R715" s="98"/>
      <c r="S715" s="98"/>
      <c r="T715" s="98"/>
      <c r="U715" s="98"/>
      <c r="V715" s="98"/>
      <c r="W715" s="98"/>
      <c r="X715" s="98"/>
      <c r="Y715" s="98"/>
      <c r="Z715" s="98"/>
      <c r="AA715" s="98"/>
      <c r="AB715" s="98"/>
      <c r="AC715" s="98"/>
      <c r="AD715" s="98"/>
    </row>
    <row r="716" spans="1:30" ht="12.75" customHeight="1">
      <c r="A716" s="140" t="s">
        <v>510</v>
      </c>
      <c r="B716" s="154">
        <v>44323</v>
      </c>
      <c r="C716" s="140">
        <v>-7884</v>
      </c>
      <c r="D716" s="494"/>
      <c r="E716" s="487"/>
      <c r="F716" s="488"/>
      <c r="G716" s="488"/>
      <c r="H716" s="98"/>
      <c r="K716" s="98"/>
      <c r="L716" s="98"/>
      <c r="M716" s="98"/>
      <c r="N716" s="98"/>
      <c r="O716" s="98"/>
      <c r="P716" s="98"/>
      <c r="Q716" s="98"/>
      <c r="R716" s="98"/>
      <c r="S716" s="98"/>
      <c r="T716" s="98"/>
      <c r="U716" s="98"/>
      <c r="V716" s="98"/>
      <c r="W716" s="98"/>
      <c r="X716" s="98"/>
      <c r="Y716" s="98"/>
      <c r="Z716" s="98"/>
      <c r="AA716" s="98"/>
      <c r="AB716" s="98"/>
      <c r="AC716" s="98"/>
      <c r="AD716" s="98"/>
    </row>
    <row r="717" spans="1:30" ht="12.75" customHeight="1">
      <c r="A717" s="125" t="s">
        <v>510</v>
      </c>
      <c r="B717" s="155">
        <v>44382</v>
      </c>
      <c r="C717" s="489">
        <v>8104</v>
      </c>
      <c r="D717" s="489">
        <f>C717+C716</f>
        <v>220</v>
      </c>
      <c r="E717" s="490">
        <f>-D717/C716</f>
        <v>2.7904616945712835E-2</v>
      </c>
      <c r="F717" s="383">
        <f>B717-B716</f>
        <v>59</v>
      </c>
      <c r="G717" s="490">
        <f>(C717/-C716)^(1/((B717-B716)/365))-1</f>
        <v>0.18561965874498609</v>
      </c>
      <c r="H717" s="98"/>
      <c r="K717" s="98"/>
      <c r="L717" s="98"/>
      <c r="M717" s="98"/>
      <c r="N717" s="98"/>
      <c r="O717" s="98"/>
      <c r="P717" s="98"/>
      <c r="Q717" s="98"/>
      <c r="R717" s="98"/>
      <c r="S717" s="98"/>
      <c r="T717" s="98"/>
      <c r="U717" s="98"/>
      <c r="V717" s="98"/>
      <c r="W717" s="98"/>
      <c r="X717" s="98"/>
      <c r="Y717" s="98"/>
      <c r="Z717" s="98"/>
      <c r="AA717" s="98"/>
      <c r="AB717" s="98"/>
      <c r="AC717" s="98"/>
      <c r="AD717" s="98"/>
    </row>
    <row r="718" spans="1:30" ht="12.75" customHeight="1">
      <c r="A718" s="140" t="s">
        <v>537</v>
      </c>
      <c r="B718" s="154">
        <v>44356</v>
      </c>
      <c r="C718" s="140">
        <v>-20424</v>
      </c>
      <c r="D718" s="494"/>
      <c r="E718" s="497"/>
      <c r="F718" s="499"/>
      <c r="G718" s="488"/>
      <c r="H718" s="98"/>
      <c r="K718" s="98"/>
      <c r="L718" s="98"/>
      <c r="M718" s="98"/>
      <c r="N718" s="98"/>
      <c r="O718" s="98"/>
      <c r="P718" s="98"/>
      <c r="Q718" s="98"/>
      <c r="R718" s="98"/>
      <c r="S718" s="98"/>
      <c r="T718" s="98"/>
      <c r="U718" s="98"/>
      <c r="V718" s="98"/>
      <c r="W718" s="98"/>
      <c r="X718" s="98"/>
      <c r="Y718" s="98"/>
      <c r="Z718" s="98"/>
      <c r="AA718" s="98"/>
      <c r="AB718" s="98"/>
      <c r="AC718" s="98"/>
      <c r="AD718" s="98"/>
    </row>
    <row r="719" spans="1:30" ht="12.75" customHeight="1">
      <c r="A719" s="125" t="s">
        <v>537</v>
      </c>
      <c r="B719" s="155">
        <v>44363</v>
      </c>
      <c r="C719" s="489">
        <v>21203</v>
      </c>
      <c r="D719" s="489">
        <f>C719+C718</f>
        <v>779</v>
      </c>
      <c r="E719" s="490">
        <f>-D719/C718</f>
        <v>3.8141402271837058E-2</v>
      </c>
      <c r="F719" s="383">
        <f>B719-B718</f>
        <v>7</v>
      </c>
      <c r="G719" s="490">
        <f>(C719/-C718)^(1/((B719-B718)/365))-1</f>
        <v>6.0414315109394146</v>
      </c>
      <c r="H719" s="98"/>
      <c r="K719" s="98"/>
      <c r="L719" s="98"/>
      <c r="M719" s="98"/>
      <c r="N719" s="98"/>
      <c r="O719" s="98"/>
      <c r="P719" s="98"/>
      <c r="Q719" s="98"/>
      <c r="R719" s="98"/>
      <c r="S719" s="98"/>
      <c r="T719" s="98"/>
      <c r="U719" s="98"/>
      <c r="V719" s="98"/>
      <c r="W719" s="98"/>
      <c r="X719" s="98"/>
      <c r="Y719" s="98"/>
      <c r="Z719" s="98"/>
      <c r="AA719" s="98"/>
      <c r="AB719" s="98"/>
      <c r="AC719" s="98"/>
      <c r="AD719" s="98"/>
    </row>
    <row r="720" spans="1:30" ht="12.75" customHeight="1">
      <c r="A720" s="140" t="s">
        <v>545</v>
      </c>
      <c r="B720" s="154">
        <v>44364</v>
      </c>
      <c r="C720" s="395">
        <v>-11389</v>
      </c>
      <c r="D720" s="395"/>
      <c r="E720" s="487"/>
      <c r="F720" s="488"/>
      <c r="G720" s="488"/>
      <c r="H720" s="98"/>
      <c r="K720" s="98"/>
      <c r="L720" s="98"/>
      <c r="M720" s="98"/>
      <c r="N720" s="98"/>
      <c r="O720" s="98"/>
      <c r="P720" s="98"/>
      <c r="Q720" s="98"/>
      <c r="R720" s="98"/>
      <c r="S720" s="98"/>
      <c r="T720" s="98"/>
      <c r="U720" s="98"/>
      <c r="V720" s="98"/>
      <c r="W720" s="98"/>
      <c r="X720" s="98"/>
      <c r="Y720" s="98"/>
      <c r="Z720" s="98"/>
      <c r="AA720" s="98"/>
      <c r="AB720" s="98"/>
      <c r="AC720" s="98"/>
      <c r="AD720" s="98"/>
    </row>
    <row r="721" spans="1:30" ht="12.75" customHeight="1">
      <c r="A721" s="125" t="s">
        <v>545</v>
      </c>
      <c r="B721" s="155">
        <v>44879</v>
      </c>
      <c r="C721" s="489">
        <v>12088</v>
      </c>
      <c r="D721" s="489">
        <f>C721+C720</f>
        <v>699</v>
      </c>
      <c r="E721" s="490">
        <f>IFERROR(-D721/C720,0)</f>
        <v>6.1375010975502679E-2</v>
      </c>
      <c r="F721" s="383">
        <f>B721-B720</f>
        <v>515</v>
      </c>
      <c r="G721" s="490">
        <f>(C721/-C720)^(1/((B721-B720)/365))-1</f>
        <v>4.3119921014583618E-2</v>
      </c>
      <c r="H721" s="98"/>
      <c r="K721" s="98"/>
      <c r="L721" s="98"/>
      <c r="M721" s="98"/>
      <c r="N721" s="98"/>
      <c r="O721" s="98"/>
      <c r="P721" s="98"/>
      <c r="Q721" s="98"/>
      <c r="R721" s="98"/>
      <c r="S721" s="98"/>
      <c r="T721" s="98"/>
      <c r="U721" s="98"/>
      <c r="V721" s="98"/>
      <c r="W721" s="98"/>
      <c r="X721" s="98"/>
      <c r="Y721" s="98"/>
      <c r="Z721" s="98"/>
      <c r="AA721" s="98"/>
      <c r="AB721" s="98"/>
      <c r="AC721" s="98"/>
      <c r="AD721" s="98"/>
    </row>
    <row r="722" spans="1:30" ht="12.75" customHeight="1">
      <c r="A722" s="140" t="s">
        <v>545</v>
      </c>
      <c r="B722" s="154">
        <v>44364</v>
      </c>
      <c r="C722" s="395">
        <v>-11388</v>
      </c>
      <c r="D722" s="395"/>
      <c r="E722" s="497"/>
      <c r="F722" s="499"/>
      <c r="G722" s="488"/>
      <c r="H722" s="98"/>
      <c r="K722" s="98"/>
      <c r="L722" s="98"/>
      <c r="M722" s="98"/>
      <c r="N722" s="98"/>
      <c r="O722" s="98"/>
      <c r="P722" s="98"/>
      <c r="Q722" s="98"/>
      <c r="R722" s="98"/>
      <c r="S722" s="98"/>
      <c r="T722" s="98"/>
      <c r="U722" s="98"/>
      <c r="V722" s="98"/>
      <c r="W722" s="98"/>
      <c r="X722" s="98"/>
      <c r="Y722" s="98"/>
      <c r="Z722" s="98"/>
      <c r="AA722" s="98"/>
      <c r="AB722" s="98"/>
      <c r="AC722" s="98"/>
      <c r="AD722" s="98"/>
    </row>
    <row r="723" spans="1:30" ht="12.75" customHeight="1">
      <c r="A723" s="125" t="s">
        <v>545</v>
      </c>
      <c r="B723" s="155">
        <v>44880</v>
      </c>
      <c r="C723" s="489">
        <v>12137</v>
      </c>
      <c r="D723" s="489">
        <f>C723+C722</f>
        <v>749</v>
      </c>
      <c r="E723" s="490">
        <f>IFERROR(-D723/C722,0)</f>
        <v>6.5770987003863718E-2</v>
      </c>
      <c r="F723" s="383">
        <f>B723-B722</f>
        <v>516</v>
      </c>
      <c r="G723" s="490">
        <f>(C723/-C722)^(1/((B723-B722)/365))-1</f>
        <v>4.6088557798290131E-2</v>
      </c>
      <c r="H723" s="98"/>
      <c r="K723" s="98"/>
      <c r="L723" s="98"/>
      <c r="M723" s="98"/>
      <c r="N723" s="98"/>
      <c r="O723" s="98"/>
      <c r="P723" s="98"/>
      <c r="Q723" s="98"/>
      <c r="R723" s="98"/>
      <c r="S723" s="98"/>
      <c r="T723" s="98"/>
      <c r="U723" s="98"/>
      <c r="V723" s="98"/>
      <c r="W723" s="98"/>
      <c r="X723" s="98"/>
      <c r="Y723" s="98"/>
      <c r="Z723" s="98"/>
      <c r="AA723" s="98"/>
      <c r="AB723" s="98"/>
      <c r="AC723" s="98"/>
      <c r="AD723" s="98"/>
    </row>
    <row r="724" spans="1:30" ht="12.75" customHeight="1">
      <c r="A724" s="140" t="s">
        <v>641</v>
      </c>
      <c r="B724" s="154">
        <v>44875</v>
      </c>
      <c r="C724" s="395">
        <v>-14904</v>
      </c>
      <c r="D724" s="395"/>
      <c r="E724" s="497"/>
      <c r="F724" s="498"/>
      <c r="G724" s="488"/>
      <c r="H724" s="98"/>
      <c r="K724" s="98"/>
      <c r="L724" s="98"/>
      <c r="M724" s="98"/>
      <c r="N724" s="98"/>
      <c r="O724" s="98"/>
      <c r="P724" s="98"/>
      <c r="Q724" s="98"/>
      <c r="R724" s="98"/>
      <c r="S724" s="98"/>
      <c r="T724" s="98"/>
      <c r="U724" s="98"/>
      <c r="V724" s="98"/>
      <c r="W724" s="98"/>
      <c r="X724" s="98"/>
      <c r="Y724" s="98"/>
      <c r="Z724" s="98"/>
      <c r="AA724" s="98"/>
      <c r="AB724" s="98"/>
      <c r="AC724" s="98"/>
      <c r="AD724" s="98"/>
    </row>
    <row r="725" spans="1:30" ht="12.75" customHeight="1">
      <c r="A725" s="125" t="s">
        <v>641</v>
      </c>
      <c r="B725" s="155">
        <v>44876</v>
      </c>
      <c r="C725" s="489">
        <v>21218</v>
      </c>
      <c r="D725" s="489">
        <f>C725+C724</f>
        <v>6314</v>
      </c>
      <c r="E725" s="490">
        <f>IFERROR(-D725/C724,0)</f>
        <v>0.42364465915190552</v>
      </c>
      <c r="F725" s="383">
        <f>B725-B724</f>
        <v>1</v>
      </c>
      <c r="G725" s="490">
        <f>(C725/-C724)^(1/((B725-B724)/365))-1</f>
        <v>9.8081062744526474E+55</v>
      </c>
      <c r="H725" s="98"/>
      <c r="K725" s="98"/>
      <c r="L725" s="98"/>
      <c r="M725" s="98"/>
      <c r="N725" s="98"/>
      <c r="O725" s="98"/>
      <c r="P725" s="98"/>
      <c r="Q725" s="98"/>
      <c r="R725" s="98"/>
      <c r="S725" s="98"/>
      <c r="T725" s="98"/>
      <c r="U725" s="98"/>
      <c r="V725" s="98"/>
      <c r="W725" s="98"/>
      <c r="X725" s="98"/>
      <c r="Y725" s="98"/>
      <c r="Z725" s="98"/>
      <c r="AA725" s="98"/>
      <c r="AB725" s="98"/>
      <c r="AC725" s="98"/>
      <c r="AD725" s="98"/>
    </row>
    <row r="726" spans="1:30" ht="12.75" customHeight="1">
      <c r="A726" s="140" t="s">
        <v>594</v>
      </c>
      <c r="B726" s="154">
        <v>44516</v>
      </c>
      <c r="C726" s="395">
        <v>-3274</v>
      </c>
      <c r="D726" s="494"/>
      <c r="E726" s="497"/>
      <c r="F726" s="498"/>
      <c r="G726" s="488"/>
      <c r="H726" s="98"/>
      <c r="K726" s="98"/>
      <c r="L726" s="98"/>
      <c r="M726" s="98"/>
      <c r="N726" s="98"/>
      <c r="O726" s="98"/>
      <c r="P726" s="98"/>
      <c r="Q726" s="98"/>
      <c r="R726" s="98"/>
      <c r="S726" s="98"/>
      <c r="T726" s="98"/>
      <c r="U726" s="98"/>
      <c r="V726" s="98"/>
      <c r="W726" s="98"/>
      <c r="X726" s="98"/>
      <c r="Y726" s="98"/>
      <c r="Z726" s="98"/>
      <c r="AA726" s="98"/>
      <c r="AB726" s="98"/>
      <c r="AC726" s="98"/>
      <c r="AD726" s="98"/>
    </row>
    <row r="727" spans="1:30" ht="12.75" customHeight="1">
      <c r="A727" s="125" t="s">
        <v>594</v>
      </c>
      <c r="B727" s="155">
        <v>44538</v>
      </c>
      <c r="C727" s="489">
        <v>3396</v>
      </c>
      <c r="D727" s="489">
        <f>C727+C726</f>
        <v>122</v>
      </c>
      <c r="E727" s="490">
        <f>-D727/C726</f>
        <v>3.7263286499694563E-2</v>
      </c>
      <c r="F727" s="383">
        <f>B727-B726</f>
        <v>22</v>
      </c>
      <c r="G727" s="490">
        <f>(C727/-C726)^(1/((B727-B726)/365))-1</f>
        <v>0.83490279548600554</v>
      </c>
      <c r="H727" s="98"/>
      <c r="K727" s="98"/>
      <c r="L727" s="98"/>
      <c r="M727" s="98"/>
      <c r="N727" s="98"/>
      <c r="O727" s="98"/>
      <c r="P727" s="98"/>
      <c r="Q727" s="98"/>
      <c r="R727" s="98"/>
      <c r="S727" s="98"/>
      <c r="T727" s="98"/>
      <c r="U727" s="98"/>
      <c r="V727" s="98"/>
      <c r="W727" s="98"/>
      <c r="X727" s="98"/>
      <c r="Y727" s="98"/>
      <c r="Z727" s="98"/>
      <c r="AA727" s="98"/>
      <c r="AB727" s="98"/>
      <c r="AC727" s="98"/>
      <c r="AD727" s="98"/>
    </row>
    <row r="728" spans="1:30" ht="12.75" customHeight="1">
      <c r="A728" s="140" t="s">
        <v>551</v>
      </c>
      <c r="B728" s="154">
        <v>44371</v>
      </c>
      <c r="C728" s="140">
        <v>-14980</v>
      </c>
      <c r="D728" s="494"/>
      <c r="E728" s="497"/>
      <c r="F728" s="498"/>
      <c r="G728" s="488"/>
      <c r="H728" s="98"/>
      <c r="K728" s="98"/>
      <c r="L728" s="98"/>
      <c r="M728" s="98"/>
      <c r="N728" s="98"/>
      <c r="O728" s="98"/>
      <c r="P728" s="98"/>
      <c r="Q728" s="98"/>
      <c r="R728" s="98"/>
      <c r="S728" s="98"/>
      <c r="T728" s="98"/>
      <c r="U728" s="98"/>
      <c r="V728" s="98"/>
      <c r="W728" s="98"/>
      <c r="X728" s="98"/>
      <c r="Y728" s="98"/>
      <c r="Z728" s="98"/>
      <c r="AA728" s="98"/>
      <c r="AB728" s="98"/>
      <c r="AC728" s="98"/>
      <c r="AD728" s="98"/>
    </row>
    <row r="729" spans="1:30" ht="12.75" customHeight="1">
      <c r="A729" s="125" t="s">
        <v>551</v>
      </c>
      <c r="B729" s="155">
        <v>44375</v>
      </c>
      <c r="C729" s="489">
        <v>20524</v>
      </c>
      <c r="D729" s="489">
        <f>C729+C728</f>
        <v>5544</v>
      </c>
      <c r="E729" s="490">
        <f>-D729/C728</f>
        <v>0.37009345794392523</v>
      </c>
      <c r="F729" s="383">
        <f>B729-B728</f>
        <v>4</v>
      </c>
      <c r="G729" s="490">
        <f>(C729/-C728)^(1/((B729-B728)/365))-1</f>
        <v>3009227878150.9834</v>
      </c>
      <c r="H729" s="98"/>
      <c r="K729" s="98"/>
      <c r="L729" s="98"/>
      <c r="M729" s="98"/>
      <c r="N729" s="98"/>
      <c r="O729" s="98"/>
      <c r="P729" s="98"/>
      <c r="Q729" s="98"/>
      <c r="R729" s="98"/>
      <c r="S729" s="98"/>
      <c r="T729" s="98"/>
      <c r="U729" s="98"/>
      <c r="V729" s="98"/>
      <c r="W729" s="98"/>
      <c r="X729" s="98"/>
      <c r="Y729" s="98"/>
      <c r="Z729" s="98"/>
      <c r="AA729" s="98"/>
      <c r="AB729" s="98"/>
      <c r="AC729" s="98"/>
      <c r="AD729" s="98"/>
    </row>
    <row r="730" spans="1:30" ht="12.75" customHeight="1">
      <c r="A730" s="140" t="s">
        <v>638</v>
      </c>
      <c r="B730" s="154">
        <v>44805</v>
      </c>
      <c r="C730" s="395">
        <v>-14996</v>
      </c>
      <c r="D730" s="395"/>
      <c r="E730" s="497"/>
      <c r="F730" s="498"/>
      <c r="G730" s="488"/>
      <c r="H730" s="98"/>
      <c r="M730" s="98"/>
      <c r="O730" s="98"/>
      <c r="P730" s="98"/>
      <c r="Q730" s="98"/>
      <c r="R730" s="98"/>
      <c r="S730" s="98"/>
      <c r="T730" s="98"/>
      <c r="U730" s="98"/>
      <c r="V730" s="98"/>
      <c r="W730" s="98"/>
      <c r="X730" s="98"/>
      <c r="Y730" s="98"/>
      <c r="Z730" s="98"/>
      <c r="AA730" s="98"/>
      <c r="AB730" s="98"/>
      <c r="AC730" s="98"/>
      <c r="AD730" s="98"/>
    </row>
    <row r="731" spans="1:30" ht="12.75" customHeight="1">
      <c r="A731" s="125" t="s">
        <v>638</v>
      </c>
      <c r="B731" s="155">
        <v>44817</v>
      </c>
      <c r="C731" s="489">
        <v>19530</v>
      </c>
      <c r="D731" s="489">
        <f>C731+C730</f>
        <v>4534</v>
      </c>
      <c r="E731" s="490">
        <f>IFERROR(-D731/C730,0)</f>
        <v>0.30234729261136301</v>
      </c>
      <c r="F731" s="383">
        <f>B731-B730</f>
        <v>12</v>
      </c>
      <c r="G731" s="490">
        <f>(C731/-C730)^(1/((B731-B730)/365))-1</f>
        <v>3086.5015499798728</v>
      </c>
      <c r="H731" s="98"/>
      <c r="M731" s="98"/>
      <c r="O731" s="98"/>
      <c r="P731" s="98"/>
      <c r="Q731" s="98"/>
      <c r="R731" s="98"/>
      <c r="S731" s="98"/>
      <c r="T731" s="98"/>
      <c r="U731" s="98"/>
      <c r="V731" s="98"/>
      <c r="W731" s="98"/>
      <c r="X731" s="98"/>
      <c r="Y731" s="98"/>
      <c r="Z731" s="98"/>
      <c r="AA731" s="98"/>
      <c r="AB731" s="98"/>
      <c r="AC731" s="98"/>
      <c r="AD731" s="98"/>
    </row>
    <row r="732" spans="1:30" ht="12.75" customHeight="1">
      <c r="A732" s="138" t="s">
        <v>509</v>
      </c>
      <c r="B732" s="492">
        <v>44321</v>
      </c>
      <c r="C732" s="493">
        <v>-4956</v>
      </c>
      <c r="D732" s="494"/>
      <c r="E732" s="497"/>
      <c r="F732" s="498"/>
      <c r="G732" s="488"/>
      <c r="H732" s="98"/>
      <c r="K732" s="98"/>
      <c r="L732" s="98"/>
      <c r="M732" s="98"/>
      <c r="N732" s="98"/>
      <c r="O732" s="98"/>
      <c r="P732" s="98"/>
      <c r="Q732" s="98"/>
      <c r="R732" s="98"/>
      <c r="S732" s="98"/>
      <c r="T732" s="98"/>
      <c r="U732" s="98"/>
      <c r="V732" s="98"/>
      <c r="W732" s="98"/>
      <c r="X732" s="98"/>
      <c r="Y732" s="98"/>
      <c r="Z732" s="98"/>
      <c r="AA732" s="98"/>
      <c r="AB732" s="98"/>
      <c r="AC732" s="98"/>
      <c r="AD732" s="98"/>
    </row>
    <row r="733" spans="1:30" ht="12.75" customHeight="1">
      <c r="A733" s="125" t="s">
        <v>509</v>
      </c>
      <c r="B733" s="495">
        <v>44326</v>
      </c>
      <c r="C733" s="496">
        <v>5379</v>
      </c>
      <c r="D733" s="489">
        <f>C733+C732</f>
        <v>423</v>
      </c>
      <c r="E733" s="490">
        <f>-D733/C732</f>
        <v>8.5351089588377727E-2</v>
      </c>
      <c r="F733" s="383">
        <f>B733-B732</f>
        <v>5</v>
      </c>
      <c r="G733" s="490">
        <f>(C733/-C732)^(1/((B733-B732)/365))-1</f>
        <v>394.02810934476247</v>
      </c>
      <c r="H733" s="98"/>
      <c r="K733" s="98"/>
      <c r="L733" s="98"/>
      <c r="M733" s="98"/>
      <c r="N733" s="98"/>
      <c r="O733" s="98"/>
      <c r="P733" s="98"/>
      <c r="Q733" s="98"/>
      <c r="R733" s="98"/>
      <c r="S733" s="98"/>
      <c r="T733" s="98"/>
      <c r="U733" s="98"/>
      <c r="V733" s="98"/>
      <c r="W733" s="98"/>
      <c r="X733" s="98"/>
      <c r="Y733" s="98"/>
      <c r="Z733" s="98"/>
      <c r="AA733" s="98"/>
      <c r="AB733" s="98"/>
      <c r="AC733" s="98"/>
      <c r="AD733" s="98"/>
    </row>
    <row r="734" spans="1:30" ht="12.75" customHeight="1">
      <c r="A734" s="140" t="s">
        <v>560</v>
      </c>
      <c r="B734" s="154">
        <v>44383</v>
      </c>
      <c r="C734" s="140">
        <v>-4587</v>
      </c>
      <c r="D734" s="494"/>
      <c r="E734" s="497"/>
      <c r="F734" s="498"/>
      <c r="G734" s="488"/>
      <c r="H734" s="98"/>
      <c r="K734" s="98"/>
      <c r="L734" s="98"/>
      <c r="M734" s="98"/>
      <c r="N734" s="98"/>
      <c r="O734" s="98"/>
      <c r="P734" s="98"/>
      <c r="Q734" s="98"/>
      <c r="R734" s="98"/>
      <c r="S734" s="98"/>
      <c r="T734" s="98"/>
      <c r="U734" s="98"/>
      <c r="V734" s="98"/>
      <c r="W734" s="98"/>
      <c r="X734" s="98"/>
      <c r="Y734" s="98"/>
      <c r="Z734" s="98"/>
      <c r="AA734" s="98"/>
      <c r="AB734" s="98"/>
      <c r="AC734" s="98"/>
      <c r="AD734" s="98"/>
    </row>
    <row r="735" spans="1:30" ht="12.75" customHeight="1">
      <c r="A735" s="125" t="s">
        <v>560</v>
      </c>
      <c r="B735" s="155">
        <v>44412</v>
      </c>
      <c r="C735" s="489">
        <v>4845</v>
      </c>
      <c r="D735" s="489">
        <f>C735+C734</f>
        <v>258</v>
      </c>
      <c r="E735" s="490">
        <f>-D735/C734</f>
        <v>5.6245912361020271E-2</v>
      </c>
      <c r="F735" s="383">
        <f>B735-B734</f>
        <v>29</v>
      </c>
      <c r="G735" s="490">
        <f>(C735/-C734)^(1/((B735-B734)/365))-1</f>
        <v>0.99118552337924526</v>
      </c>
      <c r="H735" s="98"/>
      <c r="K735" s="98"/>
      <c r="L735" s="98"/>
      <c r="M735" s="98"/>
      <c r="N735" s="98"/>
      <c r="O735" s="98"/>
      <c r="P735" s="98"/>
      <c r="Q735" s="98"/>
      <c r="R735" s="98"/>
      <c r="S735" s="98"/>
      <c r="T735" s="98"/>
      <c r="U735" s="98"/>
      <c r="V735" s="98"/>
      <c r="W735" s="98"/>
      <c r="X735" s="98"/>
      <c r="Y735" s="98"/>
      <c r="Z735" s="98"/>
      <c r="AA735" s="98"/>
      <c r="AB735" s="98"/>
      <c r="AC735" s="98"/>
      <c r="AD735" s="98"/>
    </row>
    <row r="736" spans="1:30" ht="12.75" customHeight="1">
      <c r="A736" s="140" t="s">
        <v>629</v>
      </c>
      <c r="B736" s="154">
        <v>44769</v>
      </c>
      <c r="C736" s="395">
        <v>-5607</v>
      </c>
      <c r="D736" s="395"/>
      <c r="E736" s="497"/>
      <c r="F736" s="498"/>
      <c r="G736" s="488"/>
      <c r="H736" s="98"/>
      <c r="K736" s="98"/>
      <c r="L736" s="98"/>
      <c r="M736" s="98"/>
      <c r="N736" s="98"/>
      <c r="O736" s="98"/>
      <c r="P736" s="98"/>
      <c r="Q736" s="98"/>
      <c r="R736" s="98"/>
      <c r="S736" s="98"/>
      <c r="T736" s="98"/>
      <c r="U736" s="98"/>
      <c r="V736" s="98"/>
      <c r="W736" s="98"/>
      <c r="X736" s="98"/>
      <c r="Y736" s="98"/>
      <c r="Z736" s="98"/>
      <c r="AA736" s="98"/>
      <c r="AB736" s="98"/>
      <c r="AC736" s="98"/>
      <c r="AD736" s="98"/>
    </row>
    <row r="737" spans="1:30" ht="12.75" customHeight="1">
      <c r="A737" s="125" t="s">
        <v>629</v>
      </c>
      <c r="B737" s="155">
        <v>44818</v>
      </c>
      <c r="C737" s="489">
        <v>5644</v>
      </c>
      <c r="D737" s="489">
        <f>C737+C736</f>
        <v>37</v>
      </c>
      <c r="E737" s="490">
        <f>IFERROR(-D737/C736,0)</f>
        <v>6.5988942393436778E-3</v>
      </c>
      <c r="F737" s="383">
        <f>B737-B736</f>
        <v>49</v>
      </c>
      <c r="G737" s="490">
        <f>(C737/-C736)^(1/((B737-B736)/365))-1</f>
        <v>5.0213581124983309E-2</v>
      </c>
      <c r="H737" s="98"/>
      <c r="K737" s="98"/>
      <c r="L737" s="98"/>
      <c r="M737" s="98"/>
      <c r="N737" s="98"/>
      <c r="O737" s="98"/>
      <c r="P737" s="98"/>
      <c r="Q737" s="98"/>
      <c r="R737" s="98"/>
      <c r="S737" s="98"/>
      <c r="T737" s="98"/>
      <c r="U737" s="98"/>
      <c r="V737" s="98"/>
      <c r="W737" s="98"/>
      <c r="X737" s="98"/>
      <c r="Y737" s="98"/>
      <c r="Z737" s="98"/>
      <c r="AA737" s="98"/>
      <c r="AB737" s="98"/>
      <c r="AC737" s="98"/>
      <c r="AD737" s="98"/>
    </row>
    <row r="738" spans="1:30" ht="12.75" customHeight="1">
      <c r="A738" s="140" t="s">
        <v>570</v>
      </c>
      <c r="B738" s="154">
        <v>44407</v>
      </c>
      <c r="C738" s="395">
        <v>-2253</v>
      </c>
      <c r="D738" s="494"/>
      <c r="E738" s="497"/>
      <c r="F738" s="498"/>
      <c r="G738" s="488"/>
      <c r="H738" s="98"/>
      <c r="K738" s="98"/>
      <c r="L738" s="98"/>
      <c r="M738" s="98"/>
      <c r="N738" s="98"/>
      <c r="O738" s="98"/>
      <c r="P738" s="98"/>
      <c r="Q738" s="98"/>
      <c r="R738" s="98"/>
      <c r="S738" s="98"/>
      <c r="T738" s="98"/>
      <c r="U738" s="98"/>
      <c r="V738" s="98"/>
      <c r="W738" s="98"/>
      <c r="X738" s="98"/>
      <c r="Y738" s="98"/>
      <c r="Z738" s="98"/>
      <c r="AA738" s="98"/>
      <c r="AB738" s="98"/>
      <c r="AC738" s="98"/>
      <c r="AD738" s="98"/>
    </row>
    <row r="739" spans="1:30" ht="12.75" customHeight="1">
      <c r="A739" s="125" t="s">
        <v>570</v>
      </c>
      <c r="B739" s="155">
        <v>44509</v>
      </c>
      <c r="C739" s="489">
        <v>2268</v>
      </c>
      <c r="D739" s="489">
        <f>C739+C738</f>
        <v>15</v>
      </c>
      <c r="E739" s="490">
        <f>-D739/C738</f>
        <v>6.6577896138482022E-3</v>
      </c>
      <c r="F739" s="383">
        <f>B739-B738</f>
        <v>102</v>
      </c>
      <c r="G739" s="490">
        <f>(C739/-C738)^(1/((B739-B738)/365))-1</f>
        <v>2.4029653227126913E-2</v>
      </c>
      <c r="H739" s="98"/>
      <c r="K739" s="98"/>
      <c r="L739" s="98"/>
      <c r="M739" s="98"/>
      <c r="N739" s="98"/>
      <c r="O739" s="98"/>
      <c r="P739" s="98"/>
      <c r="Q739" s="98"/>
      <c r="R739" s="98"/>
      <c r="S739" s="98"/>
      <c r="T739" s="98"/>
      <c r="U739" s="98"/>
      <c r="V739" s="98"/>
      <c r="W739" s="98"/>
      <c r="X739" s="98"/>
      <c r="Y739" s="98"/>
      <c r="Z739" s="98"/>
      <c r="AA739" s="98"/>
      <c r="AB739" s="98"/>
      <c r="AC739" s="98"/>
      <c r="AD739" s="98"/>
    </row>
    <row r="740" spans="1:30" ht="12.75" customHeight="1">
      <c r="A740" s="140" t="s">
        <v>623</v>
      </c>
      <c r="B740" s="154">
        <v>44687</v>
      </c>
      <c r="C740" s="395">
        <v>-6082</v>
      </c>
      <c r="D740" s="494"/>
      <c r="E740" s="487"/>
      <c r="F740" s="488"/>
      <c r="G740" s="488"/>
      <c r="H740" s="98"/>
      <c r="K740" s="98"/>
      <c r="L740" s="98"/>
      <c r="M740" s="98"/>
      <c r="N740" s="98"/>
      <c r="O740" s="98"/>
      <c r="P740" s="98"/>
      <c r="Q740" s="98"/>
      <c r="R740" s="98"/>
      <c r="S740" s="98"/>
      <c r="T740" s="98"/>
      <c r="U740" s="98"/>
      <c r="V740" s="98"/>
      <c r="W740" s="98"/>
      <c r="X740" s="98"/>
      <c r="Y740" s="98"/>
      <c r="Z740" s="98"/>
      <c r="AA740" s="98"/>
      <c r="AB740" s="98"/>
      <c r="AC740" s="98"/>
      <c r="AD740" s="98"/>
    </row>
    <row r="741" spans="1:30" ht="12.75" customHeight="1">
      <c r="A741" s="125" t="s">
        <v>623</v>
      </c>
      <c r="B741" s="155">
        <v>44699</v>
      </c>
      <c r="C741" s="489">
        <v>6219</v>
      </c>
      <c r="D741" s="489">
        <f>C741+C740</f>
        <v>137</v>
      </c>
      <c r="E741" s="490">
        <f>IFERROR(-D741/C740,0)</f>
        <v>2.2525485037816508E-2</v>
      </c>
      <c r="F741" s="383">
        <f>B741-B740</f>
        <v>12</v>
      </c>
      <c r="G741" s="490">
        <f>(C741/-C740)^(1/((B741-B740)/365))-1</f>
        <v>0.96904264578866939</v>
      </c>
      <c r="H741" s="98"/>
      <c r="K741" s="98"/>
      <c r="L741" s="98"/>
      <c r="M741" s="98"/>
      <c r="N741" s="98"/>
      <c r="O741" s="98"/>
      <c r="P741" s="98"/>
      <c r="Q741" s="98"/>
      <c r="R741" s="98"/>
      <c r="S741" s="98"/>
      <c r="T741" s="98"/>
      <c r="U741" s="98"/>
      <c r="V741" s="98"/>
      <c r="W741" s="98"/>
      <c r="X741" s="98"/>
      <c r="Y741" s="98"/>
      <c r="Z741" s="98"/>
      <c r="AA741" s="98"/>
      <c r="AB741" s="98"/>
      <c r="AC741" s="98"/>
      <c r="AD741" s="98"/>
    </row>
    <row r="742" spans="1:30" ht="12.75" customHeight="1">
      <c r="A742" s="140" t="s">
        <v>628</v>
      </c>
      <c r="B742" s="154">
        <v>44769</v>
      </c>
      <c r="C742" s="395">
        <v>-6257</v>
      </c>
      <c r="D742" s="395"/>
      <c r="E742" s="487"/>
      <c r="F742" s="491"/>
      <c r="G742" s="488"/>
      <c r="H742" s="98"/>
      <c r="K742" s="98"/>
      <c r="L742" s="98"/>
      <c r="M742" s="98"/>
      <c r="N742" s="98"/>
      <c r="O742" s="98"/>
      <c r="P742" s="98"/>
      <c r="Q742" s="98"/>
      <c r="R742" s="98"/>
      <c r="S742" s="98"/>
      <c r="T742" s="98"/>
      <c r="U742" s="98"/>
      <c r="V742" s="98"/>
      <c r="W742" s="98"/>
      <c r="X742" s="98"/>
      <c r="Y742" s="98"/>
      <c r="Z742" s="98"/>
      <c r="AA742" s="98"/>
      <c r="AB742" s="98"/>
      <c r="AC742" s="98"/>
      <c r="AD742" s="98"/>
    </row>
    <row r="743" spans="1:30" ht="12.75" customHeight="1">
      <c r="A743" s="125" t="s">
        <v>628</v>
      </c>
      <c r="B743" s="155">
        <v>44796</v>
      </c>
      <c r="C743" s="489">
        <v>6688</v>
      </c>
      <c r="D743" s="489">
        <f>C743+C742</f>
        <v>431</v>
      </c>
      <c r="E743" s="490">
        <f>IFERROR(-D743/C742,0)</f>
        <v>6.8882851206648554E-2</v>
      </c>
      <c r="F743" s="383">
        <f>B743-B742</f>
        <v>27</v>
      </c>
      <c r="G743" s="490">
        <f>(C743/-C742)^(1/((B743-B742)/365))-1</f>
        <v>1.4608901071013776</v>
      </c>
      <c r="H743" s="98"/>
      <c r="K743" s="98"/>
      <c r="L743" s="98"/>
      <c r="M743" s="98"/>
      <c r="N743" s="98"/>
      <c r="O743" s="98"/>
      <c r="P743" s="98"/>
      <c r="Q743" s="98"/>
      <c r="R743" s="98"/>
      <c r="S743" s="98"/>
      <c r="T743" s="98"/>
      <c r="U743" s="98"/>
      <c r="V743" s="98"/>
      <c r="W743" s="98"/>
      <c r="X743" s="98"/>
      <c r="Y743" s="98"/>
      <c r="Z743" s="98"/>
      <c r="AA743" s="98"/>
      <c r="AB743" s="98"/>
      <c r="AC743" s="98"/>
      <c r="AD743" s="98"/>
    </row>
    <row r="744" spans="1:30" ht="12.75" customHeight="1">
      <c r="A744" s="140" t="s">
        <v>628</v>
      </c>
      <c r="B744" s="154">
        <v>44767</v>
      </c>
      <c r="C744" s="395">
        <v>-6508</v>
      </c>
      <c r="D744" s="395"/>
      <c r="E744" s="487"/>
      <c r="F744" s="491"/>
      <c r="G744" s="488"/>
      <c r="H744" s="98"/>
      <c r="K744" s="98"/>
      <c r="L744" s="98"/>
      <c r="M744" s="98"/>
      <c r="N744" s="98"/>
      <c r="O744" s="98"/>
      <c r="P744" s="98"/>
      <c r="Q744" s="98"/>
      <c r="R744" s="98"/>
      <c r="S744" s="98"/>
      <c r="T744" s="98"/>
      <c r="U744" s="98"/>
      <c r="V744" s="98"/>
      <c r="W744" s="98"/>
      <c r="X744" s="98"/>
      <c r="Y744" s="98"/>
      <c r="Z744" s="98"/>
      <c r="AA744" s="98"/>
      <c r="AB744" s="98"/>
      <c r="AC744" s="98"/>
      <c r="AD744" s="98"/>
    </row>
    <row r="745" spans="1:30" ht="12.75" customHeight="1">
      <c r="A745" s="125" t="s">
        <v>628</v>
      </c>
      <c r="B745" s="155">
        <v>44797</v>
      </c>
      <c r="C745" s="489">
        <v>6983</v>
      </c>
      <c r="D745" s="489">
        <f>C745+C744</f>
        <v>475</v>
      </c>
      <c r="E745" s="490">
        <f>IFERROR(-D745/C744,0)</f>
        <v>7.2987092808850643E-2</v>
      </c>
      <c r="F745" s="383">
        <f>B745-B744</f>
        <v>30</v>
      </c>
      <c r="G745" s="490">
        <f>(C745/-C744)^(1/((B745-B744)/365))-1</f>
        <v>1.3563134176467577</v>
      </c>
      <c r="H745" s="98"/>
      <c r="K745" s="98"/>
      <c r="L745" s="98"/>
      <c r="M745" s="98"/>
      <c r="N745" s="98"/>
      <c r="O745" s="98"/>
      <c r="P745" s="98"/>
      <c r="Q745" s="98"/>
      <c r="R745" s="98"/>
      <c r="S745" s="98"/>
      <c r="T745" s="98"/>
      <c r="U745" s="98"/>
      <c r="V745" s="98"/>
      <c r="W745" s="98"/>
      <c r="X745" s="98"/>
      <c r="Y745" s="98"/>
      <c r="Z745" s="98"/>
      <c r="AA745" s="98"/>
      <c r="AB745" s="98"/>
      <c r="AC745" s="98"/>
      <c r="AD745" s="98"/>
    </row>
    <row r="746" spans="1:30" ht="12.75" customHeight="1">
      <c r="A746" s="138" t="s">
        <v>523</v>
      </c>
      <c r="B746" s="492">
        <v>44341</v>
      </c>
      <c r="C746" s="493">
        <v>-17621</v>
      </c>
      <c r="D746" s="494"/>
      <c r="E746" s="487"/>
      <c r="F746" s="491"/>
      <c r="G746" s="488"/>
      <c r="H746" s="98"/>
      <c r="K746" s="98"/>
      <c r="L746" s="98"/>
      <c r="M746" s="98"/>
      <c r="N746" s="98"/>
      <c r="O746" s="98"/>
      <c r="P746" s="98"/>
      <c r="Q746" s="98"/>
      <c r="R746" s="98"/>
      <c r="S746" s="98"/>
      <c r="T746" s="98"/>
      <c r="U746" s="98"/>
      <c r="V746" s="98"/>
      <c r="W746" s="98"/>
      <c r="X746" s="98"/>
      <c r="Y746" s="98"/>
      <c r="Z746" s="98"/>
      <c r="AA746" s="98"/>
      <c r="AB746" s="98"/>
      <c r="AC746" s="98"/>
      <c r="AD746" s="98"/>
    </row>
    <row r="747" spans="1:30" ht="12.75" customHeight="1">
      <c r="A747" s="125" t="s">
        <v>523</v>
      </c>
      <c r="B747" s="495">
        <v>44361</v>
      </c>
      <c r="C747" s="496">
        <v>17831</v>
      </c>
      <c r="D747" s="489">
        <f>C747+C746</f>
        <v>210</v>
      </c>
      <c r="E747" s="490">
        <f>-D747/C746</f>
        <v>1.1917598320186141E-2</v>
      </c>
      <c r="F747" s="383">
        <f>B747-B746</f>
        <v>20</v>
      </c>
      <c r="G747" s="490">
        <f>(C747/-C746)^(1/((B747-B746)/365))-1</f>
        <v>0.2413634836631593</v>
      </c>
      <c r="H747" s="98"/>
      <c r="K747" s="98"/>
      <c r="L747" s="98"/>
      <c r="M747" s="98"/>
      <c r="N747" s="98"/>
      <c r="O747" s="98"/>
      <c r="P747" s="98"/>
      <c r="Q747" s="98"/>
      <c r="R747" s="98"/>
      <c r="S747" s="98"/>
      <c r="T747" s="98"/>
      <c r="U747" s="98"/>
      <c r="V747" s="98"/>
      <c r="W747" s="98"/>
      <c r="X747" s="98"/>
      <c r="Y747" s="98"/>
      <c r="Z747" s="98"/>
      <c r="AA747" s="98"/>
      <c r="AB747" s="98"/>
      <c r="AC747" s="98"/>
      <c r="AD747" s="98"/>
    </row>
    <row r="748" spans="1:30" ht="12.75" customHeight="1">
      <c r="A748" s="140" t="s">
        <v>601</v>
      </c>
      <c r="B748" s="154">
        <v>44572</v>
      </c>
      <c r="C748" s="395">
        <v>-9511</v>
      </c>
      <c r="D748" s="494"/>
      <c r="E748" s="487"/>
      <c r="F748" s="491"/>
      <c r="G748" s="488"/>
      <c r="H748" s="98"/>
      <c r="K748" s="98"/>
      <c r="L748" s="98"/>
      <c r="M748" s="98"/>
      <c r="N748" s="98"/>
      <c r="O748" s="98"/>
      <c r="P748" s="98"/>
      <c r="Q748" s="98"/>
      <c r="R748" s="98"/>
      <c r="S748" s="98"/>
      <c r="T748" s="98"/>
      <c r="U748" s="98"/>
      <c r="V748" s="98"/>
      <c r="W748" s="98"/>
      <c r="X748" s="98"/>
      <c r="Y748" s="98"/>
      <c r="Z748" s="98"/>
      <c r="AA748" s="98"/>
      <c r="AB748" s="98"/>
      <c r="AC748" s="98"/>
      <c r="AD748" s="98"/>
    </row>
    <row r="749" spans="1:30" ht="12.75" customHeight="1">
      <c r="A749" s="125" t="s">
        <v>601</v>
      </c>
      <c r="B749" s="155">
        <v>44614</v>
      </c>
      <c r="C749" s="489">
        <v>9710</v>
      </c>
      <c r="D749" s="489">
        <f>C749+C748</f>
        <v>199</v>
      </c>
      <c r="E749" s="490">
        <f>IFERROR(-D749/C748,0)</f>
        <v>2.092314162548628E-2</v>
      </c>
      <c r="F749" s="383">
        <f>B749-B748</f>
        <v>42</v>
      </c>
      <c r="G749" s="490">
        <f>(C749/-C748)^(1/((B749-B748)/365))-1</f>
        <v>0.19716461440482913</v>
      </c>
      <c r="H749" s="98"/>
      <c r="K749" s="98"/>
      <c r="L749" s="98"/>
      <c r="M749" s="98"/>
      <c r="N749" s="98"/>
      <c r="O749" s="98"/>
      <c r="P749" s="98"/>
      <c r="Q749" s="98"/>
      <c r="R749" s="98"/>
      <c r="S749" s="98"/>
      <c r="T749" s="98"/>
      <c r="U749" s="98"/>
      <c r="V749" s="98"/>
      <c r="W749" s="98"/>
      <c r="X749" s="98"/>
      <c r="Y749" s="98"/>
      <c r="Z749" s="98"/>
      <c r="AA749" s="98"/>
      <c r="AB749" s="98"/>
      <c r="AC749" s="98"/>
      <c r="AD749" s="98"/>
    </row>
    <row r="750" spans="1:30" ht="12.75" customHeight="1">
      <c r="A750" s="140" t="s">
        <v>601</v>
      </c>
      <c r="B750" s="154">
        <v>44616</v>
      </c>
      <c r="C750" s="395">
        <v>-4806</v>
      </c>
      <c r="D750" s="494"/>
      <c r="E750" s="487"/>
      <c r="F750" s="491"/>
      <c r="G750" s="488"/>
      <c r="H750" s="98"/>
      <c r="K750" s="98"/>
      <c r="L750" s="98"/>
      <c r="M750" s="98"/>
      <c r="N750" s="98"/>
      <c r="O750" s="98"/>
      <c r="P750" s="98"/>
      <c r="Q750" s="98"/>
      <c r="R750" s="98"/>
      <c r="S750" s="98"/>
      <c r="T750" s="98"/>
      <c r="U750" s="98"/>
      <c r="V750" s="98"/>
      <c r="W750" s="98"/>
      <c r="X750" s="98"/>
      <c r="Y750" s="98"/>
      <c r="Z750" s="98"/>
      <c r="AA750" s="98"/>
      <c r="AB750" s="98"/>
      <c r="AC750" s="98"/>
      <c r="AD750" s="98"/>
    </row>
    <row r="751" spans="1:30" ht="12.75" customHeight="1">
      <c r="A751" s="125" t="s">
        <v>601</v>
      </c>
      <c r="B751" s="155">
        <v>44620</v>
      </c>
      <c r="C751" s="489">
        <v>4833</v>
      </c>
      <c r="D751" s="489">
        <f>C751+C750</f>
        <v>27</v>
      </c>
      <c r="E751" s="490">
        <f>IFERROR(-D751/C750,0)</f>
        <v>5.6179775280898875E-3</v>
      </c>
      <c r="F751" s="383">
        <f>B751-B750</f>
        <v>4</v>
      </c>
      <c r="G751" s="490">
        <f>(C751/-C750)^(1/((B751-B750)/365))-1</f>
        <v>0.66730044555570411</v>
      </c>
      <c r="H751" s="98"/>
      <c r="K751" s="98"/>
      <c r="L751" s="98"/>
      <c r="M751" s="98"/>
      <c r="N751" s="98"/>
      <c r="O751" s="98"/>
      <c r="P751" s="98"/>
      <c r="Q751" s="98"/>
      <c r="R751" s="98"/>
      <c r="S751" s="98"/>
      <c r="T751" s="98"/>
      <c r="U751" s="98"/>
      <c r="V751" s="98"/>
      <c r="W751" s="98"/>
      <c r="X751" s="98"/>
      <c r="Y751" s="98"/>
      <c r="Z751" s="98"/>
      <c r="AA751" s="98"/>
      <c r="AB751" s="98"/>
      <c r="AC751" s="98"/>
      <c r="AD751" s="98"/>
    </row>
    <row r="752" spans="1:30" ht="12.75" customHeight="1">
      <c r="A752" s="140" t="s">
        <v>601</v>
      </c>
      <c r="B752" s="154">
        <v>44656</v>
      </c>
      <c r="C752" s="395">
        <v>-4981</v>
      </c>
      <c r="D752" s="395"/>
      <c r="E752" s="487"/>
      <c r="F752" s="491"/>
      <c r="G752" s="488"/>
      <c r="H752" s="98"/>
      <c r="K752" s="98"/>
      <c r="L752" s="98"/>
      <c r="M752" s="98"/>
      <c r="N752" s="98"/>
      <c r="O752" s="98"/>
      <c r="P752" s="98"/>
      <c r="Q752" s="98"/>
      <c r="R752" s="98"/>
      <c r="S752" s="98"/>
      <c r="T752" s="98"/>
      <c r="U752" s="98"/>
      <c r="V752" s="98"/>
      <c r="W752" s="98"/>
      <c r="X752" s="98"/>
      <c r="Y752" s="98"/>
      <c r="Z752" s="98"/>
      <c r="AA752" s="98"/>
      <c r="AB752" s="98"/>
      <c r="AC752" s="98"/>
      <c r="AD752" s="98"/>
    </row>
    <row r="753" spans="1:30" ht="12.75" customHeight="1">
      <c r="A753" s="125" t="s">
        <v>601</v>
      </c>
      <c r="B753" s="155">
        <v>44769</v>
      </c>
      <c r="C753" s="489">
        <v>5354</v>
      </c>
      <c r="D753" s="489">
        <f>C753+C752</f>
        <v>373</v>
      </c>
      <c r="E753" s="490">
        <f>IFERROR(-D753/C752,0)</f>
        <v>7.4884561333065647E-2</v>
      </c>
      <c r="F753" s="383">
        <f>B753-B752</f>
        <v>113</v>
      </c>
      <c r="G753" s="490">
        <f>(C753/-C752)^(1/((B753-B752)/365))-1</f>
        <v>0.26270375078661834</v>
      </c>
      <c r="H753" s="98"/>
      <c r="K753" s="98"/>
      <c r="L753" s="98"/>
      <c r="M753" s="98"/>
      <c r="N753" s="98"/>
      <c r="O753" s="98"/>
      <c r="P753" s="98"/>
      <c r="Q753" s="98"/>
      <c r="R753" s="98"/>
      <c r="S753" s="98"/>
      <c r="T753" s="98"/>
      <c r="U753" s="98"/>
      <c r="V753" s="98"/>
      <c r="W753" s="98"/>
      <c r="X753" s="98"/>
      <c r="Y753" s="98"/>
      <c r="Z753" s="98"/>
      <c r="AA753" s="98"/>
      <c r="AB753" s="98"/>
      <c r="AC753" s="98"/>
      <c r="AD753" s="98"/>
    </row>
    <row r="754" spans="1:30" ht="12.75" customHeight="1">
      <c r="A754" s="140" t="s">
        <v>601</v>
      </c>
      <c r="B754" s="154">
        <v>44656</v>
      </c>
      <c r="C754" s="395">
        <v>-4981</v>
      </c>
      <c r="D754" s="395"/>
      <c r="E754" s="487"/>
      <c r="F754" s="491"/>
      <c r="G754" s="488"/>
      <c r="H754" s="98"/>
      <c r="K754" s="98"/>
      <c r="L754" s="98"/>
      <c r="M754" s="98"/>
      <c r="N754" s="98"/>
      <c r="O754" s="98"/>
      <c r="P754" s="98"/>
      <c r="Q754" s="98"/>
      <c r="R754" s="98"/>
      <c r="S754" s="98"/>
      <c r="T754" s="98"/>
      <c r="U754" s="98"/>
      <c r="V754" s="98"/>
      <c r="W754" s="98"/>
      <c r="X754" s="98"/>
      <c r="Y754" s="98"/>
      <c r="Z754" s="98"/>
      <c r="AA754" s="98"/>
      <c r="AB754" s="98"/>
      <c r="AC754" s="98"/>
      <c r="AD754" s="98"/>
    </row>
    <row r="755" spans="1:30" ht="12.75" customHeight="1">
      <c r="A755" s="125" t="s">
        <v>601</v>
      </c>
      <c r="B755" s="155">
        <v>44775</v>
      </c>
      <c r="C755" s="489">
        <v>5363</v>
      </c>
      <c r="D755" s="489">
        <f>C755+C754</f>
        <v>382</v>
      </c>
      <c r="E755" s="490">
        <f>IFERROR(-D755/C754,0)</f>
        <v>7.6691427424212005E-2</v>
      </c>
      <c r="F755" s="383">
        <f>B755-B754</f>
        <v>119</v>
      </c>
      <c r="G755" s="490">
        <f>(C755/-C754)^(1/((B755-B754)/365))-1</f>
        <v>0.25438589233746667</v>
      </c>
      <c r="H755" s="98"/>
      <c r="K755" s="98"/>
      <c r="L755" s="98"/>
      <c r="M755" s="98"/>
      <c r="N755" s="98"/>
      <c r="O755" s="98"/>
      <c r="P755" s="98"/>
      <c r="Q755" s="98"/>
      <c r="R755" s="98"/>
      <c r="S755" s="98"/>
      <c r="T755" s="98"/>
      <c r="U755" s="98"/>
      <c r="V755" s="98"/>
      <c r="W755" s="98"/>
      <c r="X755" s="98"/>
      <c r="Y755" s="98"/>
      <c r="Z755" s="98"/>
      <c r="AA755" s="98"/>
      <c r="AB755" s="98"/>
      <c r="AC755" s="98"/>
      <c r="AD755" s="98"/>
    </row>
    <row r="756" spans="1:30" ht="12.75" customHeight="1">
      <c r="A756" s="140" t="s">
        <v>612</v>
      </c>
      <c r="B756" s="154">
        <v>44651</v>
      </c>
      <c r="C756" s="395">
        <v>-46731</v>
      </c>
      <c r="D756" s="494"/>
      <c r="E756" s="487"/>
      <c r="F756" s="491"/>
      <c r="G756" s="488"/>
      <c r="H756" s="98"/>
      <c r="K756" s="98"/>
      <c r="L756" s="98"/>
      <c r="M756" s="98"/>
      <c r="N756" s="98"/>
      <c r="O756" s="98"/>
      <c r="P756" s="98"/>
      <c r="Q756" s="98"/>
      <c r="R756" s="98"/>
      <c r="S756" s="98"/>
      <c r="T756" s="98"/>
      <c r="U756" s="98"/>
      <c r="V756" s="98"/>
      <c r="W756" s="98"/>
      <c r="X756" s="98"/>
      <c r="Y756" s="98"/>
      <c r="Z756" s="98"/>
      <c r="AA756" s="98"/>
      <c r="AB756" s="98"/>
      <c r="AC756" s="98"/>
      <c r="AD756" s="98"/>
    </row>
    <row r="757" spans="1:30" ht="12.75" customHeight="1">
      <c r="A757" s="125" t="s">
        <v>612</v>
      </c>
      <c r="B757" s="155">
        <v>44686</v>
      </c>
      <c r="C757" s="489">
        <v>48184</v>
      </c>
      <c r="D757" s="489">
        <f>C757+C756</f>
        <v>1453</v>
      </c>
      <c r="E757" s="490">
        <f>IFERROR(-D757/C756,0)</f>
        <v>3.1092850570285251E-2</v>
      </c>
      <c r="F757" s="383">
        <f>B757-B756</f>
        <v>35</v>
      </c>
      <c r="G757" s="490">
        <f>(C757/-C756)^(1/((B757-B756)/365))-1</f>
        <v>0.37618494360932253</v>
      </c>
      <c r="H757" s="98"/>
      <c r="K757" s="98"/>
      <c r="L757" s="98"/>
      <c r="M757" s="98"/>
      <c r="N757" s="98"/>
      <c r="O757" s="98"/>
      <c r="P757" s="98"/>
      <c r="Q757" s="98"/>
      <c r="R757" s="98"/>
      <c r="S757" s="98"/>
      <c r="T757" s="98"/>
      <c r="U757" s="98"/>
      <c r="V757" s="98"/>
      <c r="W757" s="98"/>
      <c r="X757" s="98"/>
      <c r="Y757" s="98"/>
      <c r="Z757" s="98"/>
      <c r="AA757" s="98"/>
      <c r="AB757" s="98"/>
      <c r="AC757" s="98"/>
      <c r="AD757" s="98"/>
    </row>
    <row r="758" spans="1:30" ht="12.75" customHeight="1">
      <c r="A758" s="140" t="s">
        <v>612</v>
      </c>
      <c r="B758" s="154">
        <v>44687</v>
      </c>
      <c r="C758" s="395">
        <v>-6059</v>
      </c>
      <c r="D758" s="395"/>
      <c r="E758" s="487"/>
      <c r="F758" s="491"/>
      <c r="G758" s="488"/>
      <c r="H758" s="98"/>
      <c r="K758" s="98"/>
      <c r="L758" s="98"/>
      <c r="M758" s="98"/>
      <c r="N758" s="98"/>
      <c r="O758" s="98"/>
      <c r="P758" s="98"/>
      <c r="Q758" s="98"/>
      <c r="R758" s="98"/>
      <c r="S758" s="98"/>
      <c r="T758" s="98"/>
      <c r="U758" s="98"/>
      <c r="V758" s="98"/>
      <c r="W758" s="98"/>
      <c r="X758" s="98"/>
      <c r="Y758" s="98"/>
      <c r="Z758" s="98"/>
      <c r="AA758" s="98"/>
      <c r="AB758" s="98"/>
      <c r="AC758" s="98"/>
      <c r="AD758" s="98"/>
    </row>
    <row r="759" spans="1:30" ht="12.75" customHeight="1">
      <c r="A759" s="125" t="s">
        <v>612</v>
      </c>
      <c r="B759" s="155">
        <v>44727</v>
      </c>
      <c r="C759" s="489">
        <v>7220</v>
      </c>
      <c r="D759" s="489">
        <f>C759+C758</f>
        <v>1161</v>
      </c>
      <c r="E759" s="490">
        <f>IFERROR(-D759/C758,0)</f>
        <v>0.19161577818121803</v>
      </c>
      <c r="F759" s="383">
        <f>B759-B758</f>
        <v>40</v>
      </c>
      <c r="G759" s="490">
        <f>(C759/-C758)^(1/((B759-B758)/365))-1</f>
        <v>3.9515735717431548</v>
      </c>
      <c r="H759" s="98"/>
      <c r="K759" s="98"/>
      <c r="L759" s="98"/>
      <c r="M759" s="98"/>
      <c r="N759" s="98"/>
      <c r="O759" s="98"/>
      <c r="P759" s="98"/>
      <c r="Q759" s="98"/>
      <c r="R759" s="98"/>
      <c r="S759" s="98"/>
      <c r="T759" s="98"/>
      <c r="U759" s="98"/>
      <c r="V759" s="98"/>
      <c r="W759" s="98"/>
      <c r="X759" s="98"/>
      <c r="Y759" s="98"/>
      <c r="Z759" s="98"/>
      <c r="AA759" s="98"/>
      <c r="AB759" s="98"/>
      <c r="AC759" s="98"/>
      <c r="AD759" s="98"/>
    </row>
    <row r="760" spans="1:30" ht="12.75" customHeight="1">
      <c r="A760" s="140" t="s">
        <v>612</v>
      </c>
      <c r="B760" s="154">
        <v>44796</v>
      </c>
      <c r="C760" s="395">
        <v>-3956</v>
      </c>
      <c r="D760" s="395"/>
      <c r="E760" s="487"/>
      <c r="F760" s="491"/>
      <c r="G760" s="488"/>
      <c r="H760" s="98"/>
      <c r="K760" s="98"/>
      <c r="L760" s="98"/>
      <c r="M760" s="98"/>
      <c r="N760" s="98"/>
      <c r="O760" s="98"/>
      <c r="P760" s="98"/>
      <c r="Q760" s="98"/>
      <c r="R760" s="98"/>
      <c r="S760" s="98"/>
      <c r="T760" s="98"/>
      <c r="U760" s="98"/>
      <c r="V760" s="98"/>
      <c r="W760" s="98"/>
      <c r="X760" s="98"/>
      <c r="Y760" s="98"/>
      <c r="Z760" s="98"/>
      <c r="AA760" s="98"/>
      <c r="AB760" s="98"/>
      <c r="AC760" s="98"/>
      <c r="AD760" s="98"/>
    </row>
    <row r="761" spans="1:30" ht="12.75" customHeight="1">
      <c r="A761" s="125" t="s">
        <v>612</v>
      </c>
      <c r="B761" s="155">
        <v>44907</v>
      </c>
      <c r="C761" s="489">
        <v>4181</v>
      </c>
      <c r="D761" s="489">
        <v>225</v>
      </c>
      <c r="E761" s="490">
        <f>IFERROR(-D761/C760,0)</f>
        <v>5.6875631951466124E-2</v>
      </c>
      <c r="F761" s="383">
        <f>B761-B760</f>
        <v>111</v>
      </c>
      <c r="G761" s="490">
        <f>(C761/-C760)^(1/((B761-B760)/365))-1</f>
        <v>0.19949228354472548</v>
      </c>
      <c r="H761" s="98"/>
      <c r="K761" s="98"/>
      <c r="L761" s="98"/>
      <c r="M761" s="98"/>
      <c r="N761" s="98"/>
      <c r="O761" s="98"/>
      <c r="P761" s="98"/>
      <c r="Q761" s="98"/>
      <c r="R761" s="98"/>
      <c r="S761" s="98"/>
      <c r="T761" s="98"/>
      <c r="U761" s="98"/>
      <c r="V761" s="98"/>
      <c r="W761" s="98"/>
      <c r="X761" s="98"/>
      <c r="Y761" s="98"/>
      <c r="Z761" s="98"/>
      <c r="AA761" s="98"/>
      <c r="AB761" s="98"/>
      <c r="AC761" s="98"/>
      <c r="AD761" s="98"/>
    </row>
    <row r="762" spans="1:30" ht="12.75" customHeight="1">
      <c r="A762" s="140" t="s">
        <v>612</v>
      </c>
      <c r="B762" s="154">
        <v>44768</v>
      </c>
      <c r="C762" s="395">
        <v>-12754</v>
      </c>
      <c r="D762" s="395"/>
      <c r="E762" s="487"/>
      <c r="F762" s="491"/>
      <c r="G762" s="488"/>
      <c r="H762" s="98"/>
      <c r="K762" s="98"/>
      <c r="L762" s="98"/>
      <c r="M762" s="98"/>
      <c r="N762" s="98"/>
      <c r="O762" s="98"/>
      <c r="P762" s="98"/>
      <c r="Q762" s="98"/>
      <c r="R762" s="98"/>
      <c r="S762" s="98"/>
      <c r="T762" s="98"/>
      <c r="U762" s="98"/>
      <c r="V762" s="98"/>
      <c r="W762" s="98"/>
      <c r="X762" s="98"/>
      <c r="Y762" s="98"/>
      <c r="Z762" s="98"/>
      <c r="AA762" s="98"/>
      <c r="AB762" s="98"/>
      <c r="AC762" s="98"/>
      <c r="AD762" s="98"/>
    </row>
    <row r="763" spans="1:30" ht="12.75" customHeight="1">
      <c r="A763" s="125" t="s">
        <v>612</v>
      </c>
      <c r="B763" s="155">
        <v>44949</v>
      </c>
      <c r="C763" s="489">
        <v>13417</v>
      </c>
      <c r="D763" s="489">
        <f>C763+C762</f>
        <v>663</v>
      </c>
      <c r="E763" s="490">
        <f>IFERROR(-D763/C762,0)</f>
        <v>5.1983691390936178E-2</v>
      </c>
      <c r="F763" s="383">
        <f>B763-B762</f>
        <v>181</v>
      </c>
      <c r="G763" s="490">
        <f>(C763/-C762)^(1/((B763-B762)/365))-1</f>
        <v>0.10759963618780599</v>
      </c>
      <c r="H763" s="98"/>
      <c r="K763" s="98"/>
      <c r="L763" s="98"/>
      <c r="M763" s="98"/>
      <c r="N763" s="98"/>
      <c r="O763" s="98"/>
      <c r="P763" s="98"/>
      <c r="Q763" s="98"/>
      <c r="R763" s="98"/>
      <c r="S763" s="98"/>
      <c r="T763" s="98"/>
      <c r="U763" s="98"/>
      <c r="V763" s="98"/>
      <c r="W763" s="98"/>
      <c r="X763" s="98"/>
      <c r="Y763" s="98"/>
      <c r="Z763" s="98"/>
      <c r="AA763" s="98"/>
      <c r="AB763" s="98"/>
      <c r="AC763" s="98"/>
      <c r="AD763" s="98"/>
    </row>
    <row r="764" spans="1:30" ht="12.75" customHeight="1">
      <c r="A764" s="140" t="s">
        <v>612</v>
      </c>
      <c r="B764" s="154">
        <v>44994</v>
      </c>
      <c r="C764" s="395">
        <v>-5507</v>
      </c>
      <c r="D764" s="395"/>
      <c r="E764" s="487"/>
      <c r="F764" s="491"/>
      <c r="G764" s="488"/>
      <c r="H764" s="98"/>
      <c r="K764" s="98"/>
      <c r="L764" s="98"/>
      <c r="M764" s="98"/>
      <c r="N764" s="98"/>
      <c r="O764" s="98"/>
      <c r="P764" s="98"/>
      <c r="Q764" s="98"/>
      <c r="R764" s="98"/>
      <c r="S764" s="98"/>
      <c r="T764" s="98"/>
      <c r="U764" s="98"/>
      <c r="V764" s="98"/>
      <c r="W764" s="98"/>
      <c r="X764" s="98"/>
      <c r="Y764" s="98"/>
      <c r="Z764" s="98"/>
      <c r="AA764" s="98"/>
      <c r="AB764" s="98"/>
      <c r="AC764" s="98"/>
      <c r="AD764" s="98"/>
    </row>
    <row r="765" spans="1:30" ht="12.75" customHeight="1">
      <c r="A765" s="125" t="s">
        <v>612</v>
      </c>
      <c r="B765" s="155">
        <v>44993</v>
      </c>
      <c r="C765" s="489">
        <v>5563</v>
      </c>
      <c r="D765" s="489">
        <f>C765+C764</f>
        <v>56</v>
      </c>
      <c r="E765" s="490">
        <f>IFERROR(-D765/C764,0)</f>
        <v>1.0168875976030507E-2</v>
      </c>
      <c r="F765" s="383">
        <f>B765-B764</f>
        <v>-1</v>
      </c>
      <c r="G765" s="490">
        <f>(C765/-C764)^(1/((B765-B764)/365))-1</f>
        <v>-0.97510018976628043</v>
      </c>
      <c r="H765" s="98"/>
      <c r="K765" s="98"/>
      <c r="L765" s="98"/>
      <c r="M765" s="98"/>
      <c r="N765" s="98"/>
      <c r="O765" s="98"/>
      <c r="P765" s="98"/>
      <c r="Q765" s="98"/>
      <c r="R765" s="98"/>
      <c r="S765" s="98"/>
      <c r="T765" s="98"/>
      <c r="U765" s="98"/>
      <c r="V765" s="98"/>
      <c r="W765" s="98"/>
      <c r="X765" s="98"/>
      <c r="Y765" s="98"/>
      <c r="Z765" s="98"/>
      <c r="AA765" s="98"/>
      <c r="AB765" s="98"/>
      <c r="AC765" s="98"/>
      <c r="AD765" s="98"/>
    </row>
    <row r="766" spans="1:30" ht="12.75" customHeight="1">
      <c r="A766" s="140" t="s">
        <v>612</v>
      </c>
      <c r="B766" s="154">
        <v>45000</v>
      </c>
      <c r="C766" s="395">
        <v>-4693</v>
      </c>
      <c r="D766" s="395"/>
      <c r="E766" s="487"/>
      <c r="F766" s="491"/>
      <c r="G766" s="488"/>
      <c r="H766" s="98"/>
      <c r="K766" s="98"/>
      <c r="L766" s="98"/>
      <c r="M766" s="98"/>
      <c r="N766" s="98"/>
      <c r="O766" s="98"/>
      <c r="P766" s="98"/>
      <c r="Q766" s="98"/>
      <c r="R766" s="98"/>
      <c r="S766" s="98"/>
      <c r="T766" s="98"/>
      <c r="U766" s="98"/>
      <c r="V766" s="98"/>
      <c r="W766" s="98"/>
      <c r="X766" s="98"/>
      <c r="Y766" s="98"/>
      <c r="Z766" s="98"/>
      <c r="AA766" s="98"/>
      <c r="AB766" s="98"/>
      <c r="AC766" s="98"/>
      <c r="AD766" s="98"/>
    </row>
    <row r="767" spans="1:30" ht="12.75" customHeight="1">
      <c r="A767" s="125" t="s">
        <v>612</v>
      </c>
      <c r="B767" s="155">
        <v>44991</v>
      </c>
      <c r="C767" s="489">
        <v>4671</v>
      </c>
      <c r="D767" s="489">
        <f>C767+C766</f>
        <v>-22</v>
      </c>
      <c r="E767" s="490">
        <f>IFERROR(-D767/C766,0)</f>
        <v>-4.6878329426805884E-3</v>
      </c>
      <c r="F767" s="383">
        <f>B767-B766</f>
        <v>-9</v>
      </c>
      <c r="G767" s="490">
        <f>(C767/-C766)^(1/((B767-B766)/365))-1</f>
        <v>0.2099326378429538</v>
      </c>
      <c r="H767" s="98"/>
      <c r="K767" s="98"/>
      <c r="L767" s="98"/>
      <c r="M767" s="98"/>
      <c r="N767" s="98"/>
      <c r="O767" s="98"/>
      <c r="P767" s="98"/>
      <c r="Q767" s="98"/>
      <c r="R767" s="98"/>
      <c r="S767" s="98"/>
      <c r="T767" s="98"/>
      <c r="U767" s="98"/>
      <c r="V767" s="98"/>
      <c r="W767" s="98"/>
      <c r="X767" s="98"/>
      <c r="Y767" s="98"/>
      <c r="Z767" s="98"/>
      <c r="AA767" s="98"/>
      <c r="AB767" s="98"/>
      <c r="AC767" s="98"/>
      <c r="AD767" s="98"/>
    </row>
    <row r="768" spans="1:30" ht="12.75" customHeight="1">
      <c r="A768" s="140" t="s">
        <v>612</v>
      </c>
      <c r="B768" s="154">
        <v>45007</v>
      </c>
      <c r="C768" s="395">
        <v>-208</v>
      </c>
      <c r="D768" s="395"/>
      <c r="E768" s="487"/>
      <c r="F768" s="491"/>
      <c r="G768" s="488"/>
      <c r="H768" s="98"/>
      <c r="K768" s="98"/>
      <c r="L768" s="98"/>
      <c r="M768" s="98"/>
      <c r="N768" s="98"/>
      <c r="O768" s="98"/>
      <c r="P768" s="98"/>
      <c r="Q768" s="98"/>
      <c r="R768" s="98"/>
      <c r="S768" s="98"/>
      <c r="T768" s="98"/>
      <c r="U768" s="98"/>
      <c r="V768" s="98"/>
      <c r="W768" s="98"/>
      <c r="X768" s="98"/>
      <c r="Y768" s="98"/>
      <c r="Z768" s="98"/>
      <c r="AA768" s="98"/>
      <c r="AB768" s="98"/>
      <c r="AC768" s="98"/>
      <c r="AD768" s="98"/>
    </row>
    <row r="769" spans="1:30" ht="12.75" customHeight="1">
      <c r="A769" s="125" t="s">
        <v>612</v>
      </c>
      <c r="B769" s="155">
        <v>45028</v>
      </c>
      <c r="C769" s="489">
        <v>217</v>
      </c>
      <c r="D769" s="489">
        <f>C769+C768</f>
        <v>9</v>
      </c>
      <c r="E769" s="490">
        <f>IFERROR(-D769/C768,0)</f>
        <v>4.3269230769230768E-2</v>
      </c>
      <c r="F769" s="383">
        <f>B769-B768</f>
        <v>21</v>
      </c>
      <c r="G769" s="490">
        <f>(C769/-C768)^(1/((B769-B768)/365))-1</f>
        <v>1.0880790353640055</v>
      </c>
      <c r="H769" s="98"/>
      <c r="K769" s="98"/>
      <c r="L769" s="98"/>
      <c r="M769" s="98"/>
      <c r="N769" s="98"/>
      <c r="O769" s="98"/>
      <c r="P769" s="98"/>
      <c r="Q769" s="98"/>
      <c r="R769" s="98"/>
      <c r="S769" s="98"/>
      <c r="T769" s="98"/>
      <c r="U769" s="98"/>
      <c r="V769" s="98"/>
      <c r="W769" s="98"/>
      <c r="X769" s="98"/>
      <c r="Y769" s="98"/>
      <c r="Z769" s="98"/>
      <c r="AA769" s="98"/>
      <c r="AB769" s="98"/>
      <c r="AC769" s="98"/>
      <c r="AD769" s="98"/>
    </row>
    <row r="770" spans="1:30" ht="12.75" customHeight="1">
      <c r="A770" s="140" t="s">
        <v>612</v>
      </c>
      <c r="B770" s="154">
        <v>44687</v>
      </c>
      <c r="C770" s="395">
        <v>-9885</v>
      </c>
      <c r="D770" s="395"/>
      <c r="E770" s="487"/>
      <c r="F770" s="491"/>
      <c r="G770" s="488"/>
      <c r="H770" s="98"/>
      <c r="K770" s="98"/>
      <c r="L770" s="98"/>
      <c r="M770" s="98"/>
      <c r="N770" s="98"/>
      <c r="O770" s="98"/>
      <c r="P770" s="98"/>
      <c r="Q770" s="98"/>
      <c r="R770" s="98"/>
      <c r="S770" s="98"/>
      <c r="T770" s="98"/>
      <c r="U770" s="98"/>
      <c r="V770" s="98"/>
      <c r="W770" s="98"/>
      <c r="X770" s="98"/>
      <c r="Y770" s="98"/>
      <c r="Z770" s="98"/>
      <c r="AA770" s="98"/>
      <c r="AB770" s="98"/>
      <c r="AC770" s="98"/>
      <c r="AD770" s="98"/>
    </row>
    <row r="771" spans="1:30" ht="12.75" customHeight="1">
      <c r="A771" s="125" t="s">
        <v>612</v>
      </c>
      <c r="B771" s="155">
        <v>45028</v>
      </c>
      <c r="C771" s="489">
        <v>10104</v>
      </c>
      <c r="D771" s="489">
        <f>C771+C770</f>
        <v>219</v>
      </c>
      <c r="E771" s="490">
        <f>IFERROR(-D771/C770,0)</f>
        <v>2.2154779969650987E-2</v>
      </c>
      <c r="F771" s="383">
        <f>B771-B770</f>
        <v>341</v>
      </c>
      <c r="G771" s="490">
        <f>(C771/-C770)^(1/((B771-B770)/365))-1</f>
        <v>2.3732423522876411E-2</v>
      </c>
      <c r="H771" s="98"/>
      <c r="K771" s="98"/>
      <c r="L771" s="98"/>
      <c r="M771" s="98"/>
      <c r="N771" s="98"/>
      <c r="O771" s="98"/>
      <c r="P771" s="98"/>
      <c r="Q771" s="98"/>
      <c r="R771" s="98"/>
      <c r="S771" s="98"/>
      <c r="T771" s="98"/>
      <c r="U771" s="98"/>
      <c r="V771" s="98"/>
      <c r="W771" s="98"/>
      <c r="X771" s="98"/>
      <c r="Y771" s="98"/>
      <c r="Z771" s="98"/>
      <c r="AA771" s="98"/>
      <c r="AB771" s="98"/>
      <c r="AC771" s="98"/>
      <c r="AD771" s="98"/>
    </row>
    <row r="772" spans="1:30" ht="12.75" customHeight="1">
      <c r="A772" s="140" t="s">
        <v>612</v>
      </c>
      <c r="B772" s="154">
        <v>45029</v>
      </c>
      <c r="C772" s="395">
        <v>-5374</v>
      </c>
      <c r="D772" s="395"/>
      <c r="E772" s="487"/>
      <c r="F772" s="491"/>
      <c r="G772" s="488"/>
      <c r="H772" s="98"/>
      <c r="K772" s="98"/>
      <c r="L772" s="98"/>
      <c r="M772" s="98"/>
      <c r="N772" s="98"/>
      <c r="O772" s="98"/>
      <c r="P772" s="98"/>
      <c r="Q772" s="98"/>
      <c r="R772" s="98"/>
      <c r="S772" s="98"/>
      <c r="T772" s="98"/>
      <c r="U772" s="98"/>
      <c r="V772" s="98"/>
      <c r="W772" s="98"/>
      <c r="X772" s="98"/>
      <c r="Y772" s="98"/>
      <c r="Z772" s="98"/>
      <c r="AA772" s="98"/>
      <c r="AB772" s="98"/>
      <c r="AC772" s="98"/>
      <c r="AD772" s="98"/>
    </row>
    <row r="773" spans="1:30" ht="12.75" customHeight="1">
      <c r="A773" s="125" t="s">
        <v>612</v>
      </c>
      <c r="B773" s="155">
        <v>45042</v>
      </c>
      <c r="C773" s="489">
        <v>5513</v>
      </c>
      <c r="D773" s="489">
        <f>C773+C772</f>
        <v>139</v>
      </c>
      <c r="E773" s="490">
        <f>IFERROR(-D773/C772,0)</f>
        <v>2.5865277260885746E-2</v>
      </c>
      <c r="F773" s="383">
        <f>B773-B772</f>
        <v>13</v>
      </c>
      <c r="G773" s="490">
        <f>(C773/-C772)^(1/((B773-B772)/365))-1</f>
        <v>1.0482471207428046</v>
      </c>
      <c r="H773" s="98"/>
      <c r="K773" s="98"/>
      <c r="L773" s="98"/>
      <c r="M773" s="98"/>
      <c r="N773" s="98"/>
      <c r="O773" s="98"/>
      <c r="P773" s="98"/>
      <c r="Q773" s="98"/>
      <c r="R773" s="98"/>
      <c r="S773" s="98"/>
      <c r="T773" s="98"/>
      <c r="U773" s="98"/>
      <c r="V773" s="98"/>
      <c r="W773" s="98"/>
      <c r="X773" s="98"/>
      <c r="Y773" s="98"/>
      <c r="Z773" s="98"/>
      <c r="AA773" s="98"/>
      <c r="AB773" s="98"/>
      <c r="AC773" s="98"/>
      <c r="AD773" s="98"/>
    </row>
    <row r="774" spans="1:30" ht="12.75" customHeight="1">
      <c r="A774" s="140" t="s">
        <v>630</v>
      </c>
      <c r="B774" s="154">
        <v>44769</v>
      </c>
      <c r="C774" s="395">
        <v>-6498</v>
      </c>
      <c r="D774" s="395"/>
      <c r="E774" s="487"/>
      <c r="F774" s="491"/>
      <c r="G774" s="488"/>
      <c r="H774" s="98"/>
      <c r="K774" s="98"/>
      <c r="L774" s="98"/>
      <c r="M774" s="98"/>
      <c r="N774" s="98"/>
      <c r="O774" s="98"/>
      <c r="P774" s="98"/>
      <c r="Q774" s="98"/>
      <c r="R774" s="98"/>
      <c r="S774" s="98"/>
      <c r="T774" s="98"/>
      <c r="U774" s="98"/>
      <c r="V774" s="98"/>
      <c r="W774" s="98"/>
      <c r="X774" s="98"/>
      <c r="Y774" s="98"/>
      <c r="Z774" s="98"/>
      <c r="AA774" s="98"/>
      <c r="AB774" s="98"/>
      <c r="AC774" s="98"/>
      <c r="AD774" s="98"/>
    </row>
    <row r="775" spans="1:30" ht="12.75" customHeight="1">
      <c r="A775" s="125" t="s">
        <v>630</v>
      </c>
      <c r="B775" s="155">
        <v>44803</v>
      </c>
      <c r="C775" s="489">
        <v>6683</v>
      </c>
      <c r="D775" s="489">
        <f>C775+C774</f>
        <v>185</v>
      </c>
      <c r="E775" s="490">
        <f>IFERROR(-D775/C774,0)</f>
        <v>2.8470298553401045E-2</v>
      </c>
      <c r="F775" s="383">
        <f>B775-B774</f>
        <v>34</v>
      </c>
      <c r="G775" s="490">
        <f>(C775/-C774)^(1/((B775-B774)/365))-1</f>
        <v>0.35170545430652389</v>
      </c>
      <c r="H775" s="98"/>
      <c r="K775" s="98"/>
      <c r="L775" s="98"/>
      <c r="M775" s="98"/>
      <c r="N775" s="98"/>
      <c r="O775" s="98"/>
      <c r="P775" s="98"/>
      <c r="Q775" s="98"/>
      <c r="R775" s="98"/>
      <c r="S775" s="98"/>
      <c r="T775" s="98"/>
      <c r="U775" s="98"/>
      <c r="V775" s="98"/>
      <c r="W775" s="98"/>
      <c r="X775" s="98"/>
      <c r="Y775" s="98"/>
      <c r="Z775" s="98"/>
      <c r="AA775" s="98"/>
      <c r="AB775" s="98"/>
      <c r="AC775" s="98"/>
      <c r="AD775" s="98"/>
    </row>
    <row r="776" spans="1:30" ht="12.75" customHeight="1">
      <c r="A776" s="140" t="s">
        <v>558</v>
      </c>
      <c r="B776" s="154">
        <v>44383</v>
      </c>
      <c r="C776" s="140">
        <v>-7379</v>
      </c>
      <c r="D776" s="494"/>
      <c r="E776" s="487"/>
      <c r="F776" s="491"/>
      <c r="G776" s="488"/>
      <c r="H776" s="98"/>
      <c r="K776" s="98"/>
      <c r="L776" s="98"/>
      <c r="M776" s="98"/>
      <c r="N776" s="98"/>
      <c r="O776" s="98"/>
      <c r="P776" s="98"/>
      <c r="Q776" s="98"/>
      <c r="R776" s="98"/>
      <c r="S776" s="98"/>
      <c r="T776" s="98"/>
      <c r="U776" s="98"/>
      <c r="V776" s="98"/>
      <c r="W776" s="98"/>
      <c r="X776" s="98"/>
      <c r="Y776" s="98"/>
      <c r="Z776" s="98"/>
      <c r="AA776" s="98"/>
      <c r="AB776" s="98"/>
      <c r="AC776" s="98"/>
      <c r="AD776" s="98"/>
    </row>
    <row r="777" spans="1:30" ht="12.75" customHeight="1">
      <c r="A777" s="125" t="s">
        <v>558</v>
      </c>
      <c r="B777" s="155">
        <v>44473</v>
      </c>
      <c r="C777" s="489">
        <v>7792</v>
      </c>
      <c r="D777" s="489">
        <f>C777+C776</f>
        <v>413</v>
      </c>
      <c r="E777" s="490">
        <f>-D777/C776</f>
        <v>5.5969643583141347E-2</v>
      </c>
      <c r="F777" s="383">
        <f>B777-B776</f>
        <v>90</v>
      </c>
      <c r="G777" s="490">
        <f>(C777/-C776)^(1/((B777-B776)/365))-1</f>
        <v>0.24715290492422848</v>
      </c>
      <c r="H777" s="98"/>
      <c r="K777" s="98"/>
      <c r="L777" s="98"/>
      <c r="M777" s="98"/>
      <c r="N777" s="98"/>
      <c r="O777" s="98"/>
      <c r="P777" s="98"/>
      <c r="Q777" s="98"/>
      <c r="R777" s="98"/>
      <c r="S777" s="98"/>
      <c r="T777" s="98"/>
      <c r="U777" s="98"/>
      <c r="V777" s="98"/>
      <c r="W777" s="98"/>
      <c r="X777" s="98"/>
      <c r="Y777" s="98"/>
      <c r="Z777" s="98"/>
      <c r="AA777" s="98"/>
      <c r="AB777" s="98"/>
      <c r="AC777" s="98"/>
      <c r="AD777" s="98"/>
    </row>
    <row r="778" spans="1:30" ht="12.75" customHeight="1">
      <c r="A778" s="139" t="s">
        <v>497</v>
      </c>
      <c r="B778" s="492">
        <v>44267</v>
      </c>
      <c r="C778" s="493">
        <v>-24462.1</v>
      </c>
      <c r="D778" s="494"/>
      <c r="E778" s="487"/>
      <c r="F778" s="491"/>
      <c r="G778" s="488"/>
      <c r="H778" s="98"/>
      <c r="K778" s="98"/>
      <c r="L778" s="98"/>
      <c r="M778" s="98"/>
      <c r="N778" s="98"/>
      <c r="O778" s="98"/>
      <c r="P778" s="98"/>
      <c r="Q778" s="98"/>
      <c r="R778" s="98"/>
      <c r="S778" s="98"/>
      <c r="T778" s="98"/>
      <c r="U778" s="98"/>
      <c r="V778" s="98"/>
      <c r="W778" s="98"/>
      <c r="X778" s="98"/>
      <c r="Y778" s="98"/>
      <c r="Z778" s="98"/>
      <c r="AA778" s="98"/>
      <c r="AB778" s="98"/>
      <c r="AC778" s="98"/>
      <c r="AD778" s="98"/>
    </row>
    <row r="779" spans="1:30" ht="12.75" customHeight="1">
      <c r="A779" s="125" t="s">
        <v>497</v>
      </c>
      <c r="B779" s="495">
        <v>44326</v>
      </c>
      <c r="C779" s="496">
        <v>25074</v>
      </c>
      <c r="D779" s="489">
        <f>C779+C778</f>
        <v>611.90000000000146</v>
      </c>
      <c r="E779" s="490">
        <f>-D779/C778</f>
        <v>2.5014205648738314E-2</v>
      </c>
      <c r="F779" s="383">
        <f>B779-B778</f>
        <v>59</v>
      </c>
      <c r="G779" s="490">
        <f>(C779/-C778)^(1/((B779-B778)/365))-1</f>
        <v>0.16514450891260912</v>
      </c>
      <c r="H779" s="98"/>
      <c r="K779" s="98"/>
      <c r="L779" s="98"/>
      <c r="M779" s="98"/>
      <c r="N779" s="98"/>
      <c r="O779" s="98"/>
      <c r="P779" s="98"/>
      <c r="Q779" s="98"/>
      <c r="R779" s="98"/>
      <c r="S779" s="98"/>
      <c r="T779" s="98"/>
      <c r="U779" s="98"/>
      <c r="V779" s="98"/>
      <c r="W779" s="98"/>
      <c r="X779" s="98"/>
      <c r="Y779" s="98"/>
      <c r="Z779" s="98"/>
      <c r="AA779" s="98"/>
      <c r="AB779" s="98"/>
      <c r="AC779" s="98"/>
      <c r="AD779" s="98"/>
    </row>
    <row r="780" spans="1:30" ht="12.75" customHeight="1">
      <c r="A780" s="140" t="s">
        <v>497</v>
      </c>
      <c r="B780" s="154">
        <v>44657</v>
      </c>
      <c r="C780" s="395">
        <v>-11023</v>
      </c>
      <c r="D780" s="494"/>
      <c r="E780" s="487"/>
      <c r="F780" s="491"/>
      <c r="G780" s="488"/>
      <c r="H780" s="98"/>
      <c r="K780" s="98"/>
      <c r="L780" s="98"/>
      <c r="M780" s="98"/>
      <c r="N780" s="98"/>
      <c r="O780" s="98"/>
      <c r="P780" s="98"/>
      <c r="Q780" s="98"/>
      <c r="R780" s="98"/>
      <c r="S780" s="98"/>
      <c r="T780" s="98"/>
      <c r="U780" s="98"/>
      <c r="V780" s="98"/>
      <c r="W780" s="98"/>
      <c r="X780" s="98"/>
      <c r="Y780" s="98"/>
      <c r="Z780" s="98"/>
      <c r="AA780" s="98"/>
      <c r="AB780" s="98"/>
      <c r="AC780" s="98"/>
      <c r="AD780" s="98"/>
    </row>
    <row r="781" spans="1:30" ht="12.75" customHeight="1">
      <c r="A781" s="125" t="s">
        <v>497</v>
      </c>
      <c r="B781" s="155">
        <v>44699</v>
      </c>
      <c r="C781" s="489">
        <v>12807</v>
      </c>
      <c r="D781" s="489">
        <f>C781+C780</f>
        <v>1784</v>
      </c>
      <c r="E781" s="490">
        <f>IFERROR(-D781/C780,0)</f>
        <v>0.16184341830717591</v>
      </c>
      <c r="F781" s="383">
        <f>B781-B780</f>
        <v>42</v>
      </c>
      <c r="G781" s="490">
        <f>(C781/-C780)^(1/((B781-B780)/365))-1</f>
        <v>2.6826774710542165</v>
      </c>
      <c r="H781" s="98"/>
      <c r="K781" s="98"/>
      <c r="L781" s="98"/>
      <c r="M781" s="98"/>
      <c r="N781" s="98"/>
      <c r="O781" s="98"/>
      <c r="P781" s="98"/>
      <c r="Q781" s="98"/>
      <c r="R781" s="98"/>
      <c r="S781" s="98"/>
      <c r="T781" s="98"/>
      <c r="U781" s="98"/>
      <c r="V781" s="98"/>
      <c r="W781" s="98"/>
      <c r="X781" s="98"/>
      <c r="Y781" s="98"/>
      <c r="Z781" s="98"/>
      <c r="AA781" s="98"/>
      <c r="AB781" s="98"/>
      <c r="AC781" s="98"/>
      <c r="AD781" s="98"/>
    </row>
    <row r="782" spans="1:30" ht="12.75" customHeight="1">
      <c r="A782" s="140" t="s">
        <v>549</v>
      </c>
      <c r="B782" s="154">
        <v>44369</v>
      </c>
      <c r="C782" s="140">
        <v>-14718</v>
      </c>
      <c r="D782" s="494"/>
      <c r="E782" s="487"/>
      <c r="F782" s="491"/>
      <c r="G782" s="488"/>
      <c r="H782" s="98"/>
      <c r="K782" s="98"/>
      <c r="L782" s="98"/>
      <c r="M782" s="98"/>
      <c r="N782" s="98"/>
      <c r="O782" s="98"/>
      <c r="P782" s="98"/>
      <c r="Q782" s="98"/>
      <c r="R782" s="98"/>
      <c r="S782" s="98"/>
      <c r="T782" s="98"/>
      <c r="U782" s="98"/>
      <c r="V782" s="98"/>
      <c r="W782" s="98"/>
      <c r="X782" s="98"/>
      <c r="Y782" s="98"/>
      <c r="Z782" s="98"/>
      <c r="AA782" s="98"/>
      <c r="AB782" s="98"/>
      <c r="AC782" s="98"/>
      <c r="AD782" s="98"/>
    </row>
    <row r="783" spans="1:30" ht="12.75" customHeight="1">
      <c r="A783" s="125" t="s">
        <v>549</v>
      </c>
      <c r="B783" s="155">
        <v>44375</v>
      </c>
      <c r="C783" s="489">
        <v>15134</v>
      </c>
      <c r="D783" s="489">
        <f>C783+C782</f>
        <v>416</v>
      </c>
      <c r="E783" s="490">
        <f>-D783/C782</f>
        <v>2.8264709879059654E-2</v>
      </c>
      <c r="F783" s="383">
        <f>B783-B782</f>
        <v>6</v>
      </c>
      <c r="G783" s="490">
        <f>(C783/-C782)^(1/((B783-B782)/365))-1</f>
        <v>4.4498343890433576</v>
      </c>
      <c r="H783" s="98"/>
      <c r="K783" s="98"/>
      <c r="L783" s="98"/>
      <c r="M783" s="98"/>
      <c r="N783" s="98"/>
      <c r="O783" s="98"/>
      <c r="P783" s="98"/>
      <c r="Q783" s="98"/>
      <c r="R783" s="98"/>
      <c r="S783" s="98"/>
      <c r="T783" s="98"/>
      <c r="U783" s="98"/>
      <c r="V783" s="98"/>
      <c r="W783" s="98"/>
      <c r="X783" s="98"/>
      <c r="Y783" s="98"/>
      <c r="Z783" s="98"/>
      <c r="AA783" s="98"/>
      <c r="AB783" s="98"/>
      <c r="AC783" s="98"/>
      <c r="AD783" s="98"/>
    </row>
    <row r="784" spans="1:30" ht="12.75" customHeight="1">
      <c r="A784" s="139" t="s">
        <v>486</v>
      </c>
      <c r="B784" s="492">
        <v>44153</v>
      </c>
      <c r="C784" s="493">
        <v>-15000</v>
      </c>
      <c r="D784" s="494"/>
      <c r="E784" s="487"/>
      <c r="F784" s="491"/>
      <c r="G784" s="488"/>
      <c r="H784" s="98"/>
      <c r="K784" s="98"/>
      <c r="L784" s="98"/>
      <c r="M784" s="98"/>
      <c r="N784" s="98"/>
      <c r="O784" s="98"/>
      <c r="P784" s="98"/>
      <c r="Q784" s="98"/>
      <c r="R784" s="98"/>
      <c r="S784" s="98"/>
      <c r="T784" s="98"/>
      <c r="U784" s="98"/>
      <c r="V784" s="98"/>
      <c r="W784" s="98"/>
      <c r="X784" s="98"/>
      <c r="Y784" s="98"/>
      <c r="Z784" s="98"/>
      <c r="AA784" s="98"/>
      <c r="AB784" s="98"/>
      <c r="AC784" s="98"/>
      <c r="AD784" s="98"/>
    </row>
    <row r="785" spans="1:30" ht="12.75" customHeight="1">
      <c r="A785" s="125" t="s">
        <v>486</v>
      </c>
      <c r="B785" s="495">
        <v>44155</v>
      </c>
      <c r="C785" s="496">
        <v>17481.41</v>
      </c>
      <c r="D785" s="489">
        <f>C785+C784</f>
        <v>2481.41</v>
      </c>
      <c r="E785" s="490">
        <f>-D785/C784</f>
        <v>0.16542733333333332</v>
      </c>
      <c r="F785" s="383">
        <f>B785-B784</f>
        <v>2</v>
      </c>
      <c r="G785" s="490">
        <f>(C785/-C784)^(1/((B785-B784)/365))-1</f>
        <v>1360031369864.4229</v>
      </c>
      <c r="H785" s="98"/>
      <c r="K785" s="98"/>
      <c r="L785" s="98"/>
      <c r="M785" s="98"/>
      <c r="N785" s="98"/>
      <c r="O785" s="98"/>
      <c r="P785" s="98"/>
      <c r="Q785" s="98"/>
      <c r="R785" s="98"/>
      <c r="S785" s="98"/>
      <c r="T785" s="98"/>
      <c r="U785" s="98"/>
      <c r="V785" s="98"/>
      <c r="W785" s="98"/>
      <c r="X785" s="98"/>
      <c r="Y785" s="98"/>
      <c r="Z785" s="98"/>
      <c r="AA785" s="98"/>
      <c r="AB785" s="98"/>
      <c r="AC785" s="98"/>
      <c r="AD785" s="98"/>
    </row>
    <row r="786" spans="1:30" ht="12.75" customHeight="1">
      <c r="A786" s="140" t="s">
        <v>541</v>
      </c>
      <c r="B786" s="154">
        <v>44361</v>
      </c>
      <c r="C786" s="140">
        <v>-7584</v>
      </c>
      <c r="D786" s="494"/>
      <c r="E786" s="487"/>
      <c r="F786" s="491"/>
      <c r="G786" s="488"/>
      <c r="H786" s="98"/>
      <c r="K786" s="98"/>
      <c r="L786" s="98"/>
      <c r="M786" s="98"/>
      <c r="N786" s="98"/>
      <c r="O786" s="98"/>
      <c r="P786" s="98"/>
      <c r="Q786" s="98"/>
      <c r="R786" s="98"/>
      <c r="S786" s="98"/>
      <c r="T786" s="98"/>
      <c r="U786" s="98"/>
      <c r="V786" s="98"/>
      <c r="W786" s="98"/>
      <c r="X786" s="98"/>
      <c r="Y786" s="98"/>
      <c r="Z786" s="98"/>
      <c r="AA786" s="98"/>
      <c r="AB786" s="98"/>
      <c r="AC786" s="98"/>
      <c r="AD786" s="98"/>
    </row>
    <row r="787" spans="1:30" ht="12.75" customHeight="1">
      <c r="A787" s="125" t="s">
        <v>541</v>
      </c>
      <c r="B787" s="155">
        <v>44364</v>
      </c>
      <c r="C787" s="489">
        <v>8042</v>
      </c>
      <c r="D787" s="489">
        <f>C787+C786</f>
        <v>458</v>
      </c>
      <c r="E787" s="490">
        <f>-D787/C786</f>
        <v>6.0390295358649787E-2</v>
      </c>
      <c r="F787" s="383">
        <f>B787-B786</f>
        <v>3</v>
      </c>
      <c r="G787" s="490">
        <f>(C787/-C786)^(1/((B787-B786)/365))-1</f>
        <v>1253.1002078344623</v>
      </c>
      <c r="H787" s="98"/>
      <c r="K787" s="98"/>
      <c r="L787" s="98"/>
      <c r="M787" s="98"/>
      <c r="N787" s="98"/>
      <c r="O787" s="98"/>
      <c r="P787" s="98"/>
      <c r="Q787" s="98"/>
      <c r="R787" s="98"/>
      <c r="S787" s="98"/>
      <c r="T787" s="98"/>
      <c r="U787" s="98"/>
      <c r="V787" s="98"/>
      <c r="W787" s="98"/>
      <c r="X787" s="98"/>
      <c r="Y787" s="98"/>
      <c r="Z787" s="98"/>
      <c r="AA787" s="98"/>
      <c r="AB787" s="98"/>
      <c r="AC787" s="98"/>
      <c r="AD787" s="98"/>
    </row>
    <row r="788" spans="1:30" ht="12.75" customHeight="1">
      <c r="A788" s="140" t="s">
        <v>541</v>
      </c>
      <c r="B788" s="154">
        <v>44382</v>
      </c>
      <c r="C788" s="395">
        <v>-8785</v>
      </c>
      <c r="D788" s="494"/>
      <c r="E788" s="487"/>
      <c r="F788" s="491"/>
      <c r="G788" s="488"/>
      <c r="H788" s="98"/>
      <c r="K788" s="98"/>
      <c r="L788" s="98"/>
      <c r="M788" s="98"/>
      <c r="N788" s="98"/>
      <c r="O788" s="98"/>
      <c r="P788" s="98"/>
      <c r="Q788" s="98"/>
      <c r="R788" s="98"/>
      <c r="S788" s="98"/>
      <c r="T788" s="98"/>
      <c r="U788" s="98"/>
      <c r="V788" s="98"/>
      <c r="W788" s="98"/>
      <c r="X788" s="98"/>
      <c r="Y788" s="98"/>
      <c r="Z788" s="98"/>
      <c r="AA788" s="98"/>
      <c r="AB788" s="98"/>
      <c r="AC788" s="98"/>
      <c r="AD788" s="98"/>
    </row>
    <row r="789" spans="1:30" ht="12.75" customHeight="1">
      <c r="A789" s="125" t="s">
        <v>541</v>
      </c>
      <c r="B789" s="155">
        <v>44564</v>
      </c>
      <c r="C789" s="489">
        <v>7792</v>
      </c>
      <c r="D789" s="489">
        <f>C789+C788</f>
        <v>-993</v>
      </c>
      <c r="E789" s="490">
        <f>-D789/C788</f>
        <v>-0.11303357996585088</v>
      </c>
      <c r="F789" s="383">
        <f>B789-B788</f>
        <v>182</v>
      </c>
      <c r="G789" s="490">
        <f>(C789/-C788)^(1/((B789-B788)/365))-1</f>
        <v>-0.21380888432555611</v>
      </c>
      <c r="H789" s="98"/>
      <c r="K789" s="98"/>
      <c r="L789" s="98"/>
      <c r="M789" s="98"/>
      <c r="N789" s="98"/>
      <c r="O789" s="98"/>
      <c r="P789" s="98"/>
      <c r="Q789" s="98"/>
      <c r="R789" s="98"/>
      <c r="S789" s="98"/>
      <c r="T789" s="98"/>
      <c r="U789" s="98"/>
      <c r="V789" s="98"/>
      <c r="W789" s="98"/>
      <c r="X789" s="98"/>
      <c r="Y789" s="98"/>
      <c r="Z789" s="98"/>
      <c r="AA789" s="98"/>
      <c r="AB789" s="98"/>
      <c r="AC789" s="98"/>
      <c r="AD789" s="98"/>
    </row>
    <row r="790" spans="1:30" ht="12.75" customHeight="1">
      <c r="A790" s="140" t="s">
        <v>595</v>
      </c>
      <c r="B790" s="154">
        <v>44517</v>
      </c>
      <c r="C790" s="395">
        <v>-6958</v>
      </c>
      <c r="D790" s="494"/>
      <c r="E790" s="487"/>
      <c r="F790" s="491"/>
      <c r="G790" s="488"/>
      <c r="H790" s="98"/>
      <c r="K790" s="98"/>
      <c r="L790" s="98"/>
      <c r="M790" s="98"/>
      <c r="N790" s="98"/>
      <c r="O790" s="98"/>
      <c r="P790" s="98"/>
      <c r="Q790" s="98"/>
      <c r="R790" s="98"/>
      <c r="S790" s="98"/>
      <c r="T790" s="98"/>
      <c r="U790" s="98"/>
      <c r="V790" s="98"/>
      <c r="W790" s="98"/>
      <c r="X790" s="98"/>
      <c r="Y790" s="98"/>
      <c r="Z790" s="98"/>
      <c r="AA790" s="98"/>
      <c r="AB790" s="98"/>
      <c r="AC790" s="98"/>
      <c r="AD790" s="98"/>
    </row>
    <row r="791" spans="1:30" ht="12.75" customHeight="1">
      <c r="A791" s="125" t="s">
        <v>595</v>
      </c>
      <c r="B791" s="155">
        <v>44537</v>
      </c>
      <c r="C791" s="489">
        <v>6968</v>
      </c>
      <c r="D791" s="489">
        <f>C791+C790</f>
        <v>10</v>
      </c>
      <c r="E791" s="490">
        <f>-D791/C790</f>
        <v>1.4371945961483186E-3</v>
      </c>
      <c r="F791" s="383">
        <f>B791-B790</f>
        <v>20</v>
      </c>
      <c r="G791" s="490">
        <f>(C791/-C790)^(1/((B791-B790)/365))-1</f>
        <v>2.6556473420688897E-2</v>
      </c>
      <c r="H791" s="98"/>
      <c r="K791" s="98"/>
      <c r="L791" s="98"/>
      <c r="M791" s="98"/>
      <c r="N791" s="98"/>
      <c r="O791" s="98"/>
      <c r="P791" s="98"/>
      <c r="Q791" s="98"/>
      <c r="R791" s="98"/>
      <c r="S791" s="98"/>
      <c r="T791" s="98"/>
      <c r="U791" s="98"/>
      <c r="V791" s="98"/>
      <c r="W791" s="98"/>
      <c r="X791" s="98"/>
      <c r="Y791" s="98"/>
      <c r="Z791" s="98"/>
      <c r="AA791" s="98"/>
      <c r="AB791" s="98"/>
      <c r="AC791" s="98"/>
      <c r="AD791" s="98"/>
    </row>
    <row r="792" spans="1:30" ht="12.75" customHeight="1">
      <c r="A792" s="140" t="s">
        <v>559</v>
      </c>
      <c r="B792" s="154">
        <v>44383</v>
      </c>
      <c r="C792" s="140">
        <v>-5517</v>
      </c>
      <c r="D792" s="494"/>
      <c r="E792" s="487"/>
      <c r="F792" s="491"/>
      <c r="G792" s="488"/>
      <c r="H792" s="98"/>
      <c r="K792" s="98"/>
      <c r="L792" s="98"/>
      <c r="M792" s="98"/>
      <c r="N792" s="98"/>
      <c r="O792" s="98"/>
      <c r="P792" s="98"/>
      <c r="Q792" s="98"/>
      <c r="R792" s="98"/>
      <c r="S792" s="98"/>
      <c r="T792" s="98"/>
      <c r="U792" s="98"/>
      <c r="V792" s="98"/>
      <c r="W792" s="98"/>
      <c r="X792" s="98"/>
      <c r="Y792" s="98"/>
      <c r="Z792" s="98"/>
      <c r="AA792" s="98"/>
      <c r="AB792" s="98"/>
      <c r="AC792" s="98"/>
      <c r="AD792" s="98"/>
    </row>
    <row r="793" spans="1:30" ht="12.75" customHeight="1">
      <c r="A793" s="125" t="s">
        <v>559</v>
      </c>
      <c r="B793" s="155">
        <v>44487</v>
      </c>
      <c r="C793" s="489">
        <v>5844</v>
      </c>
      <c r="D793" s="489">
        <f>C793+C792</f>
        <v>327</v>
      </c>
      <c r="E793" s="490">
        <f>-D793/C792</f>
        <v>5.9271343121261554E-2</v>
      </c>
      <c r="F793" s="383">
        <f>B793-B792</f>
        <v>104</v>
      </c>
      <c r="G793" s="490">
        <f>(C793/-C792)^(1/((B793-B792)/365))-1</f>
        <v>0.22395580272236004</v>
      </c>
      <c r="H793" s="98"/>
      <c r="K793" s="98"/>
      <c r="L793" s="98"/>
      <c r="M793" s="98"/>
      <c r="N793" s="98"/>
      <c r="O793" s="98"/>
      <c r="P793" s="98"/>
      <c r="Q793" s="98"/>
      <c r="R793" s="98"/>
      <c r="S793" s="98"/>
      <c r="T793" s="98"/>
      <c r="U793" s="98"/>
      <c r="V793" s="98"/>
      <c r="W793" s="98"/>
      <c r="X793" s="98"/>
      <c r="Y793" s="98"/>
      <c r="Z793" s="98"/>
      <c r="AA793" s="98"/>
      <c r="AB793" s="98"/>
      <c r="AC793" s="98"/>
      <c r="AD793" s="98"/>
    </row>
    <row r="794" spans="1:30" ht="12.75" customHeight="1">
      <c r="A794" s="139" t="s">
        <v>506</v>
      </c>
      <c r="B794" s="492">
        <v>44320</v>
      </c>
      <c r="C794" s="493">
        <v>-12014</v>
      </c>
      <c r="D794" s="395"/>
      <c r="E794" s="487"/>
      <c r="F794" s="491"/>
      <c r="G794" s="488"/>
      <c r="H794" s="98"/>
      <c r="K794" s="98"/>
      <c r="L794" s="98"/>
      <c r="M794" s="98"/>
      <c r="N794" s="98"/>
      <c r="O794" s="98"/>
      <c r="P794" s="98"/>
      <c r="Q794" s="98"/>
      <c r="R794" s="98"/>
      <c r="S794" s="98"/>
      <c r="T794" s="98"/>
      <c r="U794" s="98"/>
      <c r="V794" s="98"/>
      <c r="W794" s="98"/>
      <c r="X794" s="98"/>
      <c r="Y794" s="98"/>
      <c r="Z794" s="98"/>
      <c r="AA794" s="98"/>
      <c r="AB794" s="98"/>
      <c r="AC794" s="98"/>
      <c r="AD794" s="98"/>
    </row>
    <row r="795" spans="1:30" ht="12.75" customHeight="1">
      <c r="A795" s="125" t="s">
        <v>506</v>
      </c>
      <c r="B795" s="495">
        <v>44322</v>
      </c>
      <c r="C795" s="496">
        <v>12037</v>
      </c>
      <c r="D795" s="489">
        <f>C795+C794</f>
        <v>23</v>
      </c>
      <c r="E795" s="490">
        <f>-D795/C794</f>
        <v>1.914433161311803E-3</v>
      </c>
      <c r="F795" s="383">
        <f>B795-B794</f>
        <v>2</v>
      </c>
      <c r="G795" s="490">
        <f>(C795/-C794)^(1/((B795-B794)/365))-1</f>
        <v>0.41772013405707509</v>
      </c>
      <c r="H795" s="98"/>
      <c r="K795" s="98"/>
      <c r="L795" s="98"/>
      <c r="M795" s="98"/>
      <c r="N795" s="98"/>
      <c r="O795" s="98"/>
      <c r="P795" s="98"/>
      <c r="Q795" s="98"/>
      <c r="R795" s="98"/>
      <c r="S795" s="98"/>
      <c r="T795" s="98"/>
      <c r="U795" s="98"/>
      <c r="V795" s="98"/>
      <c r="W795" s="98"/>
      <c r="X795" s="98"/>
      <c r="Y795" s="98"/>
      <c r="Z795" s="98"/>
      <c r="AA795" s="98"/>
      <c r="AB795" s="98"/>
      <c r="AC795" s="98"/>
      <c r="AD795" s="98"/>
    </row>
    <row r="796" spans="1:30" ht="12.75" customHeight="1">
      <c r="A796" s="138" t="s">
        <v>513</v>
      </c>
      <c r="B796" s="492">
        <v>44327</v>
      </c>
      <c r="C796" s="493">
        <v>-14017</v>
      </c>
      <c r="D796" s="395"/>
      <c r="E796" s="487"/>
      <c r="F796" s="491"/>
      <c r="G796" s="488"/>
      <c r="H796" s="98"/>
      <c r="K796" s="98"/>
      <c r="L796" s="98"/>
      <c r="M796" s="98"/>
      <c r="N796" s="98"/>
      <c r="O796" s="98"/>
      <c r="P796" s="98"/>
      <c r="Q796" s="98"/>
      <c r="R796" s="98"/>
      <c r="S796" s="98"/>
      <c r="T796" s="98"/>
      <c r="U796" s="98"/>
      <c r="V796" s="98"/>
      <c r="W796" s="98"/>
      <c r="X796" s="98"/>
      <c r="Y796" s="98"/>
      <c r="Z796" s="98"/>
      <c r="AA796" s="98"/>
      <c r="AB796" s="98"/>
      <c r="AC796" s="98"/>
      <c r="AD796" s="98"/>
    </row>
    <row r="797" spans="1:30" ht="12.75" customHeight="1">
      <c r="A797" s="125" t="s">
        <v>513</v>
      </c>
      <c r="B797" s="495">
        <v>44334</v>
      </c>
      <c r="C797" s="496">
        <v>14635</v>
      </c>
      <c r="D797" s="489">
        <f>C797+C796</f>
        <v>618</v>
      </c>
      <c r="E797" s="490">
        <f>-D797/C796</f>
        <v>4.4089320111293427E-2</v>
      </c>
      <c r="F797" s="383">
        <f>B797-B796</f>
        <v>7</v>
      </c>
      <c r="G797" s="490">
        <f>(C797/-C796)^(1/((B797-B796)/365))-1</f>
        <v>8.4849443235658342</v>
      </c>
      <c r="H797" s="98"/>
      <c r="K797" s="98"/>
      <c r="L797" s="98"/>
      <c r="M797" s="98"/>
      <c r="N797" s="98"/>
      <c r="O797" s="98"/>
      <c r="P797" s="98"/>
      <c r="Q797" s="98"/>
      <c r="R797" s="98"/>
      <c r="S797" s="98"/>
      <c r="T797" s="98"/>
      <c r="U797" s="98"/>
      <c r="V797" s="98"/>
      <c r="W797" s="98"/>
      <c r="X797" s="98"/>
      <c r="Y797" s="98"/>
      <c r="Z797" s="98"/>
      <c r="AA797" s="98"/>
      <c r="AB797" s="98"/>
      <c r="AC797" s="98"/>
      <c r="AD797" s="98"/>
    </row>
    <row r="798" spans="1:30" ht="12.75" customHeight="1">
      <c r="A798" s="140" t="s">
        <v>481</v>
      </c>
      <c r="B798" s="154">
        <v>44375</v>
      </c>
      <c r="C798" s="140">
        <v>-19023</v>
      </c>
      <c r="D798" s="395"/>
      <c r="E798" s="487"/>
      <c r="F798" s="491"/>
      <c r="G798" s="488"/>
      <c r="H798" s="98"/>
      <c r="K798" s="98"/>
      <c r="L798" s="98"/>
      <c r="M798" s="98"/>
      <c r="N798" s="98"/>
      <c r="O798" s="98"/>
      <c r="P798" s="98"/>
      <c r="Q798" s="98"/>
      <c r="R798" s="98"/>
      <c r="S798" s="98"/>
      <c r="T798" s="98"/>
      <c r="U798" s="98"/>
      <c r="V798" s="98"/>
      <c r="W798" s="98"/>
      <c r="X798" s="98"/>
      <c r="Y798" s="98"/>
      <c r="Z798" s="98"/>
      <c r="AA798" s="98"/>
      <c r="AB798" s="98"/>
      <c r="AC798" s="98"/>
      <c r="AD798" s="98"/>
    </row>
    <row r="799" spans="1:30" ht="12.75" customHeight="1">
      <c r="A799" s="125" t="s">
        <v>481</v>
      </c>
      <c r="B799" s="155">
        <v>44382</v>
      </c>
      <c r="C799" s="489">
        <v>19430</v>
      </c>
      <c r="D799" s="489">
        <f>C799+C798</f>
        <v>407</v>
      </c>
      <c r="E799" s="490">
        <f>-D799/C798</f>
        <v>2.1395153235556956E-2</v>
      </c>
      <c r="F799" s="383">
        <f>B799-B798</f>
        <v>7</v>
      </c>
      <c r="G799" s="490">
        <f>(C799/-C798)^(1/((B799-B798)/365))-1</f>
        <v>2.0157172417991456</v>
      </c>
      <c r="H799" s="98"/>
      <c r="K799" s="98"/>
      <c r="L799" s="98"/>
      <c r="M799" s="98"/>
      <c r="N799" s="98"/>
      <c r="O799" s="98"/>
      <c r="P799" s="98"/>
      <c r="Q799" s="98"/>
      <c r="R799" s="98"/>
      <c r="S799" s="98"/>
      <c r="T799" s="98"/>
      <c r="U799" s="98"/>
      <c r="V799" s="98"/>
      <c r="W799" s="98"/>
      <c r="X799" s="98"/>
      <c r="Y799" s="98"/>
      <c r="Z799" s="98"/>
      <c r="AA799" s="98"/>
      <c r="AB799" s="98"/>
      <c r="AC799" s="98"/>
      <c r="AD799" s="98"/>
    </row>
    <row r="800" spans="1:30" ht="12.75" customHeight="1">
      <c r="A800" s="140" t="s">
        <v>481</v>
      </c>
      <c r="B800" s="154">
        <v>44572</v>
      </c>
      <c r="C800" s="395">
        <v>-24489</v>
      </c>
      <c r="D800" s="395"/>
      <c r="E800" s="487"/>
      <c r="F800" s="491"/>
      <c r="G800" s="488"/>
      <c r="H800" s="98"/>
      <c r="K800" s="98"/>
      <c r="L800" s="98"/>
      <c r="M800" s="98"/>
      <c r="N800" s="98"/>
      <c r="O800" s="98"/>
      <c r="P800" s="98"/>
      <c r="Q800" s="98"/>
      <c r="R800" s="98"/>
      <c r="S800" s="98"/>
      <c r="T800" s="98"/>
      <c r="U800" s="98"/>
      <c r="V800" s="98"/>
      <c r="W800" s="98"/>
      <c r="X800" s="98"/>
      <c r="Y800" s="98"/>
      <c r="Z800" s="98"/>
      <c r="AA800" s="98"/>
      <c r="AB800" s="98"/>
      <c r="AC800" s="98"/>
      <c r="AD800" s="98"/>
    </row>
    <row r="801" spans="1:30" ht="12.75" customHeight="1">
      <c r="A801" s="125" t="s">
        <v>481</v>
      </c>
      <c r="B801" s="155">
        <v>44573</v>
      </c>
      <c r="C801" s="489">
        <v>24899</v>
      </c>
      <c r="D801" s="489">
        <f>C801+C800</f>
        <v>410</v>
      </c>
      <c r="E801" s="490">
        <f>-D801/C800</f>
        <v>1.6742210788517294E-2</v>
      </c>
      <c r="F801" s="383">
        <f>B801-B800</f>
        <v>1</v>
      </c>
      <c r="G801" s="490">
        <f>(C801/-C800)^(1/((B801-B800)/365))-1</f>
        <v>427.51073180235676</v>
      </c>
      <c r="H801" s="98"/>
      <c r="K801" s="98"/>
      <c r="L801" s="98"/>
      <c r="M801" s="98"/>
      <c r="N801" s="98"/>
      <c r="O801" s="98"/>
      <c r="P801" s="98"/>
      <c r="Q801" s="98"/>
      <c r="R801" s="98"/>
      <c r="S801" s="98"/>
      <c r="T801" s="98"/>
      <c r="U801" s="98"/>
      <c r="V801" s="98"/>
      <c r="W801" s="98"/>
      <c r="X801" s="98"/>
      <c r="Y801" s="98"/>
      <c r="Z801" s="98"/>
      <c r="AA801" s="98"/>
      <c r="AB801" s="98"/>
      <c r="AC801" s="98"/>
      <c r="AD801" s="98"/>
    </row>
    <row r="802" spans="1:30" ht="12.75" customHeight="1">
      <c r="A802" s="140" t="s">
        <v>504</v>
      </c>
      <c r="B802" s="154">
        <v>44314</v>
      </c>
      <c r="C802" s="140">
        <v>-12014</v>
      </c>
      <c r="D802" s="395"/>
      <c r="E802" s="487"/>
      <c r="F802" s="491"/>
      <c r="G802" s="488"/>
      <c r="H802" s="98"/>
      <c r="K802" s="98"/>
      <c r="L802" s="98"/>
      <c r="M802" s="98"/>
      <c r="N802" s="98"/>
      <c r="O802" s="98"/>
      <c r="P802" s="98"/>
      <c r="Q802" s="98"/>
      <c r="R802" s="98"/>
      <c r="S802" s="98"/>
      <c r="T802" s="98"/>
      <c r="U802" s="98"/>
      <c r="V802" s="98"/>
      <c r="W802" s="98"/>
      <c r="X802" s="98"/>
      <c r="Y802" s="98"/>
      <c r="Z802" s="98"/>
      <c r="AA802" s="98"/>
      <c r="AB802" s="98"/>
      <c r="AC802" s="98"/>
      <c r="AD802" s="98"/>
    </row>
    <row r="803" spans="1:30" ht="12.75" customHeight="1">
      <c r="A803" s="125" t="s">
        <v>504</v>
      </c>
      <c r="B803" s="155">
        <v>44365</v>
      </c>
      <c r="C803" s="489">
        <v>12087</v>
      </c>
      <c r="D803" s="489">
        <f>C803+C802</f>
        <v>73</v>
      </c>
      <c r="E803" s="490">
        <f>-D803/C802</f>
        <v>6.0762443815548526E-3</v>
      </c>
      <c r="F803" s="383">
        <f>B803-B802</f>
        <v>51</v>
      </c>
      <c r="G803" s="490">
        <f>(C803/-C802)^(1/((B803-B802)/365))-1</f>
        <v>4.4308831628001588E-2</v>
      </c>
      <c r="H803" s="98"/>
      <c r="K803" s="98"/>
      <c r="L803" s="98"/>
      <c r="M803" s="98"/>
      <c r="N803" s="98"/>
      <c r="O803" s="98"/>
      <c r="P803" s="98"/>
      <c r="Q803" s="98"/>
      <c r="R803" s="98"/>
      <c r="S803" s="98"/>
      <c r="T803" s="98"/>
      <c r="U803" s="98"/>
      <c r="V803" s="98"/>
      <c r="W803" s="98"/>
      <c r="X803" s="98"/>
      <c r="Y803" s="98"/>
      <c r="Z803" s="98"/>
      <c r="AA803" s="98"/>
      <c r="AB803" s="98"/>
      <c r="AC803" s="98"/>
      <c r="AD803" s="98"/>
    </row>
    <row r="804" spans="1:30" ht="12.75" customHeight="1">
      <c r="A804" s="140" t="s">
        <v>504</v>
      </c>
      <c r="B804" s="154">
        <v>44810</v>
      </c>
      <c r="C804" s="395">
        <v>-5135</v>
      </c>
      <c r="D804" s="395"/>
      <c r="E804" s="487"/>
      <c r="F804" s="491"/>
      <c r="G804" s="488"/>
      <c r="H804" s="98"/>
      <c r="K804" s="98"/>
      <c r="L804" s="98"/>
      <c r="M804" s="98"/>
      <c r="N804" s="98"/>
      <c r="O804" s="98"/>
      <c r="P804" s="98"/>
      <c r="Q804" s="98"/>
      <c r="R804" s="98"/>
      <c r="S804" s="98"/>
      <c r="T804" s="98"/>
      <c r="U804" s="98"/>
      <c r="V804" s="98"/>
      <c r="W804" s="98"/>
      <c r="X804" s="98"/>
      <c r="Y804" s="98"/>
      <c r="Z804" s="98"/>
      <c r="AA804" s="98"/>
      <c r="AB804" s="98"/>
      <c r="AC804" s="98"/>
      <c r="AD804" s="98"/>
    </row>
    <row r="805" spans="1:30" ht="12.75" customHeight="1">
      <c r="A805" s="125" t="s">
        <v>504</v>
      </c>
      <c r="B805" s="155">
        <v>44943</v>
      </c>
      <c r="C805" s="489">
        <v>5315</v>
      </c>
      <c r="D805" s="489">
        <f>C805+C804</f>
        <v>180</v>
      </c>
      <c r="E805" s="490">
        <f>IFERROR(-D805/C804,0)</f>
        <v>3.5053554040895815E-2</v>
      </c>
      <c r="F805" s="383">
        <f>B805-B804</f>
        <v>133</v>
      </c>
      <c r="G805" s="490">
        <f>(C805/-C804)^(1/((B805-B804)/365))-1</f>
        <v>9.9166239543017509E-2</v>
      </c>
      <c r="H805" s="98"/>
      <c r="K805" s="98"/>
      <c r="L805" s="98"/>
      <c r="M805" s="98"/>
      <c r="N805" s="98"/>
      <c r="O805" s="98"/>
      <c r="P805" s="98"/>
      <c r="Q805" s="98"/>
      <c r="R805" s="98"/>
      <c r="S805" s="98"/>
      <c r="T805" s="98"/>
      <c r="U805" s="98"/>
      <c r="V805" s="98"/>
      <c r="W805" s="98"/>
      <c r="X805" s="98"/>
      <c r="Y805" s="98"/>
      <c r="Z805" s="98"/>
      <c r="AA805" s="98"/>
      <c r="AB805" s="98"/>
      <c r="AC805" s="98"/>
      <c r="AD805" s="98"/>
    </row>
    <row r="806" spans="1:30" ht="12.75" customHeight="1">
      <c r="A806" s="140" t="s">
        <v>504</v>
      </c>
      <c r="B806" s="154">
        <v>44805</v>
      </c>
      <c r="C806" s="395">
        <v>-10512</v>
      </c>
      <c r="D806" s="395"/>
      <c r="E806" s="487"/>
      <c r="F806" s="491"/>
      <c r="G806" s="488"/>
      <c r="H806" s="98"/>
      <c r="K806" s="98"/>
      <c r="L806" s="98"/>
      <c r="M806" s="98"/>
      <c r="N806" s="98"/>
      <c r="O806" s="98"/>
      <c r="P806" s="98"/>
      <c r="Q806" s="98"/>
      <c r="R806" s="98"/>
      <c r="S806" s="98"/>
      <c r="T806" s="98"/>
      <c r="U806" s="98"/>
      <c r="V806" s="98"/>
      <c r="W806" s="98"/>
      <c r="X806" s="98"/>
      <c r="Y806" s="98"/>
      <c r="Z806" s="98"/>
      <c r="AA806" s="98"/>
      <c r="AB806" s="98"/>
      <c r="AC806" s="98"/>
      <c r="AD806" s="98"/>
    </row>
    <row r="807" spans="1:30" ht="12.75" customHeight="1">
      <c r="A807" s="125" t="s">
        <v>504</v>
      </c>
      <c r="B807" s="155">
        <v>44943</v>
      </c>
      <c r="C807" s="489">
        <v>10629</v>
      </c>
      <c r="D807" s="489">
        <f>C807+C806</f>
        <v>117</v>
      </c>
      <c r="E807" s="490">
        <f>IFERROR(-D807/C806,0)</f>
        <v>1.1130136986301369E-2</v>
      </c>
      <c r="F807" s="383">
        <f>B807-B806</f>
        <v>138</v>
      </c>
      <c r="G807" s="490">
        <f>(C807/-C806)^(1/((B807-B806)/365))-1</f>
        <v>2.9708533080431421E-2</v>
      </c>
      <c r="H807" s="98"/>
      <c r="K807" s="98"/>
      <c r="L807" s="98"/>
      <c r="M807" s="98"/>
      <c r="N807" s="98"/>
      <c r="O807" s="98"/>
      <c r="P807" s="98"/>
      <c r="Q807" s="98"/>
      <c r="R807" s="98"/>
      <c r="S807" s="98"/>
      <c r="T807" s="98"/>
      <c r="U807" s="98"/>
      <c r="V807" s="98"/>
      <c r="W807" s="98"/>
      <c r="X807" s="98"/>
      <c r="Y807" s="98"/>
      <c r="Z807" s="98"/>
      <c r="AA807" s="98"/>
      <c r="AB807" s="98"/>
      <c r="AC807" s="98"/>
      <c r="AD807" s="98"/>
    </row>
    <row r="808" spans="1:30" ht="12.75" customHeight="1">
      <c r="A808" s="140" t="s">
        <v>584</v>
      </c>
      <c r="B808" s="154">
        <v>44463</v>
      </c>
      <c r="C808" s="395">
        <v>-15854</v>
      </c>
      <c r="D808" s="395"/>
      <c r="E808" s="487"/>
      <c r="F808" s="491"/>
      <c r="G808" s="488"/>
      <c r="H808" s="98"/>
      <c r="K808" s="98"/>
      <c r="L808" s="98"/>
      <c r="M808" s="98"/>
      <c r="N808" s="98"/>
      <c r="O808" s="98"/>
      <c r="P808" s="98"/>
      <c r="Q808" s="98"/>
      <c r="R808" s="98"/>
      <c r="S808" s="98"/>
      <c r="T808" s="98"/>
      <c r="U808" s="98"/>
      <c r="V808" s="98"/>
      <c r="W808" s="98"/>
      <c r="X808" s="98"/>
      <c r="Y808" s="98"/>
      <c r="Z808" s="98"/>
      <c r="AA808" s="98"/>
      <c r="AB808" s="98"/>
      <c r="AC808" s="98"/>
      <c r="AD808" s="98"/>
    </row>
    <row r="809" spans="1:30" ht="12.75" customHeight="1">
      <c r="A809" s="125" t="s">
        <v>584</v>
      </c>
      <c r="B809" s="155">
        <v>44502</v>
      </c>
      <c r="C809" s="489">
        <v>17282</v>
      </c>
      <c r="D809" s="489">
        <f>C809+C808</f>
        <v>1428</v>
      </c>
      <c r="E809" s="490">
        <f>-D809/C808</f>
        <v>9.007190614355999E-2</v>
      </c>
      <c r="F809" s="383">
        <f>B809-B808</f>
        <v>39</v>
      </c>
      <c r="G809" s="490">
        <f>(C809/-C808)^(1/((B809-B808)/365))-1</f>
        <v>1.2415155696641116</v>
      </c>
      <c r="H809" s="98"/>
      <c r="K809" s="98"/>
      <c r="L809" s="98"/>
      <c r="M809" s="98"/>
      <c r="N809" s="98"/>
      <c r="O809" s="98"/>
      <c r="P809" s="98"/>
      <c r="Q809" s="98"/>
      <c r="R809" s="98"/>
      <c r="S809" s="98"/>
      <c r="T809" s="98"/>
      <c r="U809" s="98"/>
      <c r="V809" s="98"/>
      <c r="W809" s="98"/>
      <c r="X809" s="98"/>
      <c r="Y809" s="98"/>
      <c r="Z809" s="98"/>
      <c r="AA809" s="98"/>
      <c r="AB809" s="98"/>
      <c r="AC809" s="98"/>
      <c r="AD809" s="98"/>
    </row>
    <row r="810" spans="1:30" ht="12.75" customHeight="1">
      <c r="A810" s="140" t="s">
        <v>580</v>
      </c>
      <c r="B810" s="154">
        <v>44460</v>
      </c>
      <c r="C810" s="140">
        <v>-10427</v>
      </c>
      <c r="D810" s="395"/>
      <c r="E810" s="487"/>
      <c r="F810" s="491"/>
      <c r="G810" s="488"/>
      <c r="H810" s="98"/>
      <c r="K810" s="98"/>
      <c r="L810" s="98"/>
      <c r="M810" s="98"/>
      <c r="N810" s="98"/>
      <c r="O810" s="98"/>
      <c r="P810" s="98"/>
      <c r="Q810" s="98"/>
      <c r="R810" s="98"/>
      <c r="S810" s="98"/>
      <c r="T810" s="98"/>
      <c r="U810" s="98"/>
      <c r="V810" s="98"/>
      <c r="W810" s="98"/>
      <c r="X810" s="98"/>
      <c r="Y810" s="98"/>
      <c r="Z810" s="98"/>
      <c r="AA810" s="98"/>
      <c r="AB810" s="98"/>
      <c r="AC810" s="98"/>
      <c r="AD810" s="98"/>
    </row>
    <row r="811" spans="1:30" ht="12.75" customHeight="1">
      <c r="A811" s="125" t="s">
        <v>580</v>
      </c>
      <c r="B811" s="155">
        <v>44461</v>
      </c>
      <c r="C811" s="489">
        <v>10774</v>
      </c>
      <c r="D811" s="489">
        <f>C811+C810</f>
        <v>347</v>
      </c>
      <c r="E811" s="490">
        <f>-D811/C810</f>
        <v>3.3278987244653301E-2</v>
      </c>
      <c r="F811" s="383">
        <f>B811-B810</f>
        <v>1</v>
      </c>
      <c r="G811" s="490">
        <f>(C811/-C810)^(1/((B811-B810)/365))-1</f>
        <v>154675.07718739231</v>
      </c>
      <c r="H811" s="98"/>
      <c r="K811" s="98"/>
      <c r="L811" s="98"/>
      <c r="M811" s="98"/>
      <c r="N811" s="98"/>
      <c r="O811" s="98"/>
      <c r="P811" s="98"/>
      <c r="Q811" s="98"/>
      <c r="R811" s="98"/>
      <c r="S811" s="98"/>
      <c r="T811" s="98"/>
      <c r="U811" s="98"/>
      <c r="V811" s="98"/>
      <c r="W811" s="98"/>
      <c r="X811" s="98"/>
      <c r="Y811" s="98"/>
      <c r="Z811" s="98"/>
      <c r="AA811" s="98"/>
      <c r="AB811" s="98"/>
      <c r="AC811" s="98"/>
      <c r="AD811" s="98"/>
    </row>
    <row r="812" spans="1:30" ht="12.75" customHeight="1">
      <c r="A812" s="138" t="s">
        <v>501</v>
      </c>
      <c r="B812" s="492">
        <v>44299</v>
      </c>
      <c r="C812" s="493">
        <v>-13612</v>
      </c>
      <c r="D812" s="395"/>
      <c r="E812" s="487"/>
      <c r="F812" s="491"/>
      <c r="G812" s="488"/>
      <c r="H812" s="98"/>
      <c r="K812" s="98"/>
      <c r="L812" s="98"/>
      <c r="M812" s="98"/>
      <c r="N812" s="98"/>
      <c r="O812" s="98"/>
      <c r="P812" s="98"/>
      <c r="Q812" s="98"/>
      <c r="R812" s="98"/>
      <c r="S812" s="98"/>
      <c r="T812" s="98"/>
      <c r="U812" s="98"/>
      <c r="V812" s="98"/>
      <c r="W812" s="98"/>
      <c r="X812" s="98"/>
      <c r="Y812" s="98"/>
      <c r="Z812" s="98"/>
      <c r="AA812" s="98"/>
      <c r="AB812" s="98"/>
      <c r="AC812" s="98"/>
      <c r="AD812" s="98"/>
    </row>
    <row r="813" spans="1:30" ht="12.75" customHeight="1">
      <c r="A813" s="125" t="s">
        <v>501</v>
      </c>
      <c r="B813" s="495">
        <v>44308</v>
      </c>
      <c r="C813" s="496">
        <v>14073</v>
      </c>
      <c r="D813" s="489">
        <f>C813+C812</f>
        <v>461</v>
      </c>
      <c r="E813" s="490">
        <f>-D813/C812</f>
        <v>3.3867176021157804E-2</v>
      </c>
      <c r="F813" s="383">
        <f>B813-B812</f>
        <v>9</v>
      </c>
      <c r="G813" s="490">
        <f>(C813/-C812)^(1/((B813-B812)/365))-1</f>
        <v>2.8603426978053528</v>
      </c>
      <c r="H813" s="98"/>
      <c r="K813" s="98"/>
      <c r="L813" s="98"/>
      <c r="M813" s="98"/>
      <c r="N813" s="98"/>
      <c r="O813" s="98"/>
      <c r="P813" s="98"/>
      <c r="Q813" s="98"/>
      <c r="R813" s="98"/>
      <c r="S813" s="98"/>
      <c r="T813" s="98"/>
      <c r="U813" s="98"/>
      <c r="V813" s="98"/>
      <c r="W813" s="98"/>
      <c r="X813" s="98"/>
      <c r="Y813" s="98"/>
      <c r="Z813" s="98"/>
      <c r="AA813" s="98"/>
      <c r="AB813" s="98"/>
      <c r="AC813" s="98"/>
      <c r="AD813" s="98"/>
    </row>
    <row r="814" spans="1:30" ht="12.75" customHeight="1">
      <c r="A814" s="139" t="s">
        <v>501</v>
      </c>
      <c r="B814" s="492">
        <v>44334</v>
      </c>
      <c r="C814" s="493">
        <v>-15769</v>
      </c>
      <c r="D814" s="395"/>
      <c r="E814" s="487"/>
      <c r="F814" s="491"/>
      <c r="G814" s="488"/>
      <c r="H814" s="98"/>
      <c r="K814" s="98"/>
      <c r="L814" s="98"/>
      <c r="M814" s="98"/>
      <c r="N814" s="98"/>
      <c r="O814" s="98"/>
      <c r="P814" s="98"/>
      <c r="Q814" s="98"/>
      <c r="R814" s="98"/>
      <c r="S814" s="98"/>
      <c r="T814" s="98"/>
      <c r="U814" s="98"/>
      <c r="V814" s="98"/>
      <c r="W814" s="98"/>
      <c r="X814" s="98"/>
      <c r="Y814" s="98"/>
      <c r="Z814" s="98"/>
      <c r="AA814" s="98"/>
      <c r="AB814" s="98"/>
      <c r="AC814" s="98"/>
      <c r="AD814" s="98"/>
    </row>
    <row r="815" spans="1:30" ht="12.75" customHeight="1">
      <c r="A815" s="125" t="s">
        <v>501</v>
      </c>
      <c r="B815" s="495">
        <v>44347</v>
      </c>
      <c r="C815" s="496">
        <v>16458</v>
      </c>
      <c r="D815" s="489">
        <f>C815+C814</f>
        <v>689</v>
      </c>
      <c r="E815" s="490">
        <f>-D815/C814</f>
        <v>4.3693322341302555E-2</v>
      </c>
      <c r="F815" s="383">
        <f>B815-B814</f>
        <v>13</v>
      </c>
      <c r="G815" s="490">
        <f>(C815/-C814)^(1/((B815-B814)/365))-1</f>
        <v>2.3225384828382594</v>
      </c>
      <c r="H815" s="98"/>
      <c r="K815" s="98"/>
      <c r="L815" s="98"/>
      <c r="M815" s="98"/>
      <c r="N815" s="98"/>
      <c r="O815" s="98"/>
      <c r="P815" s="98"/>
      <c r="Q815" s="98"/>
      <c r="R815" s="98"/>
      <c r="S815" s="98"/>
      <c r="T815" s="98"/>
      <c r="U815" s="98"/>
      <c r="V815" s="98"/>
      <c r="W815" s="98"/>
      <c r="X815" s="98"/>
      <c r="Y815" s="98"/>
      <c r="Z815" s="98"/>
      <c r="AA815" s="98"/>
      <c r="AB815" s="98"/>
      <c r="AC815" s="98"/>
      <c r="AD815" s="98"/>
    </row>
    <row r="816" spans="1:30" ht="12.75" customHeight="1">
      <c r="A816" s="138" t="s">
        <v>521</v>
      </c>
      <c r="B816" s="492">
        <v>44335</v>
      </c>
      <c r="C816" s="493">
        <v>-21025</v>
      </c>
      <c r="D816" s="395"/>
      <c r="E816" s="487"/>
      <c r="F816" s="491"/>
      <c r="G816" s="488"/>
      <c r="H816" s="98"/>
      <c r="K816" s="98"/>
      <c r="L816" s="98"/>
      <c r="M816" s="98"/>
      <c r="N816" s="98"/>
      <c r="O816" s="98"/>
      <c r="P816" s="98"/>
      <c r="Q816" s="98"/>
      <c r="R816" s="98"/>
      <c r="S816" s="98"/>
      <c r="T816" s="98"/>
      <c r="U816" s="98"/>
      <c r="V816" s="98"/>
      <c r="W816" s="98"/>
      <c r="X816" s="98"/>
      <c r="Y816" s="98"/>
      <c r="Z816" s="98"/>
      <c r="AA816" s="98"/>
      <c r="AB816" s="98"/>
      <c r="AC816" s="98"/>
      <c r="AD816" s="98"/>
    </row>
    <row r="817" spans="1:30" ht="12.75" customHeight="1">
      <c r="A817" s="125" t="s">
        <v>521</v>
      </c>
      <c r="B817" s="495">
        <v>44337</v>
      </c>
      <c r="C817" s="496">
        <v>21228</v>
      </c>
      <c r="D817" s="489">
        <f>C817+C816</f>
        <v>203</v>
      </c>
      <c r="E817" s="490">
        <f>-D817/C816</f>
        <v>9.655172413793104E-3</v>
      </c>
      <c r="F817" s="383">
        <f>B817-B816</f>
        <v>2</v>
      </c>
      <c r="G817" s="490">
        <f>(C817/-C816)^(1/((B817-B816)/365))-1</f>
        <v>4.7754535317535574</v>
      </c>
      <c r="H817" s="98"/>
      <c r="K817" s="98"/>
      <c r="L817" s="98"/>
      <c r="M817" s="98"/>
      <c r="N817" s="98"/>
      <c r="O817" s="98"/>
      <c r="P817" s="98"/>
      <c r="Q817" s="98"/>
      <c r="R817" s="98"/>
      <c r="S817" s="98"/>
      <c r="T817" s="98"/>
      <c r="U817" s="98"/>
      <c r="V817" s="98"/>
      <c r="W817" s="98"/>
      <c r="X817" s="98"/>
      <c r="Y817" s="98"/>
      <c r="Z817" s="98"/>
      <c r="AA817" s="98"/>
      <c r="AB817" s="98"/>
      <c r="AC817" s="98"/>
      <c r="AD817" s="98"/>
    </row>
    <row r="818" spans="1:30" ht="12.75" customHeight="1">
      <c r="A818" s="139" t="s">
        <v>521</v>
      </c>
      <c r="B818" s="492">
        <v>44348</v>
      </c>
      <c r="C818" s="493">
        <v>-21275</v>
      </c>
      <c r="D818" s="395"/>
      <c r="E818" s="487"/>
      <c r="F818" s="491"/>
      <c r="G818" s="488"/>
      <c r="H818" s="98"/>
      <c r="K818" s="98"/>
      <c r="L818" s="98"/>
      <c r="M818" s="98"/>
      <c r="N818" s="98"/>
      <c r="O818" s="98"/>
      <c r="P818" s="98"/>
      <c r="Q818" s="98"/>
      <c r="R818" s="98"/>
      <c r="S818" s="98"/>
      <c r="T818" s="98"/>
      <c r="U818" s="98"/>
      <c r="V818" s="98"/>
      <c r="W818" s="98"/>
      <c r="X818" s="98"/>
      <c r="Y818" s="98"/>
      <c r="Z818" s="98"/>
      <c r="AA818" s="98"/>
      <c r="AB818" s="98"/>
      <c r="AC818" s="98"/>
      <c r="AD818" s="98"/>
    </row>
    <row r="819" spans="1:30" ht="12.75" customHeight="1">
      <c r="A819" s="125" t="s">
        <v>521</v>
      </c>
      <c r="B819" s="495">
        <v>44349</v>
      </c>
      <c r="C819" s="496">
        <v>21727</v>
      </c>
      <c r="D819" s="489">
        <f>C819+C818</f>
        <v>452</v>
      </c>
      <c r="E819" s="490">
        <f>-D819/C818</f>
        <v>2.1245593419506464E-2</v>
      </c>
      <c r="F819" s="383">
        <f>B819-B818</f>
        <v>1</v>
      </c>
      <c r="G819" s="490">
        <f>(C819/-C818)^(1/((B819-B818)/365))-1</f>
        <v>2149.4106162485546</v>
      </c>
      <c r="H819" s="98"/>
      <c r="K819" s="98"/>
      <c r="L819" s="98"/>
      <c r="M819" s="98"/>
      <c r="N819" s="98"/>
      <c r="O819" s="98"/>
      <c r="P819" s="98"/>
      <c r="Q819" s="98"/>
      <c r="R819" s="98"/>
      <c r="S819" s="98"/>
      <c r="T819" s="98"/>
      <c r="U819" s="98"/>
      <c r="V819" s="98"/>
      <c r="W819" s="98"/>
      <c r="X819" s="98"/>
      <c r="Y819" s="98"/>
      <c r="Z819" s="98"/>
      <c r="AA819" s="98"/>
      <c r="AB819" s="98"/>
      <c r="AC819" s="98"/>
      <c r="AD819" s="98"/>
    </row>
    <row r="820" spans="1:30" ht="12.75" customHeight="1">
      <c r="A820" s="140" t="s">
        <v>521</v>
      </c>
      <c r="B820" s="154">
        <v>44371</v>
      </c>
      <c r="C820" s="140">
        <v>-24404</v>
      </c>
      <c r="D820" s="395"/>
      <c r="E820" s="487"/>
      <c r="F820" s="491"/>
      <c r="G820" s="488"/>
      <c r="H820" s="98"/>
      <c r="K820" s="98"/>
      <c r="L820" s="98"/>
      <c r="M820" s="98"/>
      <c r="N820" s="98"/>
      <c r="O820" s="98"/>
      <c r="P820" s="98"/>
      <c r="Q820" s="98"/>
      <c r="R820" s="98"/>
      <c r="S820" s="98"/>
      <c r="T820" s="98"/>
      <c r="U820" s="98"/>
      <c r="V820" s="98"/>
      <c r="W820" s="98"/>
      <c r="X820" s="98"/>
      <c r="Y820" s="98"/>
      <c r="Z820" s="98"/>
      <c r="AA820" s="98"/>
      <c r="AB820" s="98"/>
      <c r="AC820" s="98"/>
      <c r="AD820" s="98"/>
    </row>
    <row r="821" spans="1:30" ht="12.75" customHeight="1">
      <c r="A821" s="125" t="s">
        <v>521</v>
      </c>
      <c r="B821" s="155">
        <v>44372</v>
      </c>
      <c r="C821" s="489">
        <v>24413</v>
      </c>
      <c r="D821" s="489">
        <f>C821+C820</f>
        <v>9</v>
      </c>
      <c r="E821" s="490">
        <f>-D821/C820</f>
        <v>3.6879200131126046E-4</v>
      </c>
      <c r="F821" s="383">
        <f>B821-B820</f>
        <v>1</v>
      </c>
      <c r="G821" s="490">
        <f>(C821/-C820)^(1/((B821-B820)/365))-1</f>
        <v>0.14406105947871928</v>
      </c>
      <c r="H821" s="98"/>
      <c r="K821" s="98"/>
      <c r="L821" s="98"/>
      <c r="M821" s="98"/>
      <c r="N821" s="98"/>
      <c r="O821" s="98"/>
      <c r="P821" s="98"/>
      <c r="Q821" s="98"/>
      <c r="R821" s="98"/>
      <c r="S821" s="98"/>
      <c r="T821" s="98"/>
      <c r="U821" s="98"/>
      <c r="V821" s="98"/>
      <c r="W821" s="98"/>
      <c r="X821" s="98"/>
      <c r="Y821" s="98"/>
      <c r="Z821" s="98"/>
      <c r="AA821" s="98"/>
      <c r="AB821" s="98"/>
      <c r="AC821" s="98"/>
      <c r="AD821" s="98"/>
    </row>
    <row r="822" spans="1:30" ht="12.75" customHeight="1">
      <c r="A822" s="140" t="s">
        <v>521</v>
      </c>
      <c r="B822" s="154">
        <v>44375</v>
      </c>
      <c r="C822" s="140">
        <v>-20925</v>
      </c>
      <c r="D822" s="395"/>
      <c r="E822" s="487"/>
      <c r="F822" s="491"/>
      <c r="G822" s="488"/>
      <c r="H822" s="98"/>
      <c r="K822" s="98"/>
      <c r="L822" s="98"/>
      <c r="M822" s="98"/>
      <c r="N822" s="98"/>
      <c r="O822" s="98"/>
      <c r="P822" s="98"/>
      <c r="Q822" s="98"/>
      <c r="R822" s="98"/>
      <c r="S822" s="98"/>
      <c r="T822" s="98"/>
      <c r="U822" s="98"/>
      <c r="V822" s="98"/>
      <c r="W822" s="98"/>
      <c r="X822" s="98"/>
      <c r="Y822" s="98"/>
      <c r="Z822" s="98"/>
      <c r="AA822" s="98"/>
      <c r="AB822" s="98"/>
      <c r="AC822" s="98"/>
      <c r="AD822" s="98"/>
    </row>
    <row r="823" spans="1:30" ht="12.75" customHeight="1">
      <c r="A823" s="125" t="s">
        <v>521</v>
      </c>
      <c r="B823" s="155">
        <v>44455</v>
      </c>
      <c r="C823" s="489">
        <v>21378</v>
      </c>
      <c r="D823" s="489">
        <f>C823+C822</f>
        <v>453</v>
      </c>
      <c r="E823" s="490">
        <f>-D823/C822</f>
        <v>2.1648745519713262E-2</v>
      </c>
      <c r="F823" s="383">
        <f>B823-B822</f>
        <v>80</v>
      </c>
      <c r="G823" s="490">
        <f>(C823/-C822)^(1/((B823-B822)/365))-1</f>
        <v>0.10265227460848703</v>
      </c>
      <c r="H823" s="98"/>
      <c r="K823" s="98"/>
      <c r="L823" s="98"/>
      <c r="M823" s="98"/>
      <c r="N823" s="98"/>
      <c r="O823" s="98"/>
      <c r="P823" s="98"/>
      <c r="Q823" s="98"/>
      <c r="R823" s="98"/>
      <c r="S823" s="98"/>
      <c r="T823" s="98"/>
      <c r="U823" s="98"/>
      <c r="V823" s="98"/>
      <c r="W823" s="98"/>
      <c r="X823" s="98"/>
      <c r="Y823" s="98"/>
      <c r="Z823" s="98"/>
      <c r="AA823" s="98"/>
      <c r="AB823" s="98"/>
      <c r="AC823" s="98"/>
      <c r="AD823" s="98"/>
    </row>
    <row r="824" spans="1:30" ht="12.75" customHeight="1">
      <c r="A824" s="140" t="s">
        <v>521</v>
      </c>
      <c r="B824" s="154">
        <v>44379</v>
      </c>
      <c r="C824" s="140">
        <v>-8810</v>
      </c>
      <c r="D824" s="395"/>
      <c r="E824" s="487"/>
      <c r="F824" s="491"/>
      <c r="G824" s="488"/>
      <c r="H824" s="98"/>
      <c r="K824" s="98"/>
      <c r="L824" s="98"/>
      <c r="M824" s="98"/>
      <c r="N824" s="98"/>
      <c r="O824" s="98"/>
      <c r="P824" s="98"/>
      <c r="Q824" s="98"/>
      <c r="R824" s="98"/>
      <c r="S824" s="98"/>
      <c r="T824" s="98"/>
      <c r="U824" s="98"/>
      <c r="V824" s="98"/>
      <c r="W824" s="98"/>
      <c r="X824" s="98"/>
      <c r="Y824" s="98"/>
      <c r="Z824" s="98"/>
      <c r="AA824" s="98"/>
      <c r="AB824" s="98"/>
      <c r="AC824" s="98"/>
      <c r="AD824" s="98"/>
    </row>
    <row r="825" spans="1:30" ht="12.75" customHeight="1">
      <c r="A825" s="125" t="s">
        <v>521</v>
      </c>
      <c r="B825" s="155">
        <v>44455</v>
      </c>
      <c r="C825" s="489">
        <v>10689</v>
      </c>
      <c r="D825" s="489">
        <f>C825+C824</f>
        <v>1879</v>
      </c>
      <c r="E825" s="490">
        <f>-D825/C824</f>
        <v>0.21328036322360955</v>
      </c>
      <c r="F825" s="383">
        <f>B825-B824</f>
        <v>76</v>
      </c>
      <c r="G825" s="490">
        <f>(C825/-C824)^(1/((B825-B824)/365))-1</f>
        <v>1.5306644250249266</v>
      </c>
      <c r="H825" s="98"/>
      <c r="K825" s="98"/>
      <c r="L825" s="98"/>
      <c r="M825" s="98"/>
      <c r="N825" s="98"/>
      <c r="O825" s="98"/>
      <c r="P825" s="98"/>
      <c r="Q825" s="98"/>
      <c r="R825" s="98"/>
      <c r="S825" s="98"/>
      <c r="T825" s="98"/>
      <c r="U825" s="98"/>
      <c r="V825" s="98"/>
      <c r="W825" s="98"/>
      <c r="X825" s="98"/>
      <c r="Y825" s="98"/>
      <c r="Z825" s="98"/>
      <c r="AA825" s="98"/>
      <c r="AB825" s="98"/>
      <c r="AC825" s="98"/>
      <c r="AD825" s="98"/>
    </row>
    <row r="826" spans="1:30" ht="12.75" customHeight="1">
      <c r="A826" s="140" t="s">
        <v>521</v>
      </c>
      <c r="B826" s="154">
        <v>44376</v>
      </c>
      <c r="C826" s="140">
        <v>-10312</v>
      </c>
      <c r="D826" s="395"/>
      <c r="E826" s="487"/>
      <c r="F826" s="491"/>
      <c r="G826" s="488"/>
      <c r="H826" s="98"/>
      <c r="K826" s="98"/>
      <c r="L826" s="98"/>
      <c r="M826" s="98"/>
      <c r="N826" s="98"/>
      <c r="O826" s="98"/>
      <c r="P826" s="98"/>
      <c r="Q826" s="98"/>
      <c r="R826" s="98"/>
      <c r="S826" s="98"/>
      <c r="T826" s="98"/>
      <c r="U826" s="98"/>
      <c r="V826" s="98"/>
      <c r="W826" s="98"/>
      <c r="X826" s="98"/>
      <c r="Y826" s="98"/>
      <c r="Z826" s="98"/>
      <c r="AA826" s="98"/>
      <c r="AB826" s="98"/>
      <c r="AC826" s="98"/>
      <c r="AD826" s="98"/>
    </row>
    <row r="827" spans="1:30" ht="12.75" customHeight="1">
      <c r="A827" s="125" t="s">
        <v>521</v>
      </c>
      <c r="B827" s="155">
        <v>44455</v>
      </c>
      <c r="C827" s="489">
        <v>10689</v>
      </c>
      <c r="D827" s="489">
        <f>C827+C826</f>
        <v>377</v>
      </c>
      <c r="E827" s="490">
        <f>-D827/C826</f>
        <v>3.6559348332040338E-2</v>
      </c>
      <c r="F827" s="383">
        <f>B827-B826</f>
        <v>79</v>
      </c>
      <c r="G827" s="490">
        <f>(C827/-C826)^(1/((B827-B826)/365))-1</f>
        <v>0.18045388516308303</v>
      </c>
      <c r="H827" s="98"/>
      <c r="K827" s="98"/>
      <c r="L827" s="98"/>
      <c r="M827" s="98"/>
      <c r="N827" s="98"/>
      <c r="O827" s="98"/>
      <c r="P827" s="98"/>
      <c r="Q827" s="98"/>
      <c r="R827" s="98"/>
      <c r="S827" s="98"/>
      <c r="T827" s="98"/>
      <c r="U827" s="98"/>
      <c r="V827" s="98"/>
      <c r="W827" s="98"/>
      <c r="X827" s="98"/>
      <c r="Y827" s="98"/>
      <c r="Z827" s="98"/>
      <c r="AA827" s="98"/>
      <c r="AB827" s="98"/>
      <c r="AC827" s="98"/>
      <c r="AD827" s="98"/>
    </row>
    <row r="828" spans="1:30" ht="12.75" customHeight="1">
      <c r="A828" s="140" t="s">
        <v>521</v>
      </c>
      <c r="B828" s="154">
        <v>44572</v>
      </c>
      <c r="C828" s="395">
        <v>-64026</v>
      </c>
      <c r="D828" s="395"/>
      <c r="E828" s="487"/>
      <c r="F828" s="491"/>
      <c r="G828" s="488"/>
      <c r="H828" s="98"/>
      <c r="K828" s="98"/>
      <c r="L828" s="98"/>
      <c r="M828" s="98"/>
      <c r="N828" s="98"/>
      <c r="O828" s="98"/>
      <c r="P828" s="98"/>
      <c r="Q828" s="98"/>
      <c r="R828" s="98"/>
      <c r="S828" s="98"/>
      <c r="T828" s="98"/>
      <c r="U828" s="98"/>
      <c r="V828" s="98"/>
      <c r="W828" s="98"/>
      <c r="X828" s="98"/>
      <c r="Y828" s="98"/>
      <c r="Z828" s="98"/>
      <c r="AA828" s="98"/>
      <c r="AB828" s="98"/>
      <c r="AC828" s="98"/>
      <c r="AD828" s="98"/>
    </row>
    <row r="829" spans="1:30" ht="12.75" customHeight="1">
      <c r="A829" s="125" t="s">
        <v>521</v>
      </c>
      <c r="B829" s="155">
        <v>44573</v>
      </c>
      <c r="C829" s="489">
        <v>63434</v>
      </c>
      <c r="D829" s="489">
        <f>C829+C828</f>
        <v>-592</v>
      </c>
      <c r="E829" s="490">
        <f>-D829/C828</f>
        <v>-9.2462437134913939E-3</v>
      </c>
      <c r="F829" s="383">
        <f>B829-B828</f>
        <v>1</v>
      </c>
      <c r="G829" s="490">
        <f>(C829/-C828)^(1/((B829-B828)/365))-1</f>
        <v>-0.96631081052609247</v>
      </c>
      <c r="H829" s="98"/>
      <c r="K829" s="98"/>
      <c r="L829" s="98"/>
      <c r="M829" s="98"/>
      <c r="N829" s="98"/>
      <c r="O829" s="98"/>
      <c r="P829" s="98"/>
      <c r="Q829" s="98"/>
      <c r="R829" s="98"/>
      <c r="S829" s="98"/>
      <c r="T829" s="98"/>
      <c r="U829" s="98"/>
      <c r="V829" s="98"/>
      <c r="W829" s="98"/>
      <c r="X829" s="98"/>
      <c r="Y829" s="98"/>
      <c r="Z829" s="98"/>
      <c r="AA829" s="98"/>
      <c r="AB829" s="98"/>
      <c r="AC829" s="98"/>
      <c r="AD829" s="98"/>
    </row>
    <row r="830" spans="1:30" ht="12.75" customHeight="1">
      <c r="A830" s="138" t="s">
        <v>507</v>
      </c>
      <c r="B830" s="492">
        <v>44320</v>
      </c>
      <c r="C830" s="493">
        <v>-5367</v>
      </c>
      <c r="D830" s="395"/>
      <c r="E830" s="487"/>
      <c r="F830" s="491"/>
      <c r="G830" s="488"/>
      <c r="H830" s="98"/>
      <c r="K830" s="98"/>
      <c r="L830" s="98"/>
      <c r="M830" s="98"/>
      <c r="N830" s="98"/>
      <c r="O830" s="98"/>
      <c r="P830" s="98"/>
      <c r="Q830" s="98"/>
      <c r="R830" s="98"/>
      <c r="S830" s="98"/>
      <c r="T830" s="98"/>
      <c r="U830" s="98"/>
      <c r="V830" s="98"/>
      <c r="W830" s="98"/>
      <c r="X830" s="98"/>
      <c r="Y830" s="98"/>
      <c r="Z830" s="98"/>
      <c r="AA830" s="98"/>
      <c r="AB830" s="98"/>
      <c r="AC830" s="98"/>
      <c r="AD830" s="98"/>
    </row>
    <row r="831" spans="1:30" ht="12.75" customHeight="1">
      <c r="A831" s="125" t="s">
        <v>507</v>
      </c>
      <c r="B831" s="495">
        <v>44340</v>
      </c>
      <c r="C831" s="496">
        <v>5609</v>
      </c>
      <c r="D831" s="489">
        <f>C831+C830</f>
        <v>242</v>
      </c>
      <c r="E831" s="490">
        <f>-D831/C830</f>
        <v>4.5090367057946709E-2</v>
      </c>
      <c r="F831" s="383">
        <f>B831-B830</f>
        <v>20</v>
      </c>
      <c r="G831" s="490">
        <f>(C831/-C830)^(1/((B831-B830)/365))-1</f>
        <v>1.2364421366993446</v>
      </c>
      <c r="H831" s="98"/>
      <c r="K831" s="98"/>
      <c r="L831" s="98"/>
      <c r="M831" s="98"/>
      <c r="N831" s="98"/>
      <c r="O831" s="98"/>
      <c r="P831" s="98"/>
      <c r="Q831" s="98"/>
      <c r="R831" s="98"/>
      <c r="S831" s="98"/>
      <c r="T831" s="98"/>
      <c r="U831" s="98"/>
      <c r="V831" s="98"/>
      <c r="W831" s="98"/>
      <c r="X831" s="98"/>
      <c r="Y831" s="98"/>
      <c r="Z831" s="98"/>
      <c r="AA831" s="98"/>
      <c r="AB831" s="98"/>
      <c r="AC831" s="98"/>
      <c r="AD831" s="98"/>
    </row>
    <row r="832" spans="1:30" ht="12.75" customHeight="1">
      <c r="A832" s="140" t="s">
        <v>650</v>
      </c>
      <c r="B832" s="154">
        <v>44953</v>
      </c>
      <c r="C832" s="395">
        <v>-2741</v>
      </c>
      <c r="D832" s="395"/>
      <c r="E832" s="487"/>
      <c r="F832" s="491"/>
      <c r="G832" s="488"/>
      <c r="H832" s="98"/>
      <c r="K832" s="98"/>
      <c r="L832" s="98"/>
      <c r="M832" s="98"/>
      <c r="N832" s="98"/>
      <c r="O832" s="98"/>
      <c r="P832" s="98"/>
      <c r="Q832" s="98"/>
      <c r="R832" s="98"/>
      <c r="S832" s="98"/>
      <c r="T832" s="98"/>
      <c r="U832" s="98"/>
      <c r="V832" s="98"/>
      <c r="W832" s="98"/>
      <c r="X832" s="98"/>
      <c r="Y832" s="98"/>
      <c r="Z832" s="98"/>
      <c r="AA832" s="98"/>
      <c r="AB832" s="98"/>
      <c r="AC832" s="98"/>
      <c r="AD832" s="98"/>
    </row>
    <row r="833" spans="1:30" ht="12.75" customHeight="1">
      <c r="A833" s="125" t="s">
        <v>650</v>
      </c>
      <c r="B833" s="155">
        <v>45040</v>
      </c>
      <c r="C833" s="489">
        <v>2904</v>
      </c>
      <c r="D833" s="489">
        <f>C833+C832</f>
        <v>163</v>
      </c>
      <c r="E833" s="490">
        <f>IFERROR(-D833/C832,0)</f>
        <v>5.9467347683327253E-2</v>
      </c>
      <c r="F833" s="383">
        <f>B833-B832</f>
        <v>87</v>
      </c>
      <c r="G833" s="490">
        <f>(C833/-C832)^(1/((B833-B832)/365))-1</f>
        <v>0.27424364427049386</v>
      </c>
      <c r="H833" s="98"/>
      <c r="K833" s="98"/>
      <c r="L833" s="98"/>
      <c r="M833" s="98"/>
      <c r="N833" s="98"/>
      <c r="O833" s="98"/>
      <c r="P833" s="98"/>
      <c r="Q833" s="98"/>
      <c r="R833" s="98"/>
      <c r="S833" s="98"/>
      <c r="T833" s="98"/>
      <c r="U833" s="98"/>
      <c r="V833" s="98"/>
      <c r="W833" s="98"/>
      <c r="X833" s="98"/>
      <c r="Y833" s="98"/>
      <c r="Z833" s="98"/>
      <c r="AA833" s="98"/>
      <c r="AB833" s="98"/>
      <c r="AC833" s="98"/>
      <c r="AD833" s="98"/>
    </row>
    <row r="834" spans="1:30" ht="12.75" customHeight="1">
      <c r="A834" s="140" t="s">
        <v>585</v>
      </c>
      <c r="B834" s="154">
        <v>44469</v>
      </c>
      <c r="C834" s="140">
        <v>-6458</v>
      </c>
      <c r="D834" s="395"/>
      <c r="E834" s="487"/>
      <c r="F834" s="491"/>
      <c r="G834" s="488"/>
      <c r="H834" s="98"/>
      <c r="K834" s="98"/>
      <c r="L834" s="98"/>
      <c r="M834" s="98"/>
      <c r="N834" s="98"/>
      <c r="O834" s="98"/>
      <c r="P834" s="98"/>
      <c r="Q834" s="98"/>
      <c r="R834" s="98"/>
      <c r="S834" s="98"/>
      <c r="T834" s="98"/>
      <c r="U834" s="98"/>
      <c r="V834" s="98"/>
      <c r="W834" s="98"/>
      <c r="X834" s="98"/>
      <c r="Y834" s="98"/>
      <c r="Z834" s="98"/>
      <c r="AA834" s="98"/>
      <c r="AB834" s="98"/>
      <c r="AC834" s="98"/>
      <c r="AD834" s="98"/>
    </row>
    <row r="835" spans="1:30" ht="12.75" customHeight="1">
      <c r="A835" s="125" t="s">
        <v>585</v>
      </c>
      <c r="B835" s="155">
        <v>44477</v>
      </c>
      <c r="C835" s="489">
        <v>6893</v>
      </c>
      <c r="D835" s="489">
        <f>C835+C834</f>
        <v>435</v>
      </c>
      <c r="E835" s="490">
        <f>-D835/C834</f>
        <v>6.73583152678848E-2</v>
      </c>
      <c r="F835" s="383">
        <f>B835-B834</f>
        <v>8</v>
      </c>
      <c r="G835" s="490">
        <f>(C835/-C834)^(1/((B835-B834)/365))-1</f>
        <v>18.572873994200808</v>
      </c>
      <c r="H835" s="98"/>
      <c r="K835" s="98"/>
      <c r="L835" s="98"/>
      <c r="M835" s="98"/>
      <c r="N835" s="98"/>
      <c r="O835" s="98"/>
      <c r="P835" s="98"/>
      <c r="Q835" s="98"/>
      <c r="R835" s="98"/>
      <c r="S835" s="98"/>
      <c r="T835" s="98"/>
      <c r="U835" s="98"/>
      <c r="V835" s="98"/>
      <c r="W835" s="98"/>
      <c r="X835" s="98"/>
      <c r="Y835" s="98"/>
      <c r="Z835" s="98"/>
      <c r="AA835" s="98"/>
      <c r="AB835" s="98"/>
      <c r="AC835" s="98"/>
      <c r="AD835" s="98"/>
    </row>
    <row r="836" spans="1:30" ht="12.75" customHeight="1">
      <c r="A836" s="140" t="s">
        <v>585</v>
      </c>
      <c r="B836" s="154">
        <v>44490</v>
      </c>
      <c r="C836" s="395">
        <v>-7659</v>
      </c>
      <c r="D836" s="395"/>
      <c r="E836" s="487"/>
      <c r="F836" s="491"/>
      <c r="G836" s="488"/>
      <c r="H836" s="98"/>
      <c r="K836" s="98"/>
      <c r="L836" s="98"/>
      <c r="M836" s="98"/>
      <c r="N836" s="98"/>
      <c r="O836" s="98"/>
      <c r="P836" s="98"/>
      <c r="Q836" s="98"/>
      <c r="R836" s="98"/>
      <c r="S836" s="98"/>
      <c r="T836" s="98"/>
      <c r="U836" s="98"/>
      <c r="V836" s="98"/>
      <c r="W836" s="98"/>
      <c r="X836" s="98"/>
      <c r="Y836" s="98"/>
      <c r="Z836" s="98"/>
      <c r="AA836" s="98"/>
      <c r="AB836" s="98"/>
      <c r="AC836" s="98"/>
      <c r="AD836" s="98"/>
    </row>
    <row r="837" spans="1:30" ht="12.75" customHeight="1">
      <c r="A837" s="125" t="s">
        <v>585</v>
      </c>
      <c r="B837" s="155">
        <v>44509</v>
      </c>
      <c r="C837" s="489">
        <v>7852</v>
      </c>
      <c r="D837" s="489">
        <f>C837+C836</f>
        <v>193</v>
      </c>
      <c r="E837" s="490">
        <f>-D837/C836</f>
        <v>2.5199112155633894E-2</v>
      </c>
      <c r="F837" s="383">
        <f>B837-B836</f>
        <v>19</v>
      </c>
      <c r="G837" s="490">
        <f>(C837/-C836)^(1/((B837-B836)/365))-1</f>
        <v>0.61298980238716672</v>
      </c>
      <c r="H837" s="98"/>
      <c r="K837" s="98"/>
      <c r="L837" s="98"/>
      <c r="M837" s="98"/>
      <c r="N837" s="98"/>
      <c r="O837" s="98"/>
      <c r="P837" s="98"/>
      <c r="Q837" s="98"/>
      <c r="R837" s="98"/>
      <c r="S837" s="98"/>
      <c r="T837" s="98"/>
      <c r="U837" s="98"/>
      <c r="V837" s="98"/>
      <c r="W837" s="98"/>
      <c r="X837" s="98"/>
      <c r="Y837" s="98"/>
      <c r="Z837" s="98"/>
      <c r="AA837" s="98"/>
      <c r="AB837" s="98"/>
      <c r="AC837" s="98"/>
      <c r="AD837" s="98"/>
    </row>
    <row r="838" spans="1:30" ht="12.75" customHeight="1">
      <c r="A838" s="140" t="s">
        <v>597</v>
      </c>
      <c r="B838" s="154">
        <v>44536</v>
      </c>
      <c r="C838" s="395">
        <v>-7609</v>
      </c>
      <c r="D838" s="395"/>
      <c r="E838" s="487"/>
      <c r="F838" s="491"/>
      <c r="G838" s="488"/>
      <c r="H838" s="98"/>
      <c r="K838" s="98"/>
      <c r="L838" s="98"/>
      <c r="M838" s="98"/>
      <c r="N838" s="98"/>
      <c r="O838" s="98"/>
      <c r="P838" s="98"/>
      <c r="Q838" s="98"/>
      <c r="R838" s="98"/>
      <c r="S838" s="98"/>
      <c r="T838" s="98"/>
      <c r="U838" s="98"/>
      <c r="V838" s="98"/>
      <c r="W838" s="98"/>
      <c r="X838" s="98"/>
      <c r="Y838" s="98"/>
      <c r="Z838" s="98"/>
      <c r="AA838" s="98"/>
      <c r="AB838" s="98"/>
      <c r="AC838" s="98"/>
      <c r="AD838" s="98"/>
    </row>
    <row r="839" spans="1:30" ht="12.75" customHeight="1">
      <c r="A839" s="125" t="s">
        <v>597</v>
      </c>
      <c r="B839" s="155">
        <v>44537</v>
      </c>
      <c r="C839" s="489">
        <v>7742</v>
      </c>
      <c r="D839" s="489">
        <f>C839+C838</f>
        <v>133</v>
      </c>
      <c r="E839" s="490">
        <f>-D839/C838</f>
        <v>1.7479300827966882E-2</v>
      </c>
      <c r="F839" s="383">
        <f>B839-B838</f>
        <v>1</v>
      </c>
      <c r="G839" s="490">
        <f>(C839/-C838)^(1/((B839-B838)/365))-1</f>
        <v>557.26159501226164</v>
      </c>
      <c r="H839" s="98"/>
      <c r="K839" s="98"/>
      <c r="L839" s="98"/>
      <c r="M839" s="98"/>
      <c r="N839" s="98"/>
      <c r="O839" s="98"/>
      <c r="P839" s="98"/>
      <c r="Q839" s="98"/>
      <c r="R839" s="98"/>
      <c r="S839" s="98"/>
      <c r="T839" s="98"/>
      <c r="U839" s="98"/>
      <c r="V839" s="98"/>
      <c r="W839" s="98"/>
      <c r="X839" s="98"/>
      <c r="Y839" s="98"/>
      <c r="Z839" s="98"/>
      <c r="AA839" s="98"/>
      <c r="AB839" s="98"/>
      <c r="AC839" s="98"/>
      <c r="AD839" s="98"/>
    </row>
    <row r="840" spans="1:30" ht="12.75" customHeight="1">
      <c r="A840" s="140" t="s">
        <v>579</v>
      </c>
      <c r="B840" s="154">
        <v>44459</v>
      </c>
      <c r="C840" s="140">
        <v>-10813</v>
      </c>
      <c r="D840" s="395"/>
      <c r="E840" s="487"/>
      <c r="F840" s="491"/>
      <c r="G840" s="488"/>
      <c r="H840" s="98"/>
      <c r="K840" s="98"/>
      <c r="L840" s="98"/>
      <c r="M840" s="98"/>
      <c r="N840" s="98"/>
      <c r="O840" s="98"/>
      <c r="P840" s="98"/>
      <c r="Q840" s="98"/>
      <c r="R840" s="98"/>
      <c r="S840" s="98"/>
      <c r="T840" s="98"/>
      <c r="U840" s="98"/>
      <c r="V840" s="98"/>
      <c r="W840" s="98"/>
      <c r="X840" s="98"/>
      <c r="Y840" s="98"/>
      <c r="Z840" s="98"/>
      <c r="AA840" s="98"/>
      <c r="AB840" s="98"/>
      <c r="AC840" s="98"/>
      <c r="AD840" s="98"/>
    </row>
    <row r="841" spans="1:30" ht="12.75" customHeight="1">
      <c r="A841" s="125" t="s">
        <v>579</v>
      </c>
      <c r="B841" s="155">
        <v>44462</v>
      </c>
      <c r="C841" s="489">
        <v>11158</v>
      </c>
      <c r="D841" s="489">
        <f>C841+C840</f>
        <v>345</v>
      </c>
      <c r="E841" s="490">
        <f>-D841/C840</f>
        <v>3.1906039027097016E-2</v>
      </c>
      <c r="F841" s="383">
        <f>B841-B840</f>
        <v>3</v>
      </c>
      <c r="G841" s="490">
        <f>(C841/-C840)^(1/((B841-B840)/365))-1</f>
        <v>44.66170040354595</v>
      </c>
      <c r="H841" s="98"/>
      <c r="K841" s="98"/>
      <c r="L841" s="98"/>
      <c r="M841" s="98"/>
      <c r="N841" s="98"/>
      <c r="O841" s="98"/>
      <c r="P841" s="98"/>
      <c r="Q841" s="98"/>
      <c r="R841" s="98"/>
      <c r="S841" s="98"/>
      <c r="T841" s="98"/>
      <c r="U841" s="98"/>
      <c r="V841" s="98"/>
      <c r="W841" s="98"/>
      <c r="X841" s="98"/>
      <c r="Y841" s="98"/>
      <c r="Z841" s="98"/>
      <c r="AA841" s="98"/>
      <c r="AB841" s="98"/>
      <c r="AC841" s="98"/>
      <c r="AD841" s="98"/>
    </row>
    <row r="842" spans="1:30" ht="12.75" customHeight="1">
      <c r="A842" s="140" t="s">
        <v>579</v>
      </c>
      <c r="B842" s="154">
        <v>44461</v>
      </c>
      <c r="C842" s="395">
        <v>-11013</v>
      </c>
      <c r="D842" s="395"/>
      <c r="E842" s="487"/>
      <c r="F842" s="491"/>
      <c r="G842" s="488"/>
      <c r="H842" s="98"/>
      <c r="K842" s="98"/>
      <c r="L842" s="98"/>
      <c r="M842" s="98"/>
      <c r="N842" s="98"/>
      <c r="O842" s="98"/>
      <c r="P842" s="98"/>
      <c r="Q842" s="98"/>
      <c r="R842" s="98"/>
      <c r="S842" s="98"/>
      <c r="T842" s="98"/>
      <c r="U842" s="98"/>
      <c r="V842" s="98"/>
      <c r="W842" s="98"/>
      <c r="X842" s="98"/>
      <c r="Y842" s="98"/>
      <c r="Z842" s="98"/>
      <c r="AA842" s="98"/>
      <c r="AB842" s="98"/>
      <c r="AC842" s="98"/>
      <c r="AD842" s="98"/>
    </row>
    <row r="843" spans="1:30" ht="12.75" customHeight="1">
      <c r="A843" s="125" t="s">
        <v>579</v>
      </c>
      <c r="B843" s="155">
        <v>44512</v>
      </c>
      <c r="C843" s="489">
        <v>11108</v>
      </c>
      <c r="D843" s="489">
        <f>C843+C842</f>
        <v>95</v>
      </c>
      <c r="E843" s="490">
        <f>-D843/C842</f>
        <v>8.626169072913829E-3</v>
      </c>
      <c r="F843" s="383">
        <f>B843-B842</f>
        <v>51</v>
      </c>
      <c r="G843" s="490">
        <f>(C843/-C842)^(1/((B843-B842)/365))-1</f>
        <v>6.3400248315276686E-2</v>
      </c>
      <c r="H843" s="98"/>
      <c r="K843" s="98"/>
      <c r="L843" s="98"/>
      <c r="M843" s="98"/>
      <c r="N843" s="98"/>
      <c r="O843" s="98"/>
      <c r="P843" s="98"/>
      <c r="Q843" s="98"/>
      <c r="R843" s="98"/>
      <c r="S843" s="98"/>
      <c r="T843" s="98"/>
      <c r="U843" s="98"/>
      <c r="V843" s="98"/>
      <c r="W843" s="98"/>
      <c r="X843" s="98"/>
      <c r="Y843" s="98"/>
      <c r="Z843" s="98"/>
      <c r="AA843" s="98"/>
      <c r="AB843" s="98"/>
      <c r="AC843" s="98"/>
      <c r="AD843" s="98"/>
    </row>
    <row r="844" spans="1:30" ht="12.75" customHeight="1">
      <c r="A844" s="139" t="s">
        <v>489</v>
      </c>
      <c r="B844" s="492">
        <v>44225</v>
      </c>
      <c r="C844" s="493">
        <v>-14900</v>
      </c>
      <c r="D844" s="395"/>
      <c r="E844" s="487"/>
      <c r="F844" s="491"/>
      <c r="G844" s="488"/>
      <c r="H844" s="98"/>
      <c r="K844" s="98"/>
      <c r="L844" s="98"/>
      <c r="M844" s="98"/>
      <c r="N844" s="98"/>
      <c r="O844" s="98"/>
      <c r="P844" s="98"/>
      <c r="Q844" s="98"/>
      <c r="R844" s="98"/>
      <c r="S844" s="98"/>
      <c r="T844" s="98"/>
      <c r="U844" s="98"/>
      <c r="V844" s="98"/>
      <c r="W844" s="98"/>
      <c r="X844" s="98"/>
      <c r="Y844" s="98"/>
      <c r="Z844" s="98"/>
      <c r="AA844" s="98"/>
      <c r="AB844" s="98"/>
      <c r="AC844" s="98"/>
      <c r="AD844" s="98"/>
    </row>
    <row r="845" spans="1:30" ht="12.75" customHeight="1">
      <c r="A845" s="125" t="s">
        <v>489</v>
      </c>
      <c r="B845" s="495">
        <v>44229</v>
      </c>
      <c r="C845" s="496">
        <v>25502.23</v>
      </c>
      <c r="D845" s="489">
        <f>C845+C844</f>
        <v>10602.23</v>
      </c>
      <c r="E845" s="490">
        <f>-D845/C844</f>
        <v>0.71155906040268457</v>
      </c>
      <c r="F845" s="383">
        <f>B845-B844</f>
        <v>4</v>
      </c>
      <c r="G845" s="490">
        <f>(C845/-C844)^(1/((B845-B844)/365))-1</f>
        <v>1.9815724146777824E+21</v>
      </c>
      <c r="H845" s="98"/>
      <c r="K845" s="98"/>
      <c r="L845" s="98"/>
      <c r="M845" s="98"/>
      <c r="N845" s="98"/>
      <c r="O845" s="98"/>
      <c r="P845" s="98"/>
      <c r="Q845" s="98"/>
      <c r="R845" s="98"/>
      <c r="S845" s="98"/>
      <c r="T845" s="98"/>
      <c r="U845" s="98"/>
      <c r="V845" s="98"/>
      <c r="W845" s="98"/>
      <c r="X845" s="98"/>
      <c r="Y845" s="98"/>
      <c r="Z845" s="98"/>
      <c r="AA845" s="98"/>
      <c r="AB845" s="98"/>
      <c r="AC845" s="98"/>
      <c r="AD845" s="98"/>
    </row>
    <row r="846" spans="1:30" ht="12.75" customHeight="1">
      <c r="A846" s="140" t="s">
        <v>573</v>
      </c>
      <c r="B846" s="154">
        <v>44411</v>
      </c>
      <c r="C846" s="395">
        <v>-3141</v>
      </c>
      <c r="D846" s="395"/>
      <c r="E846" s="487"/>
      <c r="F846" s="491"/>
      <c r="G846" s="488"/>
      <c r="H846" s="98"/>
      <c r="K846" s="98"/>
      <c r="L846" s="98"/>
      <c r="M846" s="98"/>
      <c r="N846" s="98"/>
      <c r="O846" s="98"/>
      <c r="P846" s="98"/>
      <c r="Q846" s="98"/>
      <c r="R846" s="98"/>
      <c r="S846" s="98"/>
      <c r="T846" s="98"/>
      <c r="U846" s="98"/>
      <c r="V846" s="98"/>
      <c r="W846" s="98"/>
      <c r="X846" s="98"/>
      <c r="Y846" s="98"/>
      <c r="Z846" s="98"/>
      <c r="AA846" s="98"/>
      <c r="AB846" s="98"/>
      <c r="AC846" s="98"/>
      <c r="AD846" s="98"/>
    </row>
    <row r="847" spans="1:30" ht="12.75" customHeight="1">
      <c r="A847" s="125" t="s">
        <v>573</v>
      </c>
      <c r="B847" s="155">
        <v>44565</v>
      </c>
      <c r="C847" s="489">
        <v>2414</v>
      </c>
      <c r="D847" s="489">
        <f>C847+C846</f>
        <v>-727</v>
      </c>
      <c r="E847" s="490">
        <f>-D847/C846</f>
        <v>-0.23145495065265839</v>
      </c>
      <c r="F847" s="383">
        <f>B847-B846</f>
        <v>154</v>
      </c>
      <c r="G847" s="490">
        <f>(C847/-C846)^(1/((B847-B846)/365))-1</f>
        <v>-0.46417686323338503</v>
      </c>
      <c r="H847" s="98"/>
      <c r="K847" s="98"/>
      <c r="L847" s="98"/>
      <c r="M847" s="98"/>
      <c r="N847" s="98"/>
      <c r="O847" s="98"/>
      <c r="P847" s="98"/>
      <c r="Q847" s="98"/>
      <c r="R847" s="98"/>
      <c r="S847" s="98"/>
      <c r="T847" s="98"/>
      <c r="U847" s="98"/>
      <c r="V847" s="98"/>
      <c r="W847" s="98"/>
      <c r="X847" s="98"/>
      <c r="Y847" s="98"/>
      <c r="Z847" s="98"/>
      <c r="AA847" s="98"/>
      <c r="AB847" s="98"/>
      <c r="AC847" s="98"/>
      <c r="AD847" s="98"/>
    </row>
    <row r="848" spans="1:30" ht="12.75" customHeight="1">
      <c r="A848" s="140" t="s">
        <v>308</v>
      </c>
      <c r="B848" s="154">
        <v>44671</v>
      </c>
      <c r="C848" s="395">
        <v>-24025</v>
      </c>
      <c r="D848" s="395"/>
      <c r="E848" s="487"/>
      <c r="F848" s="491"/>
      <c r="G848" s="488"/>
      <c r="H848" s="98"/>
      <c r="K848" s="98"/>
      <c r="L848" s="98"/>
      <c r="M848" s="98"/>
      <c r="N848" s="98"/>
      <c r="O848" s="98"/>
      <c r="P848" s="98"/>
      <c r="Q848" s="98"/>
      <c r="R848" s="98"/>
      <c r="S848" s="98"/>
      <c r="T848" s="98"/>
      <c r="U848" s="98"/>
      <c r="V848" s="98"/>
      <c r="W848" s="98"/>
      <c r="X848" s="98"/>
      <c r="Y848" s="98"/>
      <c r="Z848" s="98"/>
      <c r="AA848" s="98"/>
      <c r="AB848" s="98"/>
      <c r="AC848" s="98"/>
      <c r="AD848" s="98"/>
    </row>
    <row r="849" spans="1:30" ht="12.75" customHeight="1">
      <c r="A849" s="125" t="s">
        <v>308</v>
      </c>
      <c r="B849" s="155">
        <v>44678</v>
      </c>
      <c r="C849" s="489">
        <v>26073</v>
      </c>
      <c r="D849" s="489">
        <f>C849+C848</f>
        <v>2048</v>
      </c>
      <c r="E849" s="490">
        <f>IFERROR(-D849/C848,0)</f>
        <v>8.5244536940686788E-2</v>
      </c>
      <c r="F849" s="383">
        <f>B849-B848</f>
        <v>7</v>
      </c>
      <c r="G849" s="490">
        <f>(C849/-C848)^(1/((B849-B848)/365))-1</f>
        <v>70.205084202842684</v>
      </c>
      <c r="H849" s="98"/>
      <c r="K849" s="98"/>
      <c r="L849" s="98"/>
      <c r="M849" s="98"/>
      <c r="N849" s="98"/>
      <c r="O849" s="98"/>
      <c r="P849" s="98"/>
      <c r="Q849" s="98"/>
      <c r="R849" s="98"/>
      <c r="S849" s="98"/>
      <c r="T849" s="98"/>
      <c r="U849" s="98"/>
      <c r="V849" s="98"/>
      <c r="W849" s="98"/>
      <c r="X849" s="98"/>
      <c r="Y849" s="98"/>
      <c r="Z849" s="98"/>
      <c r="AA849" s="98"/>
      <c r="AB849" s="98"/>
      <c r="AC849" s="98"/>
      <c r="AD849" s="98"/>
    </row>
    <row r="850" spans="1:30" ht="12.75" customHeight="1">
      <c r="A850" s="140" t="s">
        <v>308</v>
      </c>
      <c r="B850" s="154">
        <v>44671</v>
      </c>
      <c r="C850" s="395">
        <v>-40041</v>
      </c>
      <c r="D850" s="395"/>
      <c r="E850" s="487"/>
      <c r="F850" s="491"/>
      <c r="G850" s="488"/>
      <c r="H850" s="98"/>
      <c r="K850" s="98"/>
      <c r="L850" s="98"/>
      <c r="M850" s="98"/>
      <c r="N850" s="98"/>
      <c r="O850" s="98"/>
      <c r="P850" s="98"/>
      <c r="Q850" s="98"/>
      <c r="R850" s="98"/>
      <c r="S850" s="98"/>
      <c r="T850" s="98"/>
      <c r="U850" s="98"/>
      <c r="V850" s="98"/>
      <c r="W850" s="98"/>
      <c r="X850" s="98"/>
      <c r="Y850" s="98"/>
      <c r="Z850" s="98"/>
      <c r="AA850" s="98"/>
      <c r="AB850" s="98"/>
      <c r="AC850" s="98"/>
      <c r="AD850" s="98"/>
    </row>
    <row r="851" spans="1:30" ht="12.75" customHeight="1">
      <c r="A851" s="125" t="s">
        <v>308</v>
      </c>
      <c r="B851" s="155">
        <v>44683</v>
      </c>
      <c r="C851" s="489">
        <v>42156</v>
      </c>
      <c r="D851" s="489">
        <f>C851+C850</f>
        <v>2115</v>
      </c>
      <c r="E851" s="490">
        <f>IFERROR(-D851/C850,0)</f>
        <v>5.282085861991459E-2</v>
      </c>
      <c r="F851" s="383">
        <f>B851-B850</f>
        <v>12</v>
      </c>
      <c r="G851" s="490">
        <f>(C851/-C850)^(1/((B851-B850)/365))-1</f>
        <v>3.7857365395022295</v>
      </c>
      <c r="H851" s="98"/>
      <c r="K851" s="98"/>
      <c r="L851" s="98"/>
      <c r="M851" s="98"/>
      <c r="N851" s="98"/>
      <c r="O851" s="98"/>
      <c r="P851" s="98"/>
      <c r="Q851" s="98"/>
      <c r="R851" s="98"/>
      <c r="S851" s="98"/>
      <c r="T851" s="98"/>
      <c r="U851" s="98"/>
      <c r="V851" s="98"/>
      <c r="W851" s="98"/>
      <c r="X851" s="98"/>
      <c r="Y851" s="98"/>
      <c r="Z851" s="98"/>
      <c r="AA851" s="98"/>
      <c r="AB851" s="98"/>
      <c r="AC851" s="98"/>
      <c r="AD851" s="98"/>
    </row>
    <row r="852" spans="1:30" ht="12.75" customHeight="1">
      <c r="A852" s="140" t="s">
        <v>308</v>
      </c>
      <c r="B852" s="154">
        <v>44671</v>
      </c>
      <c r="C852" s="395">
        <v>-40041</v>
      </c>
      <c r="D852" s="395"/>
      <c r="E852" s="487"/>
      <c r="F852" s="491"/>
      <c r="G852" s="488"/>
      <c r="H852" s="98"/>
      <c r="K852" s="98"/>
      <c r="L852" s="98"/>
      <c r="M852" s="98"/>
      <c r="N852" s="98"/>
      <c r="O852" s="98"/>
      <c r="P852" s="98"/>
      <c r="Q852" s="98"/>
      <c r="R852" s="98"/>
      <c r="S852" s="98"/>
      <c r="T852" s="98"/>
      <c r="U852" s="98"/>
      <c r="V852" s="98"/>
      <c r="W852" s="98"/>
      <c r="X852" s="98"/>
      <c r="Y852" s="98"/>
      <c r="Z852" s="98"/>
      <c r="AA852" s="98"/>
      <c r="AB852" s="98"/>
      <c r="AC852" s="98"/>
      <c r="AD852" s="98"/>
    </row>
    <row r="853" spans="1:30" ht="12.75" customHeight="1">
      <c r="A853" s="125" t="s">
        <v>308</v>
      </c>
      <c r="B853" s="155">
        <v>44708</v>
      </c>
      <c r="C853" s="489">
        <v>43607</v>
      </c>
      <c r="D853" s="489">
        <f>C853+C852</f>
        <v>3566</v>
      </c>
      <c r="E853" s="490">
        <f>IFERROR(-D853/C852,0)</f>
        <v>8.9058714817312257E-2</v>
      </c>
      <c r="F853" s="383">
        <f>B853-B852</f>
        <v>37</v>
      </c>
      <c r="G853" s="490">
        <f>(C853/-C852)^(1/((B853-B852)/365))-1</f>
        <v>1.3200963183521184</v>
      </c>
      <c r="H853" s="98"/>
      <c r="K853" s="98"/>
      <c r="L853" s="98"/>
      <c r="M853" s="98"/>
      <c r="N853" s="98"/>
      <c r="O853" s="98"/>
      <c r="P853" s="98"/>
      <c r="Q853" s="98"/>
      <c r="R853" s="98"/>
      <c r="S853" s="98"/>
      <c r="T853" s="98"/>
      <c r="U853" s="98"/>
      <c r="V853" s="98"/>
      <c r="W853" s="98"/>
      <c r="X853" s="98"/>
      <c r="Y853" s="98"/>
      <c r="Z853" s="98"/>
      <c r="AA853" s="98"/>
      <c r="AB853" s="98"/>
      <c r="AC853" s="98"/>
      <c r="AD853" s="98"/>
    </row>
    <row r="854" spans="1:30" ht="12.75" customHeight="1">
      <c r="A854" s="140" t="s">
        <v>308</v>
      </c>
      <c r="B854" s="154">
        <v>44708</v>
      </c>
      <c r="C854" s="395">
        <v>-22590</v>
      </c>
      <c r="D854" s="395"/>
      <c r="E854" s="487"/>
      <c r="F854" s="491"/>
      <c r="G854" s="488"/>
      <c r="H854" s="98"/>
      <c r="K854" s="98"/>
      <c r="L854" s="98"/>
      <c r="M854" s="98"/>
      <c r="N854" s="98"/>
      <c r="O854" s="98"/>
      <c r="P854" s="98"/>
      <c r="Q854" s="98"/>
      <c r="R854" s="98"/>
      <c r="S854" s="98"/>
      <c r="T854" s="98"/>
      <c r="U854" s="98"/>
      <c r="V854" s="98"/>
      <c r="W854" s="98"/>
      <c r="X854" s="98"/>
      <c r="Y854" s="98"/>
      <c r="Z854" s="98"/>
      <c r="AA854" s="98"/>
      <c r="AB854" s="98"/>
      <c r="AC854" s="98"/>
      <c r="AD854" s="98"/>
    </row>
    <row r="855" spans="1:30" ht="12.75" customHeight="1">
      <c r="A855" s="125" t="s">
        <v>308</v>
      </c>
      <c r="B855" s="155">
        <v>44711</v>
      </c>
      <c r="C855" s="489">
        <v>23026</v>
      </c>
      <c r="D855" s="489">
        <f>C855+C854</f>
        <v>436</v>
      </c>
      <c r="E855" s="490">
        <f>IFERROR(-D855/C854,0)</f>
        <v>1.9300575475874281E-2</v>
      </c>
      <c r="F855" s="383">
        <f>B855-B854</f>
        <v>3</v>
      </c>
      <c r="G855" s="490">
        <f>(C855/-C854)^(1/((B855-B854)/365))-1</f>
        <v>9.2355089967495321</v>
      </c>
      <c r="H855" s="98"/>
      <c r="K855" s="98"/>
      <c r="L855" s="98"/>
      <c r="M855" s="98"/>
      <c r="N855" s="98"/>
      <c r="O855" s="98"/>
      <c r="P855" s="98"/>
      <c r="Q855" s="98"/>
      <c r="R855" s="98"/>
      <c r="S855" s="98"/>
      <c r="T855" s="98"/>
      <c r="U855" s="98"/>
      <c r="V855" s="98"/>
      <c r="W855" s="98"/>
      <c r="X855" s="98"/>
      <c r="Y855" s="98"/>
      <c r="Z855" s="98"/>
      <c r="AA855" s="98"/>
      <c r="AB855" s="98"/>
      <c r="AC855" s="98"/>
      <c r="AD855" s="98"/>
    </row>
    <row r="856" spans="1:30" ht="12.75" customHeight="1">
      <c r="A856" s="140" t="s">
        <v>308</v>
      </c>
      <c r="B856" s="154">
        <v>44671</v>
      </c>
      <c r="C856" s="395">
        <v>-20021</v>
      </c>
      <c r="D856" s="395"/>
      <c r="E856" s="487"/>
      <c r="F856" s="491"/>
      <c r="G856" s="488"/>
      <c r="H856" s="98"/>
      <c r="K856" s="98"/>
      <c r="L856" s="98"/>
      <c r="M856" s="98"/>
      <c r="N856" s="98"/>
      <c r="O856" s="98"/>
      <c r="P856" s="98"/>
      <c r="Q856" s="98"/>
      <c r="R856" s="98"/>
      <c r="S856" s="98"/>
      <c r="T856" s="98"/>
      <c r="U856" s="98"/>
      <c r="V856" s="98"/>
      <c r="W856" s="98"/>
      <c r="X856" s="98"/>
      <c r="Y856" s="98"/>
      <c r="Z856" s="98"/>
      <c r="AA856" s="98"/>
      <c r="AB856" s="98"/>
      <c r="AC856" s="98"/>
      <c r="AD856" s="98"/>
    </row>
    <row r="857" spans="1:30" ht="12.75" customHeight="1">
      <c r="A857" s="125" t="s">
        <v>308</v>
      </c>
      <c r="B857" s="155">
        <v>44712</v>
      </c>
      <c r="C857" s="489">
        <v>22677</v>
      </c>
      <c r="D857" s="489">
        <f>C857+C856</f>
        <v>2656</v>
      </c>
      <c r="E857" s="490">
        <f>IFERROR(-D857/C856,0)</f>
        <v>0.13266070625842866</v>
      </c>
      <c r="F857" s="383">
        <f>B857-B856</f>
        <v>41</v>
      </c>
      <c r="G857" s="490">
        <f>(C857/-C856)^(1/((B857-B856)/365))-1</f>
        <v>2.031241074939953</v>
      </c>
      <c r="H857" s="98"/>
      <c r="K857" s="98"/>
      <c r="L857" s="98"/>
      <c r="M857" s="98"/>
      <c r="N857" s="98"/>
      <c r="O857" s="98"/>
      <c r="P857" s="98"/>
      <c r="Q857" s="98"/>
      <c r="R857" s="98"/>
      <c r="S857" s="98"/>
      <c r="T857" s="98"/>
      <c r="U857" s="98"/>
      <c r="V857" s="98"/>
      <c r="W857" s="98"/>
      <c r="X857" s="98"/>
      <c r="Y857" s="98"/>
      <c r="Z857" s="98"/>
      <c r="AA857" s="98"/>
      <c r="AB857" s="98"/>
      <c r="AC857" s="98"/>
      <c r="AD857" s="98"/>
    </row>
    <row r="858" spans="1:30" ht="12.75" customHeight="1">
      <c r="A858" s="140" t="s">
        <v>308</v>
      </c>
      <c r="B858" s="154">
        <v>44671</v>
      </c>
      <c r="C858" s="395">
        <v>-20021</v>
      </c>
      <c r="D858" s="395"/>
      <c r="E858" s="487"/>
      <c r="F858" s="491"/>
      <c r="G858" s="488"/>
      <c r="H858" s="98"/>
      <c r="K858" s="98"/>
      <c r="L858" s="98"/>
      <c r="M858" s="98"/>
      <c r="N858" s="98"/>
      <c r="O858" s="98"/>
      <c r="P858" s="98"/>
      <c r="Q858" s="98"/>
      <c r="R858" s="98"/>
      <c r="S858" s="98"/>
      <c r="T858" s="98"/>
      <c r="U858" s="98"/>
      <c r="V858" s="98"/>
      <c r="W858" s="98"/>
      <c r="X858" s="98"/>
      <c r="Y858" s="98"/>
      <c r="Z858" s="98"/>
      <c r="AA858" s="98"/>
      <c r="AB858" s="98"/>
      <c r="AC858" s="98"/>
      <c r="AD858" s="98"/>
    </row>
    <row r="859" spans="1:30" ht="12.75" customHeight="1">
      <c r="A859" s="125" t="s">
        <v>308</v>
      </c>
      <c r="B859" s="155">
        <v>44714</v>
      </c>
      <c r="C859" s="489">
        <v>23151</v>
      </c>
      <c r="D859" s="489">
        <f>C859+C858</f>
        <v>3130</v>
      </c>
      <c r="E859" s="490">
        <f>IFERROR(-D859/C858,0)</f>
        <v>0.1563358473602717</v>
      </c>
      <c r="F859" s="383">
        <f>B859-B858</f>
        <v>43</v>
      </c>
      <c r="G859" s="490">
        <f>(C859/-C858)^(1/((B859-B858)/365))-1</f>
        <v>2.4314713292153098</v>
      </c>
      <c r="H859" s="98"/>
      <c r="K859" s="98"/>
      <c r="L859" s="98"/>
      <c r="M859" s="98"/>
      <c r="N859" s="98"/>
      <c r="O859" s="98"/>
      <c r="P859" s="98"/>
      <c r="Q859" s="98"/>
      <c r="R859" s="98"/>
      <c r="S859" s="98"/>
      <c r="T859" s="98"/>
      <c r="U859" s="98"/>
      <c r="V859" s="98"/>
      <c r="W859" s="98"/>
      <c r="X859" s="98"/>
      <c r="Y859" s="98"/>
      <c r="Z859" s="98"/>
      <c r="AA859" s="98"/>
      <c r="AB859" s="98"/>
      <c r="AC859" s="98"/>
      <c r="AD859" s="98"/>
    </row>
    <row r="860" spans="1:30" ht="12.75" customHeight="1">
      <c r="A860" s="140" t="s">
        <v>308</v>
      </c>
      <c r="B860" s="154">
        <v>44671</v>
      </c>
      <c r="C860" s="395">
        <v>-16017</v>
      </c>
      <c r="D860" s="395"/>
      <c r="E860" s="487"/>
      <c r="F860" s="491"/>
      <c r="G860" s="488"/>
      <c r="H860" s="98"/>
      <c r="K860" s="98"/>
      <c r="L860" s="98"/>
      <c r="M860" s="98"/>
      <c r="N860" s="98"/>
      <c r="O860" s="98"/>
      <c r="P860" s="98"/>
      <c r="Q860" s="98"/>
      <c r="R860" s="98"/>
      <c r="S860" s="98"/>
      <c r="T860" s="98"/>
      <c r="U860" s="98"/>
      <c r="V860" s="98"/>
      <c r="W860" s="98"/>
      <c r="X860" s="98"/>
      <c r="Y860" s="98"/>
      <c r="Z860" s="98"/>
      <c r="AA860" s="98"/>
      <c r="AB860" s="98"/>
      <c r="AC860" s="98"/>
      <c r="AD860" s="98"/>
    </row>
    <row r="861" spans="1:30" ht="12.75" customHeight="1">
      <c r="A861" s="125" t="s">
        <v>308</v>
      </c>
      <c r="B861" s="155">
        <v>44749</v>
      </c>
      <c r="C861" s="489">
        <v>16164</v>
      </c>
      <c r="D861" s="489">
        <f>C861+C860</f>
        <v>147</v>
      </c>
      <c r="E861" s="490">
        <f>IFERROR(-D861/C860,0)</f>
        <v>9.1777486420678029E-3</v>
      </c>
      <c r="F861" s="383">
        <f>B861-B860</f>
        <v>78</v>
      </c>
      <c r="G861" s="490">
        <f>(C861/-C860)^(1/((B861-B860)/365))-1</f>
        <v>4.3678274301359288E-2</v>
      </c>
      <c r="H861" s="98"/>
      <c r="K861" s="98"/>
      <c r="L861" s="98"/>
      <c r="M861" s="98"/>
      <c r="N861" s="98"/>
      <c r="O861" s="98"/>
      <c r="P861" s="98"/>
      <c r="Q861" s="98"/>
      <c r="R861" s="98"/>
      <c r="S861" s="98"/>
      <c r="T861" s="98"/>
      <c r="U861" s="98"/>
      <c r="V861" s="98"/>
      <c r="W861" s="98"/>
      <c r="X861" s="98"/>
      <c r="Y861" s="98"/>
      <c r="Z861" s="98"/>
      <c r="AA861" s="98"/>
      <c r="AB861" s="98"/>
      <c r="AC861" s="98"/>
      <c r="AD861" s="98"/>
    </row>
    <row r="862" spans="1:30" ht="12.75" customHeight="1">
      <c r="A862" s="140" t="s">
        <v>308</v>
      </c>
      <c r="B862" s="154">
        <v>44671</v>
      </c>
      <c r="C862" s="395">
        <v>-16016</v>
      </c>
      <c r="D862" s="395"/>
      <c r="E862" s="487"/>
      <c r="F862" s="491"/>
      <c r="G862" s="488"/>
      <c r="H862" s="98"/>
      <c r="K862" s="98"/>
      <c r="L862" s="98"/>
      <c r="M862" s="98"/>
      <c r="N862" s="98"/>
      <c r="O862" s="98"/>
      <c r="P862" s="98"/>
      <c r="Q862" s="98"/>
      <c r="R862" s="98"/>
      <c r="S862" s="98"/>
      <c r="T862" s="98"/>
      <c r="U862" s="98"/>
      <c r="V862" s="98"/>
      <c r="W862" s="98"/>
      <c r="X862" s="98"/>
      <c r="Y862" s="98"/>
      <c r="Z862" s="98"/>
      <c r="AA862" s="98"/>
      <c r="AB862" s="98"/>
      <c r="AC862" s="98"/>
      <c r="AD862" s="98"/>
    </row>
    <row r="863" spans="1:30" ht="12.75" customHeight="1">
      <c r="A863" s="125" t="s">
        <v>308</v>
      </c>
      <c r="B863" s="155">
        <v>44750</v>
      </c>
      <c r="C863" s="489">
        <v>16383</v>
      </c>
      <c r="D863" s="489">
        <f>C863+C862</f>
        <v>367</v>
      </c>
      <c r="E863" s="490">
        <f>IFERROR(-D863/C862,0)</f>
        <v>2.2914585414585416E-2</v>
      </c>
      <c r="F863" s="383">
        <f>B863-B862</f>
        <v>79</v>
      </c>
      <c r="G863" s="490">
        <f>(C863/-C862)^(1/((B863-B862)/365))-1</f>
        <v>0.11035124932306539</v>
      </c>
      <c r="H863" s="98"/>
      <c r="K863" s="98"/>
      <c r="L863" s="98"/>
      <c r="M863" s="98"/>
      <c r="N863" s="98"/>
      <c r="O863" s="98"/>
      <c r="P863" s="98"/>
      <c r="Q863" s="98"/>
      <c r="R863" s="98"/>
      <c r="S863" s="98"/>
      <c r="T863" s="98"/>
      <c r="U863" s="98"/>
      <c r="V863" s="98"/>
      <c r="W863" s="98"/>
      <c r="X863" s="98"/>
      <c r="Y863" s="98"/>
      <c r="Z863" s="98"/>
      <c r="AA863" s="98"/>
      <c r="AB863" s="98"/>
      <c r="AC863" s="98"/>
      <c r="AD863" s="98"/>
    </row>
    <row r="864" spans="1:30" ht="12.75" customHeight="1">
      <c r="A864" s="140" t="s">
        <v>308</v>
      </c>
      <c r="B864" s="154">
        <v>44671</v>
      </c>
      <c r="C864" s="395">
        <v>-32834</v>
      </c>
      <c r="D864" s="395"/>
      <c r="E864" s="487"/>
      <c r="F864" s="491"/>
      <c r="G864" s="488"/>
      <c r="H864" s="98"/>
      <c r="K864" s="98"/>
      <c r="L864" s="98"/>
      <c r="M864" s="98"/>
      <c r="N864" s="98"/>
      <c r="O864" s="98"/>
      <c r="P864" s="98"/>
      <c r="Q864" s="98"/>
      <c r="R864" s="98"/>
      <c r="S864" s="98"/>
      <c r="T864" s="98"/>
      <c r="U864" s="98"/>
      <c r="V864" s="98"/>
      <c r="W864" s="98"/>
      <c r="X864" s="98"/>
      <c r="Y864" s="98"/>
      <c r="Z864" s="98"/>
      <c r="AA864" s="98"/>
      <c r="AB864" s="98"/>
      <c r="AC864" s="98"/>
      <c r="AD864" s="98"/>
    </row>
    <row r="865" spans="1:30" ht="12.75" customHeight="1">
      <c r="A865" s="125" t="s">
        <v>308</v>
      </c>
      <c r="B865" s="155">
        <v>44753</v>
      </c>
      <c r="C865" s="489">
        <v>35144</v>
      </c>
      <c r="D865" s="489">
        <f>C865+C864</f>
        <v>2310</v>
      </c>
      <c r="E865" s="490">
        <f>IFERROR(-D865/C864,0)</f>
        <v>7.0353901443625508E-2</v>
      </c>
      <c r="F865" s="383">
        <f>B865-B864</f>
        <v>82</v>
      </c>
      <c r="G865" s="490">
        <f>(C865/-C864)^(1/((B865-B864)/365))-1</f>
        <v>0.35342103806521052</v>
      </c>
      <c r="H865" s="98"/>
      <c r="K865" s="98"/>
      <c r="L865" s="98"/>
      <c r="M865" s="98"/>
      <c r="N865" s="98"/>
      <c r="O865" s="98"/>
      <c r="P865" s="98"/>
      <c r="Q865" s="98"/>
      <c r="R865" s="98"/>
      <c r="S865" s="98"/>
      <c r="T865" s="98"/>
      <c r="U865" s="98"/>
      <c r="V865" s="98"/>
      <c r="W865" s="98"/>
      <c r="X865" s="98"/>
      <c r="Y865" s="98"/>
      <c r="Z865" s="98"/>
      <c r="AA865" s="98"/>
      <c r="AB865" s="98"/>
      <c r="AC865" s="98"/>
      <c r="AD865" s="98"/>
    </row>
    <row r="866" spans="1:30" ht="12.75" customHeight="1">
      <c r="A866" s="140" t="s">
        <v>308</v>
      </c>
      <c r="B866" s="154">
        <v>44671</v>
      </c>
      <c r="C866" s="395">
        <v>-8008</v>
      </c>
      <c r="D866" s="395"/>
      <c r="E866" s="487"/>
      <c r="F866" s="491"/>
      <c r="G866" s="488"/>
      <c r="H866" s="98"/>
      <c r="K866" s="98"/>
      <c r="L866" s="98"/>
      <c r="M866" s="98"/>
      <c r="N866" s="98"/>
      <c r="O866" s="98"/>
      <c r="P866" s="98"/>
      <c r="Q866" s="98"/>
      <c r="R866" s="98"/>
      <c r="S866" s="98"/>
      <c r="T866" s="98"/>
      <c r="U866" s="98"/>
      <c r="V866" s="98"/>
      <c r="W866" s="98"/>
      <c r="X866" s="98"/>
      <c r="Y866" s="98"/>
      <c r="Z866" s="98"/>
      <c r="AA866" s="98"/>
      <c r="AB866" s="98"/>
      <c r="AC866" s="98"/>
      <c r="AD866" s="98"/>
    </row>
    <row r="867" spans="1:30" ht="12.75" customHeight="1">
      <c r="A867" s="125" t="s">
        <v>308</v>
      </c>
      <c r="B867" s="155">
        <v>44763</v>
      </c>
      <c r="C867" s="489">
        <v>8691</v>
      </c>
      <c r="D867" s="489">
        <f>C867+C866</f>
        <v>683</v>
      </c>
      <c r="E867" s="490">
        <f>IFERROR(-D867/C866,0)</f>
        <v>8.5289710289710288E-2</v>
      </c>
      <c r="F867" s="383">
        <f>B867-B866</f>
        <v>92</v>
      </c>
      <c r="G867" s="490">
        <f>(C867/-C866)^(1/((B867-B866)/365))-1</f>
        <v>0.3836417035812878</v>
      </c>
      <c r="H867" s="98"/>
      <c r="K867" s="98"/>
      <c r="L867" s="98"/>
      <c r="M867" s="98"/>
      <c r="N867" s="98"/>
      <c r="O867" s="98"/>
      <c r="P867" s="98"/>
      <c r="Q867" s="98"/>
      <c r="R867" s="98"/>
      <c r="S867" s="98"/>
      <c r="T867" s="98"/>
      <c r="U867" s="98"/>
      <c r="V867" s="98"/>
      <c r="W867" s="98"/>
      <c r="X867" s="98"/>
      <c r="Y867" s="98"/>
      <c r="Z867" s="98"/>
      <c r="AA867" s="98"/>
      <c r="AB867" s="98"/>
      <c r="AC867" s="98"/>
      <c r="AD867" s="98"/>
    </row>
    <row r="868" spans="1:30" ht="12.75" customHeight="1">
      <c r="A868" s="140" t="s">
        <v>308</v>
      </c>
      <c r="B868" s="154">
        <v>44671</v>
      </c>
      <c r="C868" s="395">
        <v>-7208</v>
      </c>
      <c r="D868" s="395"/>
      <c r="E868" s="487"/>
      <c r="F868" s="491"/>
      <c r="G868" s="488"/>
      <c r="H868" s="98"/>
      <c r="K868" s="98"/>
      <c r="L868" s="98"/>
      <c r="M868" s="98"/>
      <c r="N868" s="98"/>
      <c r="O868" s="98"/>
      <c r="P868" s="98"/>
      <c r="Q868" s="98"/>
      <c r="R868" s="98"/>
      <c r="S868" s="98"/>
      <c r="T868" s="98"/>
      <c r="U868" s="98"/>
      <c r="V868" s="98"/>
      <c r="W868" s="98"/>
      <c r="X868" s="98"/>
      <c r="Y868" s="98"/>
      <c r="Z868" s="98"/>
      <c r="AA868" s="98"/>
      <c r="AB868" s="98"/>
      <c r="AC868" s="98"/>
      <c r="AD868" s="98"/>
    </row>
    <row r="869" spans="1:30" ht="12.75" customHeight="1">
      <c r="A869" s="125" t="s">
        <v>308</v>
      </c>
      <c r="B869" s="155">
        <v>44764</v>
      </c>
      <c r="C869" s="489">
        <v>7912</v>
      </c>
      <c r="D869" s="489">
        <f>C869+C868</f>
        <v>704</v>
      </c>
      <c r="E869" s="490">
        <f>IFERROR(-D869/C868,0)</f>
        <v>9.7669256381798006E-2</v>
      </c>
      <c r="F869" s="383">
        <f>B869-B868</f>
        <v>93</v>
      </c>
      <c r="G869" s="490">
        <f>(C869/-C868)^(1/((B869-B868)/365))-1</f>
        <v>0.44158335943064952</v>
      </c>
      <c r="H869" s="98"/>
      <c r="K869" s="98"/>
      <c r="L869" s="98"/>
      <c r="M869" s="98"/>
      <c r="N869" s="98"/>
      <c r="O869" s="98"/>
      <c r="P869" s="98"/>
      <c r="Q869" s="98"/>
      <c r="R869" s="98"/>
      <c r="S869" s="98"/>
      <c r="T869" s="98"/>
      <c r="U869" s="98"/>
      <c r="V869" s="98"/>
      <c r="W869" s="98"/>
      <c r="X869" s="98"/>
      <c r="Y869" s="98"/>
      <c r="Z869" s="98"/>
      <c r="AA869" s="98"/>
      <c r="AB869" s="98"/>
      <c r="AC869" s="98"/>
      <c r="AD869" s="98"/>
    </row>
    <row r="870" spans="1:30" ht="12.75" customHeight="1">
      <c r="A870" s="140" t="s">
        <v>308</v>
      </c>
      <c r="B870" s="154">
        <v>44770</v>
      </c>
      <c r="C870" s="395">
        <v>-4203</v>
      </c>
      <c r="D870" s="395"/>
      <c r="E870" s="487"/>
      <c r="F870" s="491"/>
      <c r="G870" s="488"/>
      <c r="H870" s="98"/>
      <c r="K870" s="98"/>
      <c r="L870" s="98"/>
      <c r="M870" s="98"/>
      <c r="N870" s="98"/>
      <c r="O870" s="98"/>
      <c r="P870" s="98"/>
      <c r="Q870" s="98"/>
      <c r="R870" s="98"/>
      <c r="S870" s="98"/>
      <c r="T870" s="98"/>
      <c r="U870" s="98"/>
      <c r="V870" s="98"/>
      <c r="W870" s="98"/>
      <c r="X870" s="98"/>
      <c r="Y870" s="98"/>
      <c r="Z870" s="98"/>
      <c r="AA870" s="98"/>
      <c r="AB870" s="98"/>
      <c r="AC870" s="98"/>
      <c r="AD870" s="98"/>
    </row>
    <row r="871" spans="1:30" ht="12.75" customHeight="1">
      <c r="A871" s="125" t="s">
        <v>308</v>
      </c>
      <c r="B871" s="155">
        <v>44785</v>
      </c>
      <c r="C871" s="489">
        <v>4141</v>
      </c>
      <c r="D871" s="489">
        <f>C871+C870</f>
        <v>-62</v>
      </c>
      <c r="E871" s="490">
        <f>IFERROR(-D871/C870,0)</f>
        <v>-1.4751368070425886E-2</v>
      </c>
      <c r="F871" s="383">
        <f>B871-B870</f>
        <v>15</v>
      </c>
      <c r="G871" s="490">
        <f>(C871/-C870)^(1/((B871-B870)/365))-1</f>
        <v>-0.30345563136512976</v>
      </c>
      <c r="H871" s="98"/>
      <c r="K871" s="98"/>
      <c r="L871" s="98"/>
      <c r="M871" s="98"/>
      <c r="N871" s="98"/>
      <c r="O871" s="98"/>
      <c r="P871" s="98"/>
      <c r="Q871" s="98"/>
      <c r="R871" s="98"/>
      <c r="S871" s="98"/>
      <c r="T871" s="98"/>
      <c r="U871" s="98"/>
      <c r="V871" s="98"/>
      <c r="W871" s="98"/>
      <c r="X871" s="98"/>
      <c r="Y871" s="98"/>
      <c r="Z871" s="98"/>
      <c r="AA871" s="98"/>
      <c r="AB871" s="98"/>
      <c r="AC871" s="98"/>
      <c r="AD871" s="98"/>
    </row>
    <row r="872" spans="1:30" ht="12.75" customHeight="1">
      <c r="A872" s="140" t="s">
        <v>472</v>
      </c>
      <c r="B872" s="154">
        <v>44818</v>
      </c>
      <c r="C872" s="395">
        <v>-7439</v>
      </c>
      <c r="D872" s="395"/>
      <c r="E872" s="487"/>
      <c r="F872" s="491"/>
      <c r="G872" s="488"/>
      <c r="H872" s="98"/>
      <c r="K872" s="98"/>
      <c r="L872" s="98"/>
      <c r="M872" s="98"/>
      <c r="N872" s="98"/>
      <c r="O872" s="98"/>
      <c r="P872" s="98"/>
      <c r="Q872" s="98"/>
      <c r="R872" s="98"/>
      <c r="S872" s="98"/>
      <c r="T872" s="98"/>
      <c r="U872" s="98"/>
      <c r="V872" s="98"/>
      <c r="W872" s="98"/>
      <c r="X872" s="98"/>
      <c r="Y872" s="98"/>
      <c r="Z872" s="98"/>
      <c r="AA872" s="98"/>
      <c r="AB872" s="98"/>
      <c r="AC872" s="98"/>
      <c r="AD872" s="98"/>
    </row>
    <row r="873" spans="1:30" ht="12.75" customHeight="1">
      <c r="A873" s="125" t="s">
        <v>472</v>
      </c>
      <c r="B873" s="155">
        <v>44889</v>
      </c>
      <c r="C873" s="489">
        <v>8091</v>
      </c>
      <c r="D873" s="489">
        <f>C873+C872</f>
        <v>652</v>
      </c>
      <c r="E873" s="490">
        <f>IFERROR(-D873/C872,0)</f>
        <v>8.7646189003898367E-2</v>
      </c>
      <c r="F873" s="383">
        <f>B873-B872</f>
        <v>71</v>
      </c>
      <c r="G873" s="490">
        <f>(C873/-C872)^(1/((B873-B872)/365))-1</f>
        <v>0.54020070162173961</v>
      </c>
      <c r="H873" s="98"/>
      <c r="K873" s="98"/>
      <c r="L873" s="98"/>
      <c r="M873" s="98"/>
      <c r="N873" s="98"/>
      <c r="O873" s="98"/>
      <c r="P873" s="98"/>
      <c r="Q873" s="98"/>
      <c r="R873" s="98"/>
      <c r="S873" s="98"/>
      <c r="T873" s="98"/>
      <c r="U873" s="98"/>
      <c r="V873" s="98"/>
      <c r="W873" s="98"/>
      <c r="X873" s="98"/>
      <c r="Y873" s="98"/>
      <c r="Z873" s="98"/>
      <c r="AA873" s="98"/>
      <c r="AB873" s="98"/>
      <c r="AC873" s="98"/>
      <c r="AD873" s="98"/>
    </row>
    <row r="874" spans="1:30" ht="12.75" customHeight="1">
      <c r="A874" s="140" t="s">
        <v>472</v>
      </c>
      <c r="B874" s="154">
        <v>44810</v>
      </c>
      <c r="C874" s="395">
        <v>-2913</v>
      </c>
      <c r="D874" s="395"/>
      <c r="E874" s="487"/>
      <c r="F874" s="491"/>
      <c r="G874" s="488"/>
      <c r="H874" s="98"/>
      <c r="K874" s="98"/>
      <c r="L874" s="98"/>
      <c r="M874" s="98"/>
      <c r="N874" s="98"/>
      <c r="O874" s="98"/>
      <c r="P874" s="98"/>
      <c r="Q874" s="98"/>
      <c r="R874" s="98"/>
      <c r="S874" s="98"/>
      <c r="T874" s="98"/>
      <c r="U874" s="98"/>
      <c r="V874" s="98"/>
      <c r="W874" s="98"/>
      <c r="X874" s="98"/>
      <c r="Y874" s="98"/>
      <c r="Z874" s="98"/>
      <c r="AA874" s="98"/>
      <c r="AB874" s="98"/>
      <c r="AC874" s="98"/>
      <c r="AD874" s="98"/>
    </row>
    <row r="875" spans="1:30" ht="12.75" customHeight="1">
      <c r="A875" s="125" t="s">
        <v>472</v>
      </c>
      <c r="B875" s="155">
        <v>44889</v>
      </c>
      <c r="C875" s="489">
        <v>3237</v>
      </c>
      <c r="D875" s="489">
        <f>C875+C874</f>
        <v>324</v>
      </c>
      <c r="E875" s="490">
        <f>IFERROR(-D875/C874,0)</f>
        <v>0.11122554067971163</v>
      </c>
      <c r="F875" s="383">
        <f>B875-B874</f>
        <v>79</v>
      </c>
      <c r="G875" s="490">
        <f>(C875/-C874)^(1/((B875-B874)/365))-1</f>
        <v>0.62786290867844463</v>
      </c>
      <c r="H875" s="98"/>
      <c r="K875" s="98"/>
      <c r="L875" s="98"/>
      <c r="M875" s="98"/>
      <c r="N875" s="98"/>
      <c r="O875" s="98"/>
      <c r="P875" s="98"/>
      <c r="Q875" s="98"/>
      <c r="R875" s="98"/>
      <c r="S875" s="98"/>
      <c r="T875" s="98"/>
      <c r="U875" s="98"/>
      <c r="V875" s="98"/>
      <c r="W875" s="98"/>
      <c r="X875" s="98"/>
      <c r="Y875" s="98"/>
      <c r="Z875" s="98"/>
      <c r="AA875" s="98"/>
      <c r="AB875" s="98"/>
      <c r="AC875" s="98"/>
      <c r="AD875" s="98"/>
    </row>
    <row r="876" spans="1:30" ht="12.75" customHeight="1">
      <c r="A876" s="140" t="s">
        <v>572</v>
      </c>
      <c r="B876" s="154">
        <v>44410</v>
      </c>
      <c r="C876" s="395">
        <v>-3244</v>
      </c>
      <c r="D876" s="395"/>
      <c r="E876" s="487"/>
      <c r="F876" s="491"/>
      <c r="G876" s="488"/>
      <c r="H876" s="98"/>
      <c r="K876" s="98"/>
      <c r="L876" s="98"/>
      <c r="M876" s="98"/>
      <c r="N876" s="98"/>
      <c r="O876" s="98"/>
      <c r="P876" s="98"/>
      <c r="Q876" s="98"/>
      <c r="R876" s="98"/>
      <c r="S876" s="98"/>
      <c r="T876" s="98"/>
      <c r="U876" s="98"/>
      <c r="V876" s="98"/>
      <c r="W876" s="98"/>
      <c r="X876" s="98"/>
      <c r="Y876" s="98"/>
      <c r="Z876" s="98"/>
      <c r="AA876" s="98"/>
      <c r="AB876" s="98"/>
      <c r="AC876" s="98"/>
      <c r="AD876" s="98"/>
    </row>
    <row r="877" spans="1:30" ht="12.75" customHeight="1">
      <c r="A877" s="125" t="s">
        <v>572</v>
      </c>
      <c r="B877" s="155">
        <v>44726</v>
      </c>
      <c r="C877" s="489">
        <v>3285</v>
      </c>
      <c r="D877" s="489">
        <f>C877+C876</f>
        <v>41</v>
      </c>
      <c r="E877" s="490">
        <f>IFERROR(-D877/C876,0)</f>
        <v>1.2638717632552405E-2</v>
      </c>
      <c r="F877" s="383">
        <f>B877-B876</f>
        <v>316</v>
      </c>
      <c r="G877" s="490">
        <f>(C877/-C876)^(1/((B877-B876)/365))-1</f>
        <v>1.4612773255143319E-2</v>
      </c>
      <c r="H877" s="98"/>
      <c r="K877" s="98"/>
      <c r="L877" s="98"/>
      <c r="M877" s="98"/>
      <c r="N877" s="98"/>
      <c r="O877" s="98"/>
      <c r="P877" s="98"/>
      <c r="Q877" s="98"/>
      <c r="R877" s="98"/>
      <c r="S877" s="98"/>
      <c r="T877" s="98"/>
      <c r="U877" s="98"/>
      <c r="V877" s="98"/>
      <c r="W877" s="98"/>
      <c r="X877" s="98"/>
      <c r="Y877" s="98"/>
      <c r="Z877" s="98"/>
      <c r="AA877" s="98"/>
      <c r="AB877" s="98"/>
      <c r="AC877" s="98"/>
      <c r="AD877" s="98"/>
    </row>
    <row r="878" spans="1:30" ht="12.75" customHeight="1">
      <c r="A878" s="138" t="s">
        <v>517</v>
      </c>
      <c r="B878" s="492">
        <v>44328</v>
      </c>
      <c r="C878" s="493">
        <v>-10462</v>
      </c>
      <c r="D878" s="395"/>
      <c r="E878" s="487"/>
      <c r="F878" s="491"/>
      <c r="G878" s="488"/>
      <c r="H878" s="98"/>
      <c r="K878" s="98"/>
      <c r="L878" s="98"/>
      <c r="M878" s="98"/>
      <c r="N878" s="98"/>
      <c r="O878" s="98"/>
      <c r="P878" s="98"/>
      <c r="Q878" s="98"/>
      <c r="R878" s="98"/>
      <c r="S878" s="98"/>
      <c r="T878" s="98"/>
      <c r="U878" s="98"/>
      <c r="V878" s="98"/>
      <c r="W878" s="98"/>
      <c r="X878" s="98"/>
      <c r="Y878" s="98"/>
      <c r="Z878" s="98"/>
      <c r="AA878" s="98"/>
      <c r="AB878" s="98"/>
      <c r="AC878" s="98"/>
      <c r="AD878" s="98"/>
    </row>
    <row r="879" spans="1:30" ht="12.75" customHeight="1">
      <c r="A879" s="125" t="s">
        <v>517</v>
      </c>
      <c r="B879" s="495">
        <v>44340</v>
      </c>
      <c r="C879" s="496">
        <v>10664</v>
      </c>
      <c r="D879" s="489">
        <f>C879+C878</f>
        <v>202</v>
      </c>
      <c r="E879" s="490">
        <f>-D879/C878</f>
        <v>1.9307971707130566E-2</v>
      </c>
      <c r="F879" s="383">
        <f>B879-B878</f>
        <v>12</v>
      </c>
      <c r="G879" s="490">
        <f>(C879/-C878)^(1/((B879-B878)/365))-1</f>
        <v>0.78905302814678424</v>
      </c>
      <c r="H879" s="98"/>
      <c r="K879" s="98"/>
      <c r="L879" s="98"/>
      <c r="M879" s="98"/>
      <c r="N879" s="98"/>
      <c r="O879" s="98"/>
      <c r="P879" s="98"/>
      <c r="Q879" s="98"/>
      <c r="R879" s="98"/>
      <c r="S879" s="98"/>
      <c r="T879" s="98"/>
      <c r="U879" s="98"/>
      <c r="V879" s="98"/>
      <c r="W879" s="98"/>
      <c r="X879" s="98"/>
      <c r="Y879" s="98"/>
      <c r="Z879" s="98"/>
      <c r="AA879" s="98"/>
      <c r="AB879" s="98"/>
      <c r="AC879" s="98"/>
      <c r="AD879" s="98"/>
    </row>
    <row r="880" spans="1:30" ht="12.75" customHeight="1">
      <c r="A880" s="138" t="s">
        <v>512</v>
      </c>
      <c r="B880" s="492">
        <v>44223</v>
      </c>
      <c r="C880" s="493">
        <v>-27950</v>
      </c>
      <c r="D880" s="395"/>
      <c r="E880" s="487"/>
      <c r="F880" s="491"/>
      <c r="G880" s="488"/>
      <c r="H880" s="98"/>
      <c r="K880" s="98"/>
      <c r="L880" s="98"/>
      <c r="M880" s="98"/>
      <c r="N880" s="98"/>
      <c r="O880" s="98"/>
      <c r="P880" s="98"/>
      <c r="Q880" s="98"/>
      <c r="R880" s="98"/>
      <c r="S880" s="98"/>
      <c r="T880" s="98"/>
      <c r="U880" s="98"/>
      <c r="V880" s="98"/>
      <c r="W880" s="98"/>
      <c r="X880" s="98"/>
      <c r="Y880" s="98"/>
      <c r="Z880" s="98"/>
      <c r="AA880" s="98"/>
      <c r="AB880" s="98"/>
      <c r="AC880" s="98"/>
      <c r="AD880" s="98"/>
    </row>
    <row r="881" spans="1:30" ht="12.75" customHeight="1">
      <c r="A881" s="125" t="s">
        <v>512</v>
      </c>
      <c r="B881" s="495">
        <v>44326</v>
      </c>
      <c r="C881" s="496">
        <v>22766</v>
      </c>
      <c r="D881" s="489">
        <f>C881+C880</f>
        <v>-5184</v>
      </c>
      <c r="E881" s="490">
        <f>-D881/C880</f>
        <v>-0.18547406082289802</v>
      </c>
      <c r="F881" s="383">
        <f>B881-B880</f>
        <v>103</v>
      </c>
      <c r="G881" s="490">
        <f>(C881/-C880)^(1/((B881-B880)/365))-1</f>
        <v>-0.51663554131846334</v>
      </c>
      <c r="H881" s="98"/>
      <c r="K881" s="98"/>
      <c r="L881" s="98"/>
      <c r="M881" s="98"/>
      <c r="N881" s="98"/>
      <c r="O881" s="98"/>
      <c r="P881" s="98"/>
      <c r="Q881" s="98"/>
      <c r="R881" s="98"/>
      <c r="S881" s="98"/>
      <c r="T881" s="98"/>
      <c r="U881" s="98"/>
      <c r="V881" s="98"/>
      <c r="W881" s="98"/>
      <c r="X881" s="98"/>
      <c r="Y881" s="98"/>
      <c r="Z881" s="98"/>
      <c r="AA881" s="98"/>
      <c r="AB881" s="98"/>
      <c r="AC881" s="98"/>
      <c r="AD881" s="98"/>
    </row>
    <row r="882" spans="1:30" ht="12.75" customHeight="1">
      <c r="A882" s="140" t="s">
        <v>590</v>
      </c>
      <c r="B882" s="154">
        <v>44497</v>
      </c>
      <c r="C882" s="395">
        <v>-13766</v>
      </c>
      <c r="D882" s="395"/>
      <c r="E882" s="487"/>
      <c r="F882" s="491"/>
      <c r="G882" s="488"/>
      <c r="H882" s="98"/>
      <c r="K882" s="98"/>
      <c r="L882" s="98"/>
      <c r="M882" s="98"/>
      <c r="N882" s="98"/>
      <c r="O882" s="98"/>
      <c r="P882" s="98"/>
      <c r="Q882" s="98"/>
      <c r="R882" s="98"/>
      <c r="S882" s="98"/>
      <c r="T882" s="98"/>
      <c r="U882" s="98"/>
      <c r="V882" s="98"/>
      <c r="W882" s="98"/>
      <c r="X882" s="98"/>
      <c r="Y882" s="98"/>
      <c r="Z882" s="98"/>
      <c r="AA882" s="98"/>
      <c r="AB882" s="98"/>
      <c r="AC882" s="98"/>
      <c r="AD882" s="98"/>
    </row>
    <row r="883" spans="1:30" ht="12.75" customHeight="1">
      <c r="A883" s="125" t="s">
        <v>590</v>
      </c>
      <c r="B883" s="155">
        <v>44517</v>
      </c>
      <c r="C883" s="489">
        <v>14265</v>
      </c>
      <c r="D883" s="489">
        <f>C883+C882</f>
        <v>499</v>
      </c>
      <c r="E883" s="490">
        <f>-D883/C882</f>
        <v>3.6248728751997673E-2</v>
      </c>
      <c r="F883" s="383">
        <f>B883-B882</f>
        <v>20</v>
      </c>
      <c r="G883" s="490">
        <f>(C883/-C882)^(1/((B883-B882)/365))-1</f>
        <v>0.91521792014673387</v>
      </c>
      <c r="H883" s="98"/>
      <c r="K883" s="98"/>
      <c r="L883" s="98"/>
      <c r="M883" s="98"/>
      <c r="N883" s="98"/>
      <c r="O883" s="98"/>
      <c r="P883" s="98"/>
      <c r="Q883" s="98"/>
      <c r="R883" s="98"/>
      <c r="S883" s="98"/>
      <c r="T883" s="98"/>
      <c r="U883" s="98"/>
      <c r="V883" s="98"/>
      <c r="W883" s="98"/>
      <c r="X883" s="98"/>
      <c r="Y883" s="98"/>
      <c r="Z883" s="98"/>
      <c r="AA883" s="98"/>
      <c r="AB883" s="98"/>
      <c r="AC883" s="98"/>
      <c r="AD883" s="98"/>
    </row>
    <row r="884" spans="1:30" ht="12.75" customHeight="1">
      <c r="A884" s="140" t="s">
        <v>590</v>
      </c>
      <c r="B884" s="154">
        <v>44650</v>
      </c>
      <c r="C884" s="395">
        <v>-12590</v>
      </c>
      <c r="D884" s="395"/>
      <c r="E884" s="487"/>
      <c r="F884" s="491"/>
      <c r="G884" s="488"/>
      <c r="H884" s="98"/>
      <c r="K884" s="98"/>
      <c r="L884" s="98"/>
      <c r="M884" s="98"/>
      <c r="N884" s="98"/>
      <c r="O884" s="98"/>
      <c r="P884" s="98"/>
      <c r="Q884" s="98"/>
      <c r="R884" s="98"/>
      <c r="S884" s="98"/>
      <c r="T884" s="98"/>
      <c r="U884" s="98"/>
      <c r="V884" s="98"/>
      <c r="W884" s="98"/>
      <c r="X884" s="98"/>
      <c r="Y884" s="98"/>
      <c r="Z884" s="98"/>
      <c r="AA884" s="98"/>
      <c r="AB884" s="98"/>
      <c r="AC884" s="98"/>
      <c r="AD884" s="98"/>
    </row>
    <row r="885" spans="1:30" ht="12.75" customHeight="1">
      <c r="A885" s="125" t="s">
        <v>590</v>
      </c>
      <c r="B885" s="155">
        <v>44651</v>
      </c>
      <c r="C885" s="489">
        <v>12612</v>
      </c>
      <c r="D885" s="489">
        <f>C885+C884</f>
        <v>22</v>
      </c>
      <c r="E885" s="490">
        <f>IFERROR(-D885/C884,0)</f>
        <v>1.7474185861795076E-3</v>
      </c>
      <c r="F885" s="383">
        <f>B885-B884</f>
        <v>1</v>
      </c>
      <c r="G885" s="490">
        <f>(C885/-C884)^(1/((B885-B884)/365))-1</f>
        <v>0.89127494116270234</v>
      </c>
      <c r="H885" s="98"/>
      <c r="K885" s="98"/>
      <c r="L885" s="98"/>
      <c r="M885" s="98"/>
      <c r="N885" s="98"/>
      <c r="O885" s="98"/>
      <c r="P885" s="98"/>
      <c r="Q885" s="98"/>
      <c r="R885" s="98"/>
      <c r="S885" s="98"/>
      <c r="T885" s="98"/>
      <c r="U885" s="98"/>
      <c r="V885" s="98"/>
      <c r="W885" s="98"/>
      <c r="X885" s="98"/>
      <c r="Y885" s="98"/>
      <c r="Z885" s="98"/>
      <c r="AA885" s="98"/>
      <c r="AB885" s="98"/>
      <c r="AC885" s="98"/>
      <c r="AD885" s="98"/>
    </row>
    <row r="886" spans="1:30" ht="12.75" customHeight="1">
      <c r="A886" s="140" t="s">
        <v>590</v>
      </c>
      <c r="B886" s="154">
        <v>44796</v>
      </c>
      <c r="C886" s="395">
        <v>-1576</v>
      </c>
      <c r="D886" s="395"/>
      <c r="E886" s="487"/>
      <c r="F886" s="491"/>
      <c r="G886" s="488"/>
      <c r="H886" s="98"/>
      <c r="K886" s="98"/>
      <c r="L886" s="98"/>
      <c r="M886" s="98"/>
      <c r="N886" s="98"/>
      <c r="O886" s="98"/>
      <c r="P886" s="98"/>
      <c r="Q886" s="98"/>
      <c r="R886" s="98"/>
      <c r="S886" s="98"/>
      <c r="T886" s="98"/>
      <c r="U886" s="98"/>
      <c r="V886" s="98"/>
      <c r="W886" s="98"/>
      <c r="X886" s="98"/>
      <c r="Y886" s="98"/>
      <c r="Z886" s="98"/>
      <c r="AA886" s="98"/>
      <c r="AB886" s="98"/>
      <c r="AC886" s="98"/>
      <c r="AD886" s="98"/>
    </row>
    <row r="887" spans="1:30" ht="12.75" customHeight="1">
      <c r="A887" s="125" t="s">
        <v>590</v>
      </c>
      <c r="B887" s="155">
        <v>44890</v>
      </c>
      <c r="C887" s="489">
        <v>1703</v>
      </c>
      <c r="D887" s="489">
        <f>C887+C886</f>
        <v>127</v>
      </c>
      <c r="E887" s="490">
        <f>IFERROR(-D887/C886,0)</f>
        <v>8.0583756345177671E-2</v>
      </c>
      <c r="F887" s="383">
        <f>B887-B886</f>
        <v>94</v>
      </c>
      <c r="G887" s="490">
        <f>(C887/-C886)^(1/((B887-B886)/365))-1</f>
        <v>0.35112330874439279</v>
      </c>
      <c r="H887" s="98"/>
      <c r="K887" s="98"/>
      <c r="L887" s="98"/>
      <c r="M887" s="98"/>
      <c r="N887" s="98"/>
      <c r="O887" s="98"/>
      <c r="P887" s="98"/>
      <c r="Q887" s="98"/>
      <c r="R887" s="98"/>
      <c r="S887" s="98"/>
      <c r="T887" s="98"/>
      <c r="U887" s="98"/>
      <c r="V887" s="98"/>
      <c r="W887" s="98"/>
      <c r="X887" s="98"/>
      <c r="Y887" s="98"/>
      <c r="Z887" s="98"/>
      <c r="AA887" s="98"/>
      <c r="AB887" s="98"/>
      <c r="AC887" s="98"/>
      <c r="AD887" s="98"/>
    </row>
    <row r="888" spans="1:30" ht="12.75" customHeight="1">
      <c r="A888" s="140" t="s">
        <v>590</v>
      </c>
      <c r="B888" s="154">
        <v>44943</v>
      </c>
      <c r="C888" s="395">
        <v>-16670</v>
      </c>
      <c r="D888" s="395"/>
      <c r="E888" s="487"/>
      <c r="F888" s="491"/>
      <c r="G888" s="488"/>
      <c r="H888" s="98"/>
      <c r="K888" s="98"/>
      <c r="L888" s="98"/>
      <c r="M888" s="98"/>
      <c r="N888" s="98"/>
      <c r="O888" s="98"/>
      <c r="P888" s="98"/>
      <c r="Q888" s="98"/>
      <c r="R888" s="98"/>
      <c r="S888" s="98"/>
      <c r="T888" s="98"/>
      <c r="U888" s="98"/>
      <c r="V888" s="98"/>
      <c r="W888" s="98"/>
      <c r="X888" s="98"/>
      <c r="Y888" s="98"/>
      <c r="Z888" s="98"/>
      <c r="AA888" s="98"/>
      <c r="AB888" s="98"/>
      <c r="AC888" s="98"/>
      <c r="AD888" s="98"/>
    </row>
    <row r="889" spans="1:30" ht="12.75" customHeight="1">
      <c r="A889" s="125" t="s">
        <v>590</v>
      </c>
      <c r="B889" s="155">
        <v>44950</v>
      </c>
      <c r="C889" s="489">
        <v>16982</v>
      </c>
      <c r="D889" s="489">
        <f>C889+C888</f>
        <v>312</v>
      </c>
      <c r="E889" s="490">
        <f>IFERROR(-D889/C888,0)</f>
        <v>1.8716256748650271E-2</v>
      </c>
      <c r="F889" s="383">
        <f>B889-B888</f>
        <v>7</v>
      </c>
      <c r="G889" s="490">
        <f>(C889/-C888)^(1/((B889-B888)/365))-1</f>
        <v>1.6297760853035426</v>
      </c>
      <c r="H889" s="98"/>
      <c r="K889" s="98"/>
      <c r="L889" s="98"/>
      <c r="M889" s="98"/>
      <c r="N889" s="98"/>
      <c r="O889" s="98"/>
      <c r="P889" s="98"/>
      <c r="Q889" s="98"/>
      <c r="R889" s="98"/>
      <c r="S889" s="98"/>
      <c r="T889" s="98"/>
      <c r="U889" s="98"/>
      <c r="V889" s="98"/>
      <c r="W889" s="98"/>
      <c r="X889" s="98"/>
      <c r="Y889" s="98"/>
      <c r="Z889" s="98"/>
      <c r="AA889" s="98"/>
      <c r="AB889" s="98"/>
      <c r="AC889" s="98"/>
      <c r="AD889" s="98"/>
    </row>
    <row r="890" spans="1:30" ht="12.75" customHeight="1">
      <c r="A890" s="140" t="s">
        <v>540</v>
      </c>
      <c r="B890" s="154">
        <v>44358</v>
      </c>
      <c r="C890" s="140">
        <v>-4430</v>
      </c>
      <c r="D890" s="395"/>
      <c r="E890" s="487"/>
      <c r="F890" s="491"/>
      <c r="G890" s="488"/>
      <c r="H890" s="98"/>
      <c r="K890" s="98"/>
      <c r="L890" s="98"/>
      <c r="M890" s="98"/>
      <c r="N890" s="98"/>
      <c r="O890" s="98"/>
      <c r="P890" s="98"/>
      <c r="Q890" s="98"/>
      <c r="R890" s="98"/>
      <c r="S890" s="98"/>
      <c r="T890" s="98"/>
      <c r="U890" s="98"/>
      <c r="V890" s="98"/>
      <c r="W890" s="98"/>
      <c r="X890" s="98"/>
      <c r="Y890" s="98"/>
      <c r="Z890" s="98"/>
      <c r="AA890" s="98"/>
      <c r="AB890" s="98"/>
      <c r="AC890" s="98"/>
      <c r="AD890" s="98"/>
    </row>
    <row r="891" spans="1:30" ht="12.75" customHeight="1">
      <c r="A891" s="125" t="s">
        <v>540</v>
      </c>
      <c r="B891" s="155">
        <v>44487</v>
      </c>
      <c r="C891" s="489">
        <v>4795</v>
      </c>
      <c r="D891" s="489">
        <f>C891+C890</f>
        <v>365</v>
      </c>
      <c r="E891" s="490">
        <f>-D891/C890</f>
        <v>8.2392776523702027E-2</v>
      </c>
      <c r="F891" s="383">
        <f>B891-B890</f>
        <v>129</v>
      </c>
      <c r="G891" s="490">
        <f>(C891/-C890)^(1/((B891-B890)/365))-1</f>
        <v>0.25109580214546856</v>
      </c>
      <c r="H891" s="98"/>
      <c r="K891" s="98"/>
      <c r="L891" s="98"/>
      <c r="M891" s="98"/>
      <c r="N891" s="98"/>
      <c r="O891" s="98"/>
      <c r="P891" s="98"/>
      <c r="Q891" s="98"/>
      <c r="R891" s="98"/>
      <c r="S891" s="98"/>
      <c r="T891" s="98"/>
      <c r="U891" s="98"/>
      <c r="V891" s="98"/>
      <c r="W891" s="98"/>
      <c r="X891" s="98"/>
      <c r="Y891" s="98"/>
      <c r="Z891" s="98"/>
      <c r="AA891" s="98"/>
      <c r="AB891" s="98"/>
      <c r="AC891" s="98"/>
      <c r="AD891" s="98"/>
    </row>
    <row r="892" spans="1:30" ht="12.75" customHeight="1">
      <c r="A892" s="140" t="s">
        <v>626</v>
      </c>
      <c r="B892" s="154">
        <v>44756</v>
      </c>
      <c r="C892" s="395">
        <v>-5507</v>
      </c>
      <c r="D892" s="395"/>
      <c r="E892" s="487"/>
      <c r="F892" s="491"/>
      <c r="G892" s="488"/>
      <c r="H892" s="98"/>
      <c r="K892" s="98"/>
      <c r="L892" s="98"/>
      <c r="M892" s="98"/>
      <c r="N892" s="98"/>
      <c r="O892" s="98"/>
      <c r="P892" s="98"/>
      <c r="Q892" s="98"/>
      <c r="R892" s="98"/>
      <c r="S892" s="98"/>
      <c r="T892" s="98"/>
      <c r="U892" s="98"/>
      <c r="V892" s="98"/>
      <c r="W892" s="98"/>
      <c r="X892" s="98"/>
      <c r="Y892" s="98"/>
      <c r="Z892" s="98"/>
      <c r="AA892" s="98"/>
      <c r="AB892" s="98"/>
      <c r="AC892" s="98"/>
      <c r="AD892" s="98"/>
    </row>
    <row r="893" spans="1:30" ht="12.75" customHeight="1">
      <c r="A893" s="125" t="s">
        <v>626</v>
      </c>
      <c r="B893" s="155">
        <v>44796</v>
      </c>
      <c r="C893" s="489">
        <v>5687</v>
      </c>
      <c r="D893" s="489">
        <f>C893+C892</f>
        <v>180</v>
      </c>
      <c r="E893" s="490">
        <f>IFERROR(-D893/C892,0)</f>
        <v>3.2685672780098055E-2</v>
      </c>
      <c r="F893" s="383">
        <f>B893-B892</f>
        <v>40</v>
      </c>
      <c r="G893" s="490">
        <f>(C893/-C892)^(1/((B893-B892)/365))-1</f>
        <v>0.34109451078117226</v>
      </c>
      <c r="H893" s="98"/>
      <c r="K893" s="98"/>
      <c r="L893" s="98"/>
      <c r="M893" s="98"/>
      <c r="N893" s="98"/>
      <c r="O893" s="98"/>
      <c r="P893" s="98"/>
      <c r="Q893" s="98"/>
      <c r="R893" s="98"/>
      <c r="S893" s="98"/>
      <c r="T893" s="98"/>
      <c r="U893" s="98"/>
      <c r="V893" s="98"/>
      <c r="W893" s="98"/>
      <c r="X893" s="98"/>
      <c r="Y893" s="98"/>
      <c r="Z893" s="98"/>
      <c r="AA893" s="98"/>
      <c r="AB893" s="98"/>
      <c r="AC893" s="98"/>
      <c r="AD893" s="98"/>
    </row>
    <row r="894" spans="1:30" ht="12.75" customHeight="1">
      <c r="A894" s="140" t="s">
        <v>542</v>
      </c>
      <c r="B894" s="154">
        <v>44361</v>
      </c>
      <c r="C894" s="140">
        <v>-13516</v>
      </c>
      <c r="D894" s="395"/>
      <c r="E894" s="487"/>
      <c r="F894" s="491"/>
      <c r="G894" s="488"/>
      <c r="H894" s="98"/>
      <c r="K894" s="98"/>
      <c r="L894" s="98"/>
      <c r="M894" s="98"/>
      <c r="N894" s="98"/>
      <c r="O894" s="98"/>
      <c r="P894" s="98"/>
      <c r="Q894" s="98"/>
      <c r="R894" s="98"/>
      <c r="S894" s="98"/>
      <c r="T894" s="98"/>
      <c r="U894" s="98"/>
      <c r="V894" s="98"/>
      <c r="W894" s="98"/>
      <c r="X894" s="98"/>
      <c r="Y894" s="98"/>
      <c r="Z894" s="98"/>
      <c r="AA894" s="98"/>
      <c r="AB894" s="98"/>
      <c r="AC894" s="98"/>
      <c r="AD894" s="98"/>
    </row>
    <row r="895" spans="1:30" ht="12.75" customHeight="1">
      <c r="A895" s="125" t="s">
        <v>542</v>
      </c>
      <c r="B895" s="155">
        <v>44372</v>
      </c>
      <c r="C895" s="489">
        <v>13736</v>
      </c>
      <c r="D895" s="489">
        <f>C895+C894</f>
        <v>220</v>
      </c>
      <c r="E895" s="490">
        <f>-D895/C894</f>
        <v>1.6277005031074283E-2</v>
      </c>
      <c r="F895" s="383">
        <f>B895-B894</f>
        <v>11</v>
      </c>
      <c r="G895" s="490">
        <f>(C895/-C894)^(1/((B895-B894)/365))-1</f>
        <v>0.70873295633312372</v>
      </c>
      <c r="H895" s="98"/>
      <c r="K895" s="98"/>
      <c r="L895" s="98"/>
      <c r="M895" s="98"/>
      <c r="N895" s="98"/>
      <c r="O895" s="98"/>
      <c r="P895" s="98"/>
      <c r="Q895" s="98"/>
      <c r="R895" s="98"/>
      <c r="S895" s="98"/>
      <c r="T895" s="98"/>
      <c r="U895" s="98"/>
      <c r="V895" s="98"/>
      <c r="W895" s="98"/>
      <c r="X895" s="98"/>
      <c r="Y895" s="98"/>
      <c r="Z895" s="98"/>
      <c r="AA895" s="98"/>
      <c r="AB895" s="98"/>
      <c r="AC895" s="98"/>
      <c r="AD895" s="98"/>
    </row>
    <row r="896" spans="1:30" ht="12.75" customHeight="1">
      <c r="A896" s="140" t="s">
        <v>542</v>
      </c>
      <c r="B896" s="154">
        <v>44372</v>
      </c>
      <c r="C896" s="140">
        <v>-13666</v>
      </c>
      <c r="D896" s="395"/>
      <c r="E896" s="487"/>
      <c r="F896" s="491"/>
      <c r="G896" s="488"/>
      <c r="H896" s="98"/>
      <c r="K896" s="98"/>
      <c r="L896" s="98"/>
      <c r="M896" s="98"/>
      <c r="N896" s="98"/>
      <c r="O896" s="98"/>
      <c r="P896" s="98"/>
      <c r="Q896" s="98"/>
      <c r="R896" s="98"/>
      <c r="S896" s="98"/>
      <c r="T896" s="98"/>
      <c r="U896" s="98"/>
      <c r="V896" s="98"/>
      <c r="W896" s="98"/>
      <c r="X896" s="98"/>
      <c r="Y896" s="98"/>
      <c r="Z896" s="98"/>
      <c r="AA896" s="98"/>
      <c r="AB896" s="98"/>
      <c r="AC896" s="98"/>
      <c r="AD896" s="98"/>
    </row>
    <row r="897" spans="1:30" ht="12.75" customHeight="1">
      <c r="A897" s="125" t="s">
        <v>542</v>
      </c>
      <c r="B897" s="155">
        <v>44378</v>
      </c>
      <c r="C897" s="489">
        <v>11928</v>
      </c>
      <c r="D897" s="489">
        <f>C897+C896</f>
        <v>-1738</v>
      </c>
      <c r="E897" s="490">
        <f>-D897/C896</f>
        <v>-0.12717693546026634</v>
      </c>
      <c r="F897" s="383">
        <f>B897-B896</f>
        <v>6</v>
      </c>
      <c r="G897" s="490">
        <f>(C897/-C896)^(1/((B897-B896)/365))-1</f>
        <v>-0.9997451147590305</v>
      </c>
      <c r="H897" s="98"/>
      <c r="K897" s="98"/>
      <c r="L897" s="98"/>
      <c r="M897" s="98"/>
      <c r="N897" s="98"/>
      <c r="O897" s="98"/>
      <c r="P897" s="98"/>
      <c r="Q897" s="98"/>
      <c r="R897" s="98"/>
      <c r="S897" s="98"/>
      <c r="T897" s="98"/>
      <c r="U897" s="98"/>
      <c r="V897" s="98"/>
      <c r="W897" s="98"/>
      <c r="X897" s="98"/>
      <c r="Y897" s="98"/>
      <c r="Z897" s="98"/>
      <c r="AA897" s="98"/>
      <c r="AB897" s="98"/>
      <c r="AC897" s="98"/>
      <c r="AD897" s="98"/>
    </row>
    <row r="898" spans="1:30" ht="12.75" customHeight="1">
      <c r="A898" s="140" t="s">
        <v>542</v>
      </c>
      <c r="B898" s="154">
        <v>44378</v>
      </c>
      <c r="C898" s="140">
        <v>-12465</v>
      </c>
      <c r="D898" s="395"/>
      <c r="E898" s="487"/>
      <c r="F898" s="491"/>
      <c r="G898" s="488"/>
      <c r="H898" s="98"/>
      <c r="K898" s="98"/>
      <c r="L898" s="98"/>
      <c r="M898" s="98"/>
      <c r="N898" s="98"/>
      <c r="O898" s="98"/>
      <c r="P898" s="98"/>
      <c r="Q898" s="98"/>
      <c r="R898" s="98"/>
      <c r="S898" s="98"/>
      <c r="T898" s="98"/>
      <c r="U898" s="98"/>
      <c r="V898" s="98"/>
      <c r="W898" s="98"/>
      <c r="X898" s="98"/>
      <c r="Y898" s="98"/>
      <c r="Z898" s="98"/>
      <c r="AA898" s="98"/>
      <c r="AB898" s="98"/>
      <c r="AC898" s="98"/>
      <c r="AD898" s="98"/>
    </row>
    <row r="899" spans="1:30" ht="12.75" customHeight="1">
      <c r="A899" s="125" t="s">
        <v>542</v>
      </c>
      <c r="B899" s="155">
        <v>44386</v>
      </c>
      <c r="C899" s="489">
        <v>13086</v>
      </c>
      <c r="D899" s="489">
        <f>C899+C898</f>
        <v>621</v>
      </c>
      <c r="E899" s="490">
        <f>-D899/C898</f>
        <v>4.9819494584837545E-2</v>
      </c>
      <c r="F899" s="383">
        <f>B899-B898</f>
        <v>8</v>
      </c>
      <c r="G899" s="490">
        <f>(C899/-C898)^(1/((B899-B898)/365))-1</f>
        <v>8.19083852965848</v>
      </c>
      <c r="H899" s="98"/>
      <c r="K899" s="98"/>
      <c r="L899" s="98"/>
      <c r="M899" s="98"/>
      <c r="N899" s="98"/>
      <c r="O899" s="98"/>
      <c r="P899" s="98"/>
      <c r="Q899" s="98"/>
      <c r="R899" s="98"/>
      <c r="S899" s="98"/>
      <c r="T899" s="98"/>
      <c r="U899" s="98"/>
      <c r="V899" s="98"/>
      <c r="W899" s="98"/>
      <c r="X899" s="98"/>
      <c r="Y899" s="98"/>
      <c r="Z899" s="98"/>
      <c r="AA899" s="98"/>
      <c r="AB899" s="98"/>
      <c r="AC899" s="98"/>
      <c r="AD899" s="98"/>
    </row>
    <row r="900" spans="1:30" ht="12.75" customHeight="1">
      <c r="A900" s="140" t="s">
        <v>542</v>
      </c>
      <c r="B900" s="154">
        <v>44391</v>
      </c>
      <c r="C900" s="140">
        <v>-6458</v>
      </c>
      <c r="D900" s="395"/>
      <c r="E900" s="487"/>
      <c r="F900" s="491"/>
      <c r="G900" s="488"/>
      <c r="H900" s="98"/>
      <c r="K900" s="98"/>
      <c r="L900" s="98"/>
      <c r="M900" s="98"/>
      <c r="N900" s="98"/>
      <c r="O900" s="98"/>
      <c r="P900" s="98"/>
      <c r="Q900" s="98"/>
      <c r="R900" s="98"/>
      <c r="S900" s="98"/>
      <c r="T900" s="98"/>
      <c r="U900" s="98"/>
      <c r="V900" s="98"/>
      <c r="W900" s="98"/>
      <c r="X900" s="98"/>
      <c r="Y900" s="98"/>
      <c r="Z900" s="98"/>
      <c r="AA900" s="98"/>
      <c r="AB900" s="98"/>
      <c r="AC900" s="98"/>
      <c r="AD900" s="98"/>
    </row>
    <row r="901" spans="1:30" ht="12.75" customHeight="1">
      <c r="A901" s="125" t="s">
        <v>542</v>
      </c>
      <c r="B901" s="155">
        <v>44440</v>
      </c>
      <c r="C901" s="489">
        <v>3911</v>
      </c>
      <c r="D901" s="489">
        <f>C901+C900</f>
        <v>-2547</v>
      </c>
      <c r="E901" s="490">
        <f>-D901/C900</f>
        <v>-0.39439454939609786</v>
      </c>
      <c r="F901" s="383">
        <f>B901-B900</f>
        <v>49</v>
      </c>
      <c r="G901" s="490">
        <f>(C901/-C900)^(1/((B901-B900)/365))-1</f>
        <v>-0.97614738045672056</v>
      </c>
      <c r="H901" s="98"/>
      <c r="K901" s="98"/>
      <c r="L901" s="98"/>
      <c r="M901" s="98"/>
      <c r="N901" s="98"/>
      <c r="O901" s="98"/>
      <c r="P901" s="98"/>
      <c r="Q901" s="98"/>
      <c r="R901" s="98"/>
      <c r="S901" s="98"/>
      <c r="T901" s="98"/>
      <c r="U901" s="98"/>
      <c r="V901" s="98"/>
      <c r="W901" s="98"/>
      <c r="X901" s="98"/>
      <c r="Y901" s="98"/>
      <c r="Z901" s="98"/>
      <c r="AA901" s="98"/>
      <c r="AB901" s="98"/>
      <c r="AC901" s="98"/>
      <c r="AD901" s="98"/>
    </row>
    <row r="902" spans="1:30" ht="12.75" customHeight="1">
      <c r="A902" s="140" t="s">
        <v>539</v>
      </c>
      <c r="B902" s="154">
        <v>44358</v>
      </c>
      <c r="C902" s="140">
        <v>-21085</v>
      </c>
      <c r="D902" s="395"/>
      <c r="E902" s="487"/>
      <c r="F902" s="491"/>
      <c r="G902" s="488"/>
      <c r="H902" s="98"/>
      <c r="K902" s="98"/>
      <c r="L902" s="98"/>
      <c r="M902" s="98"/>
      <c r="N902" s="98"/>
      <c r="O902" s="98"/>
      <c r="P902" s="98"/>
      <c r="Q902" s="98"/>
      <c r="R902" s="98"/>
      <c r="S902" s="98"/>
      <c r="T902" s="98"/>
      <c r="U902" s="98"/>
      <c r="V902" s="98"/>
      <c r="W902" s="98"/>
      <c r="X902" s="98"/>
      <c r="Y902" s="98"/>
      <c r="Z902" s="98"/>
      <c r="AA902" s="98"/>
      <c r="AB902" s="98"/>
      <c r="AC902" s="98"/>
      <c r="AD902" s="98"/>
    </row>
    <row r="903" spans="1:30" ht="12.75" customHeight="1">
      <c r="A903" s="125" t="s">
        <v>539</v>
      </c>
      <c r="B903" s="155">
        <v>44377</v>
      </c>
      <c r="C903" s="489">
        <v>21717</v>
      </c>
      <c r="D903" s="489">
        <f>C903+C902</f>
        <v>632</v>
      </c>
      <c r="E903" s="490">
        <f>-D903/C902</f>
        <v>2.9973915105525255E-2</v>
      </c>
      <c r="F903" s="383">
        <f>B903-B902</f>
        <v>19</v>
      </c>
      <c r="G903" s="490">
        <f>(C903/-C902)^(1/((B903-B902)/365))-1</f>
        <v>0.76359375402528573</v>
      </c>
      <c r="H903" s="98"/>
      <c r="K903" s="98"/>
      <c r="L903" s="98"/>
      <c r="M903" s="98"/>
      <c r="N903" s="98"/>
      <c r="O903" s="98"/>
      <c r="P903" s="98"/>
      <c r="Q903" s="98"/>
      <c r="R903" s="98"/>
      <c r="S903" s="98"/>
      <c r="T903" s="98"/>
      <c r="U903" s="98"/>
      <c r="V903" s="98"/>
      <c r="W903" s="98"/>
      <c r="X903" s="98"/>
      <c r="Y903" s="98"/>
      <c r="Z903" s="98"/>
      <c r="AA903" s="98"/>
      <c r="AB903" s="98"/>
      <c r="AC903" s="98"/>
      <c r="AD903" s="98"/>
    </row>
    <row r="904" spans="1:30" ht="12.75" customHeight="1">
      <c r="A904" s="138" t="s">
        <v>522</v>
      </c>
      <c r="B904" s="492">
        <v>44337</v>
      </c>
      <c r="C904" s="493">
        <v>-6718</v>
      </c>
      <c r="D904" s="395"/>
      <c r="E904" s="487"/>
      <c r="F904" s="491"/>
      <c r="G904" s="488"/>
      <c r="H904" s="98"/>
      <c r="K904" s="98"/>
      <c r="L904" s="98"/>
      <c r="M904" s="98"/>
      <c r="N904" s="98"/>
      <c r="O904" s="98"/>
      <c r="P904" s="98"/>
      <c r="Q904" s="98"/>
      <c r="R904" s="98"/>
      <c r="S904" s="98"/>
      <c r="T904" s="98"/>
      <c r="U904" s="98"/>
      <c r="V904" s="98"/>
      <c r="W904" s="98"/>
      <c r="X904" s="98"/>
      <c r="Y904" s="98"/>
      <c r="Z904" s="98"/>
      <c r="AA904" s="98"/>
      <c r="AB904" s="98"/>
      <c r="AC904" s="98"/>
      <c r="AD904" s="98"/>
    </row>
    <row r="905" spans="1:30" ht="12.75" customHeight="1">
      <c r="A905" s="125" t="s">
        <v>522</v>
      </c>
      <c r="B905" s="495">
        <v>44340</v>
      </c>
      <c r="C905" s="496">
        <v>6901</v>
      </c>
      <c r="D905" s="489">
        <f>C905+C904</f>
        <v>183</v>
      </c>
      <c r="E905" s="490">
        <f>-D905/C904</f>
        <v>2.7240250074426913E-2</v>
      </c>
      <c r="F905" s="383">
        <f>B905-B904</f>
        <v>3</v>
      </c>
      <c r="G905" s="490">
        <f>(C905/-C904)^(1/((B905-B904)/365))-1</f>
        <v>25.308538813838002</v>
      </c>
      <c r="H905" s="98"/>
      <c r="K905" s="98"/>
      <c r="L905" s="98"/>
      <c r="M905" s="98"/>
      <c r="N905" s="98"/>
      <c r="O905" s="98"/>
      <c r="P905" s="98"/>
      <c r="Q905" s="98"/>
      <c r="R905" s="98"/>
      <c r="S905" s="98"/>
      <c r="T905" s="98"/>
      <c r="U905" s="98"/>
      <c r="V905" s="98"/>
      <c r="W905" s="98"/>
      <c r="X905" s="98"/>
      <c r="Y905" s="98"/>
      <c r="Z905" s="98"/>
      <c r="AA905" s="98"/>
      <c r="AB905" s="98"/>
      <c r="AC905" s="98"/>
      <c r="AD905" s="98"/>
    </row>
    <row r="906" spans="1:30" ht="12.75" customHeight="1">
      <c r="A906" s="139" t="s">
        <v>522</v>
      </c>
      <c r="B906" s="492">
        <v>44337</v>
      </c>
      <c r="C906" s="493">
        <v>-11604</v>
      </c>
      <c r="D906" s="395"/>
      <c r="E906" s="487"/>
      <c r="F906" s="491"/>
      <c r="G906" s="488"/>
      <c r="H906" s="98"/>
      <c r="K906" s="98"/>
      <c r="L906" s="98"/>
      <c r="M906" s="98"/>
      <c r="N906" s="98"/>
      <c r="O906" s="98"/>
      <c r="P906" s="98"/>
      <c r="Q906" s="98"/>
      <c r="R906" s="98"/>
      <c r="S906" s="98"/>
      <c r="T906" s="98"/>
      <c r="U906" s="98"/>
      <c r="V906" s="98"/>
      <c r="W906" s="98"/>
      <c r="X906" s="98"/>
      <c r="Y906" s="98"/>
      <c r="Z906" s="98"/>
      <c r="AA906" s="98"/>
      <c r="AB906" s="98"/>
      <c r="AC906" s="98"/>
      <c r="AD906" s="98"/>
    </row>
    <row r="907" spans="1:30" ht="12.75" customHeight="1">
      <c r="A907" s="125" t="s">
        <v>522</v>
      </c>
      <c r="B907" s="495">
        <v>44349</v>
      </c>
      <c r="C907" s="496">
        <v>12071</v>
      </c>
      <c r="D907" s="489">
        <f>C907+C906</f>
        <v>467</v>
      </c>
      <c r="E907" s="490">
        <f>-D907/C906</f>
        <v>4.024474319200276E-2</v>
      </c>
      <c r="F907" s="383">
        <f>B907-B906</f>
        <v>12</v>
      </c>
      <c r="G907" s="490">
        <f>(C907/-C906)^(1/((B907-B906)/365))-1</f>
        <v>2.3205169221011972</v>
      </c>
      <c r="H907" s="98"/>
      <c r="K907" s="98"/>
      <c r="L907" s="98"/>
      <c r="M907" s="98"/>
      <c r="N907" s="98"/>
      <c r="O907" s="98"/>
      <c r="P907" s="98"/>
      <c r="Q907" s="98"/>
      <c r="R907" s="98"/>
      <c r="S907" s="98"/>
      <c r="T907" s="98"/>
      <c r="U907" s="98"/>
      <c r="V907" s="98"/>
      <c r="W907" s="98"/>
      <c r="X907" s="98"/>
      <c r="Y907" s="98"/>
      <c r="Z907" s="98"/>
      <c r="AA907" s="98"/>
      <c r="AB907" s="98"/>
      <c r="AC907" s="98"/>
      <c r="AD907" s="98"/>
    </row>
    <row r="908" spans="1:30" ht="12.75" customHeight="1">
      <c r="A908" s="140" t="s">
        <v>535</v>
      </c>
      <c r="B908" s="154">
        <v>44350</v>
      </c>
      <c r="C908" s="140">
        <v>-11464</v>
      </c>
      <c r="D908" s="395"/>
      <c r="E908" s="487"/>
      <c r="F908" s="491"/>
      <c r="G908" s="488"/>
      <c r="H908" s="98"/>
      <c r="K908" s="98"/>
      <c r="L908" s="98"/>
      <c r="M908" s="98"/>
      <c r="N908" s="98"/>
      <c r="O908" s="98"/>
      <c r="P908" s="98"/>
      <c r="Q908" s="98"/>
      <c r="R908" s="98"/>
      <c r="S908" s="98"/>
      <c r="T908" s="98"/>
      <c r="U908" s="98"/>
      <c r="V908" s="98"/>
      <c r="W908" s="98"/>
      <c r="X908" s="98"/>
      <c r="Y908" s="98"/>
      <c r="Z908" s="98"/>
      <c r="AA908" s="98"/>
      <c r="AB908" s="98"/>
      <c r="AC908" s="98"/>
      <c r="AD908" s="98"/>
    </row>
    <row r="909" spans="1:30" ht="12.75" customHeight="1">
      <c r="A909" s="125" t="s">
        <v>535</v>
      </c>
      <c r="B909" s="155">
        <v>44377</v>
      </c>
      <c r="C909" s="489">
        <v>11705</v>
      </c>
      <c r="D909" s="489">
        <f>C909+C908</f>
        <v>241</v>
      </c>
      <c r="E909" s="490">
        <f>-D909/C908</f>
        <v>2.1022330774598745E-2</v>
      </c>
      <c r="F909" s="383">
        <f>B909-B908</f>
        <v>27</v>
      </c>
      <c r="G909" s="490">
        <f>(C909/-C908)^(1/((B909-B908)/365))-1</f>
        <v>0.32477787978745032</v>
      </c>
      <c r="H909" s="98"/>
      <c r="K909" s="98"/>
      <c r="L909" s="98"/>
      <c r="M909" s="98"/>
      <c r="N909" s="98"/>
      <c r="O909" s="98"/>
      <c r="P909" s="98"/>
      <c r="Q909" s="98"/>
      <c r="R909" s="98"/>
      <c r="S909" s="98"/>
      <c r="T909" s="98"/>
      <c r="U909" s="98"/>
      <c r="V909" s="98"/>
      <c r="W909" s="98"/>
      <c r="X909" s="98"/>
      <c r="Y909" s="98"/>
      <c r="Z909" s="98"/>
      <c r="AA909" s="98"/>
      <c r="AB909" s="98"/>
      <c r="AC909" s="98"/>
      <c r="AD909" s="98"/>
    </row>
    <row r="910" spans="1:30" ht="12.75" customHeight="1">
      <c r="A910" s="140" t="s">
        <v>578</v>
      </c>
      <c r="B910" s="154">
        <v>44454</v>
      </c>
      <c r="C910" s="395">
        <v>-7359</v>
      </c>
      <c r="D910" s="395"/>
      <c r="E910" s="487"/>
      <c r="F910" s="491"/>
      <c r="G910" s="488"/>
      <c r="H910" s="98"/>
      <c r="K910" s="98"/>
      <c r="L910" s="98"/>
      <c r="M910" s="98"/>
      <c r="N910" s="98"/>
      <c r="O910" s="98"/>
      <c r="P910" s="98"/>
      <c r="Q910" s="98"/>
      <c r="R910" s="98"/>
      <c r="S910" s="98"/>
      <c r="T910" s="98"/>
      <c r="U910" s="98"/>
      <c r="V910" s="98"/>
      <c r="W910" s="98"/>
      <c r="X910" s="98"/>
      <c r="Y910" s="98"/>
      <c r="Z910" s="98"/>
      <c r="AA910" s="98"/>
      <c r="AB910" s="98"/>
      <c r="AC910" s="98"/>
      <c r="AD910" s="98"/>
    </row>
    <row r="911" spans="1:30" ht="12.75" customHeight="1">
      <c r="A911" s="125" t="s">
        <v>578</v>
      </c>
      <c r="B911" s="155">
        <v>44509</v>
      </c>
      <c r="C911" s="489">
        <v>7442</v>
      </c>
      <c r="D911" s="489">
        <f>C911+C910</f>
        <v>83</v>
      </c>
      <c r="E911" s="490">
        <f>-D911/C910</f>
        <v>1.127870634597092E-2</v>
      </c>
      <c r="F911" s="383">
        <f>B911-B910</f>
        <v>55</v>
      </c>
      <c r="G911" s="490">
        <f>(C911/-C910)^(1/((B911-B910)/365))-1</f>
        <v>7.7270622080883644E-2</v>
      </c>
      <c r="H911" s="98"/>
      <c r="K911" s="98"/>
      <c r="L911" s="98"/>
      <c r="M911" s="98"/>
      <c r="N911" s="98"/>
      <c r="O911" s="98"/>
      <c r="P911" s="98"/>
      <c r="Q911" s="98"/>
      <c r="R911" s="98"/>
      <c r="S911" s="98"/>
      <c r="T911" s="98"/>
      <c r="U911" s="98"/>
      <c r="V911" s="98"/>
      <c r="W911" s="98"/>
      <c r="X911" s="98"/>
      <c r="Y911" s="98"/>
      <c r="Z911" s="98"/>
      <c r="AA911" s="98"/>
      <c r="AB911" s="98"/>
      <c r="AC911" s="98"/>
      <c r="AD911" s="98"/>
    </row>
    <row r="912" spans="1:30" ht="12.75" customHeight="1">
      <c r="A912" s="140" t="s">
        <v>568</v>
      </c>
      <c r="B912" s="154">
        <v>44400</v>
      </c>
      <c r="C912" s="140">
        <v>-2090</v>
      </c>
      <c r="D912" s="395"/>
      <c r="E912" s="487"/>
      <c r="F912" s="491"/>
      <c r="G912" s="488"/>
      <c r="H912" s="98"/>
      <c r="K912" s="98"/>
      <c r="L912" s="98"/>
      <c r="M912" s="98"/>
      <c r="N912" s="98"/>
      <c r="O912" s="98"/>
      <c r="P912" s="98"/>
      <c r="Q912" s="98"/>
      <c r="R912" s="98"/>
      <c r="S912" s="98"/>
      <c r="T912" s="98"/>
      <c r="U912" s="98"/>
      <c r="V912" s="98"/>
      <c r="W912" s="98"/>
      <c r="X912" s="98"/>
      <c r="Y912" s="98"/>
      <c r="Z912" s="98"/>
      <c r="AA912" s="98"/>
      <c r="AB912" s="98"/>
      <c r="AC912" s="98"/>
      <c r="AD912" s="98"/>
    </row>
    <row r="913" spans="1:30" ht="12.75" customHeight="1">
      <c r="A913" s="125" t="s">
        <v>568</v>
      </c>
      <c r="B913" s="155">
        <v>44405</v>
      </c>
      <c r="C913" s="489">
        <v>2373</v>
      </c>
      <c r="D913" s="489">
        <f>C913+C912</f>
        <v>283</v>
      </c>
      <c r="E913" s="490">
        <f>-D913/C912</f>
        <v>0.13540669856459331</v>
      </c>
      <c r="F913" s="383">
        <f>B913-B912</f>
        <v>5</v>
      </c>
      <c r="G913" s="490">
        <f>(C913/-C912)^(1/((B913-B912)/365))-1</f>
        <v>10617.324752998431</v>
      </c>
      <c r="H913" s="98"/>
      <c r="K913" s="98"/>
      <c r="L913" s="98"/>
      <c r="M913" s="98"/>
      <c r="N913" s="98"/>
      <c r="O913" s="98"/>
      <c r="P913" s="98"/>
      <c r="Q913" s="98"/>
      <c r="R913" s="98"/>
      <c r="S913" s="98"/>
      <c r="T913" s="98"/>
      <c r="U913" s="98"/>
      <c r="V913" s="98"/>
      <c r="W913" s="98"/>
      <c r="X913" s="98"/>
      <c r="Y913" s="98"/>
      <c r="Z913" s="98"/>
      <c r="AA913" s="98"/>
      <c r="AB913" s="98"/>
      <c r="AC913" s="98"/>
      <c r="AD913" s="98"/>
    </row>
    <row r="914" spans="1:30" ht="12.75" customHeight="1">
      <c r="A914" s="140" t="s">
        <v>563</v>
      </c>
      <c r="B914" s="154">
        <v>44389</v>
      </c>
      <c r="C914" s="140">
        <v>-4691</v>
      </c>
      <c r="D914" s="395"/>
      <c r="E914" s="487"/>
      <c r="F914" s="491"/>
      <c r="G914" s="488"/>
      <c r="H914" s="98"/>
      <c r="K914" s="98"/>
      <c r="L914" s="98"/>
      <c r="M914" s="98"/>
      <c r="N914" s="98"/>
      <c r="O914" s="98"/>
      <c r="P914" s="98"/>
      <c r="Q914" s="98"/>
      <c r="R914" s="98"/>
      <c r="S914" s="98"/>
      <c r="T914" s="98"/>
      <c r="U914" s="98"/>
      <c r="V914" s="98"/>
      <c r="W914" s="98"/>
      <c r="X914" s="98"/>
      <c r="Y914" s="98"/>
      <c r="Z914" s="98"/>
      <c r="AA914" s="98"/>
      <c r="AB914" s="98"/>
      <c r="AC914" s="98"/>
      <c r="AD914" s="98"/>
    </row>
    <row r="915" spans="1:30" ht="12.75" customHeight="1">
      <c r="A915" s="125" t="s">
        <v>563</v>
      </c>
      <c r="B915" s="155">
        <v>44487</v>
      </c>
      <c r="C915" s="489">
        <v>4760</v>
      </c>
      <c r="D915" s="489">
        <f>C915+C914</f>
        <v>69</v>
      </c>
      <c r="E915" s="490">
        <f>-D915/C914</f>
        <v>1.4709017267107227E-2</v>
      </c>
      <c r="F915" s="383">
        <f>B915-B914</f>
        <v>98</v>
      </c>
      <c r="G915" s="490">
        <f>(C915/-C914)^(1/((B915-B914)/365))-1</f>
        <v>5.5890605031858165E-2</v>
      </c>
      <c r="H915" s="98"/>
      <c r="K915" s="98"/>
      <c r="L915" s="98"/>
      <c r="M915" s="98"/>
      <c r="N915" s="98"/>
      <c r="O915" s="98"/>
      <c r="P915" s="98"/>
      <c r="Q915" s="98"/>
      <c r="R915" s="98"/>
      <c r="S915" s="98"/>
      <c r="T915" s="98"/>
      <c r="U915" s="98"/>
      <c r="V915" s="98"/>
      <c r="W915" s="98"/>
      <c r="X915" s="98"/>
      <c r="Y915" s="98"/>
      <c r="Z915" s="98"/>
      <c r="AA915" s="98"/>
      <c r="AB915" s="98"/>
      <c r="AC915" s="98"/>
      <c r="AD915" s="98"/>
    </row>
    <row r="916" spans="1:30" ht="12.75" customHeight="1">
      <c r="A916" s="138" t="s">
        <v>524</v>
      </c>
      <c r="B916" s="492">
        <v>44341</v>
      </c>
      <c r="C916" s="493">
        <v>-8410</v>
      </c>
      <c r="D916" s="395"/>
      <c r="E916" s="487"/>
      <c r="F916" s="491"/>
      <c r="G916" s="488"/>
      <c r="H916" s="98"/>
      <c r="K916" s="98"/>
      <c r="L916" s="98"/>
      <c r="M916" s="98"/>
      <c r="N916" s="98"/>
      <c r="O916" s="98"/>
      <c r="P916" s="98"/>
      <c r="Q916" s="98"/>
      <c r="R916" s="98"/>
      <c r="S916" s="98"/>
      <c r="T916" s="98"/>
      <c r="U916" s="98"/>
      <c r="V916" s="98"/>
      <c r="W916" s="98"/>
      <c r="X916" s="98"/>
      <c r="Y916" s="98"/>
      <c r="Z916" s="98"/>
      <c r="AA916" s="98"/>
      <c r="AB916" s="98"/>
      <c r="AC916" s="98"/>
      <c r="AD916" s="98"/>
    </row>
    <row r="917" spans="1:30" ht="12.75" customHeight="1">
      <c r="A917" s="125" t="s">
        <v>524</v>
      </c>
      <c r="B917" s="495">
        <v>44342</v>
      </c>
      <c r="C917" s="496">
        <v>8511</v>
      </c>
      <c r="D917" s="489">
        <f>C917+C916</f>
        <v>101</v>
      </c>
      <c r="E917" s="490">
        <f>-D917/C916</f>
        <v>1.2009512485136742E-2</v>
      </c>
      <c r="F917" s="383">
        <f>B917-B916</f>
        <v>1</v>
      </c>
      <c r="G917" s="490">
        <f>(C917/-C916)^(1/((B917-B916)/365))-1</f>
        <v>77.050748438824201</v>
      </c>
      <c r="H917" s="98"/>
      <c r="K917" s="98"/>
      <c r="L917" s="98"/>
      <c r="M917" s="98"/>
      <c r="N917" s="98"/>
      <c r="O917" s="98"/>
      <c r="P917" s="98"/>
      <c r="Q917" s="98"/>
      <c r="R917" s="98"/>
      <c r="S917" s="98"/>
      <c r="T917" s="98"/>
      <c r="U917" s="98"/>
      <c r="V917" s="98"/>
      <c r="W917" s="98"/>
      <c r="X917" s="98"/>
      <c r="Y917" s="98"/>
      <c r="Z917" s="98"/>
      <c r="AA917" s="98"/>
      <c r="AB917" s="98"/>
      <c r="AC917" s="98"/>
      <c r="AD917" s="98"/>
    </row>
    <row r="918" spans="1:30" ht="12.75" customHeight="1">
      <c r="A918" s="140" t="s">
        <v>605</v>
      </c>
      <c r="B918" s="154">
        <v>44581</v>
      </c>
      <c r="C918" s="395">
        <v>-18272</v>
      </c>
      <c r="D918" s="395"/>
      <c r="E918" s="487"/>
      <c r="F918" s="491"/>
      <c r="G918" s="488"/>
      <c r="H918" s="98"/>
      <c r="K918" s="98"/>
      <c r="L918" s="98"/>
      <c r="M918" s="98"/>
      <c r="N918" s="98"/>
      <c r="O918" s="98"/>
      <c r="P918" s="98"/>
      <c r="Q918" s="98"/>
      <c r="R918" s="98"/>
      <c r="S918" s="98"/>
      <c r="T918" s="98"/>
      <c r="U918" s="98"/>
      <c r="V918" s="98"/>
      <c r="W918" s="98"/>
      <c r="X918" s="98"/>
      <c r="Y918" s="98"/>
      <c r="Z918" s="98"/>
      <c r="AA918" s="98"/>
      <c r="AB918" s="98"/>
      <c r="AC918" s="98"/>
      <c r="AD918" s="98"/>
    </row>
    <row r="919" spans="1:30" ht="12.75" customHeight="1">
      <c r="A919" s="125" t="s">
        <v>605</v>
      </c>
      <c r="B919" s="155">
        <v>44614</v>
      </c>
      <c r="C919" s="489">
        <v>18331</v>
      </c>
      <c r="D919" s="489">
        <f>C919+C918</f>
        <v>59</v>
      </c>
      <c r="E919" s="490">
        <f>IFERROR(-D919/C918,0)</f>
        <v>3.2289842381786338E-3</v>
      </c>
      <c r="F919" s="383">
        <f>B919-B918</f>
        <v>33</v>
      </c>
      <c r="G919" s="490">
        <f>(C919/-C918)^(1/((B919-B918)/365))-1</f>
        <v>3.6300319631368705E-2</v>
      </c>
      <c r="H919" s="98"/>
      <c r="K919" s="98"/>
      <c r="L919" s="98"/>
      <c r="M919" s="98"/>
      <c r="N919" s="98"/>
      <c r="O919" s="98"/>
      <c r="P919" s="98"/>
      <c r="Q919" s="98"/>
      <c r="R919" s="98"/>
      <c r="S919" s="98"/>
      <c r="T919" s="98"/>
      <c r="U919" s="98"/>
      <c r="V919" s="98"/>
      <c r="W919" s="98"/>
      <c r="X919" s="98"/>
      <c r="Y919" s="98"/>
      <c r="Z919" s="98"/>
      <c r="AA919" s="98"/>
      <c r="AB919" s="98"/>
      <c r="AC919" s="98"/>
      <c r="AD919" s="98"/>
    </row>
    <row r="920" spans="1:30" ht="12.75" customHeight="1">
      <c r="A920" s="140" t="s">
        <v>605</v>
      </c>
      <c r="B920" s="154">
        <v>44616</v>
      </c>
      <c r="C920" s="395">
        <v>-8585</v>
      </c>
      <c r="D920" s="395"/>
      <c r="E920" s="487"/>
      <c r="F920" s="491"/>
      <c r="G920" s="488"/>
      <c r="H920" s="98"/>
      <c r="K920" s="98"/>
      <c r="L920" s="98"/>
      <c r="M920" s="98"/>
      <c r="N920" s="98"/>
      <c r="O920" s="98"/>
      <c r="P920" s="98"/>
      <c r="Q920" s="98"/>
      <c r="R920" s="98"/>
      <c r="S920" s="98"/>
      <c r="T920" s="98"/>
      <c r="U920" s="98"/>
      <c r="V920" s="98"/>
      <c r="W920" s="98"/>
      <c r="X920" s="98"/>
      <c r="Y920" s="98"/>
      <c r="Z920" s="98"/>
      <c r="AA920" s="98"/>
      <c r="AB920" s="98"/>
      <c r="AC920" s="98"/>
      <c r="AD920" s="98"/>
    </row>
    <row r="921" spans="1:30" ht="12.75" customHeight="1">
      <c r="A921" s="125" t="s">
        <v>605</v>
      </c>
      <c r="B921" s="155">
        <v>44622</v>
      </c>
      <c r="C921" s="489">
        <v>8641</v>
      </c>
      <c r="D921" s="489">
        <f>C921+C920</f>
        <v>56</v>
      </c>
      <c r="E921" s="490">
        <f>IFERROR(-D921/C920,0)</f>
        <v>6.5230052417006405E-3</v>
      </c>
      <c r="F921" s="383">
        <f>B921-B920</f>
        <v>6</v>
      </c>
      <c r="G921" s="490">
        <f>(C921/-C920)^(1/((B921-B920)/365))-1</f>
        <v>0.48516746362473584</v>
      </c>
      <c r="H921" s="98"/>
      <c r="K921" s="98"/>
      <c r="L921" s="98"/>
      <c r="M921" s="98"/>
      <c r="N921" s="98"/>
      <c r="O921" s="98"/>
      <c r="P921" s="98"/>
      <c r="Q921" s="98"/>
      <c r="R921" s="98"/>
      <c r="S921" s="98"/>
      <c r="T921" s="98"/>
      <c r="U921" s="98"/>
      <c r="V921" s="98"/>
      <c r="W921" s="98"/>
      <c r="X921" s="98"/>
      <c r="Y921" s="98"/>
      <c r="Z921" s="98"/>
      <c r="AA921" s="98"/>
      <c r="AB921" s="98"/>
      <c r="AC921" s="98"/>
      <c r="AD921" s="98"/>
    </row>
    <row r="922" spans="1:30" ht="12.75" customHeight="1">
      <c r="A922" s="140" t="s">
        <v>605</v>
      </c>
      <c r="B922" s="154">
        <v>44615</v>
      </c>
      <c r="C922" s="395">
        <v>-18272</v>
      </c>
      <c r="D922" s="395"/>
      <c r="E922" s="487"/>
      <c r="F922" s="491"/>
      <c r="G922" s="488"/>
      <c r="H922" s="98"/>
      <c r="K922" s="98"/>
      <c r="L922" s="98"/>
      <c r="M922" s="98"/>
      <c r="N922" s="98"/>
      <c r="O922" s="98"/>
      <c r="P922" s="98"/>
      <c r="Q922" s="98"/>
      <c r="R922" s="98"/>
      <c r="S922" s="98"/>
      <c r="T922" s="98"/>
      <c r="U922" s="98"/>
      <c r="V922" s="98"/>
      <c r="W922" s="98"/>
      <c r="X922" s="98"/>
      <c r="Y922" s="98"/>
      <c r="Z922" s="98"/>
      <c r="AA922" s="98"/>
      <c r="AB922" s="98"/>
      <c r="AC922" s="98"/>
      <c r="AD922" s="98"/>
    </row>
    <row r="923" spans="1:30" ht="12.75" customHeight="1">
      <c r="A923" s="125" t="s">
        <v>605</v>
      </c>
      <c r="B923" s="155">
        <v>44652</v>
      </c>
      <c r="C923" s="489">
        <v>18581</v>
      </c>
      <c r="D923" s="489">
        <f>C923+C922</f>
        <v>309</v>
      </c>
      <c r="E923" s="490">
        <f>IFERROR(-D923/C922,0)</f>
        <v>1.6911120840630473E-2</v>
      </c>
      <c r="F923" s="383">
        <f>B923-B922</f>
        <v>37</v>
      </c>
      <c r="G923" s="490">
        <f>(C923/-C922)^(1/((B923-B922)/365))-1</f>
        <v>0.17990156961988668</v>
      </c>
      <c r="H923" s="98"/>
      <c r="K923" s="98"/>
      <c r="L923" s="98"/>
      <c r="M923" s="98"/>
      <c r="N923" s="98"/>
      <c r="O923" s="98"/>
      <c r="P923" s="98"/>
      <c r="Q923" s="98"/>
      <c r="R923" s="98"/>
      <c r="S923" s="98"/>
      <c r="T923" s="98"/>
      <c r="U923" s="98"/>
      <c r="V923" s="98"/>
      <c r="W923" s="98"/>
      <c r="X923" s="98"/>
      <c r="Y923" s="98"/>
      <c r="Z923" s="98"/>
      <c r="AA923" s="98"/>
      <c r="AB923" s="98"/>
      <c r="AC923" s="98"/>
      <c r="AD923" s="98"/>
    </row>
    <row r="924" spans="1:30" ht="12.75" customHeight="1">
      <c r="A924" s="140" t="s">
        <v>632</v>
      </c>
      <c r="B924" s="154">
        <v>44775</v>
      </c>
      <c r="C924" s="395">
        <v>-17921</v>
      </c>
      <c r="D924" s="395"/>
      <c r="E924" s="487"/>
      <c r="F924" s="491"/>
      <c r="G924" s="488"/>
      <c r="H924" s="98"/>
      <c r="K924" s="98"/>
      <c r="L924" s="98"/>
      <c r="M924" s="98"/>
      <c r="N924" s="98"/>
      <c r="O924" s="98"/>
      <c r="P924" s="98"/>
      <c r="Q924" s="98"/>
      <c r="R924" s="98"/>
      <c r="S924" s="98"/>
      <c r="T924" s="98"/>
      <c r="U924" s="98"/>
      <c r="V924" s="98"/>
      <c r="W924" s="98"/>
      <c r="X924" s="98"/>
      <c r="Y924" s="98"/>
      <c r="Z924" s="98"/>
      <c r="AA924" s="98"/>
      <c r="AB924" s="98"/>
      <c r="AC924" s="98"/>
      <c r="AD924" s="98"/>
    </row>
    <row r="925" spans="1:30" ht="12.75" customHeight="1">
      <c r="A925" s="125" t="s">
        <v>632</v>
      </c>
      <c r="B925" s="155">
        <v>44792</v>
      </c>
      <c r="C925" s="489">
        <v>19080</v>
      </c>
      <c r="D925" s="489">
        <f>C925+C924</f>
        <v>1159</v>
      </c>
      <c r="E925" s="490">
        <f>IFERROR(-D925/C924,0)</f>
        <v>6.4672730316388594E-2</v>
      </c>
      <c r="F925" s="383">
        <f>B925-B924</f>
        <v>17</v>
      </c>
      <c r="G925" s="490">
        <f>(C925/-C924)^(1/((B925-B924)/365))-1</f>
        <v>2.8401335835678303</v>
      </c>
      <c r="H925" s="98"/>
      <c r="K925" s="98"/>
      <c r="L925" s="98"/>
      <c r="M925" s="98"/>
      <c r="N925" s="98"/>
      <c r="O925" s="98"/>
      <c r="P925" s="98"/>
      <c r="Q925" s="98"/>
      <c r="R925" s="98"/>
      <c r="S925" s="98"/>
      <c r="T925" s="98"/>
      <c r="U925" s="98"/>
      <c r="V925" s="98"/>
      <c r="W925" s="98"/>
      <c r="X925" s="98"/>
      <c r="Y925" s="98"/>
      <c r="Z925" s="98"/>
      <c r="AA925" s="98"/>
      <c r="AB925" s="98"/>
      <c r="AC925" s="98"/>
      <c r="AD925" s="98"/>
    </row>
    <row r="926" spans="1:30" ht="12.75" customHeight="1">
      <c r="A926" s="140" t="s">
        <v>632</v>
      </c>
      <c r="B926" s="154">
        <v>44805</v>
      </c>
      <c r="C926" s="395">
        <v>-9511</v>
      </c>
      <c r="D926" s="395"/>
      <c r="E926" s="487"/>
      <c r="F926" s="491"/>
      <c r="G926" s="488"/>
      <c r="H926" s="98"/>
      <c r="K926" s="98"/>
      <c r="L926" s="98"/>
      <c r="M926" s="98"/>
      <c r="N926" s="98"/>
      <c r="O926" s="98"/>
      <c r="P926" s="98"/>
      <c r="Q926" s="98"/>
      <c r="R926" s="98"/>
      <c r="S926" s="98"/>
      <c r="T926" s="98"/>
      <c r="U926" s="98"/>
      <c r="V926" s="98"/>
      <c r="W926" s="98"/>
      <c r="X926" s="98"/>
      <c r="Y926" s="98"/>
      <c r="Z926" s="98"/>
      <c r="AA926" s="98"/>
      <c r="AB926" s="98"/>
      <c r="AC926" s="98"/>
      <c r="AD926" s="98"/>
    </row>
    <row r="927" spans="1:30" ht="12.75" customHeight="1">
      <c r="A927" s="125" t="s">
        <v>632</v>
      </c>
      <c r="B927" s="155">
        <v>44817</v>
      </c>
      <c r="C927" s="489">
        <v>9890</v>
      </c>
      <c r="D927" s="489">
        <f>C927+C926</f>
        <v>379</v>
      </c>
      <c r="E927" s="490">
        <f>IFERROR(-D927/C926,0)</f>
        <v>3.9848596362107032E-2</v>
      </c>
      <c r="F927" s="383">
        <f>B927-B926</f>
        <v>12</v>
      </c>
      <c r="G927" s="490">
        <f>(C927/-C926)^(1/((B927-B926)/365))-1</f>
        <v>2.2822690439599351</v>
      </c>
      <c r="H927" s="98"/>
      <c r="K927" s="98"/>
      <c r="L927" s="98"/>
      <c r="M927" s="98"/>
      <c r="N927" s="98"/>
      <c r="O927" s="98"/>
      <c r="P927" s="98"/>
      <c r="Q927" s="98"/>
      <c r="R927" s="98"/>
      <c r="S927" s="98"/>
      <c r="T927" s="98"/>
      <c r="U927" s="98"/>
      <c r="V927" s="98"/>
      <c r="W927" s="98"/>
      <c r="X927" s="98"/>
      <c r="Y927" s="98"/>
      <c r="Z927" s="98"/>
      <c r="AA927" s="98"/>
      <c r="AB927" s="98"/>
      <c r="AC927" s="98"/>
      <c r="AD927" s="98"/>
    </row>
    <row r="928" spans="1:30" ht="12.75" customHeight="1">
      <c r="A928" s="140" t="s">
        <v>632</v>
      </c>
      <c r="B928" s="154">
        <v>44795</v>
      </c>
      <c r="C928" s="395">
        <v>-38135</v>
      </c>
      <c r="D928" s="395"/>
      <c r="E928" s="487"/>
      <c r="F928" s="491"/>
      <c r="G928" s="488"/>
      <c r="H928" s="98"/>
      <c r="K928" s="98"/>
      <c r="L928" s="98"/>
      <c r="M928" s="98"/>
      <c r="N928" s="98"/>
      <c r="O928" s="98"/>
      <c r="P928" s="98"/>
      <c r="Q928" s="98"/>
      <c r="R928" s="98"/>
      <c r="S928" s="98"/>
      <c r="T928" s="98"/>
      <c r="U928" s="98"/>
      <c r="V928" s="98"/>
      <c r="W928" s="98"/>
      <c r="X928" s="98"/>
      <c r="Y928" s="98"/>
      <c r="Z928" s="98"/>
      <c r="AA928" s="98"/>
      <c r="AB928" s="98"/>
      <c r="AC928" s="98"/>
      <c r="AD928" s="98"/>
    </row>
    <row r="929" spans="1:30" ht="12.75" customHeight="1">
      <c r="A929" s="125" t="s">
        <v>632</v>
      </c>
      <c r="B929" s="155">
        <v>44865</v>
      </c>
      <c r="C929" s="489">
        <v>39959</v>
      </c>
      <c r="D929" s="489">
        <f>C929+C928</f>
        <v>1824</v>
      </c>
      <c r="E929" s="490">
        <f>IFERROR(-D929/C928,0)</f>
        <v>4.7830077356758885E-2</v>
      </c>
      <c r="F929" s="383">
        <f>B929-B928</f>
        <v>70</v>
      </c>
      <c r="G929" s="490">
        <f>(C929/-C928)^(1/((B929-B928)/365))-1</f>
        <v>0.27585800800226767</v>
      </c>
      <c r="H929" s="98"/>
      <c r="K929" s="98"/>
      <c r="L929" s="98"/>
      <c r="M929" s="98"/>
      <c r="N929" s="98"/>
      <c r="O929" s="98"/>
      <c r="P929" s="98"/>
      <c r="Q929" s="98"/>
      <c r="R929" s="98"/>
      <c r="S929" s="98"/>
      <c r="T929" s="98"/>
      <c r="U929" s="98"/>
      <c r="V929" s="98"/>
      <c r="W929" s="98"/>
      <c r="X929" s="98"/>
      <c r="Y929" s="98"/>
      <c r="Z929" s="98"/>
      <c r="AA929" s="98"/>
      <c r="AB929" s="98"/>
      <c r="AC929" s="98"/>
      <c r="AD929" s="98"/>
    </row>
    <row r="930" spans="1:30" ht="12.75" customHeight="1">
      <c r="A930" s="140" t="s">
        <v>575</v>
      </c>
      <c r="B930" s="154">
        <v>44441</v>
      </c>
      <c r="C930" s="140">
        <v>-9922</v>
      </c>
      <c r="D930" s="395"/>
      <c r="E930" s="487"/>
      <c r="F930" s="491"/>
      <c r="G930" s="488"/>
      <c r="H930" s="98"/>
      <c r="K930" s="98"/>
      <c r="L930" s="98"/>
      <c r="M930" s="98"/>
      <c r="N930" s="98"/>
      <c r="O930" s="98"/>
      <c r="P930" s="98"/>
      <c r="Q930" s="98"/>
      <c r="R930" s="98"/>
      <c r="S930" s="98"/>
      <c r="T930" s="98"/>
      <c r="U930" s="98"/>
      <c r="V930" s="98"/>
      <c r="W930" s="98"/>
      <c r="X930" s="98"/>
      <c r="Y930" s="98"/>
      <c r="Z930" s="98"/>
      <c r="AA930" s="98"/>
      <c r="AB930" s="98"/>
      <c r="AC930" s="98"/>
      <c r="AD930" s="98"/>
    </row>
    <row r="931" spans="1:30" ht="12.75" customHeight="1">
      <c r="A931" s="125" t="s">
        <v>575</v>
      </c>
      <c r="B931" s="155">
        <v>44459</v>
      </c>
      <c r="C931" s="489">
        <v>10549</v>
      </c>
      <c r="D931" s="489">
        <f>C931+C930</f>
        <v>627</v>
      </c>
      <c r="E931" s="490">
        <f>-D931/C930</f>
        <v>6.3192904656319285E-2</v>
      </c>
      <c r="F931" s="383">
        <f>B931-B930</f>
        <v>18</v>
      </c>
      <c r="G931" s="490">
        <f>(C931/-C930)^(1/((B931-B930)/365))-1</f>
        <v>2.4644447054934089</v>
      </c>
      <c r="H931" s="98"/>
      <c r="K931" s="98"/>
      <c r="L931" s="98"/>
      <c r="M931" s="98"/>
      <c r="N931" s="98"/>
      <c r="O931" s="98"/>
      <c r="P931" s="98"/>
      <c r="Q931" s="98"/>
      <c r="R931" s="98"/>
      <c r="S931" s="98"/>
      <c r="T931" s="98"/>
      <c r="U931" s="98"/>
      <c r="V931" s="98"/>
      <c r="W931" s="98"/>
      <c r="X931" s="98"/>
      <c r="Y931" s="98"/>
      <c r="Z931" s="98"/>
      <c r="AA931" s="98"/>
      <c r="AB931" s="98"/>
      <c r="AC931" s="98"/>
      <c r="AD931" s="98"/>
    </row>
    <row r="932" spans="1:30" ht="12.75" customHeight="1">
      <c r="A932" s="140" t="s">
        <v>529</v>
      </c>
      <c r="B932" s="154">
        <v>44344</v>
      </c>
      <c r="C932" s="140">
        <v>-12585</v>
      </c>
      <c r="D932" s="395"/>
      <c r="E932" s="487"/>
      <c r="F932" s="491"/>
      <c r="G932" s="488"/>
      <c r="H932" s="98"/>
      <c r="K932" s="98"/>
      <c r="L932" s="98"/>
      <c r="M932" s="98"/>
      <c r="N932" s="98"/>
      <c r="O932" s="98"/>
      <c r="P932" s="98"/>
      <c r="Q932" s="98"/>
      <c r="R932" s="98"/>
      <c r="S932" s="98"/>
      <c r="T932" s="98"/>
      <c r="U932" s="98"/>
      <c r="V932" s="98"/>
      <c r="W932" s="98"/>
      <c r="X932" s="98"/>
      <c r="Y932" s="98"/>
      <c r="Z932" s="98"/>
      <c r="AA932" s="98"/>
      <c r="AB932" s="98"/>
      <c r="AC932" s="98"/>
      <c r="AD932" s="98"/>
    </row>
    <row r="933" spans="1:30" ht="12.75" customHeight="1">
      <c r="A933" s="125" t="s">
        <v>529</v>
      </c>
      <c r="B933" s="155">
        <v>44474</v>
      </c>
      <c r="C933" s="489">
        <v>12624</v>
      </c>
      <c r="D933" s="489">
        <f>C933+C932</f>
        <v>39</v>
      </c>
      <c r="E933" s="490">
        <f>-D933/C932</f>
        <v>3.0989272943980932E-3</v>
      </c>
      <c r="F933" s="383">
        <f>B933-B932</f>
        <v>130</v>
      </c>
      <c r="G933" s="490">
        <f>(C933/-C932)^(1/((B933-B932)/365))-1</f>
        <v>8.7252252891187876E-3</v>
      </c>
      <c r="H933" s="98"/>
      <c r="K933" s="98"/>
      <c r="L933" s="98"/>
      <c r="M933" s="98"/>
      <c r="N933" s="98"/>
      <c r="O933" s="98"/>
      <c r="P933" s="98"/>
      <c r="Q933" s="98"/>
      <c r="R933" s="98"/>
      <c r="S933" s="98"/>
      <c r="T933" s="98"/>
      <c r="U933" s="98"/>
      <c r="V933" s="98"/>
      <c r="W933" s="98"/>
      <c r="X933" s="98"/>
      <c r="Y933" s="98"/>
      <c r="Z933" s="98"/>
      <c r="AA933" s="98"/>
      <c r="AB933" s="98"/>
      <c r="AC933" s="98"/>
      <c r="AD933" s="98"/>
    </row>
    <row r="934" spans="1:30" ht="12.75" customHeight="1">
      <c r="A934" s="140" t="s">
        <v>625</v>
      </c>
      <c r="B934" s="154">
        <v>44740</v>
      </c>
      <c r="C934" s="395">
        <v>-3284</v>
      </c>
      <c r="D934" s="395"/>
      <c r="E934" s="487"/>
      <c r="F934" s="491"/>
      <c r="G934" s="488"/>
      <c r="H934" s="98"/>
      <c r="K934" s="98"/>
      <c r="L934" s="98"/>
      <c r="M934" s="98"/>
      <c r="N934" s="98"/>
      <c r="O934" s="98"/>
      <c r="P934" s="98"/>
      <c r="Q934" s="98"/>
      <c r="R934" s="98"/>
      <c r="S934" s="98"/>
      <c r="T934" s="98"/>
      <c r="U934" s="98"/>
      <c r="V934" s="98"/>
      <c r="W934" s="98"/>
      <c r="X934" s="98"/>
      <c r="Y934" s="98"/>
      <c r="Z934" s="98"/>
      <c r="AA934" s="98"/>
      <c r="AB934" s="98"/>
      <c r="AC934" s="98"/>
      <c r="AD934" s="98"/>
    </row>
    <row r="935" spans="1:30" ht="12.75" customHeight="1">
      <c r="A935" s="125" t="s">
        <v>625</v>
      </c>
      <c r="B935" s="155">
        <v>44792</v>
      </c>
      <c r="C935" s="489">
        <v>4600</v>
      </c>
      <c r="D935" s="489">
        <f>C935+C934</f>
        <v>1316</v>
      </c>
      <c r="E935" s="490">
        <f>IFERROR(-D935/C934,0)</f>
        <v>0.40073081607795369</v>
      </c>
      <c r="F935" s="383">
        <f>B935-B934</f>
        <v>52</v>
      </c>
      <c r="G935" s="490">
        <f>(C935/-C934)^(1/((B935-B934)/365))-1</f>
        <v>9.6487172546897106</v>
      </c>
      <c r="H935" s="98"/>
      <c r="K935" s="98"/>
      <c r="L935" s="98"/>
      <c r="M935" s="98"/>
      <c r="N935" s="98"/>
      <c r="O935" s="98"/>
      <c r="P935" s="98"/>
      <c r="Q935" s="98"/>
      <c r="R935" s="98"/>
      <c r="S935" s="98"/>
      <c r="T935" s="98"/>
      <c r="U935" s="98"/>
      <c r="V935" s="98"/>
      <c r="W935" s="98"/>
      <c r="X935" s="98"/>
      <c r="Y935" s="98"/>
      <c r="Z935" s="98"/>
      <c r="AA935" s="98"/>
      <c r="AB935" s="98"/>
      <c r="AC935" s="98"/>
      <c r="AD935" s="98"/>
    </row>
    <row r="936" spans="1:30" ht="12.75" customHeight="1">
      <c r="A936" s="140" t="s">
        <v>503</v>
      </c>
      <c r="B936" s="154">
        <v>44385</v>
      </c>
      <c r="C936" s="140">
        <v>-2032</v>
      </c>
      <c r="D936" s="395"/>
      <c r="E936" s="487"/>
      <c r="F936" s="491"/>
      <c r="G936" s="488"/>
      <c r="H936" s="98"/>
      <c r="K936" s="98"/>
      <c r="L936" s="98"/>
      <c r="M936" s="98"/>
      <c r="N936" s="98"/>
      <c r="O936" s="98"/>
      <c r="P936" s="98"/>
      <c r="Q936" s="98"/>
      <c r="R936" s="98"/>
      <c r="S936" s="98"/>
      <c r="T936" s="98"/>
      <c r="U936" s="98"/>
      <c r="V936" s="98"/>
      <c r="W936" s="98"/>
      <c r="X936" s="98"/>
      <c r="Y936" s="98"/>
      <c r="Z936" s="98"/>
      <c r="AA936" s="98"/>
      <c r="AB936" s="98"/>
      <c r="AC936" s="98"/>
      <c r="AD936" s="98"/>
    </row>
    <row r="937" spans="1:30" ht="12.75" customHeight="1">
      <c r="A937" s="125" t="s">
        <v>503</v>
      </c>
      <c r="B937" s="155">
        <v>44392</v>
      </c>
      <c r="C937" s="489">
        <v>2190</v>
      </c>
      <c r="D937" s="489">
        <f>C937+C936</f>
        <v>158</v>
      </c>
      <c r="E937" s="490">
        <f>-D937/C936</f>
        <v>7.7755905511811024E-2</v>
      </c>
      <c r="F937" s="383">
        <f>B937-B936</f>
        <v>7</v>
      </c>
      <c r="G937" s="490">
        <f>(C937/-C936)^(1/((B937-B936)/365))-1</f>
        <v>48.625758402637018</v>
      </c>
      <c r="H937" s="98"/>
      <c r="K937" s="98"/>
      <c r="L937" s="98"/>
      <c r="M937" s="98"/>
      <c r="N937" s="98"/>
      <c r="O937" s="98"/>
      <c r="P937" s="98"/>
      <c r="Q937" s="98"/>
      <c r="R937" s="98"/>
      <c r="S937" s="98"/>
      <c r="T937" s="98"/>
      <c r="U937" s="98"/>
      <c r="V937" s="98"/>
      <c r="W937" s="98"/>
      <c r="X937" s="98"/>
      <c r="Y937" s="98"/>
      <c r="Z937" s="98"/>
      <c r="AA937" s="98"/>
      <c r="AB937" s="98"/>
      <c r="AC937" s="98"/>
      <c r="AD937" s="98"/>
    </row>
    <row r="938" spans="1:30" ht="12.75" customHeight="1">
      <c r="A938" s="140" t="s">
        <v>606</v>
      </c>
      <c r="B938" s="154">
        <v>44768</v>
      </c>
      <c r="C938" s="395">
        <v>-1051</v>
      </c>
      <c r="D938" s="395"/>
      <c r="E938" s="487"/>
      <c r="F938" s="491"/>
      <c r="G938" s="488"/>
      <c r="H938" s="98"/>
      <c r="K938" s="98"/>
      <c r="L938" s="98"/>
      <c r="M938" s="98"/>
      <c r="N938" s="98"/>
      <c r="O938" s="98"/>
      <c r="P938" s="98"/>
      <c r="Q938" s="98"/>
      <c r="R938" s="98"/>
      <c r="S938" s="98"/>
      <c r="T938" s="98"/>
      <c r="U938" s="98"/>
      <c r="V938" s="98"/>
      <c r="W938" s="98"/>
      <c r="X938" s="98"/>
      <c r="Y938" s="98"/>
      <c r="Z938" s="98"/>
      <c r="AA938" s="98"/>
      <c r="AB938" s="98"/>
      <c r="AC938" s="98"/>
      <c r="AD938" s="98"/>
    </row>
    <row r="939" spans="1:30" ht="12.75" customHeight="1">
      <c r="A939" s="125" t="s">
        <v>606</v>
      </c>
      <c r="B939" s="155">
        <v>44823</v>
      </c>
      <c r="C939" s="489">
        <v>1711</v>
      </c>
      <c r="D939" s="489">
        <f>C939+C938</f>
        <v>660</v>
      </c>
      <c r="E939" s="490">
        <f>IFERROR(-D939/C938,0)</f>
        <v>0.62797335870599424</v>
      </c>
      <c r="F939" s="383">
        <f>B939-B938</f>
        <v>55</v>
      </c>
      <c r="G939" s="490">
        <f>(C939/-C938)^(1/((B939-B938)/365))-1</f>
        <v>24.384487661376273</v>
      </c>
      <c r="H939" s="98"/>
      <c r="K939" s="98"/>
      <c r="L939" s="98"/>
      <c r="M939" s="98"/>
      <c r="N939" s="98"/>
      <c r="O939" s="98"/>
      <c r="P939" s="98"/>
      <c r="Q939" s="98"/>
      <c r="R939" s="98"/>
      <c r="S939" s="98"/>
      <c r="T939" s="98"/>
      <c r="U939" s="98"/>
      <c r="V939" s="98"/>
      <c r="W939" s="98"/>
      <c r="X939" s="98"/>
      <c r="Y939" s="98"/>
      <c r="Z939" s="98"/>
      <c r="AA939" s="98"/>
      <c r="AB939" s="98"/>
      <c r="AC939" s="98"/>
      <c r="AD939" s="98"/>
    </row>
    <row r="940" spans="1:30" ht="12.75" customHeight="1">
      <c r="A940" s="140" t="s">
        <v>606</v>
      </c>
      <c r="B940" s="154">
        <v>44582</v>
      </c>
      <c r="C940" s="395">
        <v>-9862</v>
      </c>
      <c r="D940" s="395"/>
      <c r="E940" s="487"/>
      <c r="F940" s="491"/>
      <c r="G940" s="488"/>
      <c r="H940" s="98"/>
      <c r="K940" s="98"/>
      <c r="L940" s="98"/>
      <c r="M940" s="98"/>
      <c r="N940" s="98"/>
      <c r="O940" s="98"/>
      <c r="P940" s="98"/>
      <c r="Q940" s="98"/>
      <c r="R940" s="98"/>
      <c r="S940" s="98"/>
      <c r="T940" s="98"/>
      <c r="U940" s="98"/>
      <c r="V940" s="98"/>
      <c r="W940" s="98"/>
      <c r="X940" s="98"/>
      <c r="Y940" s="98"/>
      <c r="Z940" s="98"/>
      <c r="AA940" s="98"/>
      <c r="AB940" s="98"/>
      <c r="AC940" s="98"/>
      <c r="AD940" s="98"/>
    </row>
    <row r="941" spans="1:30" ht="12.75" customHeight="1">
      <c r="A941" s="125" t="s">
        <v>606</v>
      </c>
      <c r="B941" s="155">
        <v>44823</v>
      </c>
      <c r="C941" s="489">
        <v>10264</v>
      </c>
      <c r="D941" s="489">
        <f>C941+C940</f>
        <v>402</v>
      </c>
      <c r="E941" s="490">
        <f>IFERROR(-D941/C940,0)</f>
        <v>4.0762522814844861E-2</v>
      </c>
      <c r="F941" s="383">
        <f>B941-B940</f>
        <v>241</v>
      </c>
      <c r="G941" s="490">
        <f>(C941/-C940)^(1/((B941-B940)/365))-1</f>
        <v>6.2378963737458992E-2</v>
      </c>
      <c r="H941" s="98"/>
      <c r="K941" s="98"/>
      <c r="L941" s="98"/>
      <c r="M941" s="98"/>
      <c r="N941" s="98"/>
      <c r="O941" s="98"/>
      <c r="P941" s="98"/>
      <c r="Q941" s="98"/>
      <c r="R941" s="98"/>
      <c r="S941" s="98"/>
      <c r="T941" s="98"/>
      <c r="U941" s="98"/>
      <c r="V941" s="98"/>
      <c r="W941" s="98"/>
      <c r="X941" s="98"/>
      <c r="Y941" s="98"/>
      <c r="Z941" s="98"/>
      <c r="AA941" s="98"/>
      <c r="AB941" s="98"/>
      <c r="AC941" s="98"/>
      <c r="AD941" s="98"/>
    </row>
    <row r="942" spans="1:30" ht="12.75" customHeight="1">
      <c r="A942" s="140" t="s">
        <v>603</v>
      </c>
      <c r="B942" s="154">
        <v>44575</v>
      </c>
      <c r="C942" s="395">
        <v>-16388</v>
      </c>
      <c r="D942" s="395"/>
      <c r="E942" s="487"/>
      <c r="F942" s="491"/>
      <c r="G942" s="488"/>
      <c r="H942" s="98"/>
      <c r="K942" s="98"/>
      <c r="L942" s="98"/>
      <c r="M942" s="98"/>
      <c r="N942" s="98"/>
      <c r="O942" s="98"/>
      <c r="P942" s="98"/>
      <c r="Q942" s="98"/>
      <c r="R942" s="98"/>
      <c r="S942" s="98"/>
      <c r="T942" s="98"/>
      <c r="U942" s="98"/>
      <c r="V942" s="98"/>
      <c r="W942" s="98"/>
      <c r="X942" s="98"/>
      <c r="Y942" s="98"/>
      <c r="Z942" s="98"/>
      <c r="AA942" s="98"/>
      <c r="AB942" s="98"/>
      <c r="AC942" s="98"/>
      <c r="AD942" s="98"/>
    </row>
    <row r="943" spans="1:30" ht="12.75" customHeight="1">
      <c r="A943" s="125" t="s">
        <v>603</v>
      </c>
      <c r="B943" s="155">
        <v>44909</v>
      </c>
      <c r="C943" s="489">
        <v>16533</v>
      </c>
      <c r="D943" s="489">
        <f>C943+C942</f>
        <v>145</v>
      </c>
      <c r="E943" s="490">
        <f>IFERROR(-D943/C942,0)</f>
        <v>8.8479375152550645E-3</v>
      </c>
      <c r="F943" s="383">
        <f>B943-B942</f>
        <v>334</v>
      </c>
      <c r="G943" s="490">
        <f>(C943/-C942)^(1/((B943-B942)/365))-1</f>
        <v>9.6731129251119707E-3</v>
      </c>
      <c r="H943" s="98"/>
      <c r="K943" s="98"/>
      <c r="L943" s="98"/>
      <c r="M943" s="98"/>
      <c r="N943" s="98"/>
      <c r="O943" s="98"/>
      <c r="P943" s="98"/>
      <c r="Q943" s="98"/>
      <c r="R943" s="98"/>
      <c r="S943" s="98"/>
      <c r="T943" s="98"/>
      <c r="U943" s="98"/>
      <c r="V943" s="98"/>
      <c r="W943" s="98"/>
      <c r="X943" s="98"/>
      <c r="Y943" s="98"/>
      <c r="Z943" s="98"/>
      <c r="AA943" s="98"/>
      <c r="AB943" s="98"/>
      <c r="AC943" s="98"/>
      <c r="AD943" s="98"/>
    </row>
    <row r="944" spans="1:30" ht="12.75" customHeight="1">
      <c r="A944" s="140" t="s">
        <v>603</v>
      </c>
      <c r="B944" s="154">
        <v>44928</v>
      </c>
      <c r="C944" s="395">
        <v>-10319</v>
      </c>
      <c r="D944" s="395"/>
      <c r="E944" s="487"/>
      <c r="F944" s="491"/>
      <c r="G944" s="488"/>
      <c r="H944" s="98"/>
      <c r="K944" s="98"/>
      <c r="L944" s="98"/>
      <c r="M944" s="98"/>
      <c r="N944" s="98"/>
      <c r="O944" s="98"/>
      <c r="P944" s="98"/>
      <c r="Q944" s="98"/>
      <c r="R944" s="98"/>
      <c r="S944" s="98"/>
      <c r="T944" s="98"/>
      <c r="U944" s="98"/>
      <c r="V944" s="98"/>
      <c r="W944" s="98"/>
      <c r="X944" s="98"/>
      <c r="Y944" s="98"/>
      <c r="Z944" s="98"/>
      <c r="AA944" s="98"/>
      <c r="AB944" s="98"/>
      <c r="AC944" s="98"/>
      <c r="AD944" s="98"/>
    </row>
    <row r="945" spans="1:30" ht="12.75" customHeight="1">
      <c r="A945" s="125" t="s">
        <v>603</v>
      </c>
      <c r="B945" s="155">
        <v>44939</v>
      </c>
      <c r="C945" s="489">
        <v>10857</v>
      </c>
      <c r="D945" s="489">
        <f>C945+C944</f>
        <v>538</v>
      </c>
      <c r="E945" s="490">
        <f>IFERROR(-D945/C944,0)</f>
        <v>5.2136834964628356E-2</v>
      </c>
      <c r="F945" s="383">
        <f>B945-B944</f>
        <v>11</v>
      </c>
      <c r="G945" s="490">
        <f>(C945/-C944)^(1/((B945-B944)/365))-1</f>
        <v>4.4000349322798824</v>
      </c>
      <c r="H945" s="98"/>
      <c r="K945" s="98"/>
      <c r="L945" s="98"/>
      <c r="M945" s="98"/>
      <c r="N945" s="98"/>
      <c r="O945" s="98"/>
      <c r="P945" s="98"/>
      <c r="Q945" s="98"/>
      <c r="R945" s="98"/>
      <c r="S945" s="98"/>
      <c r="T945" s="98"/>
      <c r="U945" s="98"/>
      <c r="V945" s="98"/>
      <c r="W945" s="98"/>
      <c r="X945" s="98"/>
      <c r="Y945" s="98"/>
      <c r="Z945" s="98"/>
      <c r="AA945" s="98"/>
      <c r="AB945" s="98"/>
      <c r="AC945" s="98"/>
      <c r="AD945" s="98"/>
    </row>
    <row r="946" spans="1:30" ht="12.75" customHeight="1">
      <c r="A946" s="140" t="s">
        <v>603</v>
      </c>
      <c r="B946" s="154">
        <v>44950</v>
      </c>
      <c r="C946" s="395">
        <v>-46705</v>
      </c>
      <c r="D946" s="395"/>
      <c r="E946" s="487"/>
      <c r="F946" s="491"/>
      <c r="G946" s="488"/>
      <c r="H946" s="98"/>
      <c r="K946" s="98"/>
      <c r="L946" s="98"/>
      <c r="M946" s="98"/>
      <c r="N946" s="98"/>
      <c r="O946" s="98"/>
      <c r="P946" s="98"/>
      <c r="Q946" s="98"/>
      <c r="R946" s="98"/>
      <c r="S946" s="98"/>
      <c r="T946" s="98"/>
      <c r="U946" s="98"/>
      <c r="V946" s="98"/>
      <c r="W946" s="98"/>
      <c r="X946" s="98"/>
      <c r="Y946" s="98"/>
      <c r="Z946" s="98"/>
      <c r="AA946" s="98"/>
      <c r="AB946" s="98"/>
      <c r="AC946" s="98"/>
      <c r="AD946" s="98"/>
    </row>
    <row r="947" spans="1:30" ht="12.75" customHeight="1">
      <c r="A947" s="125" t="s">
        <v>603</v>
      </c>
      <c r="B947" s="155">
        <v>44939</v>
      </c>
      <c r="C947" s="489">
        <v>47102</v>
      </c>
      <c r="D947" s="489">
        <f>C947+C946</f>
        <v>397</v>
      </c>
      <c r="E947" s="490">
        <f>IFERROR(-D947/C946,0)</f>
        <v>8.5001605823787595E-3</v>
      </c>
      <c r="F947" s="383">
        <f>B947-B946</f>
        <v>-11</v>
      </c>
      <c r="G947" s="490">
        <f>(C947/-C946)^(1/((B947-B946)/365))-1</f>
        <v>-0.24486504280307253</v>
      </c>
      <c r="H947" s="98"/>
      <c r="K947" s="98"/>
      <c r="L947" s="98"/>
      <c r="M947" s="98"/>
      <c r="N947" s="98"/>
      <c r="O947" s="98"/>
      <c r="P947" s="98"/>
      <c r="Q947" s="98"/>
      <c r="R947" s="98"/>
      <c r="S947" s="98"/>
      <c r="T947" s="98"/>
      <c r="U947" s="98"/>
      <c r="V947" s="98"/>
      <c r="W947" s="98"/>
      <c r="X947" s="98"/>
      <c r="Y947" s="98"/>
      <c r="Z947" s="98"/>
      <c r="AA947" s="98"/>
      <c r="AB947" s="98"/>
      <c r="AC947" s="98"/>
      <c r="AD947" s="98"/>
    </row>
    <row r="948" spans="1:30" ht="12.75" customHeight="1">
      <c r="A948" s="139" t="s">
        <v>511</v>
      </c>
      <c r="B948" s="492">
        <v>44323</v>
      </c>
      <c r="C948" s="493">
        <v>-4616</v>
      </c>
      <c r="D948" s="395"/>
      <c r="E948" s="487"/>
      <c r="F948" s="491"/>
      <c r="G948" s="488"/>
      <c r="H948" s="98"/>
      <c r="K948" s="98"/>
      <c r="L948" s="98"/>
      <c r="M948" s="98"/>
      <c r="N948" s="98"/>
      <c r="O948" s="98"/>
      <c r="P948" s="98"/>
      <c r="Q948" s="98"/>
      <c r="R948" s="98"/>
      <c r="S948" s="98"/>
      <c r="T948" s="98"/>
      <c r="U948" s="98"/>
      <c r="V948" s="98"/>
      <c r="W948" s="98"/>
      <c r="X948" s="98"/>
      <c r="Y948" s="98"/>
      <c r="Z948" s="98"/>
      <c r="AA948" s="98"/>
      <c r="AB948" s="98"/>
      <c r="AC948" s="98"/>
      <c r="AD948" s="98"/>
    </row>
    <row r="949" spans="1:30" ht="12.75" customHeight="1">
      <c r="A949" s="125" t="s">
        <v>511</v>
      </c>
      <c r="B949" s="495">
        <v>44328</v>
      </c>
      <c r="C949" s="496">
        <v>5744</v>
      </c>
      <c r="D949" s="489">
        <f>C949+C948</f>
        <v>1128</v>
      </c>
      <c r="E949" s="490">
        <f>-D949/C948</f>
        <v>0.24436741767764297</v>
      </c>
      <c r="F949" s="383">
        <f>B949-B948</f>
        <v>5</v>
      </c>
      <c r="G949" s="490">
        <f>(C949/-C948)^(1/((B949-B948)/365))-1</f>
        <v>8535913.7553660218</v>
      </c>
      <c r="H949" s="98"/>
      <c r="K949" s="98"/>
      <c r="L949" s="98"/>
      <c r="M949" s="98"/>
      <c r="N949" s="98"/>
      <c r="O949" s="98"/>
      <c r="P949" s="98"/>
      <c r="Q949" s="98"/>
      <c r="R949" s="98"/>
      <c r="S949" s="98"/>
      <c r="T949" s="98"/>
      <c r="U949" s="98"/>
      <c r="V949" s="98"/>
      <c r="W949" s="98"/>
      <c r="X949" s="98"/>
      <c r="Y949" s="98"/>
      <c r="Z949" s="98"/>
      <c r="AA949" s="98"/>
      <c r="AB949" s="98"/>
      <c r="AC949" s="98"/>
      <c r="AD949" s="98"/>
    </row>
    <row r="950" spans="1:30" ht="12.75" customHeight="1">
      <c r="A950" s="140" t="s">
        <v>631</v>
      </c>
      <c r="B950" s="154">
        <v>44802</v>
      </c>
      <c r="C950" s="395">
        <v>-6075</v>
      </c>
      <c r="D950" s="395"/>
      <c r="E950" s="487"/>
      <c r="F950" s="491"/>
      <c r="G950" s="488"/>
      <c r="H950" s="98"/>
      <c r="K950" s="98"/>
      <c r="L950" s="98"/>
      <c r="M950" s="98"/>
      <c r="N950" s="98"/>
      <c r="O950" s="98"/>
      <c r="P950" s="98"/>
      <c r="Q950" s="98"/>
      <c r="R950" s="98"/>
      <c r="S950" s="98"/>
      <c r="T950" s="98"/>
      <c r="U950" s="98"/>
      <c r="V950" s="98"/>
      <c r="W950" s="98"/>
      <c r="X950" s="98"/>
      <c r="Y950" s="98"/>
      <c r="Z950" s="98"/>
      <c r="AA950" s="98"/>
      <c r="AB950" s="98"/>
      <c r="AC950" s="98"/>
      <c r="AD950" s="98"/>
    </row>
    <row r="951" spans="1:30" ht="12.75" customHeight="1">
      <c r="A951" s="125" t="s">
        <v>631</v>
      </c>
      <c r="B951" s="155">
        <v>44817</v>
      </c>
      <c r="C951" s="489">
        <v>6418</v>
      </c>
      <c r="D951" s="489">
        <f>C951+C950</f>
        <v>343</v>
      </c>
      <c r="E951" s="490">
        <f>IFERROR(-D951/C950,0)</f>
        <v>5.6460905349794241E-2</v>
      </c>
      <c r="F951" s="383">
        <f>B951-B950</f>
        <v>15</v>
      </c>
      <c r="G951" s="490">
        <f>(C951/-C950)^(1/((B951-B950)/365))-1</f>
        <v>2.8056905797480343</v>
      </c>
      <c r="H951" s="98"/>
      <c r="K951" s="98"/>
      <c r="L951" s="98"/>
      <c r="M951" s="98"/>
      <c r="N951" s="98"/>
      <c r="O951" s="98"/>
      <c r="P951" s="98"/>
      <c r="Q951" s="98"/>
      <c r="R951" s="98"/>
      <c r="S951" s="98"/>
      <c r="T951" s="98"/>
      <c r="U951" s="98"/>
      <c r="V951" s="98"/>
      <c r="W951" s="98"/>
      <c r="X951" s="98"/>
      <c r="Y951" s="98"/>
      <c r="Z951" s="98"/>
      <c r="AA951" s="98"/>
      <c r="AB951" s="98"/>
      <c r="AC951" s="98"/>
      <c r="AD951" s="98"/>
    </row>
    <row r="952" spans="1:30" ht="12.75" customHeight="1">
      <c r="A952" s="140" t="s">
        <v>581</v>
      </c>
      <c r="B952" s="154">
        <v>44462</v>
      </c>
      <c r="C952" s="140">
        <v>-7714</v>
      </c>
      <c r="D952" s="395"/>
      <c r="E952" s="487"/>
      <c r="F952" s="491"/>
      <c r="G952" s="488"/>
      <c r="H952" s="98"/>
      <c r="K952" s="98"/>
      <c r="L952" s="98"/>
      <c r="M952" s="98"/>
      <c r="N952" s="98"/>
      <c r="O952" s="98"/>
      <c r="P952" s="98"/>
      <c r="Q952" s="98"/>
      <c r="R952" s="98"/>
      <c r="S952" s="98"/>
      <c r="T952" s="98"/>
      <c r="U952" s="98"/>
      <c r="V952" s="98"/>
      <c r="W952" s="98"/>
      <c r="X952" s="98"/>
      <c r="Y952" s="98"/>
      <c r="Z952" s="98"/>
      <c r="AA952" s="98"/>
      <c r="AB952" s="98"/>
      <c r="AC952" s="98"/>
      <c r="AD952" s="98"/>
    </row>
    <row r="953" spans="1:30" ht="12.75" customHeight="1">
      <c r="A953" s="125" t="s">
        <v>581</v>
      </c>
      <c r="B953" s="155">
        <v>44476</v>
      </c>
      <c r="C953" s="489">
        <v>7867</v>
      </c>
      <c r="D953" s="489">
        <f>C953+C952</f>
        <v>153</v>
      </c>
      <c r="E953" s="490">
        <f>-D953/C952</f>
        <v>1.9834067928441793E-2</v>
      </c>
      <c r="F953" s="383">
        <f>B953-B952</f>
        <v>14</v>
      </c>
      <c r="G953" s="490">
        <f>(C953/-C952)^(1/((B953-B952)/365))-1</f>
        <v>0.66869382074385908</v>
      </c>
      <c r="H953" s="98"/>
      <c r="K953" s="98"/>
      <c r="L953" s="98"/>
      <c r="M953" s="98"/>
      <c r="N953" s="98"/>
      <c r="O953" s="98"/>
      <c r="P953" s="98"/>
      <c r="Q953" s="98"/>
      <c r="R953" s="98"/>
      <c r="S953" s="98"/>
      <c r="T953" s="98"/>
      <c r="U953" s="98"/>
      <c r="V953" s="98"/>
      <c r="W953" s="98"/>
      <c r="X953" s="98"/>
      <c r="Y953" s="98"/>
      <c r="Z953" s="98"/>
      <c r="AA953" s="98"/>
      <c r="AB953" s="98"/>
      <c r="AC953" s="98"/>
      <c r="AD953" s="98"/>
    </row>
    <row r="954" spans="1:30" ht="12.75" customHeight="1">
      <c r="A954" s="138" t="s">
        <v>525</v>
      </c>
      <c r="B954" s="492">
        <v>44342</v>
      </c>
      <c r="C954" s="493">
        <v>-10863</v>
      </c>
      <c r="D954" s="395"/>
      <c r="E954" s="487"/>
      <c r="F954" s="491"/>
      <c r="G954" s="488"/>
      <c r="H954" s="98"/>
      <c r="K954" s="98"/>
      <c r="L954" s="98"/>
      <c r="M954" s="98"/>
      <c r="N954" s="98"/>
      <c r="O954" s="98"/>
      <c r="P954" s="98"/>
      <c r="Q954" s="98"/>
      <c r="R954" s="98"/>
      <c r="S954" s="98"/>
      <c r="T954" s="98"/>
      <c r="U954" s="98"/>
      <c r="V954" s="98"/>
      <c r="W954" s="98"/>
      <c r="X954" s="98"/>
      <c r="Y954" s="98"/>
      <c r="Z954" s="98"/>
      <c r="AA954" s="98"/>
      <c r="AB954" s="98"/>
      <c r="AC954" s="98"/>
      <c r="AD954" s="98"/>
    </row>
    <row r="955" spans="1:30" ht="12.75" customHeight="1">
      <c r="A955" s="125" t="s">
        <v>525</v>
      </c>
      <c r="B955" s="495">
        <v>44358</v>
      </c>
      <c r="C955" s="496">
        <v>10949</v>
      </c>
      <c r="D955" s="489">
        <f>C955+C954</f>
        <v>86</v>
      </c>
      <c r="E955" s="490">
        <f>-D955/C954</f>
        <v>7.9167817361686463E-3</v>
      </c>
      <c r="F955" s="383">
        <f>B955-B954</f>
        <v>16</v>
      </c>
      <c r="G955" s="490">
        <f>(C955/-C954)^(1/((B955-B954)/365))-1</f>
        <v>0.19708620620128592</v>
      </c>
      <c r="H955" s="98"/>
      <c r="K955" s="98"/>
      <c r="L955" s="98"/>
      <c r="M955" s="98"/>
      <c r="N955" s="98"/>
      <c r="O955" s="98"/>
      <c r="P955" s="98"/>
      <c r="Q955" s="98"/>
      <c r="R955" s="98"/>
      <c r="S955" s="98"/>
      <c r="T955" s="98"/>
      <c r="U955" s="98"/>
      <c r="V955" s="98"/>
      <c r="W955" s="98"/>
      <c r="X955" s="98"/>
      <c r="Y955" s="98"/>
      <c r="Z955" s="98"/>
      <c r="AA955" s="98"/>
      <c r="AB955" s="98"/>
      <c r="AC955" s="98"/>
      <c r="AD955" s="98"/>
    </row>
    <row r="956" spans="1:30" ht="12.75" customHeight="1">
      <c r="A956" s="138" t="s">
        <v>496</v>
      </c>
      <c r="B956" s="492">
        <v>44258</v>
      </c>
      <c r="C956" s="493">
        <v>-6363.21</v>
      </c>
      <c r="D956" s="395"/>
      <c r="E956" s="487"/>
      <c r="F956" s="491"/>
      <c r="G956" s="488"/>
      <c r="H956" s="98"/>
      <c r="K956" s="98"/>
      <c r="L956" s="98"/>
      <c r="M956" s="98"/>
      <c r="N956" s="98"/>
      <c r="O956" s="98"/>
      <c r="P956" s="98"/>
      <c r="Q956" s="98"/>
      <c r="R956" s="98"/>
      <c r="S956" s="98"/>
      <c r="T956" s="98"/>
      <c r="U956" s="98"/>
      <c r="V956" s="98"/>
      <c r="W956" s="98"/>
      <c r="X956" s="98"/>
      <c r="Y956" s="98"/>
      <c r="Z956" s="98"/>
      <c r="AA956" s="98"/>
      <c r="AB956" s="98"/>
      <c r="AC956" s="98"/>
      <c r="AD956" s="98"/>
    </row>
    <row r="957" spans="1:30" ht="12.75" customHeight="1">
      <c r="A957" s="125" t="s">
        <v>496</v>
      </c>
      <c r="B957" s="495">
        <v>44315</v>
      </c>
      <c r="C957" s="496">
        <v>6343</v>
      </c>
      <c r="D957" s="489">
        <f>C957+C956</f>
        <v>-20.210000000000036</v>
      </c>
      <c r="E957" s="490">
        <f>-D957/C956</f>
        <v>-3.176069939543098E-3</v>
      </c>
      <c r="F957" s="383">
        <f>B957-B956</f>
        <v>57</v>
      </c>
      <c r="G957" s="490">
        <f>(C957/-C956)^(1/((B957-B956)/365))-1</f>
        <v>-2.0164283612611689E-2</v>
      </c>
      <c r="H957" s="98"/>
      <c r="K957" s="98"/>
      <c r="L957" s="98"/>
      <c r="M957" s="98"/>
      <c r="N957" s="98"/>
      <c r="O957" s="98"/>
      <c r="P957" s="98"/>
      <c r="Q957" s="98"/>
      <c r="R957" s="98"/>
      <c r="S957" s="98"/>
      <c r="T957" s="98"/>
      <c r="U957" s="98"/>
      <c r="V957" s="98"/>
      <c r="W957" s="98"/>
      <c r="X957" s="98"/>
      <c r="Y957" s="98"/>
      <c r="Z957" s="98"/>
      <c r="AA957" s="98"/>
      <c r="AB957" s="98"/>
      <c r="AC957" s="98"/>
      <c r="AD957" s="98"/>
    </row>
    <row r="958" spans="1:30" ht="12.75" customHeight="1">
      <c r="A958" s="138" t="s">
        <v>496</v>
      </c>
      <c r="B958" s="492">
        <v>44302</v>
      </c>
      <c r="C958" s="493">
        <v>-2953</v>
      </c>
      <c r="D958" s="395"/>
      <c r="E958" s="487"/>
      <c r="F958" s="491"/>
      <c r="G958" s="488"/>
      <c r="H958" s="98"/>
      <c r="K958" s="98"/>
      <c r="L958" s="98"/>
      <c r="M958" s="98"/>
      <c r="N958" s="98"/>
      <c r="O958" s="98"/>
      <c r="P958" s="98"/>
      <c r="Q958" s="98"/>
      <c r="R958" s="98"/>
      <c r="S958" s="98"/>
      <c r="T958" s="98"/>
      <c r="U958" s="98"/>
      <c r="V958" s="98"/>
      <c r="W958" s="98"/>
      <c r="X958" s="98"/>
      <c r="Y958" s="98"/>
      <c r="Z958" s="98"/>
      <c r="AA958" s="98"/>
      <c r="AB958" s="98"/>
      <c r="AC958" s="98"/>
      <c r="AD958" s="98"/>
    </row>
    <row r="959" spans="1:30" ht="12.75" customHeight="1">
      <c r="A959" s="125" t="s">
        <v>496</v>
      </c>
      <c r="B959" s="495">
        <v>44315</v>
      </c>
      <c r="C959" s="496">
        <v>3172</v>
      </c>
      <c r="D959" s="489">
        <f>C959+C958</f>
        <v>219</v>
      </c>
      <c r="E959" s="490">
        <f>-D959/C958</f>
        <v>7.4161869285472401E-2</v>
      </c>
      <c r="F959" s="383">
        <f>B959-B958</f>
        <v>13</v>
      </c>
      <c r="G959" s="490">
        <f>(C959/-C958)^(1/((B959-B958)/365))-1</f>
        <v>6.4531946991273799</v>
      </c>
      <c r="H959" s="98"/>
      <c r="K959" s="98"/>
      <c r="L959" s="98"/>
      <c r="M959" s="98"/>
      <c r="N959" s="98"/>
      <c r="O959" s="98"/>
      <c r="P959" s="98"/>
      <c r="Q959" s="98"/>
      <c r="R959" s="98"/>
      <c r="S959" s="98"/>
      <c r="T959" s="98"/>
      <c r="U959" s="98"/>
      <c r="V959" s="98"/>
      <c r="W959" s="98"/>
      <c r="X959" s="98"/>
      <c r="Y959" s="98"/>
      <c r="Z959" s="98"/>
      <c r="AA959" s="98"/>
      <c r="AB959" s="98"/>
      <c r="AC959" s="98"/>
      <c r="AD959" s="98"/>
    </row>
    <row r="960" spans="1:30" ht="12.75" customHeight="1">
      <c r="A960" s="140" t="s">
        <v>496</v>
      </c>
      <c r="B960" s="154">
        <v>44417</v>
      </c>
      <c r="C960" s="140">
        <v>-8500</v>
      </c>
      <c r="D960" s="395"/>
      <c r="E960" s="487"/>
      <c r="F960" s="491"/>
      <c r="G960" s="488"/>
      <c r="H960" s="98"/>
      <c r="K960" s="98"/>
      <c r="L960" s="98"/>
      <c r="M960" s="98"/>
      <c r="N960" s="98"/>
      <c r="O960" s="98"/>
      <c r="P960" s="98"/>
      <c r="Q960" s="98"/>
      <c r="R960" s="98"/>
      <c r="S960" s="98"/>
      <c r="T960" s="98"/>
      <c r="U960" s="98"/>
      <c r="V960" s="98"/>
      <c r="W960" s="98"/>
      <c r="X960" s="98"/>
      <c r="Y960" s="98"/>
      <c r="Z960" s="98"/>
      <c r="AA960" s="98"/>
      <c r="AB960" s="98"/>
      <c r="AC960" s="98"/>
      <c r="AD960" s="98"/>
    </row>
    <row r="961" spans="1:30" ht="12.75" customHeight="1">
      <c r="A961" s="125" t="s">
        <v>496</v>
      </c>
      <c r="B961" s="155">
        <v>44439</v>
      </c>
      <c r="C961" s="489">
        <v>8991</v>
      </c>
      <c r="D961" s="489">
        <f>C961+C960</f>
        <v>491</v>
      </c>
      <c r="E961" s="490">
        <f>-D961/C960</f>
        <v>5.776470588235294E-2</v>
      </c>
      <c r="F961" s="383">
        <f>B961-B960</f>
        <v>22</v>
      </c>
      <c r="G961" s="490">
        <f>(C961/-C960)^(1/((B961-B960)/365))-1</f>
        <v>1.5388490228455876</v>
      </c>
      <c r="H961" s="98"/>
      <c r="K961" s="98"/>
      <c r="L961" s="98"/>
      <c r="M961" s="98"/>
      <c r="N961" s="98"/>
      <c r="O961" s="98"/>
      <c r="P961" s="98"/>
      <c r="Q961" s="98"/>
      <c r="R961" s="98"/>
      <c r="S961" s="98"/>
      <c r="T961" s="98"/>
      <c r="U961" s="98"/>
      <c r="V961" s="98"/>
      <c r="W961" s="98"/>
      <c r="X961" s="98"/>
      <c r="Y961" s="98"/>
      <c r="Z961" s="98"/>
      <c r="AA961" s="98"/>
      <c r="AB961" s="98"/>
      <c r="AC961" s="98"/>
      <c r="AD961" s="98"/>
    </row>
    <row r="962" spans="1:30" ht="12.75" customHeight="1">
      <c r="A962" s="140" t="s">
        <v>496</v>
      </c>
      <c r="B962" s="154">
        <v>44470</v>
      </c>
      <c r="C962" s="140">
        <v>-821</v>
      </c>
      <c r="D962" s="395"/>
      <c r="E962" s="487"/>
      <c r="F962" s="491"/>
      <c r="G962" s="488"/>
      <c r="H962" s="98"/>
      <c r="K962" s="98"/>
      <c r="L962" s="98"/>
      <c r="M962" s="98"/>
      <c r="N962" s="98"/>
      <c r="O962" s="98"/>
      <c r="P962" s="98"/>
      <c r="Q962" s="98"/>
      <c r="R962" s="98"/>
      <c r="S962" s="98"/>
      <c r="T962" s="98"/>
      <c r="U962" s="98"/>
      <c r="V962" s="98"/>
      <c r="W962" s="98"/>
      <c r="X962" s="98"/>
      <c r="Y962" s="98"/>
      <c r="Z962" s="98"/>
      <c r="AA962" s="98"/>
      <c r="AB962" s="98"/>
      <c r="AC962" s="98"/>
      <c r="AD962" s="98"/>
    </row>
    <row r="963" spans="1:30" ht="12.75" customHeight="1">
      <c r="A963" s="125" t="s">
        <v>496</v>
      </c>
      <c r="B963" s="155">
        <v>44473</v>
      </c>
      <c r="C963" s="489">
        <v>937</v>
      </c>
      <c r="D963" s="489">
        <f>C963+C962</f>
        <v>116</v>
      </c>
      <c r="E963" s="490">
        <f>-D963/C962</f>
        <v>0.14129110840438489</v>
      </c>
      <c r="F963" s="383">
        <f>B963-B962</f>
        <v>3</v>
      </c>
      <c r="G963" s="490">
        <f>(C963/-C962)^(1/((B963-B962)/365))-1</f>
        <v>9621277.2589221131</v>
      </c>
      <c r="H963" s="98"/>
      <c r="K963" s="98"/>
      <c r="L963" s="98"/>
      <c r="M963" s="98"/>
      <c r="N963" s="98"/>
      <c r="O963" s="98"/>
      <c r="P963" s="98"/>
      <c r="Q963" s="98"/>
      <c r="R963" s="98"/>
      <c r="S963" s="98"/>
      <c r="T963" s="98"/>
      <c r="U963" s="98"/>
      <c r="V963" s="98"/>
      <c r="W963" s="98"/>
      <c r="X963" s="98"/>
      <c r="Y963" s="98"/>
      <c r="Z963" s="98"/>
      <c r="AA963" s="98"/>
      <c r="AB963" s="98"/>
      <c r="AC963" s="98"/>
      <c r="AD963" s="98"/>
    </row>
    <row r="964" spans="1:30" ht="12.75" customHeight="1">
      <c r="A964" s="140" t="s">
        <v>496</v>
      </c>
      <c r="B964" s="154">
        <v>44518</v>
      </c>
      <c r="C964" s="395">
        <v>-4868</v>
      </c>
      <c r="D964" s="395"/>
      <c r="E964" s="487"/>
      <c r="F964" s="491"/>
      <c r="G964" s="488"/>
      <c r="H964" s="98"/>
      <c r="K964" s="98"/>
      <c r="L964" s="98"/>
      <c r="M964" s="98"/>
      <c r="N964" s="98"/>
      <c r="O964" s="98"/>
      <c r="P964" s="98"/>
      <c r="Q964" s="98"/>
      <c r="R964" s="98"/>
      <c r="S964" s="98"/>
      <c r="T964" s="98"/>
      <c r="U964" s="98"/>
      <c r="V964" s="98"/>
      <c r="W964" s="98"/>
      <c r="X964" s="98"/>
      <c r="Y964" s="98"/>
      <c r="Z964" s="98"/>
      <c r="AA964" s="98"/>
      <c r="AB964" s="98"/>
      <c r="AC964" s="98"/>
      <c r="AD964" s="98"/>
    </row>
    <row r="965" spans="1:30" ht="12.75" customHeight="1">
      <c r="A965" s="125" t="s">
        <v>496</v>
      </c>
      <c r="B965" s="155">
        <v>44561</v>
      </c>
      <c r="C965" s="489">
        <v>5057</v>
      </c>
      <c r="D965" s="489">
        <f>C965+C964</f>
        <v>189</v>
      </c>
      <c r="E965" s="490">
        <f>-D965/C964</f>
        <v>3.8824979457682825E-2</v>
      </c>
      <c r="F965" s="383">
        <f>B965-B964</f>
        <v>43</v>
      </c>
      <c r="G965" s="490">
        <f>(C965/-C964)^(1/((B965-B964)/365))-1</f>
        <v>0.38171321510873546</v>
      </c>
      <c r="H965" s="98"/>
      <c r="K965" s="98"/>
      <c r="L965" s="98"/>
      <c r="M965" s="98"/>
      <c r="N965" s="98"/>
      <c r="O965" s="98"/>
      <c r="P965" s="98"/>
      <c r="Q965" s="98"/>
      <c r="R965" s="98"/>
      <c r="S965" s="98"/>
      <c r="T965" s="98"/>
      <c r="U965" s="98"/>
      <c r="V965" s="98"/>
      <c r="W965" s="98"/>
      <c r="X965" s="98"/>
      <c r="Y965" s="98"/>
      <c r="Z965" s="98"/>
      <c r="AA965" s="98"/>
      <c r="AB965" s="98"/>
      <c r="AC965" s="98"/>
      <c r="AD965" s="98"/>
    </row>
    <row r="966" spans="1:30" ht="12.75" customHeight="1">
      <c r="A966" s="140" t="s">
        <v>496</v>
      </c>
      <c r="B966" s="154">
        <v>44489</v>
      </c>
      <c r="C966" s="395">
        <v>-5486</v>
      </c>
      <c r="D966" s="395"/>
      <c r="E966" s="487"/>
      <c r="F966" s="491"/>
      <c r="G966" s="488"/>
      <c r="H966" s="98"/>
      <c r="K966" s="98"/>
      <c r="L966" s="98"/>
      <c r="M966" s="98"/>
      <c r="N966" s="98"/>
      <c r="O966" s="98"/>
      <c r="P966" s="98"/>
      <c r="Q966" s="98"/>
      <c r="R966" s="98"/>
      <c r="S966" s="98"/>
      <c r="T966" s="98"/>
      <c r="U966" s="98"/>
      <c r="V966" s="98"/>
      <c r="W966" s="98"/>
      <c r="X966" s="98"/>
      <c r="Y966" s="98"/>
      <c r="Z966" s="98"/>
      <c r="AA966" s="98"/>
      <c r="AB966" s="98"/>
      <c r="AC966" s="98"/>
      <c r="AD966" s="98"/>
    </row>
    <row r="967" spans="1:30" ht="12.75" customHeight="1">
      <c r="A967" s="125" t="s">
        <v>496</v>
      </c>
      <c r="B967" s="155">
        <v>44568</v>
      </c>
      <c r="C967" s="489">
        <v>5474</v>
      </c>
      <c r="D967" s="489">
        <f>C967+C966</f>
        <v>-12</v>
      </c>
      <c r="E967" s="490">
        <f>-D967/C966</f>
        <v>-2.1873860736419978E-3</v>
      </c>
      <c r="F967" s="383">
        <f>B967-B966</f>
        <v>79</v>
      </c>
      <c r="G967" s="490">
        <f>(C967/-C966)^(1/((B967-B966)/365))-1</f>
        <v>-1.0066338553869958E-2</v>
      </c>
      <c r="H967" s="98"/>
      <c r="K967" s="98"/>
      <c r="L967" s="98"/>
      <c r="M967" s="98"/>
      <c r="N967" s="98"/>
      <c r="O967" s="98"/>
      <c r="P967" s="98"/>
      <c r="Q967" s="98"/>
      <c r="R967" s="98"/>
      <c r="S967" s="98"/>
      <c r="T967" s="98"/>
      <c r="U967" s="98"/>
      <c r="V967" s="98"/>
      <c r="W967" s="98"/>
      <c r="X967" s="98"/>
      <c r="Y967" s="98"/>
      <c r="Z967" s="98"/>
      <c r="AA967" s="98"/>
      <c r="AB967" s="98"/>
      <c r="AC967" s="98"/>
      <c r="AD967" s="98"/>
    </row>
    <row r="968" spans="1:30" ht="12.75" customHeight="1">
      <c r="A968" s="140" t="s">
        <v>543</v>
      </c>
      <c r="B968" s="154">
        <v>44361</v>
      </c>
      <c r="C968" s="140">
        <v>-27433</v>
      </c>
      <c r="D968" s="395"/>
      <c r="E968" s="487"/>
      <c r="F968" s="491"/>
      <c r="G968" s="488"/>
      <c r="H968" s="98"/>
      <c r="K968" s="98"/>
      <c r="L968" s="98"/>
      <c r="M968" s="98"/>
      <c r="N968" s="98"/>
      <c r="O968" s="98"/>
      <c r="P968" s="98"/>
      <c r="Q968" s="98"/>
      <c r="R968" s="98"/>
      <c r="S968" s="98"/>
      <c r="T968" s="98"/>
      <c r="U968" s="98"/>
      <c r="V968" s="98"/>
      <c r="W968" s="98"/>
      <c r="X968" s="98"/>
      <c r="Y968" s="98"/>
      <c r="Z968" s="98"/>
      <c r="AA968" s="98"/>
      <c r="AB968" s="98"/>
      <c r="AC968" s="98"/>
      <c r="AD968" s="98"/>
    </row>
    <row r="969" spans="1:30" ht="12.75" customHeight="1">
      <c r="A969" s="125" t="s">
        <v>543</v>
      </c>
      <c r="B969" s="155">
        <v>44364</v>
      </c>
      <c r="C969" s="489">
        <v>27721</v>
      </c>
      <c r="D969" s="489">
        <f>C969+C968</f>
        <v>288</v>
      </c>
      <c r="E969" s="490">
        <f>-D969/C968</f>
        <v>1.0498304961178142E-2</v>
      </c>
      <c r="F969" s="383">
        <f>B969-B968</f>
        <v>3</v>
      </c>
      <c r="G969" s="490">
        <f>(C969/-C968)^(1/((B969-B968)/365))-1</f>
        <v>2.563116629162153</v>
      </c>
      <c r="H969" s="98"/>
      <c r="K969" s="98"/>
      <c r="L969" s="98"/>
      <c r="M969" s="98"/>
      <c r="N969" s="98"/>
      <c r="O969" s="98"/>
      <c r="P969" s="98"/>
      <c r="Q969" s="98"/>
      <c r="R969" s="98"/>
      <c r="S969" s="98"/>
      <c r="T969" s="98"/>
      <c r="U969" s="98"/>
      <c r="V969" s="98"/>
      <c r="W969" s="98"/>
      <c r="X969" s="98"/>
      <c r="Y969" s="98"/>
      <c r="Z969" s="98"/>
      <c r="AA969" s="98"/>
      <c r="AB969" s="98"/>
      <c r="AC969" s="98"/>
      <c r="AD969" s="98"/>
    </row>
    <row r="970" spans="1:30" ht="12.75" customHeight="1">
      <c r="A970" s="140" t="s">
        <v>547</v>
      </c>
      <c r="B970" s="154">
        <v>44365</v>
      </c>
      <c r="C970" s="140">
        <v>-16369</v>
      </c>
      <c r="D970" s="395"/>
      <c r="E970" s="487"/>
      <c r="F970" s="491"/>
      <c r="G970" s="488"/>
      <c r="H970" s="98"/>
      <c r="K970" s="98"/>
      <c r="L970" s="98"/>
      <c r="M970" s="98"/>
      <c r="N970" s="98"/>
      <c r="O970" s="98"/>
      <c r="P970" s="98"/>
      <c r="Q970" s="98"/>
      <c r="R970" s="98"/>
      <c r="S970" s="98"/>
      <c r="T970" s="98"/>
      <c r="U970" s="98"/>
      <c r="V970" s="98"/>
      <c r="W970" s="98"/>
      <c r="X970" s="98"/>
      <c r="Y970" s="98"/>
      <c r="Z970" s="98"/>
      <c r="AA970" s="98"/>
      <c r="AB970" s="98"/>
      <c r="AC970" s="98"/>
      <c r="AD970" s="98"/>
    </row>
    <row r="971" spans="1:30" ht="12.75" customHeight="1">
      <c r="A971" s="125" t="s">
        <v>547</v>
      </c>
      <c r="B971" s="155">
        <v>44376</v>
      </c>
      <c r="C971" s="489">
        <v>17102</v>
      </c>
      <c r="D971" s="489">
        <f>C971+C970</f>
        <v>733</v>
      </c>
      <c r="E971" s="490">
        <f>-D971/C970</f>
        <v>4.4779766632048384E-2</v>
      </c>
      <c r="F971" s="383">
        <f>B971-B970</f>
        <v>11</v>
      </c>
      <c r="G971" s="490">
        <f>(C971/-C970)^(1/((B971-B970)/365))-1</f>
        <v>3.2783460405503604</v>
      </c>
      <c r="H971" s="98"/>
      <c r="K971" s="98"/>
      <c r="L971" s="98"/>
      <c r="M971" s="98"/>
      <c r="N971" s="98"/>
      <c r="O971" s="98"/>
      <c r="P971" s="98"/>
      <c r="Q971" s="98"/>
      <c r="R971" s="98"/>
      <c r="S971" s="98"/>
      <c r="T971" s="98"/>
      <c r="U971" s="98"/>
      <c r="V971" s="98"/>
      <c r="W971" s="98"/>
      <c r="X971" s="98"/>
      <c r="Y971" s="98"/>
      <c r="Z971" s="98"/>
      <c r="AA971" s="98"/>
      <c r="AB971" s="98"/>
      <c r="AC971" s="98"/>
      <c r="AD971" s="98"/>
    </row>
    <row r="972" spans="1:30" ht="12.75" customHeight="1">
      <c r="A972" s="140" t="s">
        <v>547</v>
      </c>
      <c r="B972" s="154">
        <v>44799</v>
      </c>
      <c r="C972" s="395">
        <v>-3479</v>
      </c>
      <c r="D972" s="395"/>
      <c r="E972" s="487"/>
      <c r="F972" s="491"/>
      <c r="G972" s="488"/>
      <c r="H972" s="98"/>
      <c r="K972" s="98"/>
      <c r="L972" s="98"/>
      <c r="M972" s="98"/>
      <c r="N972" s="98"/>
      <c r="O972" s="98"/>
      <c r="P972" s="98"/>
      <c r="Q972" s="98"/>
      <c r="R972" s="98"/>
      <c r="S972" s="98"/>
      <c r="T972" s="98"/>
      <c r="U972" s="98"/>
      <c r="V972" s="98"/>
      <c r="W972" s="98"/>
      <c r="X972" s="98"/>
      <c r="Y972" s="98"/>
      <c r="Z972" s="98"/>
      <c r="AA972" s="98"/>
      <c r="AB972" s="98"/>
      <c r="AC972" s="98"/>
      <c r="AD972" s="98"/>
    </row>
    <row r="973" spans="1:30" ht="12.75" customHeight="1">
      <c r="A973" s="125" t="s">
        <v>547</v>
      </c>
      <c r="B973" s="155">
        <v>44907</v>
      </c>
      <c r="C973" s="489">
        <v>4245</v>
      </c>
      <c r="D973" s="489">
        <f>C973+C972</f>
        <v>766</v>
      </c>
      <c r="E973" s="490">
        <f>IFERROR(-D973/C972,0)</f>
        <v>0.22017821212992239</v>
      </c>
      <c r="F973" s="383">
        <f>B973-B972</f>
        <v>108</v>
      </c>
      <c r="G973" s="490">
        <f>(C973/-C972)^(1/((B973-B972)/365))-1</f>
        <v>0.95919935841291615</v>
      </c>
      <c r="H973" s="98"/>
      <c r="K973" s="98"/>
      <c r="L973" s="98"/>
      <c r="M973" s="98"/>
      <c r="N973" s="98"/>
      <c r="O973" s="98"/>
      <c r="P973" s="98"/>
      <c r="Q973" s="98"/>
      <c r="R973" s="98"/>
      <c r="S973" s="98"/>
      <c r="T973" s="98"/>
      <c r="U973" s="98"/>
      <c r="V973" s="98"/>
      <c r="W973" s="98"/>
      <c r="X973" s="98"/>
      <c r="Y973" s="98"/>
      <c r="Z973" s="98"/>
      <c r="AA973" s="98"/>
      <c r="AB973" s="98"/>
      <c r="AC973" s="98"/>
      <c r="AD973" s="98"/>
    </row>
    <row r="974" spans="1:30" ht="12.75" customHeight="1">
      <c r="A974" s="140" t="s">
        <v>547</v>
      </c>
      <c r="B974" s="154">
        <v>44389</v>
      </c>
      <c r="C974" s="395">
        <v>-4781</v>
      </c>
      <c r="D974" s="395"/>
      <c r="E974" s="487"/>
      <c r="F974" s="491"/>
      <c r="G974" s="488"/>
      <c r="H974" s="98"/>
      <c r="K974" s="98"/>
      <c r="L974" s="98"/>
      <c r="M974" s="98"/>
      <c r="N974" s="98"/>
      <c r="O974" s="98"/>
      <c r="P974" s="98"/>
      <c r="Q974" s="98"/>
      <c r="R974" s="98"/>
      <c r="S974" s="98"/>
      <c r="T974" s="98"/>
      <c r="U974" s="98"/>
      <c r="V974" s="98"/>
      <c r="W974" s="98"/>
      <c r="X974" s="98"/>
      <c r="Y974" s="98"/>
      <c r="Z974" s="98"/>
      <c r="AA974" s="98"/>
      <c r="AB974" s="98"/>
      <c r="AC974" s="98"/>
      <c r="AD974" s="98"/>
    </row>
    <row r="975" spans="1:30" ht="12.75" customHeight="1">
      <c r="A975" s="125" t="s">
        <v>547</v>
      </c>
      <c r="B975" s="155">
        <v>44907</v>
      </c>
      <c r="C975" s="489">
        <v>4246</v>
      </c>
      <c r="D975" s="489">
        <f>C975+C974</f>
        <v>-535</v>
      </c>
      <c r="E975" s="490">
        <f>IFERROR(-D975/C974,0)</f>
        <v>-0.11190127588370634</v>
      </c>
      <c r="F975" s="383">
        <f>B975-B974</f>
        <v>518</v>
      </c>
      <c r="G975" s="490">
        <f>(C975/-C974)^(1/((B975-B974)/365))-1</f>
        <v>-8.0219744155451855E-2</v>
      </c>
      <c r="H975" s="98"/>
      <c r="K975" s="98"/>
      <c r="L975" s="98"/>
      <c r="M975" s="98"/>
      <c r="N975" s="98"/>
      <c r="O975" s="98"/>
      <c r="P975" s="98"/>
      <c r="Q975" s="98"/>
      <c r="R975" s="98"/>
      <c r="S975" s="98"/>
      <c r="T975" s="98"/>
      <c r="U975" s="98"/>
      <c r="V975" s="98"/>
      <c r="W975" s="98"/>
      <c r="X975" s="98"/>
      <c r="Y975" s="98"/>
      <c r="Z975" s="98"/>
      <c r="AA975" s="98"/>
      <c r="AB975" s="98"/>
      <c r="AC975" s="98"/>
      <c r="AD975" s="98"/>
    </row>
    <row r="976" spans="1:30" ht="12.75" customHeight="1">
      <c r="A976" s="140" t="s">
        <v>619</v>
      </c>
      <c r="B976" s="154">
        <v>44678</v>
      </c>
      <c r="C976" s="395">
        <v>-3509</v>
      </c>
      <c r="D976" s="395"/>
      <c r="E976" s="487"/>
      <c r="F976" s="491"/>
      <c r="G976" s="488"/>
      <c r="H976" s="98"/>
      <c r="K976" s="98"/>
      <c r="L976" s="98"/>
      <c r="M976" s="98"/>
      <c r="N976" s="98"/>
      <c r="O976" s="98"/>
      <c r="P976" s="98"/>
      <c r="Q976" s="98"/>
      <c r="R976" s="98"/>
      <c r="S976" s="98"/>
      <c r="T976" s="98"/>
      <c r="U976" s="98"/>
      <c r="V976" s="98"/>
      <c r="W976" s="98"/>
      <c r="X976" s="98"/>
      <c r="Y976" s="98"/>
      <c r="Z976" s="98"/>
      <c r="AA976" s="98"/>
      <c r="AB976" s="98"/>
      <c r="AC976" s="98"/>
      <c r="AD976" s="98"/>
    </row>
    <row r="977" spans="1:30" ht="12.75" customHeight="1">
      <c r="A977" s="125" t="s">
        <v>619</v>
      </c>
      <c r="B977" s="155">
        <v>44797</v>
      </c>
      <c r="C977" s="489">
        <v>3859</v>
      </c>
      <c r="D977" s="489">
        <f>C977+C976</f>
        <v>350</v>
      </c>
      <c r="E977" s="490">
        <f>IFERROR(-D977/C976,0)</f>
        <v>9.9743516671416357E-2</v>
      </c>
      <c r="F977" s="383">
        <f>B977-B976</f>
        <v>119</v>
      </c>
      <c r="G977" s="490">
        <f>(C977/-C976)^(1/((B977-B976)/365))-1</f>
        <v>0.33859785332504555</v>
      </c>
      <c r="H977" s="98"/>
      <c r="K977" s="98"/>
      <c r="L977" s="98"/>
      <c r="M977" s="98"/>
      <c r="N977" s="98"/>
      <c r="O977" s="98"/>
      <c r="P977" s="98"/>
      <c r="Q977" s="98"/>
      <c r="R977" s="98"/>
      <c r="S977" s="98"/>
      <c r="T977" s="98"/>
      <c r="U977" s="98"/>
      <c r="V977" s="98"/>
      <c r="W977" s="98"/>
      <c r="X977" s="98"/>
      <c r="Y977" s="98"/>
      <c r="Z977" s="98"/>
      <c r="AA977" s="98"/>
      <c r="AB977" s="98"/>
      <c r="AC977" s="98"/>
      <c r="AD977" s="98"/>
    </row>
    <row r="978" spans="1:30" ht="12.75" customHeight="1">
      <c r="A978" s="140" t="s">
        <v>619</v>
      </c>
      <c r="B978" s="154">
        <v>44676</v>
      </c>
      <c r="C978" s="395">
        <v>-8019</v>
      </c>
      <c r="D978" s="395"/>
      <c r="E978" s="487"/>
      <c r="F978" s="491"/>
      <c r="G978" s="488"/>
      <c r="H978" s="98"/>
      <c r="K978" s="98"/>
      <c r="L978" s="98"/>
      <c r="M978" s="98"/>
      <c r="N978" s="98"/>
      <c r="O978" s="98"/>
      <c r="P978" s="98"/>
      <c r="Q978" s="98"/>
      <c r="R978" s="98"/>
      <c r="S978" s="98"/>
      <c r="T978" s="98"/>
      <c r="U978" s="98"/>
      <c r="V978" s="98"/>
      <c r="W978" s="98"/>
      <c r="X978" s="98"/>
      <c r="Y978" s="98"/>
      <c r="Z978" s="98"/>
      <c r="AA978" s="98"/>
      <c r="AB978" s="98"/>
      <c r="AC978" s="98"/>
      <c r="AD978" s="98"/>
    </row>
    <row r="979" spans="1:30" ht="12.75" customHeight="1">
      <c r="A979" s="125" t="s">
        <v>619</v>
      </c>
      <c r="B979" s="155">
        <v>44797</v>
      </c>
      <c r="C979" s="489">
        <v>7718</v>
      </c>
      <c r="D979" s="489">
        <f>C979+C978</f>
        <v>-301</v>
      </c>
      <c r="E979" s="490">
        <f>IFERROR(-D979/C978,0)</f>
        <v>-3.7535852350667163E-2</v>
      </c>
      <c r="F979" s="383">
        <f>B979-B978</f>
        <v>121</v>
      </c>
      <c r="G979" s="490">
        <f>(C979/-C978)^(1/((B979-B978)/365))-1</f>
        <v>-0.10899724493599483</v>
      </c>
      <c r="H979" s="98"/>
      <c r="K979" s="98"/>
      <c r="L979" s="98"/>
      <c r="M979" s="98"/>
      <c r="N979" s="98"/>
      <c r="O979" s="98"/>
      <c r="P979" s="98"/>
      <c r="Q979" s="98"/>
      <c r="R979" s="98"/>
      <c r="S979" s="98"/>
      <c r="T979" s="98"/>
      <c r="U979" s="98"/>
      <c r="V979" s="98"/>
      <c r="W979" s="98"/>
      <c r="X979" s="98"/>
      <c r="Y979" s="98"/>
      <c r="Z979" s="98"/>
      <c r="AA979" s="98"/>
      <c r="AB979" s="98"/>
      <c r="AC979" s="98"/>
      <c r="AD979" s="98"/>
    </row>
    <row r="980" spans="1:30" ht="12.75" customHeight="1">
      <c r="A980" s="140" t="s">
        <v>627</v>
      </c>
      <c r="B980" s="154">
        <v>44756</v>
      </c>
      <c r="C980" s="395">
        <v>-3404</v>
      </c>
      <c r="D980" s="395"/>
      <c r="E980" s="487"/>
      <c r="F980" s="491"/>
      <c r="G980" s="488"/>
      <c r="H980" s="98"/>
      <c r="K980" s="98"/>
      <c r="L980" s="98"/>
      <c r="M980" s="98"/>
      <c r="N980" s="98"/>
      <c r="O980" s="98"/>
      <c r="P980" s="98"/>
      <c r="Q980" s="98"/>
      <c r="R980" s="98"/>
      <c r="S980" s="98"/>
      <c r="T980" s="98"/>
      <c r="U980" s="98"/>
      <c r="V980" s="98"/>
      <c r="W980" s="98"/>
      <c r="X980" s="98"/>
      <c r="Y980" s="98"/>
      <c r="Z980" s="98"/>
      <c r="AA980" s="98"/>
      <c r="AB980" s="98"/>
      <c r="AC980" s="98"/>
      <c r="AD980" s="98"/>
    </row>
    <row r="981" spans="1:30" ht="12.75" customHeight="1">
      <c r="A981" s="125" t="s">
        <v>627</v>
      </c>
      <c r="B981" s="155">
        <v>44798</v>
      </c>
      <c r="C981" s="489">
        <v>3526</v>
      </c>
      <c r="D981" s="489">
        <f>C981+C980</f>
        <v>122</v>
      </c>
      <c r="E981" s="490">
        <f>IFERROR(-D981/C980,0)</f>
        <v>3.5840188014101056E-2</v>
      </c>
      <c r="F981" s="383">
        <f>B981-B980</f>
        <v>42</v>
      </c>
      <c r="G981" s="490">
        <f>(C981/-C980)^(1/((B981-B980)/365))-1</f>
        <v>0.35800489908527067</v>
      </c>
      <c r="H981" s="98"/>
      <c r="K981" s="98"/>
      <c r="L981" s="98"/>
      <c r="M981" s="98"/>
      <c r="N981" s="98"/>
      <c r="O981" s="98"/>
      <c r="P981" s="98"/>
      <c r="Q981" s="98"/>
      <c r="R981" s="98"/>
      <c r="S981" s="98"/>
      <c r="T981" s="98"/>
      <c r="U981" s="98"/>
      <c r="V981" s="98"/>
      <c r="W981" s="98"/>
      <c r="X981" s="98"/>
      <c r="Y981" s="98"/>
      <c r="Z981" s="98"/>
      <c r="AA981" s="98"/>
      <c r="AB981" s="98"/>
      <c r="AC981" s="98"/>
      <c r="AD981" s="98"/>
    </row>
    <row r="982" spans="1:30" ht="12.75" customHeight="1">
      <c r="A982" s="140" t="s">
        <v>627</v>
      </c>
      <c r="B982" s="154">
        <v>44943</v>
      </c>
      <c r="C982" s="395">
        <v>-8009</v>
      </c>
      <c r="D982" s="395"/>
      <c r="E982" s="487"/>
      <c r="F982" s="491"/>
      <c r="G982" s="488"/>
      <c r="H982" s="98"/>
      <c r="K982" s="98"/>
      <c r="L982" s="98"/>
      <c r="M982" s="98"/>
      <c r="N982" s="98"/>
      <c r="O982" s="98"/>
      <c r="P982" s="98"/>
      <c r="Q982" s="98"/>
      <c r="R982" s="98"/>
      <c r="S982" s="98"/>
      <c r="T982" s="98"/>
      <c r="U982" s="98"/>
      <c r="V982" s="98"/>
      <c r="W982" s="98"/>
      <c r="X982" s="98"/>
      <c r="Y982" s="98"/>
      <c r="Z982" s="98"/>
      <c r="AA982" s="98"/>
      <c r="AB982" s="98"/>
      <c r="AC982" s="98"/>
      <c r="AD982" s="98"/>
    </row>
    <row r="983" spans="1:30" ht="12.75" customHeight="1">
      <c r="A983" s="125" t="s">
        <v>627</v>
      </c>
      <c r="B983" s="155">
        <v>45028</v>
      </c>
      <c r="C983" s="489">
        <v>8241</v>
      </c>
      <c r="D983" s="489">
        <f>C983+C982</f>
        <v>232</v>
      </c>
      <c r="E983" s="490">
        <f>IFERROR(-D983/C982,0)</f>
        <v>2.8967411661880386E-2</v>
      </c>
      <c r="F983" s="383">
        <f>B983-B982</f>
        <v>85</v>
      </c>
      <c r="G983" s="490">
        <f>(C983/-C982)^(1/((B983-B982)/365))-1</f>
        <v>0.13045692169439049</v>
      </c>
      <c r="H983" s="98"/>
      <c r="K983" s="98"/>
      <c r="L983" s="98"/>
      <c r="M983" s="98"/>
      <c r="N983" s="98"/>
      <c r="O983" s="98"/>
      <c r="P983" s="98"/>
      <c r="Q983" s="98"/>
      <c r="R983" s="98"/>
      <c r="S983" s="98"/>
      <c r="T983" s="98"/>
      <c r="U983" s="98"/>
      <c r="V983" s="98"/>
      <c r="W983" s="98"/>
      <c r="X983" s="98"/>
      <c r="Y983" s="98"/>
      <c r="Z983" s="98"/>
      <c r="AA983" s="98"/>
      <c r="AB983" s="98"/>
      <c r="AC983" s="98"/>
      <c r="AD983" s="98"/>
    </row>
    <row r="984" spans="1:30" ht="12.75" customHeight="1">
      <c r="A984" s="140" t="s">
        <v>553</v>
      </c>
      <c r="B984" s="154">
        <v>44904</v>
      </c>
      <c r="C984" s="395">
        <v>-6057</v>
      </c>
      <c r="D984" s="395"/>
      <c r="E984" s="487"/>
      <c r="F984" s="491"/>
      <c r="G984" s="488"/>
      <c r="H984" s="98"/>
      <c r="K984" s="98"/>
      <c r="L984" s="98"/>
      <c r="M984" s="98"/>
      <c r="N984" s="98"/>
      <c r="O984" s="98"/>
      <c r="P984" s="98"/>
      <c r="Q984" s="98"/>
      <c r="R984" s="98"/>
      <c r="S984" s="98"/>
      <c r="T984" s="98"/>
      <c r="U984" s="98"/>
      <c r="V984" s="98"/>
      <c r="W984" s="98"/>
      <c r="X984" s="98"/>
      <c r="Y984" s="98"/>
      <c r="Z984" s="98"/>
      <c r="AA984" s="98"/>
      <c r="AB984" s="98"/>
      <c r="AC984" s="98"/>
      <c r="AD984" s="98"/>
    </row>
    <row r="985" spans="1:30" ht="12" customHeight="1">
      <c r="A985" s="125" t="s">
        <v>553</v>
      </c>
      <c r="B985" s="155">
        <v>44903</v>
      </c>
      <c r="C985" s="489">
        <v>6156</v>
      </c>
      <c r="D985" s="489">
        <f>C985+C984</f>
        <v>99</v>
      </c>
      <c r="E985" s="490">
        <f>IFERROR(-D985/C984,0)</f>
        <v>1.6344725111441308E-2</v>
      </c>
      <c r="F985" s="383">
        <f>B985-B984</f>
        <v>-1</v>
      </c>
      <c r="G985" s="490">
        <f>(C985/-C984)^(1/((B985-B984)/365))-1</f>
        <v>-0.99730833310013733</v>
      </c>
      <c r="H985" s="98"/>
      <c r="K985" s="98"/>
      <c r="L985" s="98"/>
      <c r="M985" s="98"/>
      <c r="N985" s="98"/>
      <c r="O985" s="98"/>
      <c r="P985" s="98"/>
      <c r="Q985" s="98"/>
      <c r="R985" s="98"/>
      <c r="S985" s="98"/>
      <c r="T985" s="98"/>
      <c r="U985" s="98"/>
      <c r="V985" s="98"/>
      <c r="W985" s="98"/>
      <c r="X985" s="98"/>
      <c r="Y985" s="98"/>
      <c r="Z985" s="98"/>
      <c r="AA985" s="98"/>
      <c r="AB985" s="98"/>
      <c r="AC985" s="98"/>
      <c r="AD985" s="98"/>
    </row>
    <row r="986" spans="1:30" ht="12.75" customHeight="1">
      <c r="A986" s="140" t="s">
        <v>553</v>
      </c>
      <c r="B986" s="154">
        <v>44953</v>
      </c>
      <c r="C986" s="395">
        <v>-6057</v>
      </c>
      <c r="D986" s="395"/>
      <c r="E986" s="487"/>
      <c r="F986" s="491"/>
      <c r="G986" s="488"/>
      <c r="H986" s="98"/>
      <c r="K986" s="98"/>
      <c r="L986" s="98"/>
      <c r="M986" s="98"/>
      <c r="N986" s="98"/>
      <c r="O986" s="98"/>
      <c r="P986" s="98"/>
      <c r="Q986" s="98"/>
      <c r="R986" s="98"/>
      <c r="S986" s="98"/>
      <c r="T986" s="98"/>
      <c r="U986" s="98"/>
      <c r="V986" s="98"/>
      <c r="W986" s="98"/>
      <c r="X986" s="98"/>
      <c r="Y986" s="98"/>
      <c r="Z986" s="98"/>
      <c r="AA986" s="98"/>
      <c r="AB986" s="98"/>
      <c r="AC986" s="98"/>
      <c r="AD986" s="98"/>
    </row>
    <row r="987" spans="1:30" ht="12.75" customHeight="1">
      <c r="A987" s="125" t="s">
        <v>553</v>
      </c>
      <c r="B987" s="155">
        <v>44925</v>
      </c>
      <c r="C987" s="489">
        <v>6119</v>
      </c>
      <c r="D987" s="489">
        <f>C987+C986</f>
        <v>62</v>
      </c>
      <c r="E987" s="490">
        <f>IFERROR(-D987/C986,0)</f>
        <v>1.023609047383193E-2</v>
      </c>
      <c r="F987" s="383">
        <f>B987-B986</f>
        <v>-28</v>
      </c>
      <c r="G987" s="490">
        <f>(C987/-C986)^(1/((B987-B986)/365))-1</f>
        <v>-0.12432166289468616</v>
      </c>
      <c r="H987" s="98"/>
      <c r="K987" s="98"/>
      <c r="L987" s="98"/>
      <c r="M987" s="98"/>
      <c r="N987" s="98"/>
      <c r="O987" s="98"/>
      <c r="P987" s="98"/>
      <c r="Q987" s="98"/>
      <c r="R987" s="98"/>
      <c r="S987" s="98"/>
      <c r="T987" s="98"/>
      <c r="U987" s="98"/>
      <c r="V987" s="98"/>
      <c r="W987" s="98"/>
      <c r="X987" s="98"/>
      <c r="Y987" s="98"/>
      <c r="Z987" s="98"/>
      <c r="AA987" s="98"/>
      <c r="AB987" s="98"/>
      <c r="AC987" s="98"/>
      <c r="AD987" s="98"/>
    </row>
    <row r="988" spans="1:30" ht="12.75" customHeight="1">
      <c r="A988" s="140" t="s">
        <v>566</v>
      </c>
      <c r="B988" s="154">
        <v>44393</v>
      </c>
      <c r="C988" s="140">
        <v>-13316</v>
      </c>
      <c r="D988" s="395"/>
      <c r="E988" s="487"/>
      <c r="F988" s="491"/>
      <c r="G988" s="488"/>
      <c r="H988" s="98"/>
      <c r="K988" s="98"/>
      <c r="L988" s="98"/>
      <c r="M988" s="98"/>
      <c r="N988" s="98"/>
      <c r="O988" s="98"/>
      <c r="P988" s="98"/>
      <c r="Q988" s="98"/>
      <c r="R988" s="98"/>
      <c r="S988" s="98"/>
      <c r="T988" s="98"/>
      <c r="U988" s="98"/>
      <c r="V988" s="98"/>
      <c r="W988" s="98"/>
      <c r="X988" s="98"/>
      <c r="Y988" s="98"/>
      <c r="Z988" s="98"/>
      <c r="AA988" s="98"/>
      <c r="AB988" s="98"/>
      <c r="AC988" s="98"/>
      <c r="AD988" s="98"/>
    </row>
    <row r="989" spans="1:30" ht="12.75" customHeight="1">
      <c r="A989" s="125" t="s">
        <v>566</v>
      </c>
      <c r="B989" s="155">
        <v>44410</v>
      </c>
      <c r="C989" s="489">
        <v>13411</v>
      </c>
      <c r="D989" s="489">
        <f>C989+C988</f>
        <v>95</v>
      </c>
      <c r="E989" s="490">
        <f>-D989/C988</f>
        <v>7.1342745569240012E-3</v>
      </c>
      <c r="F989" s="383">
        <f>B989-B988</f>
        <v>17</v>
      </c>
      <c r="G989" s="490">
        <f>(C989/-C988)^(1/((B989-B988)/365))-1</f>
        <v>0.16489767751020512</v>
      </c>
      <c r="H989" s="98"/>
      <c r="K989" s="98"/>
      <c r="L989" s="98"/>
      <c r="M989" s="98"/>
      <c r="N989" s="98"/>
      <c r="O989" s="98"/>
      <c r="P989" s="98"/>
      <c r="Q989" s="98"/>
      <c r="R989" s="98"/>
      <c r="S989" s="98"/>
      <c r="T989" s="98"/>
      <c r="U989" s="98"/>
      <c r="V989" s="98"/>
      <c r="W989" s="98"/>
      <c r="X989" s="98"/>
      <c r="Y989" s="98"/>
      <c r="Z989" s="98"/>
      <c r="AA989" s="98"/>
      <c r="AB989" s="98"/>
      <c r="AC989" s="98"/>
      <c r="AD989" s="98"/>
    </row>
    <row r="990" spans="1:30" ht="12.75" customHeight="1">
      <c r="A990" s="140" t="s">
        <v>566</v>
      </c>
      <c r="B990" s="154">
        <v>44459</v>
      </c>
      <c r="C990" s="140">
        <v>-14667</v>
      </c>
      <c r="D990" s="395"/>
      <c r="E990" s="487"/>
      <c r="F990" s="491"/>
      <c r="G990" s="488"/>
      <c r="H990" s="98"/>
      <c r="K990" s="98"/>
      <c r="L990" s="98"/>
      <c r="M990" s="98"/>
      <c r="N990" s="98"/>
      <c r="O990" s="98"/>
      <c r="P990" s="98"/>
      <c r="Q990" s="98"/>
      <c r="R990" s="98"/>
      <c r="S990" s="98"/>
      <c r="T990" s="98"/>
      <c r="U990" s="98"/>
      <c r="V990" s="98"/>
      <c r="W990" s="98"/>
      <c r="X990" s="98"/>
      <c r="Y990" s="98"/>
      <c r="Z990" s="98"/>
      <c r="AA990" s="98"/>
      <c r="AB990" s="98"/>
      <c r="AC990" s="98"/>
      <c r="AD990" s="98"/>
    </row>
    <row r="991" spans="1:30" ht="12.75" customHeight="1">
      <c r="A991" s="125" t="s">
        <v>566</v>
      </c>
      <c r="B991" s="155">
        <v>44474</v>
      </c>
      <c r="C991" s="489">
        <v>15134</v>
      </c>
      <c r="D991" s="489">
        <f>C991+C990</f>
        <v>467</v>
      </c>
      <c r="E991" s="490">
        <f>-D991/C990</f>
        <v>3.1840185450330676E-2</v>
      </c>
      <c r="F991" s="383">
        <f>B991-B990</f>
        <v>15</v>
      </c>
      <c r="G991" s="490">
        <f>(C991/-C990)^(1/((B991-B990)/365))-1</f>
        <v>1.1440553008603658</v>
      </c>
      <c r="H991" s="98"/>
      <c r="K991" s="98"/>
      <c r="L991" s="98"/>
      <c r="M991" s="98"/>
      <c r="N991" s="98"/>
      <c r="O991" s="98"/>
      <c r="P991" s="98"/>
      <c r="Q991" s="98"/>
      <c r="R991" s="98"/>
      <c r="S991" s="98"/>
      <c r="T991" s="98"/>
      <c r="U991" s="98"/>
      <c r="V991" s="98"/>
      <c r="W991" s="98"/>
      <c r="X991" s="98"/>
      <c r="Y991" s="98"/>
      <c r="Z991" s="98"/>
      <c r="AA991" s="98"/>
      <c r="AB991" s="98"/>
      <c r="AC991" s="98"/>
      <c r="AD991" s="98"/>
    </row>
    <row r="992" spans="1:30" ht="12.75" customHeight="1">
      <c r="A992" s="140" t="s">
        <v>640</v>
      </c>
      <c r="B992" s="154">
        <v>44818</v>
      </c>
      <c r="C992" s="395">
        <v>-3404</v>
      </c>
      <c r="D992" s="395"/>
      <c r="E992" s="487"/>
      <c r="F992" s="491"/>
      <c r="G992" s="488"/>
      <c r="H992" s="98"/>
      <c r="K992" s="98"/>
      <c r="L992" s="98"/>
      <c r="M992" s="98"/>
      <c r="N992" s="98"/>
      <c r="O992" s="98"/>
      <c r="P992" s="98"/>
      <c r="Q992" s="98"/>
      <c r="R992" s="98"/>
      <c r="S992" s="98"/>
      <c r="T992" s="98"/>
      <c r="U992" s="98"/>
      <c r="V992" s="98"/>
      <c r="W992" s="98"/>
      <c r="X992" s="98"/>
      <c r="Y992" s="98"/>
      <c r="Z992" s="98"/>
      <c r="AA992" s="98"/>
      <c r="AB992" s="98"/>
      <c r="AC992" s="98"/>
      <c r="AD992" s="98"/>
    </row>
    <row r="993" spans="1:30" ht="12.75" customHeight="1">
      <c r="A993" s="125" t="s">
        <v>640</v>
      </c>
      <c r="B993" s="155">
        <v>44880</v>
      </c>
      <c r="C993" s="489">
        <v>3466</v>
      </c>
      <c r="D993" s="489">
        <f>C993+C992</f>
        <v>62</v>
      </c>
      <c r="E993" s="490">
        <f>IFERROR(-D993/C992,0)</f>
        <v>1.8213866039952998E-2</v>
      </c>
      <c r="F993" s="383">
        <f>B993-B992</f>
        <v>62</v>
      </c>
      <c r="G993" s="490">
        <f>(C993/-C992)^(1/((B993-B992)/365))-1</f>
        <v>0.11211319249525498</v>
      </c>
      <c r="H993" s="98"/>
      <c r="K993" s="98"/>
      <c r="L993" s="98"/>
      <c r="M993" s="98"/>
      <c r="N993" s="98"/>
      <c r="O993" s="98"/>
      <c r="P993" s="98"/>
      <c r="Q993" s="98"/>
      <c r="R993" s="98"/>
      <c r="S993" s="98"/>
      <c r="T993" s="98"/>
      <c r="U993" s="98"/>
      <c r="V993" s="98"/>
      <c r="W993" s="98"/>
      <c r="X993" s="98"/>
      <c r="Y993" s="98"/>
      <c r="Z993" s="98"/>
      <c r="AA993" s="98"/>
      <c r="AB993" s="98"/>
      <c r="AC993" s="98"/>
      <c r="AD993" s="98"/>
    </row>
    <row r="994" spans="1:30" ht="12.75" customHeight="1">
      <c r="A994" s="140" t="s">
        <v>297</v>
      </c>
      <c r="B994" s="154">
        <v>44651</v>
      </c>
      <c r="C994" s="395">
        <v>-15997</v>
      </c>
      <c r="D994" s="395"/>
      <c r="E994" s="487"/>
      <c r="F994" s="491"/>
      <c r="G994" s="488"/>
      <c r="H994" s="98"/>
      <c r="K994" s="98"/>
      <c r="L994" s="98"/>
      <c r="M994" s="98"/>
      <c r="N994" s="98"/>
      <c r="O994" s="98"/>
      <c r="P994" s="98"/>
      <c r="Q994" s="98"/>
      <c r="R994" s="98"/>
      <c r="S994" s="98"/>
      <c r="T994" s="98"/>
      <c r="U994" s="98"/>
      <c r="V994" s="98"/>
      <c r="W994" s="98"/>
      <c r="X994" s="98"/>
      <c r="Y994" s="98"/>
      <c r="Z994" s="98"/>
      <c r="AA994" s="98"/>
      <c r="AB994" s="98"/>
      <c r="AC994" s="98"/>
      <c r="AD994" s="98"/>
    </row>
    <row r="995" spans="1:30" ht="12.75" customHeight="1">
      <c r="A995" s="125" t="s">
        <v>297</v>
      </c>
      <c r="B995" s="155">
        <v>44655</v>
      </c>
      <c r="C995" s="489">
        <v>16733</v>
      </c>
      <c r="D995" s="489">
        <f>C995+C994</f>
        <v>736</v>
      </c>
      <c r="E995" s="490">
        <f>IFERROR(-D995/C994,0)</f>
        <v>4.6008626617490778E-2</v>
      </c>
      <c r="F995" s="383">
        <f>B995-B994</f>
        <v>4</v>
      </c>
      <c r="G995" s="490">
        <f>(C995/-C994)^(1/((B995-B994)/365))-1</f>
        <v>59.616805483195847</v>
      </c>
      <c r="H995" s="98"/>
      <c r="K995" s="98"/>
      <c r="L995" s="98"/>
      <c r="M995" s="98"/>
      <c r="N995" s="98"/>
      <c r="O995" s="98"/>
      <c r="P995" s="98"/>
      <c r="Q995" s="98"/>
      <c r="R995" s="98"/>
      <c r="S995" s="98"/>
      <c r="T995" s="98"/>
      <c r="U995" s="98"/>
      <c r="V995" s="98"/>
      <c r="W995" s="98"/>
      <c r="X995" s="98"/>
      <c r="Y995" s="98"/>
      <c r="Z995" s="98"/>
      <c r="AA995" s="98"/>
      <c r="AB995" s="98"/>
      <c r="AC995" s="98"/>
      <c r="AD995" s="98"/>
    </row>
    <row r="996" spans="1:30" ht="12.75" customHeight="1">
      <c r="A996" s="140" t="s">
        <v>617</v>
      </c>
      <c r="B996" s="154">
        <v>44672</v>
      </c>
      <c r="C996" s="395">
        <v>-13166</v>
      </c>
      <c r="D996" s="395"/>
      <c r="E996" s="487"/>
      <c r="F996" s="491"/>
      <c r="G996" s="488"/>
      <c r="H996" s="98"/>
      <c r="K996" s="98"/>
      <c r="L996" s="98"/>
      <c r="M996" s="98"/>
      <c r="N996" s="98"/>
      <c r="O996" s="98"/>
      <c r="P996" s="98"/>
      <c r="Q996" s="98"/>
      <c r="R996" s="98"/>
      <c r="S996" s="98"/>
      <c r="T996" s="98"/>
      <c r="U996" s="98"/>
      <c r="V996" s="98"/>
      <c r="W996" s="98"/>
      <c r="X996" s="98"/>
      <c r="Y996" s="98"/>
      <c r="Z996" s="98"/>
      <c r="AA996" s="98"/>
      <c r="AB996" s="98"/>
      <c r="AC996" s="98"/>
      <c r="AD996" s="98"/>
    </row>
    <row r="997" spans="1:30" ht="12.75" customHeight="1">
      <c r="A997" s="125" t="s">
        <v>617</v>
      </c>
      <c r="B997" s="155">
        <v>44785</v>
      </c>
      <c r="C997" s="489">
        <v>13786</v>
      </c>
      <c r="D997" s="489">
        <f>C997+C996</f>
        <v>620</v>
      </c>
      <c r="E997" s="490">
        <f>IFERROR(-D997/C996,0)</f>
        <v>4.7090991948959438E-2</v>
      </c>
      <c r="F997" s="383">
        <f>B997-B996</f>
        <v>113</v>
      </c>
      <c r="G997" s="490">
        <f>(C997/-C996)^(1/((B997-B996)/365))-1</f>
        <v>0.16024967682179425</v>
      </c>
      <c r="H997" s="98"/>
      <c r="K997" s="98"/>
      <c r="L997" s="98"/>
      <c r="M997" s="98"/>
      <c r="N997" s="98"/>
      <c r="O997" s="98"/>
      <c r="P997" s="98"/>
      <c r="Q997" s="98"/>
      <c r="R997" s="98"/>
      <c r="S997" s="98"/>
      <c r="T997" s="98"/>
      <c r="U997" s="98"/>
      <c r="V997" s="98"/>
      <c r="W997" s="98"/>
      <c r="X997" s="98"/>
      <c r="Y997" s="98"/>
      <c r="Z997" s="98"/>
      <c r="AA997" s="98"/>
      <c r="AB997" s="98"/>
      <c r="AC997" s="98"/>
      <c r="AD997" s="98"/>
    </row>
    <row r="998" spans="1:30" ht="12.75" customHeight="1">
      <c r="A998" s="140" t="s">
        <v>647</v>
      </c>
      <c r="B998" s="154">
        <v>44943</v>
      </c>
      <c r="C998" s="395">
        <v>-5716</v>
      </c>
      <c r="D998" s="395"/>
      <c r="E998" s="487"/>
      <c r="F998" s="491"/>
      <c r="G998" s="488"/>
      <c r="H998" s="98"/>
      <c r="K998" s="98"/>
      <c r="L998" s="98"/>
      <c r="M998" s="98"/>
      <c r="N998" s="98"/>
      <c r="O998" s="98"/>
      <c r="P998" s="98"/>
      <c r="Q998" s="98"/>
      <c r="R998" s="98"/>
      <c r="S998" s="98"/>
      <c r="T998" s="98"/>
      <c r="U998" s="98"/>
      <c r="V998" s="98"/>
      <c r="W998" s="98"/>
      <c r="X998" s="98"/>
      <c r="Y998" s="98"/>
      <c r="Z998" s="98"/>
      <c r="AA998" s="98"/>
      <c r="AB998" s="98"/>
      <c r="AC998" s="98"/>
      <c r="AD998" s="98"/>
    </row>
    <row r="999" spans="1:30" ht="12.75" customHeight="1">
      <c r="A999" s="125" t="s">
        <v>647</v>
      </c>
      <c r="B999" s="155">
        <v>44946</v>
      </c>
      <c r="C999" s="489">
        <v>6004</v>
      </c>
      <c r="D999" s="489">
        <f>C999+C998</f>
        <v>288</v>
      </c>
      <c r="E999" s="490">
        <f>IFERROR(-D999/C998,0)</f>
        <v>5.0384884534639608E-2</v>
      </c>
      <c r="F999" s="383">
        <f>B999-B998</f>
        <v>3</v>
      </c>
      <c r="G999" s="490">
        <f>(C999/-C998)^(1/((B999-B998)/365))-1</f>
        <v>394.72764148593001</v>
      </c>
      <c r="H999" s="98"/>
      <c r="K999" s="98"/>
      <c r="L999" s="98"/>
      <c r="M999" s="98"/>
      <c r="N999" s="98"/>
      <c r="O999" s="98"/>
      <c r="P999" s="98"/>
      <c r="Q999" s="98"/>
      <c r="R999" s="98"/>
      <c r="S999" s="98"/>
      <c r="T999" s="98"/>
      <c r="U999" s="98"/>
      <c r="V999" s="98"/>
      <c r="W999" s="98"/>
      <c r="X999" s="98"/>
      <c r="Y999" s="98"/>
      <c r="Z999" s="98"/>
      <c r="AA999" s="98"/>
      <c r="AB999" s="98"/>
      <c r="AC999" s="98"/>
      <c r="AD999" s="98"/>
    </row>
    <row r="1000" spans="1:30" ht="12.75" customHeight="1">
      <c r="A1000" s="138" t="s">
        <v>514</v>
      </c>
      <c r="B1000" s="492">
        <v>44327</v>
      </c>
      <c r="C1000" s="493">
        <v>-5852</v>
      </c>
      <c r="D1000" s="395"/>
      <c r="E1000" s="487"/>
      <c r="F1000" s="491"/>
      <c r="G1000" s="488"/>
      <c r="H1000" s="98"/>
      <c r="K1000" s="98"/>
      <c r="L1000" s="98"/>
      <c r="M1000" s="98"/>
      <c r="N1000" s="98"/>
      <c r="O1000" s="98"/>
      <c r="P1000" s="98"/>
      <c r="Q1000" s="98"/>
      <c r="R1000" s="98"/>
      <c r="S1000" s="98"/>
      <c r="T1000" s="98"/>
      <c r="U1000" s="98"/>
      <c r="V1000" s="98"/>
      <c r="W1000" s="98"/>
      <c r="X1000" s="98"/>
      <c r="Y1000" s="98"/>
      <c r="Z1000" s="98"/>
      <c r="AA1000" s="98"/>
      <c r="AB1000" s="98"/>
      <c r="AC1000" s="98"/>
      <c r="AD1000" s="98"/>
    </row>
    <row r="1001" spans="1:30" ht="12.75" customHeight="1">
      <c r="A1001" s="125" t="s">
        <v>514</v>
      </c>
      <c r="B1001" s="495">
        <v>44337</v>
      </c>
      <c r="C1001" s="496">
        <v>5919</v>
      </c>
      <c r="D1001" s="489">
        <f>C1001+C1000</f>
        <v>67</v>
      </c>
      <c r="E1001" s="490">
        <f>-D1001/C1000</f>
        <v>1.1449077238550922E-2</v>
      </c>
      <c r="F1001" s="383">
        <f>B1001-B1000</f>
        <v>10</v>
      </c>
      <c r="G1001" s="490">
        <f>(C1001/-C1000)^(1/((B1001-B1000)/365))-1</f>
        <v>0.51515415778905216</v>
      </c>
      <c r="H1001" s="98"/>
      <c r="K1001" s="98"/>
      <c r="L1001" s="98"/>
      <c r="M1001" s="98"/>
      <c r="N1001" s="98"/>
      <c r="O1001" s="98"/>
      <c r="P1001" s="98"/>
      <c r="Q1001" s="98"/>
      <c r="R1001" s="98"/>
      <c r="S1001" s="98"/>
      <c r="T1001" s="98"/>
      <c r="U1001" s="98"/>
      <c r="V1001" s="98"/>
      <c r="W1001" s="98"/>
      <c r="X1001" s="98"/>
      <c r="Y1001" s="98"/>
      <c r="Z1001" s="98"/>
      <c r="AA1001" s="98"/>
      <c r="AB1001" s="98"/>
      <c r="AC1001" s="98"/>
      <c r="AD1001" s="98"/>
    </row>
    <row r="1002" spans="1:30" ht="12.75" customHeight="1">
      <c r="A1002" s="140" t="s">
        <v>533</v>
      </c>
      <c r="B1002" s="154">
        <v>44349</v>
      </c>
      <c r="C1002" s="140">
        <v>-8810</v>
      </c>
      <c r="D1002" s="395"/>
      <c r="E1002" s="487"/>
      <c r="F1002" s="491"/>
      <c r="G1002" s="488"/>
      <c r="H1002" s="98"/>
      <c r="K1002" s="98"/>
      <c r="L1002" s="98"/>
      <c r="M1002" s="98"/>
      <c r="N1002" s="98"/>
      <c r="O1002" s="98"/>
      <c r="P1002" s="98"/>
      <c r="Q1002" s="98"/>
      <c r="R1002" s="98"/>
      <c r="S1002" s="98"/>
      <c r="T1002" s="98"/>
      <c r="U1002" s="98"/>
      <c r="V1002" s="98"/>
      <c r="W1002" s="98"/>
      <c r="X1002" s="98"/>
      <c r="Y1002" s="98"/>
      <c r="Z1002" s="98"/>
      <c r="AA1002" s="98"/>
      <c r="AB1002" s="98"/>
      <c r="AC1002" s="98"/>
      <c r="AD1002" s="98"/>
    </row>
    <row r="1003" spans="1:30" ht="12.75" customHeight="1">
      <c r="A1003" s="125" t="s">
        <v>533</v>
      </c>
      <c r="B1003" s="155">
        <v>44487</v>
      </c>
      <c r="C1003" s="489">
        <v>8941</v>
      </c>
      <c r="D1003" s="489">
        <f>C1003+C1002</f>
        <v>131</v>
      </c>
      <c r="E1003" s="490">
        <f>-D1003/C1002</f>
        <v>1.4869466515323495E-2</v>
      </c>
      <c r="F1003" s="383">
        <f>B1003-B1002</f>
        <v>138</v>
      </c>
      <c r="G1003" s="490">
        <f>(C1003/-C1002)^(1/((B1003-B1002)/365))-1</f>
        <v>3.9811170581272703E-2</v>
      </c>
      <c r="H1003" s="98"/>
      <c r="K1003" s="98"/>
      <c r="L1003" s="98"/>
      <c r="M1003" s="98"/>
      <c r="N1003" s="98"/>
      <c r="O1003" s="98"/>
      <c r="P1003" s="98"/>
      <c r="Q1003" s="98"/>
      <c r="R1003" s="98"/>
      <c r="S1003" s="98"/>
      <c r="T1003" s="98"/>
      <c r="U1003" s="98"/>
      <c r="V1003" s="98"/>
      <c r="W1003" s="98"/>
      <c r="X1003" s="98"/>
      <c r="Y1003" s="98"/>
      <c r="Z1003" s="98"/>
      <c r="AA1003" s="98"/>
      <c r="AB1003" s="98"/>
      <c r="AC1003" s="98"/>
      <c r="AD1003" s="98"/>
    </row>
    <row r="1004" spans="1:30" ht="12.75" customHeight="1">
      <c r="A1004" s="140" t="s">
        <v>564</v>
      </c>
      <c r="B1004" s="154">
        <v>44389</v>
      </c>
      <c r="C1004" s="140">
        <v>-7759</v>
      </c>
      <c r="D1004" s="395"/>
      <c r="E1004" s="487"/>
      <c r="F1004" s="491"/>
      <c r="G1004" s="488"/>
      <c r="H1004" s="98"/>
      <c r="K1004" s="98"/>
      <c r="L1004" s="98"/>
      <c r="M1004" s="98"/>
      <c r="N1004" s="98"/>
      <c r="O1004" s="98"/>
      <c r="P1004" s="98"/>
      <c r="Q1004" s="98"/>
      <c r="R1004" s="98"/>
      <c r="S1004" s="98"/>
      <c r="T1004" s="98"/>
      <c r="U1004" s="98"/>
      <c r="V1004" s="98"/>
      <c r="W1004" s="98"/>
      <c r="X1004" s="98"/>
      <c r="Y1004" s="98"/>
      <c r="Z1004" s="98"/>
      <c r="AA1004" s="98"/>
      <c r="AB1004" s="98"/>
      <c r="AC1004" s="98"/>
      <c r="AD1004" s="98"/>
    </row>
    <row r="1005" spans="1:30" ht="12.75" customHeight="1">
      <c r="A1005" s="125" t="s">
        <v>564</v>
      </c>
      <c r="B1005" s="155">
        <v>44440</v>
      </c>
      <c r="C1005" s="489">
        <v>8068</v>
      </c>
      <c r="D1005" s="489">
        <f>C1005+C1004</f>
        <v>309</v>
      </c>
      <c r="E1005" s="490">
        <f>-D1005/C1004</f>
        <v>3.9824719680371184E-2</v>
      </c>
      <c r="F1005" s="383">
        <f>B1005-B1004</f>
        <v>51</v>
      </c>
      <c r="G1005" s="490">
        <f>(C1005/-C1004)^(1/((B1005-B1004)/365))-1</f>
        <v>0.32245644491851189</v>
      </c>
      <c r="H1005" s="98"/>
      <c r="K1005" s="98"/>
      <c r="L1005" s="98"/>
      <c r="M1005" s="98"/>
      <c r="N1005" s="98"/>
      <c r="O1005" s="98"/>
      <c r="P1005" s="98"/>
      <c r="Q1005" s="98"/>
      <c r="R1005" s="98"/>
      <c r="S1005" s="98"/>
      <c r="T1005" s="98"/>
      <c r="U1005" s="98"/>
      <c r="V1005" s="98"/>
      <c r="W1005" s="98"/>
      <c r="X1005" s="98"/>
      <c r="Y1005" s="98"/>
      <c r="Z1005" s="98"/>
      <c r="AA1005" s="98"/>
      <c r="AB1005" s="98"/>
      <c r="AC1005" s="98"/>
      <c r="AD1005" s="98"/>
    </row>
    <row r="1006" spans="1:30" ht="12.75" customHeight="1">
      <c r="A1006" s="140" t="s">
        <v>610</v>
      </c>
      <c r="B1006" s="154">
        <v>44648</v>
      </c>
      <c r="C1006" s="395">
        <v>-11388</v>
      </c>
      <c r="D1006" s="395"/>
      <c r="E1006" s="487"/>
      <c r="F1006" s="491"/>
      <c r="G1006" s="488"/>
      <c r="H1006" s="98"/>
      <c r="K1006" s="98"/>
      <c r="L1006" s="98"/>
      <c r="M1006" s="98"/>
      <c r="N1006" s="98"/>
      <c r="O1006" s="98"/>
      <c r="P1006" s="98"/>
      <c r="Q1006" s="98"/>
      <c r="R1006" s="98"/>
      <c r="S1006" s="98"/>
      <c r="T1006" s="98"/>
      <c r="U1006" s="98"/>
      <c r="V1006" s="98"/>
      <c r="W1006" s="98"/>
      <c r="X1006" s="98"/>
      <c r="Y1006" s="98"/>
      <c r="Z1006" s="98"/>
      <c r="AA1006" s="98"/>
      <c r="AB1006" s="98"/>
      <c r="AC1006" s="98"/>
      <c r="AD1006" s="98"/>
    </row>
    <row r="1007" spans="1:30" ht="12.75" customHeight="1">
      <c r="A1007" s="125" t="s">
        <v>610</v>
      </c>
      <c r="B1007" s="155">
        <v>44650</v>
      </c>
      <c r="C1007" s="489">
        <v>11913</v>
      </c>
      <c r="D1007" s="489">
        <f>C1007+C1006</f>
        <v>525</v>
      </c>
      <c r="E1007" s="490">
        <f>IFERROR(-D1007/C1006,0)</f>
        <v>4.6101159114857744E-2</v>
      </c>
      <c r="F1007" s="383">
        <f>B1007-B1006</f>
        <v>2</v>
      </c>
      <c r="G1007" s="490">
        <f>(C1007/-C1006)^(1/((B1007-B1006)/365))-1</f>
        <v>3733.1968118544446</v>
      </c>
      <c r="H1007" s="98"/>
      <c r="K1007" s="98"/>
      <c r="L1007" s="98"/>
      <c r="M1007" s="98"/>
      <c r="N1007" s="98"/>
      <c r="O1007" s="98"/>
      <c r="P1007" s="98"/>
      <c r="Q1007" s="98"/>
      <c r="R1007" s="98"/>
      <c r="S1007" s="98"/>
      <c r="T1007" s="98"/>
      <c r="U1007" s="98"/>
      <c r="V1007" s="98"/>
      <c r="W1007" s="98"/>
      <c r="X1007" s="98"/>
      <c r="Y1007" s="98"/>
      <c r="Z1007" s="98"/>
      <c r="AA1007" s="98"/>
      <c r="AB1007" s="98"/>
      <c r="AC1007" s="98"/>
      <c r="AD1007" s="98"/>
    </row>
    <row r="1008" spans="1:30" ht="12.75" customHeight="1">
      <c r="A1008" s="140" t="s">
        <v>610</v>
      </c>
      <c r="B1008" s="154">
        <v>44949</v>
      </c>
      <c r="C1008" s="395">
        <v>-15538</v>
      </c>
      <c r="D1008" s="395"/>
      <c r="E1008" s="487"/>
      <c r="F1008" s="491"/>
      <c r="G1008" s="488"/>
      <c r="H1008" s="98"/>
      <c r="K1008" s="98"/>
      <c r="L1008" s="98"/>
      <c r="M1008" s="98"/>
      <c r="N1008" s="98"/>
      <c r="O1008" s="98"/>
      <c r="P1008" s="98"/>
      <c r="Q1008" s="98"/>
      <c r="R1008" s="98"/>
      <c r="S1008" s="98"/>
      <c r="T1008" s="98"/>
      <c r="U1008" s="98"/>
      <c r="V1008" s="98"/>
      <c r="W1008" s="98"/>
      <c r="X1008" s="98"/>
      <c r="Y1008" s="98"/>
      <c r="Z1008" s="98"/>
      <c r="AA1008" s="98"/>
      <c r="AB1008" s="98"/>
      <c r="AC1008" s="98"/>
      <c r="AD1008" s="98"/>
    </row>
    <row r="1009" spans="1:30" ht="12.75" customHeight="1">
      <c r="A1009" s="125" t="s">
        <v>610</v>
      </c>
      <c r="B1009" s="155">
        <v>44944</v>
      </c>
      <c r="C1009" s="489">
        <v>15774</v>
      </c>
      <c r="D1009" s="489">
        <f>C1009+C1008</f>
        <v>236</v>
      </c>
      <c r="E1009" s="490">
        <f>IFERROR(-D1009/C1008,0)</f>
        <v>1.518856995752349E-2</v>
      </c>
      <c r="F1009" s="383">
        <f>B1009-B1008</f>
        <v>-5</v>
      </c>
      <c r="G1009" s="490">
        <f>(C1009/-C1008)^(1/((B1009-B1008)/365))-1</f>
        <v>-0.66727189588190328</v>
      </c>
      <c r="H1009" s="98"/>
      <c r="K1009" s="98"/>
      <c r="L1009" s="98"/>
      <c r="M1009" s="98"/>
      <c r="N1009" s="98"/>
      <c r="O1009" s="98"/>
      <c r="P1009" s="98"/>
      <c r="Q1009" s="98"/>
      <c r="R1009" s="98"/>
      <c r="S1009" s="98"/>
      <c r="T1009" s="98"/>
      <c r="U1009" s="98"/>
      <c r="V1009" s="98"/>
      <c r="W1009" s="98"/>
      <c r="X1009" s="98"/>
      <c r="Y1009" s="98"/>
      <c r="Z1009" s="98"/>
      <c r="AA1009" s="98"/>
      <c r="AB1009" s="98"/>
      <c r="AC1009" s="98"/>
      <c r="AD1009" s="98"/>
    </row>
    <row r="1010" spans="1:30" ht="12.75" customHeight="1">
      <c r="A1010" s="138" t="s">
        <v>515</v>
      </c>
      <c r="B1010" s="492">
        <v>44327</v>
      </c>
      <c r="C1010" s="493">
        <v>-10312</v>
      </c>
      <c r="D1010" s="395"/>
      <c r="E1010" s="487"/>
      <c r="F1010" s="491"/>
      <c r="G1010" s="488"/>
      <c r="H1010" s="98"/>
      <c r="K1010" s="98"/>
      <c r="L1010" s="98"/>
      <c r="M1010" s="98"/>
      <c r="N1010" s="98"/>
      <c r="O1010" s="98"/>
      <c r="P1010" s="98"/>
      <c r="Q1010" s="98"/>
      <c r="R1010" s="98"/>
      <c r="S1010" s="98"/>
      <c r="T1010" s="98"/>
      <c r="U1010" s="98"/>
      <c r="V1010" s="98"/>
      <c r="W1010" s="98"/>
      <c r="X1010" s="98"/>
      <c r="Y1010" s="98"/>
      <c r="Z1010" s="98"/>
      <c r="AA1010" s="98"/>
      <c r="AB1010" s="98"/>
      <c r="AC1010" s="98"/>
      <c r="AD1010" s="98"/>
    </row>
    <row r="1011" spans="1:30" ht="12.75" customHeight="1">
      <c r="A1011" s="125" t="s">
        <v>515</v>
      </c>
      <c r="B1011" s="495">
        <v>44334</v>
      </c>
      <c r="C1011" s="496">
        <v>11188</v>
      </c>
      <c r="D1011" s="489">
        <f>C1011+C1010</f>
        <v>876</v>
      </c>
      <c r="E1011" s="490">
        <f>-D1011/C1010</f>
        <v>8.4949573312645466E-2</v>
      </c>
      <c r="F1011" s="383">
        <f>B1011-B1010</f>
        <v>7</v>
      </c>
      <c r="G1011" s="490">
        <f>(C1011/-C1010)^(1/((B1011-B1010)/365))-1</f>
        <v>69.202937072086769</v>
      </c>
      <c r="H1011" s="98"/>
      <c r="K1011" s="98"/>
      <c r="L1011" s="98"/>
      <c r="M1011" s="98"/>
      <c r="N1011" s="98"/>
      <c r="O1011" s="98"/>
      <c r="P1011" s="98"/>
      <c r="Q1011" s="98"/>
      <c r="R1011" s="98"/>
      <c r="S1011" s="98"/>
      <c r="T1011" s="98"/>
      <c r="U1011" s="98"/>
      <c r="V1011" s="98"/>
      <c r="W1011" s="98"/>
      <c r="X1011" s="98"/>
      <c r="Y1011" s="98"/>
      <c r="Z1011" s="98"/>
      <c r="AA1011" s="98"/>
      <c r="AB1011" s="98"/>
      <c r="AC1011" s="98"/>
      <c r="AD1011" s="98"/>
    </row>
    <row r="1012" spans="1:30" ht="12.75" customHeight="1">
      <c r="A1012" s="140" t="s">
        <v>616</v>
      </c>
      <c r="B1012" s="154">
        <v>44663</v>
      </c>
      <c r="C1012" s="395">
        <v>-10112</v>
      </c>
      <c r="D1012" s="395"/>
      <c r="E1012" s="487"/>
      <c r="F1012" s="491"/>
      <c r="G1012" s="488"/>
      <c r="H1012" s="98"/>
      <c r="K1012" s="98"/>
      <c r="L1012" s="98"/>
      <c r="M1012" s="98"/>
      <c r="N1012" s="98"/>
      <c r="O1012" s="98"/>
      <c r="P1012" s="98"/>
      <c r="Q1012" s="98"/>
      <c r="R1012" s="98"/>
      <c r="S1012" s="98"/>
      <c r="T1012" s="98"/>
      <c r="U1012" s="98"/>
      <c r="V1012" s="98"/>
      <c r="W1012" s="98"/>
      <c r="X1012" s="98"/>
      <c r="Y1012" s="98"/>
      <c r="Z1012" s="98"/>
      <c r="AA1012" s="98"/>
      <c r="AB1012" s="98"/>
      <c r="AC1012" s="98"/>
      <c r="AD1012" s="98"/>
    </row>
    <row r="1013" spans="1:30" ht="12.75" customHeight="1">
      <c r="A1013" s="125" t="s">
        <v>616</v>
      </c>
      <c r="B1013" s="155">
        <v>44823</v>
      </c>
      <c r="C1013" s="489">
        <v>10589</v>
      </c>
      <c r="D1013" s="489">
        <f>C1013+C1012</f>
        <v>477</v>
      </c>
      <c r="E1013" s="490">
        <f>IFERROR(-D1013/C1012,0)</f>
        <v>4.7171677215189875E-2</v>
      </c>
      <c r="F1013" s="383">
        <f>B1013-B1012</f>
        <v>160</v>
      </c>
      <c r="G1013" s="490">
        <f>(C1013/-C1012)^(1/((B1013-B1012)/365))-1</f>
        <v>0.11087656639562171</v>
      </c>
      <c r="H1013" s="98"/>
      <c r="K1013" s="98"/>
      <c r="L1013" s="98"/>
      <c r="M1013" s="98"/>
      <c r="N1013" s="98"/>
      <c r="O1013" s="98"/>
      <c r="P1013" s="98"/>
      <c r="Q1013" s="98"/>
      <c r="R1013" s="98"/>
      <c r="S1013" s="98"/>
      <c r="T1013" s="98"/>
      <c r="U1013" s="98"/>
      <c r="V1013" s="98"/>
      <c r="W1013" s="98"/>
      <c r="X1013" s="98"/>
      <c r="Y1013" s="98"/>
      <c r="Z1013" s="98"/>
      <c r="AA1013" s="98"/>
      <c r="AB1013" s="98"/>
      <c r="AC1013" s="98"/>
      <c r="AD1013" s="98"/>
    </row>
    <row r="1014" spans="1:30" ht="12.75" customHeight="1">
      <c r="A1014" s="138" t="s">
        <v>474</v>
      </c>
      <c r="B1014" s="492">
        <v>44335</v>
      </c>
      <c r="C1014" s="493">
        <v>-20024</v>
      </c>
      <c r="D1014" s="395"/>
      <c r="E1014" s="487"/>
      <c r="F1014" s="491"/>
      <c r="G1014" s="488"/>
      <c r="H1014" s="98"/>
      <c r="K1014" s="98"/>
      <c r="L1014" s="98"/>
      <c r="M1014" s="98"/>
      <c r="N1014" s="98"/>
      <c r="O1014" s="98"/>
      <c r="P1014" s="98"/>
      <c r="Q1014" s="98"/>
      <c r="R1014" s="98"/>
      <c r="S1014" s="98"/>
      <c r="T1014" s="98"/>
      <c r="U1014" s="98"/>
      <c r="V1014" s="98"/>
      <c r="W1014" s="98"/>
      <c r="X1014" s="98"/>
      <c r="Y1014" s="98"/>
      <c r="Z1014" s="98"/>
      <c r="AA1014" s="98"/>
      <c r="AB1014" s="98"/>
      <c r="AC1014" s="98"/>
      <c r="AD1014" s="98"/>
    </row>
    <row r="1015" spans="1:30" ht="12.75" customHeight="1">
      <c r="A1015" s="125" t="s">
        <v>474</v>
      </c>
      <c r="B1015" s="495">
        <v>44344</v>
      </c>
      <c r="C1015" s="496">
        <v>20479</v>
      </c>
      <c r="D1015" s="489">
        <f>C1015+C1014</f>
        <v>455</v>
      </c>
      <c r="E1015" s="490">
        <f>-D1015/C1014</f>
        <v>2.2722732720735116E-2</v>
      </c>
      <c r="F1015" s="383">
        <f>B1015-B1014</f>
        <v>9</v>
      </c>
      <c r="G1015" s="490">
        <f>(C1015/-C1014)^(1/((B1015-B1014)/365))-1</f>
        <v>1.4873530743644374</v>
      </c>
      <c r="H1015" s="98"/>
      <c r="K1015" s="98"/>
      <c r="L1015" s="98"/>
      <c r="M1015" s="98"/>
      <c r="N1015" s="98"/>
      <c r="O1015" s="98"/>
      <c r="P1015" s="98"/>
      <c r="Q1015" s="98"/>
      <c r="R1015" s="98"/>
      <c r="S1015" s="98"/>
      <c r="T1015" s="98"/>
      <c r="U1015" s="98"/>
      <c r="V1015" s="98"/>
      <c r="W1015" s="98"/>
      <c r="X1015" s="98"/>
      <c r="Y1015" s="98"/>
      <c r="Z1015" s="98"/>
      <c r="AA1015" s="98"/>
      <c r="AB1015" s="98"/>
      <c r="AC1015" s="98"/>
      <c r="AD1015" s="98"/>
    </row>
    <row r="1016" spans="1:30" ht="12.75" customHeight="1">
      <c r="A1016" s="140" t="s">
        <v>474</v>
      </c>
      <c r="B1016" s="154">
        <v>44441</v>
      </c>
      <c r="C1016" s="140">
        <v>-11389</v>
      </c>
      <c r="D1016" s="395"/>
      <c r="E1016" s="487"/>
      <c r="F1016" s="491"/>
      <c r="G1016" s="488"/>
      <c r="H1016" s="98"/>
      <c r="K1016" s="98"/>
      <c r="L1016" s="98"/>
      <c r="M1016" s="98"/>
      <c r="N1016" s="98"/>
      <c r="O1016" s="98"/>
      <c r="P1016" s="98"/>
      <c r="Q1016" s="98"/>
      <c r="R1016" s="98"/>
      <c r="S1016" s="98"/>
      <c r="T1016" s="98"/>
      <c r="U1016" s="98"/>
      <c r="V1016" s="98"/>
      <c r="W1016" s="98"/>
      <c r="X1016" s="98"/>
      <c r="Y1016" s="98"/>
      <c r="Z1016" s="98"/>
      <c r="AA1016" s="98"/>
      <c r="AB1016" s="98"/>
      <c r="AC1016" s="98"/>
      <c r="AD1016" s="98"/>
    </row>
    <row r="1017" spans="1:30" ht="12.75" customHeight="1">
      <c r="A1017" s="125" t="s">
        <v>474</v>
      </c>
      <c r="B1017" s="155">
        <v>44442</v>
      </c>
      <c r="C1017" s="489">
        <v>11935</v>
      </c>
      <c r="D1017" s="489">
        <f>C1017+C1016</f>
        <v>546</v>
      </c>
      <c r="E1017" s="490">
        <f>-D1017/C1016</f>
        <v>4.7940995697602948E-2</v>
      </c>
      <c r="F1017" s="383">
        <f>B1017-B1016</f>
        <v>1</v>
      </c>
      <c r="G1017" s="490">
        <f>(C1017/-C1016)^(1/((B1017-B1016)/365))-1</f>
        <v>26481530.195941944</v>
      </c>
      <c r="H1017" s="98"/>
      <c r="K1017" s="98"/>
      <c r="L1017" s="98"/>
      <c r="M1017" s="98"/>
      <c r="N1017" s="98"/>
      <c r="O1017" s="98"/>
      <c r="P1017" s="98"/>
      <c r="Q1017" s="98"/>
      <c r="R1017" s="98"/>
      <c r="S1017" s="98"/>
      <c r="T1017" s="98"/>
      <c r="U1017" s="98"/>
      <c r="V1017" s="98"/>
      <c r="W1017" s="98"/>
      <c r="X1017" s="98"/>
      <c r="Y1017" s="98"/>
      <c r="Z1017" s="98"/>
      <c r="AA1017" s="98"/>
      <c r="AB1017" s="98"/>
      <c r="AC1017" s="98"/>
      <c r="AD1017" s="98"/>
    </row>
    <row r="1018" spans="1:30" ht="12.75" customHeight="1">
      <c r="A1018" s="140" t="s">
        <v>474</v>
      </c>
      <c r="B1018" s="154">
        <v>44452</v>
      </c>
      <c r="C1018" s="140">
        <v>-4758</v>
      </c>
      <c r="D1018" s="395"/>
      <c r="E1018" s="487"/>
      <c r="F1018" s="491"/>
      <c r="G1018" s="488"/>
      <c r="H1018" s="98"/>
      <c r="K1018" s="98"/>
      <c r="L1018" s="98"/>
      <c r="M1018" s="98"/>
      <c r="N1018" s="98"/>
      <c r="O1018" s="98"/>
      <c r="P1018" s="98"/>
      <c r="Q1018" s="98"/>
      <c r="R1018" s="98"/>
      <c r="S1018" s="98"/>
      <c r="T1018" s="98"/>
      <c r="U1018" s="98"/>
      <c r="V1018" s="98"/>
      <c r="W1018" s="98"/>
      <c r="X1018" s="98"/>
      <c r="Y1018" s="98"/>
      <c r="Z1018" s="98"/>
      <c r="AA1018" s="98"/>
      <c r="AB1018" s="98"/>
      <c r="AC1018" s="98"/>
      <c r="AD1018" s="98"/>
    </row>
    <row r="1019" spans="1:30" ht="12.75" customHeight="1">
      <c r="A1019" s="125" t="s">
        <v>474</v>
      </c>
      <c r="B1019" s="155">
        <v>44477</v>
      </c>
      <c r="C1019" s="489">
        <v>5215</v>
      </c>
      <c r="D1019" s="489">
        <f>C1019+C1018</f>
        <v>457</v>
      </c>
      <c r="E1019" s="490">
        <f>-D1019/C1018</f>
        <v>9.604875998318621E-2</v>
      </c>
      <c r="F1019" s="383">
        <f>B1019-B1018</f>
        <v>25</v>
      </c>
      <c r="G1019" s="490">
        <f>(C1019/-C1018)^(1/((B1019-B1018)/365))-1</f>
        <v>2.815190042145975</v>
      </c>
      <c r="H1019" s="98"/>
      <c r="K1019" s="98"/>
      <c r="L1019" s="98"/>
      <c r="M1019" s="98"/>
      <c r="N1019" s="98"/>
      <c r="O1019" s="98"/>
      <c r="P1019" s="98"/>
      <c r="Q1019" s="98"/>
      <c r="R1019" s="98"/>
      <c r="S1019" s="98"/>
      <c r="T1019" s="98"/>
      <c r="U1019" s="98"/>
      <c r="V1019" s="98"/>
      <c r="W1019" s="98"/>
      <c r="X1019" s="98"/>
      <c r="Y1019" s="98"/>
      <c r="Z1019" s="98"/>
      <c r="AA1019" s="98"/>
      <c r="AB1019" s="98"/>
      <c r="AC1019" s="98"/>
      <c r="AD1019" s="98"/>
    </row>
    <row r="1020" spans="1:30" ht="12.75" customHeight="1">
      <c r="A1020" s="140" t="s">
        <v>474</v>
      </c>
      <c r="B1020" s="154">
        <v>44480</v>
      </c>
      <c r="C1020" s="395">
        <v>-13391</v>
      </c>
      <c r="D1020" s="395"/>
      <c r="E1020" s="487"/>
      <c r="F1020" s="491"/>
      <c r="G1020" s="488"/>
      <c r="H1020" s="98"/>
      <c r="K1020" s="98"/>
      <c r="L1020" s="98"/>
      <c r="M1020" s="98"/>
      <c r="N1020" s="98"/>
      <c r="O1020" s="98"/>
      <c r="P1020" s="98"/>
      <c r="Q1020" s="98"/>
      <c r="R1020" s="98"/>
      <c r="S1020" s="98"/>
      <c r="T1020" s="98"/>
      <c r="U1020" s="98"/>
      <c r="V1020" s="98"/>
      <c r="W1020" s="98"/>
      <c r="X1020" s="98"/>
      <c r="Y1020" s="98"/>
      <c r="Z1020" s="98"/>
      <c r="AA1020" s="98"/>
      <c r="AB1020" s="98"/>
      <c r="AC1020" s="98"/>
      <c r="AD1020" s="98"/>
    </row>
    <row r="1021" spans="1:30" ht="12.75" customHeight="1">
      <c r="A1021" s="125" t="s">
        <v>474</v>
      </c>
      <c r="B1021" s="155">
        <v>44650</v>
      </c>
      <c r="C1021" s="489">
        <v>13406</v>
      </c>
      <c r="D1021" s="489">
        <f>C1021+C1020</f>
        <v>15</v>
      </c>
      <c r="E1021" s="490">
        <f>IFERROR(-D1021/C1020,0)</f>
        <v>1.1201553282055112E-3</v>
      </c>
      <c r="F1021" s="383">
        <f>B1021-B1020</f>
        <v>170</v>
      </c>
      <c r="G1021" s="490">
        <f>(C1021/-C1020)^(1/((B1021-B1020)/365))-1</f>
        <v>2.4065845643410633E-3</v>
      </c>
      <c r="H1021" s="98"/>
      <c r="K1021" s="98"/>
      <c r="L1021" s="98"/>
      <c r="M1021" s="98"/>
      <c r="N1021" s="98"/>
      <c r="O1021" s="98"/>
      <c r="P1021" s="98"/>
      <c r="Q1021" s="98"/>
      <c r="R1021" s="98"/>
      <c r="S1021" s="98"/>
      <c r="T1021" s="98"/>
      <c r="U1021" s="98"/>
      <c r="V1021" s="98"/>
      <c r="W1021" s="98"/>
      <c r="X1021" s="98"/>
      <c r="Y1021" s="98"/>
      <c r="Z1021" s="98"/>
      <c r="AA1021" s="98"/>
      <c r="AB1021" s="98"/>
      <c r="AC1021" s="98"/>
      <c r="AD1021" s="98"/>
    </row>
    <row r="1022" spans="1:30" ht="12.75" customHeight="1">
      <c r="A1022" s="140" t="s">
        <v>474</v>
      </c>
      <c r="B1022" s="154">
        <v>44508</v>
      </c>
      <c r="C1022" s="395">
        <v>-5006</v>
      </c>
      <c r="D1022" s="395"/>
      <c r="E1022" s="487"/>
      <c r="F1022" s="491"/>
      <c r="G1022" s="488"/>
      <c r="H1022" s="98"/>
      <c r="K1022" s="98"/>
      <c r="L1022" s="98"/>
      <c r="M1022" s="98"/>
      <c r="N1022" s="98"/>
      <c r="O1022" s="98"/>
      <c r="P1022" s="98"/>
      <c r="Q1022" s="98"/>
      <c r="R1022" s="98"/>
      <c r="S1022" s="98"/>
      <c r="T1022" s="98"/>
      <c r="U1022" s="98"/>
      <c r="V1022" s="98"/>
      <c r="W1022" s="98"/>
      <c r="X1022" s="98"/>
      <c r="Y1022" s="98"/>
      <c r="Z1022" s="98"/>
      <c r="AA1022" s="98"/>
      <c r="AB1022" s="98"/>
      <c r="AC1022" s="98"/>
      <c r="AD1022" s="98"/>
    </row>
    <row r="1023" spans="1:30" ht="12.75" customHeight="1">
      <c r="A1023" s="125" t="s">
        <v>474</v>
      </c>
      <c r="B1023" s="155">
        <v>44650</v>
      </c>
      <c r="C1023" s="489">
        <v>5363</v>
      </c>
      <c r="D1023" s="489">
        <f>C1023+C1022</f>
        <v>357</v>
      </c>
      <c r="E1023" s="490">
        <f>IFERROR(-D1023/C1022,0)</f>
        <v>7.1314422692768678E-2</v>
      </c>
      <c r="F1023" s="383">
        <f>B1023-B1022</f>
        <v>142</v>
      </c>
      <c r="G1023" s="490">
        <f>(C1023/-C1022)^(1/((B1023-B1022)/365))-1</f>
        <v>0.19371103001475753</v>
      </c>
      <c r="H1023" s="98"/>
      <c r="K1023" s="98"/>
      <c r="L1023" s="98"/>
      <c r="M1023" s="98"/>
      <c r="N1023" s="98"/>
      <c r="O1023" s="98"/>
      <c r="P1023" s="98"/>
      <c r="Q1023" s="98"/>
      <c r="R1023" s="98"/>
      <c r="S1023" s="98"/>
      <c r="T1023" s="98"/>
      <c r="U1023" s="98"/>
      <c r="V1023" s="98"/>
      <c r="W1023" s="98"/>
      <c r="X1023" s="98"/>
      <c r="Y1023" s="98"/>
      <c r="Z1023" s="98"/>
      <c r="AA1023" s="98"/>
      <c r="AB1023" s="98"/>
      <c r="AC1023" s="98"/>
      <c r="AD1023" s="98"/>
    </row>
    <row r="1024" spans="1:30" ht="12.75" customHeight="1">
      <c r="A1024" s="138" t="s">
        <v>1372</v>
      </c>
      <c r="B1024" s="492">
        <v>44225</v>
      </c>
      <c r="C1024" s="493">
        <v>-9013.58</v>
      </c>
      <c r="D1024" s="395"/>
      <c r="E1024" s="487"/>
      <c r="F1024" s="491"/>
      <c r="G1024" s="488"/>
      <c r="H1024" s="98"/>
      <c r="K1024" s="98"/>
      <c r="L1024" s="98"/>
      <c r="M1024" s="98"/>
      <c r="N1024" s="98"/>
      <c r="O1024" s="98"/>
      <c r="P1024" s="98"/>
      <c r="Q1024" s="98"/>
      <c r="R1024" s="98"/>
      <c r="S1024" s="98"/>
      <c r="T1024" s="98"/>
      <c r="U1024" s="98"/>
      <c r="V1024" s="98"/>
      <c r="W1024" s="98"/>
      <c r="X1024" s="98"/>
      <c r="Y1024" s="98"/>
      <c r="Z1024" s="98"/>
      <c r="AA1024" s="98"/>
      <c r="AB1024" s="98"/>
      <c r="AC1024" s="98"/>
      <c r="AD1024" s="98"/>
    </row>
    <row r="1025" spans="1:30" ht="12.75" customHeight="1">
      <c r="A1025" s="125" t="s">
        <v>1372</v>
      </c>
      <c r="B1025" s="495">
        <v>44229</v>
      </c>
      <c r="C1025" s="496">
        <v>9378.4500000000007</v>
      </c>
      <c r="D1025" s="489">
        <f>C1025+C1024</f>
        <v>364.8700000000008</v>
      </c>
      <c r="E1025" s="490">
        <f>-D1025/C1024</f>
        <v>4.0480031241748649E-2</v>
      </c>
      <c r="F1025" s="383">
        <f>B1025-B1024</f>
        <v>4</v>
      </c>
      <c r="G1025" s="490">
        <f>(C1025/-C1024)^(1/((B1025-B1024)/365))-1</f>
        <v>36.374867397262527</v>
      </c>
      <c r="H1025" s="98"/>
      <c r="K1025" s="98"/>
      <c r="L1025" s="98"/>
      <c r="M1025" s="98"/>
      <c r="N1025" s="98"/>
      <c r="O1025" s="98"/>
      <c r="P1025" s="98"/>
      <c r="Q1025" s="98"/>
      <c r="R1025" s="98"/>
      <c r="S1025" s="98"/>
      <c r="T1025" s="98"/>
      <c r="U1025" s="98"/>
      <c r="V1025" s="98"/>
      <c r="W1025" s="98"/>
      <c r="X1025" s="98"/>
      <c r="Y1025" s="98"/>
      <c r="Z1025" s="98"/>
      <c r="AA1025" s="98"/>
      <c r="AB1025" s="98"/>
      <c r="AC1025" s="98"/>
      <c r="AD1025" s="98"/>
    </row>
    <row r="1026" spans="1:30" ht="12.75" customHeight="1">
      <c r="A1026" s="140" t="s">
        <v>561</v>
      </c>
      <c r="B1026" s="154">
        <v>44383</v>
      </c>
      <c r="C1026" s="395">
        <v>-4781</v>
      </c>
      <c r="D1026" s="395"/>
      <c r="E1026" s="487"/>
      <c r="F1026" s="491"/>
      <c r="G1026" s="488"/>
      <c r="H1026" s="98"/>
      <c r="K1026" s="98"/>
      <c r="L1026" s="98"/>
      <c r="M1026" s="98"/>
      <c r="N1026" s="98"/>
      <c r="O1026" s="98"/>
      <c r="P1026" s="98"/>
      <c r="Q1026" s="98"/>
      <c r="R1026" s="98"/>
      <c r="S1026" s="98"/>
      <c r="T1026" s="98"/>
      <c r="U1026" s="98"/>
      <c r="V1026" s="98"/>
      <c r="W1026" s="98"/>
      <c r="X1026" s="98"/>
      <c r="Y1026" s="98"/>
      <c r="Z1026" s="98"/>
      <c r="AA1026" s="98"/>
      <c r="AB1026" s="98"/>
      <c r="AC1026" s="98"/>
      <c r="AD1026" s="98"/>
    </row>
    <row r="1027" spans="1:30" ht="12.75" customHeight="1">
      <c r="A1027" s="125" t="s">
        <v>561</v>
      </c>
      <c r="B1027" s="155">
        <v>44539</v>
      </c>
      <c r="C1027" s="489">
        <v>3047</v>
      </c>
      <c r="D1027" s="489">
        <f>C1027+C1026</f>
        <v>-1734</v>
      </c>
      <c r="E1027" s="490">
        <f>-D1027/C1026</f>
        <v>-0.36268563062120895</v>
      </c>
      <c r="F1027" s="383">
        <f>B1027-B1026</f>
        <v>156</v>
      </c>
      <c r="G1027" s="490">
        <f>(C1027/-C1026)^(1/((B1027-B1026)/365))-1</f>
        <v>-0.65147186018945413</v>
      </c>
      <c r="H1027" s="98"/>
      <c r="K1027" s="98"/>
      <c r="L1027" s="98"/>
      <c r="M1027" s="98"/>
      <c r="N1027" s="98"/>
      <c r="O1027" s="98"/>
      <c r="P1027" s="98"/>
      <c r="Q1027" s="98"/>
      <c r="R1027" s="98"/>
      <c r="S1027" s="98"/>
      <c r="T1027" s="98"/>
      <c r="U1027" s="98"/>
      <c r="V1027" s="98"/>
      <c r="W1027" s="98"/>
      <c r="X1027" s="98"/>
      <c r="Y1027" s="98"/>
      <c r="Z1027" s="98"/>
      <c r="AA1027" s="98"/>
      <c r="AB1027" s="98"/>
      <c r="AC1027" s="98"/>
      <c r="AD1027" s="98"/>
    </row>
    <row r="1028" spans="1:30" ht="12.75" customHeight="1">
      <c r="A1028" s="140" t="s">
        <v>561</v>
      </c>
      <c r="B1028" s="154">
        <v>44383</v>
      </c>
      <c r="C1028" s="395">
        <v>-4706</v>
      </c>
      <c r="D1028" s="395"/>
      <c r="E1028" s="487"/>
      <c r="F1028" s="491"/>
      <c r="G1028" s="488"/>
      <c r="H1028" s="98"/>
      <c r="K1028" s="98"/>
      <c r="L1028" s="98"/>
      <c r="M1028" s="98"/>
      <c r="N1028" s="98"/>
      <c r="O1028" s="98"/>
      <c r="P1028" s="98"/>
      <c r="Q1028" s="98"/>
      <c r="R1028" s="98"/>
      <c r="S1028" s="98"/>
      <c r="T1028" s="98"/>
      <c r="U1028" s="98"/>
      <c r="V1028" s="98"/>
      <c r="W1028" s="98"/>
      <c r="X1028" s="98"/>
      <c r="Y1028" s="98"/>
      <c r="Z1028" s="98"/>
      <c r="AA1028" s="98"/>
      <c r="AB1028" s="98"/>
      <c r="AC1028" s="98"/>
      <c r="AD1028" s="98"/>
    </row>
    <row r="1029" spans="1:30" ht="12.75" customHeight="1">
      <c r="A1029" s="125" t="s">
        <v>561</v>
      </c>
      <c r="B1029" s="155">
        <v>44539</v>
      </c>
      <c r="C1029" s="489">
        <v>3047</v>
      </c>
      <c r="D1029" s="489">
        <f>C1029+C1028</f>
        <v>-1659</v>
      </c>
      <c r="E1029" s="490">
        <f>-D1029/C1028</f>
        <v>-0.35252868678283045</v>
      </c>
      <c r="F1029" s="383">
        <f>B1029-B1028</f>
        <v>156</v>
      </c>
      <c r="G1029" s="490">
        <f>(C1029/-C1028)^(1/((B1029-B1028)/365))-1</f>
        <v>-0.63833669356892808</v>
      </c>
      <c r="H1029" s="98"/>
      <c r="K1029" s="98"/>
      <c r="L1029" s="98"/>
      <c r="M1029" s="98"/>
      <c r="N1029" s="98"/>
      <c r="O1029" s="98"/>
      <c r="P1029" s="98"/>
      <c r="Q1029" s="98"/>
      <c r="R1029" s="98"/>
      <c r="S1029" s="98"/>
      <c r="T1029" s="98"/>
      <c r="U1029" s="98"/>
      <c r="V1029" s="98"/>
      <c r="W1029" s="98"/>
      <c r="X1029" s="98"/>
      <c r="Y1029" s="98"/>
      <c r="Z1029" s="98"/>
      <c r="AA1029" s="98"/>
      <c r="AB1029" s="98"/>
      <c r="AC1029" s="98"/>
      <c r="AD1029" s="98"/>
    </row>
    <row r="1030" spans="1:30" ht="12.75" customHeight="1">
      <c r="A1030" s="140" t="s">
        <v>561</v>
      </c>
      <c r="B1030" s="154">
        <v>44383</v>
      </c>
      <c r="C1030" s="395">
        <v>-4605</v>
      </c>
      <c r="D1030" s="395"/>
      <c r="E1030" s="487"/>
      <c r="F1030" s="491"/>
      <c r="G1030" s="488"/>
      <c r="H1030" s="98"/>
      <c r="K1030" s="98"/>
      <c r="L1030" s="98"/>
      <c r="M1030" s="98"/>
      <c r="N1030" s="98"/>
      <c r="O1030" s="98"/>
      <c r="P1030" s="98"/>
      <c r="Q1030" s="98"/>
      <c r="R1030" s="98"/>
      <c r="S1030" s="98"/>
      <c r="T1030" s="98"/>
      <c r="U1030" s="98"/>
      <c r="V1030" s="98"/>
      <c r="W1030" s="98"/>
      <c r="X1030" s="98"/>
      <c r="Y1030" s="98"/>
      <c r="Z1030" s="98"/>
      <c r="AA1030" s="98"/>
      <c r="AB1030" s="98"/>
      <c r="AC1030" s="98"/>
      <c r="AD1030" s="98"/>
    </row>
    <row r="1031" spans="1:30" ht="12.75" customHeight="1">
      <c r="A1031" s="125" t="s">
        <v>561</v>
      </c>
      <c r="B1031" s="155">
        <v>44539</v>
      </c>
      <c r="C1031" s="489">
        <v>3047</v>
      </c>
      <c r="D1031" s="489">
        <f>C1031+C1030</f>
        <v>-1558</v>
      </c>
      <c r="E1031" s="490">
        <f>-D1031/C1030</f>
        <v>-0.33832790445168293</v>
      </c>
      <c r="F1031" s="383">
        <f>B1031-B1030</f>
        <v>156</v>
      </c>
      <c r="G1031" s="490">
        <f>(C1031/-C1030)^(1/((B1031-B1030)/365))-1</f>
        <v>-0.61950391981204578</v>
      </c>
      <c r="H1031" s="98"/>
      <c r="K1031" s="98"/>
      <c r="L1031" s="98"/>
      <c r="M1031" s="98"/>
      <c r="N1031" s="98"/>
      <c r="O1031" s="98"/>
      <c r="P1031" s="98"/>
      <c r="Q1031" s="98"/>
      <c r="R1031" s="98"/>
      <c r="S1031" s="98"/>
      <c r="T1031" s="98"/>
      <c r="U1031" s="98"/>
      <c r="V1031" s="98"/>
      <c r="W1031" s="98"/>
      <c r="X1031" s="98"/>
      <c r="Y1031" s="98"/>
      <c r="Z1031" s="98"/>
      <c r="AA1031" s="98"/>
      <c r="AB1031" s="98"/>
      <c r="AC1031" s="98"/>
      <c r="AD1031" s="98"/>
    </row>
    <row r="1032" spans="1:30" ht="12.75" customHeight="1">
      <c r="A1032" s="140" t="s">
        <v>561</v>
      </c>
      <c r="B1032" s="154">
        <v>44568</v>
      </c>
      <c r="C1032" s="395">
        <v>-3424</v>
      </c>
      <c r="D1032" s="395"/>
      <c r="E1032" s="487"/>
      <c r="F1032" s="491"/>
      <c r="G1032" s="488"/>
      <c r="H1032" s="98"/>
      <c r="K1032" s="98"/>
      <c r="L1032" s="98"/>
      <c r="M1032" s="98"/>
      <c r="N1032" s="98"/>
      <c r="O1032" s="98"/>
      <c r="P1032" s="98"/>
      <c r="Q1032" s="98"/>
      <c r="R1032" s="98"/>
      <c r="S1032" s="98"/>
      <c r="T1032" s="98"/>
      <c r="U1032" s="98"/>
      <c r="V1032" s="98"/>
      <c r="W1032" s="98"/>
      <c r="X1032" s="98"/>
      <c r="Y1032" s="98"/>
      <c r="Z1032" s="98"/>
      <c r="AA1032" s="98"/>
      <c r="AB1032" s="98"/>
      <c r="AC1032" s="98"/>
      <c r="AD1032" s="98"/>
    </row>
    <row r="1033" spans="1:30" ht="12.75" customHeight="1">
      <c r="A1033" s="125" t="s">
        <v>561</v>
      </c>
      <c r="B1033" s="155">
        <v>44578</v>
      </c>
      <c r="C1033" s="489">
        <v>3446</v>
      </c>
      <c r="D1033" s="489">
        <f>C1033+C1032</f>
        <v>22</v>
      </c>
      <c r="E1033" s="490">
        <f>-D1033/C1032</f>
        <v>6.4252336448598129E-3</v>
      </c>
      <c r="F1033" s="383">
        <f>B1033-B1032</f>
        <v>10</v>
      </c>
      <c r="G1033" s="490">
        <f>(C1033/-C1032)^(1/((B1033-B1032)/365))-1</f>
        <v>0.26335491533361854</v>
      </c>
      <c r="H1033" s="98"/>
      <c r="K1033" s="98"/>
      <c r="L1033" s="98"/>
      <c r="M1033" s="98"/>
      <c r="N1033" s="98"/>
      <c r="O1033" s="98"/>
      <c r="P1033" s="98"/>
      <c r="Q1033" s="98"/>
      <c r="R1033" s="98"/>
      <c r="S1033" s="98"/>
      <c r="T1033" s="98"/>
      <c r="U1033" s="98"/>
      <c r="V1033" s="98"/>
      <c r="W1033" s="98"/>
      <c r="X1033" s="98"/>
      <c r="Y1033" s="98"/>
      <c r="Z1033" s="98"/>
      <c r="AA1033" s="98"/>
      <c r="AB1033" s="98"/>
      <c r="AC1033" s="98"/>
      <c r="AD1033" s="98"/>
    </row>
    <row r="1034" spans="1:30" ht="12.75" customHeight="1">
      <c r="A1034" s="140" t="s">
        <v>615</v>
      </c>
      <c r="B1034" s="154">
        <v>44656</v>
      </c>
      <c r="C1034" s="395">
        <v>-27300</v>
      </c>
      <c r="D1034" s="395"/>
      <c r="E1034" s="487"/>
      <c r="F1034" s="491"/>
      <c r="G1034" s="488"/>
      <c r="H1034" s="98"/>
      <c r="K1034" s="98"/>
      <c r="L1034" s="98"/>
      <c r="M1034" s="98"/>
      <c r="N1034" s="98"/>
      <c r="O1034" s="98"/>
      <c r="P1034" s="98"/>
      <c r="Q1034" s="98"/>
      <c r="R1034" s="98"/>
      <c r="S1034" s="98"/>
      <c r="T1034" s="98"/>
      <c r="U1034" s="98"/>
      <c r="V1034" s="98"/>
      <c r="W1034" s="98"/>
      <c r="X1034" s="98"/>
      <c r="Y1034" s="98"/>
      <c r="Z1034" s="98"/>
      <c r="AA1034" s="98"/>
      <c r="AB1034" s="98"/>
      <c r="AC1034" s="98"/>
      <c r="AD1034" s="98"/>
    </row>
    <row r="1035" spans="1:30" ht="12.75" customHeight="1">
      <c r="A1035" s="125" t="s">
        <v>615</v>
      </c>
      <c r="B1035" s="155">
        <v>44659</v>
      </c>
      <c r="C1035" s="489">
        <v>36922</v>
      </c>
      <c r="D1035" s="489">
        <f>C1035+C1034</f>
        <v>9622</v>
      </c>
      <c r="E1035" s="490">
        <f>IFERROR(-D1035/C1034,0)</f>
        <v>0.35245421245421243</v>
      </c>
      <c r="F1035" s="383">
        <f>B1035-B1034</f>
        <v>3</v>
      </c>
      <c r="G1035" s="490">
        <f>(C1035/-C1034)^(1/((B1035-B1034)/365))-1</f>
        <v>8979375405250196</v>
      </c>
      <c r="H1035" s="98"/>
      <c r="K1035" s="98"/>
      <c r="L1035" s="98"/>
      <c r="M1035" s="98"/>
      <c r="N1035" s="98"/>
      <c r="O1035" s="98"/>
      <c r="P1035" s="98"/>
      <c r="Q1035" s="98"/>
      <c r="R1035" s="98"/>
      <c r="S1035" s="98"/>
      <c r="T1035" s="98"/>
      <c r="U1035" s="98"/>
      <c r="V1035" s="98"/>
      <c r="W1035" s="98"/>
      <c r="X1035" s="98"/>
      <c r="Y1035" s="98"/>
      <c r="Z1035" s="98"/>
      <c r="AA1035" s="98"/>
      <c r="AB1035" s="98"/>
      <c r="AC1035" s="98"/>
      <c r="AD1035" s="98"/>
    </row>
    <row r="1036" spans="1:30" ht="12.75" customHeight="1">
      <c r="A1036" s="140" t="s">
        <v>615</v>
      </c>
      <c r="B1036" s="154">
        <v>44662</v>
      </c>
      <c r="C1036" s="395">
        <v>-23778</v>
      </c>
      <c r="D1036" s="395"/>
      <c r="E1036" s="487"/>
      <c r="F1036" s="491"/>
      <c r="G1036" s="488"/>
      <c r="H1036" s="98"/>
      <c r="K1036" s="98"/>
      <c r="L1036" s="98"/>
      <c r="M1036" s="98"/>
      <c r="N1036" s="98"/>
      <c r="O1036" s="98"/>
      <c r="P1036" s="98"/>
      <c r="Q1036" s="98"/>
      <c r="R1036" s="98"/>
      <c r="S1036" s="98"/>
      <c r="T1036" s="98"/>
      <c r="U1036" s="98"/>
      <c r="V1036" s="98"/>
      <c r="W1036" s="98"/>
      <c r="X1036" s="98"/>
      <c r="Y1036" s="98"/>
      <c r="Z1036" s="98"/>
      <c r="AA1036" s="98"/>
      <c r="AB1036" s="98"/>
      <c r="AC1036" s="98"/>
      <c r="AD1036" s="98"/>
    </row>
    <row r="1037" spans="1:30" ht="12.75" customHeight="1">
      <c r="A1037" s="125" t="s">
        <v>615</v>
      </c>
      <c r="B1037" s="155">
        <v>44677</v>
      </c>
      <c r="C1037" s="489">
        <v>25274</v>
      </c>
      <c r="D1037" s="489">
        <f>C1037+C1036</f>
        <v>1496</v>
      </c>
      <c r="E1037" s="490">
        <f>IFERROR(-D1037/C1036,0)</f>
        <v>6.2915299857010679E-2</v>
      </c>
      <c r="F1037" s="383">
        <f>B1037-B1036</f>
        <v>15</v>
      </c>
      <c r="G1037" s="490">
        <f>(C1037/-C1036)^(1/((B1037-B1036)/365))-1</f>
        <v>3.413678432990098</v>
      </c>
      <c r="H1037" s="98"/>
      <c r="K1037" s="98"/>
      <c r="L1037" s="98"/>
      <c r="M1037" s="98"/>
      <c r="N1037" s="98"/>
      <c r="O1037" s="98"/>
      <c r="P1037" s="98"/>
      <c r="Q1037" s="98"/>
      <c r="R1037" s="98"/>
      <c r="S1037" s="98"/>
      <c r="T1037" s="98"/>
      <c r="U1037" s="98"/>
      <c r="V1037" s="98"/>
      <c r="W1037" s="98"/>
      <c r="X1037" s="98"/>
      <c r="Y1037" s="98"/>
      <c r="Z1037" s="98"/>
      <c r="AA1037" s="98"/>
      <c r="AB1037" s="98"/>
      <c r="AC1037" s="98"/>
      <c r="AD1037" s="98"/>
    </row>
    <row r="1038" spans="1:30" ht="12.75" customHeight="1">
      <c r="A1038" s="140" t="s">
        <v>615</v>
      </c>
      <c r="B1038" s="154">
        <v>44663</v>
      </c>
      <c r="C1038" s="395">
        <v>-27032</v>
      </c>
      <c r="D1038" s="395"/>
      <c r="E1038" s="487"/>
      <c r="F1038" s="491"/>
      <c r="G1038" s="488"/>
      <c r="H1038" s="98"/>
      <c r="K1038" s="98"/>
      <c r="L1038" s="98"/>
      <c r="M1038" s="98"/>
      <c r="N1038" s="98"/>
      <c r="O1038" s="98"/>
      <c r="P1038" s="98"/>
      <c r="Q1038" s="98"/>
      <c r="R1038" s="98"/>
      <c r="S1038" s="98"/>
      <c r="T1038" s="98"/>
      <c r="U1038" s="98"/>
      <c r="V1038" s="98"/>
      <c r="W1038" s="98"/>
      <c r="X1038" s="98"/>
      <c r="Y1038" s="98"/>
      <c r="Z1038" s="98"/>
      <c r="AA1038" s="98"/>
      <c r="AB1038" s="98"/>
      <c r="AC1038" s="98"/>
      <c r="AD1038" s="98"/>
    </row>
    <row r="1039" spans="1:30" ht="12.75" customHeight="1">
      <c r="A1039" s="125" t="s">
        <v>615</v>
      </c>
      <c r="B1039" s="155">
        <v>44677</v>
      </c>
      <c r="C1039" s="489">
        <v>29100</v>
      </c>
      <c r="D1039" s="489">
        <f>C1039+C1038</f>
        <v>2068</v>
      </c>
      <c r="E1039" s="490">
        <f>IFERROR(-D1039/C1038,0)</f>
        <v>7.650192364604913E-2</v>
      </c>
      <c r="F1039" s="383">
        <f>B1039-B1038</f>
        <v>14</v>
      </c>
      <c r="G1039" s="490">
        <f>(C1039/-C1038)^(1/((B1039-B1038)/365))-1</f>
        <v>5.8339506429257408</v>
      </c>
      <c r="H1039" s="98"/>
      <c r="K1039" s="98"/>
      <c r="L1039" s="98"/>
      <c r="M1039" s="98"/>
      <c r="N1039" s="98"/>
      <c r="O1039" s="98"/>
      <c r="P1039" s="98"/>
      <c r="Q1039" s="98"/>
      <c r="R1039" s="98"/>
      <c r="S1039" s="98"/>
      <c r="T1039" s="98"/>
      <c r="U1039" s="98"/>
      <c r="V1039" s="98"/>
      <c r="W1039" s="98"/>
      <c r="X1039" s="98"/>
      <c r="Y1039" s="98"/>
      <c r="Z1039" s="98"/>
      <c r="AA1039" s="98"/>
      <c r="AB1039" s="98"/>
      <c r="AC1039" s="98"/>
      <c r="AD1039" s="98"/>
    </row>
    <row r="1040" spans="1:30" ht="12.75" customHeight="1">
      <c r="A1040" s="140" t="s">
        <v>615</v>
      </c>
      <c r="B1040" s="154">
        <v>44679</v>
      </c>
      <c r="C1040" s="395">
        <v>-22226</v>
      </c>
      <c r="D1040" s="395"/>
      <c r="E1040" s="487"/>
      <c r="F1040" s="491"/>
      <c r="G1040" s="488"/>
      <c r="H1040" s="98"/>
      <c r="K1040" s="98"/>
      <c r="L1040" s="98"/>
      <c r="M1040" s="98"/>
      <c r="N1040" s="98"/>
      <c r="O1040" s="98"/>
      <c r="P1040" s="98"/>
      <c r="Q1040" s="98"/>
      <c r="R1040" s="98"/>
      <c r="S1040" s="98"/>
      <c r="T1040" s="98"/>
      <c r="U1040" s="98"/>
      <c r="V1040" s="98"/>
      <c r="W1040" s="98"/>
      <c r="X1040" s="98"/>
      <c r="Y1040" s="98"/>
      <c r="Z1040" s="98"/>
      <c r="AA1040" s="98"/>
      <c r="AB1040" s="98"/>
      <c r="AC1040" s="98"/>
      <c r="AD1040" s="98"/>
    </row>
    <row r="1041" spans="1:30" ht="12.75" customHeight="1">
      <c r="A1041" s="125" t="s">
        <v>615</v>
      </c>
      <c r="B1041" s="155">
        <v>44699</v>
      </c>
      <c r="C1041" s="489">
        <v>22776</v>
      </c>
      <c r="D1041" s="489">
        <f>C1041+C1040</f>
        <v>550</v>
      </c>
      <c r="E1041" s="490">
        <f>IFERROR(-D1041/C1040,0)</f>
        <v>2.4745793215153425E-2</v>
      </c>
      <c r="F1041" s="383">
        <f>B1041-B1040</f>
        <v>20</v>
      </c>
      <c r="G1041" s="490">
        <f>(C1041/-C1040)^(1/((B1041-B1040)/365))-1</f>
        <v>0.56222876572530733</v>
      </c>
      <c r="H1041" s="98"/>
      <c r="K1041" s="98"/>
      <c r="L1041" s="98"/>
      <c r="M1041" s="98"/>
      <c r="N1041" s="98"/>
      <c r="O1041" s="98"/>
      <c r="P1041" s="98"/>
      <c r="Q1041" s="98"/>
      <c r="R1041" s="98"/>
      <c r="S1041" s="98"/>
      <c r="T1041" s="98"/>
      <c r="U1041" s="98"/>
      <c r="V1041" s="98"/>
      <c r="W1041" s="98"/>
      <c r="X1041" s="98"/>
      <c r="Y1041" s="98"/>
      <c r="Z1041" s="98"/>
      <c r="AA1041" s="98"/>
      <c r="AB1041" s="98"/>
      <c r="AC1041" s="98"/>
      <c r="AD1041" s="98"/>
    </row>
    <row r="1042" spans="1:30" ht="12.75" customHeight="1">
      <c r="A1042" s="138" t="s">
        <v>495</v>
      </c>
      <c r="B1042" s="492">
        <v>44257</v>
      </c>
      <c r="C1042" s="493">
        <v>-8004.33</v>
      </c>
      <c r="D1042" s="395"/>
      <c r="E1042" s="487"/>
      <c r="F1042" s="491"/>
      <c r="G1042" s="488"/>
      <c r="H1042" s="98"/>
      <c r="K1042" s="98"/>
      <c r="L1042" s="98"/>
      <c r="M1042" s="98"/>
      <c r="N1042" s="98"/>
      <c r="O1042" s="98"/>
      <c r="P1042" s="98"/>
      <c r="Q1042" s="98"/>
      <c r="R1042" s="98"/>
      <c r="S1042" s="98"/>
      <c r="T1042" s="98"/>
      <c r="U1042" s="98"/>
      <c r="V1042" s="98"/>
      <c r="W1042" s="98"/>
      <c r="X1042" s="98"/>
      <c r="Y1042" s="98"/>
      <c r="Z1042" s="98"/>
      <c r="AA1042" s="98"/>
      <c r="AB1042" s="98"/>
      <c r="AC1042" s="98"/>
      <c r="AD1042" s="98"/>
    </row>
    <row r="1043" spans="1:30" ht="12.75" customHeight="1">
      <c r="A1043" s="125" t="s">
        <v>495</v>
      </c>
      <c r="B1043" s="495">
        <v>44287</v>
      </c>
      <c r="C1043" s="496">
        <v>8192</v>
      </c>
      <c r="D1043" s="489">
        <f>C1043+C1042</f>
        <v>187.67000000000007</v>
      </c>
      <c r="E1043" s="490">
        <f>-D1043/C1042</f>
        <v>2.3446059820122368E-2</v>
      </c>
      <c r="F1043" s="383">
        <f>B1043-B1042</f>
        <v>30</v>
      </c>
      <c r="G1043" s="490">
        <f>(C1043/-C1042)^(1/((B1043-B1042)/365))-1</f>
        <v>0.32573582774831689</v>
      </c>
      <c r="H1043" s="98"/>
      <c r="K1043" s="98"/>
      <c r="L1043" s="98"/>
      <c r="M1043" s="98"/>
      <c r="N1043" s="98"/>
      <c r="O1043" s="98"/>
      <c r="P1043" s="98"/>
      <c r="Q1043" s="98"/>
      <c r="R1043" s="98"/>
      <c r="S1043" s="98"/>
      <c r="T1043" s="98"/>
      <c r="U1043" s="98"/>
      <c r="V1043" s="98"/>
      <c r="W1043" s="98"/>
      <c r="X1043" s="98"/>
      <c r="Y1043" s="98"/>
      <c r="Z1043" s="98"/>
      <c r="AA1043" s="98"/>
      <c r="AB1043" s="98"/>
      <c r="AC1043" s="98"/>
      <c r="AD1043" s="98"/>
    </row>
    <row r="1044" spans="1:30" ht="12.75" customHeight="1">
      <c r="A1044" s="138" t="s">
        <v>495</v>
      </c>
      <c r="B1044" s="492">
        <v>44322</v>
      </c>
      <c r="C1044" s="493">
        <v>-6558</v>
      </c>
      <c r="D1044" s="395"/>
      <c r="E1044" s="487"/>
      <c r="F1044" s="491"/>
      <c r="G1044" s="488"/>
      <c r="H1044" s="98"/>
      <c r="K1044" s="98"/>
      <c r="L1044" s="98"/>
      <c r="M1044" s="98"/>
      <c r="N1044" s="98"/>
      <c r="O1044" s="98"/>
      <c r="P1044" s="98"/>
      <c r="Q1044" s="98"/>
      <c r="R1044" s="98"/>
      <c r="S1044" s="98"/>
      <c r="T1044" s="98"/>
      <c r="U1044" s="98"/>
      <c r="V1044" s="98"/>
      <c r="W1044" s="98"/>
      <c r="X1044" s="98"/>
      <c r="Y1044" s="98"/>
      <c r="Z1044" s="98"/>
      <c r="AA1044" s="98"/>
      <c r="AB1044" s="98"/>
      <c r="AC1044" s="98"/>
      <c r="AD1044" s="98"/>
    </row>
    <row r="1045" spans="1:30" ht="12.75" customHeight="1">
      <c r="A1045" s="125" t="s">
        <v>495</v>
      </c>
      <c r="B1045" s="495">
        <v>44323</v>
      </c>
      <c r="C1045" s="496">
        <v>7205</v>
      </c>
      <c r="D1045" s="489">
        <f>C1045+C1044</f>
        <v>647</v>
      </c>
      <c r="E1045" s="490">
        <f>-D1045/C1044</f>
        <v>9.8658127477889601E-2</v>
      </c>
      <c r="F1045" s="383">
        <f>B1045-B1044</f>
        <v>1</v>
      </c>
      <c r="G1045" s="490">
        <f>(C1045/-C1044)^(1/((B1045-B1044)/365))-1</f>
        <v>821938035545716</v>
      </c>
      <c r="H1045" s="98"/>
      <c r="K1045" s="98"/>
      <c r="L1045" s="98"/>
      <c r="M1045" s="98"/>
      <c r="N1045" s="98"/>
      <c r="O1045" s="98"/>
      <c r="P1045" s="98"/>
      <c r="Q1045" s="98"/>
      <c r="R1045" s="98"/>
      <c r="S1045" s="98"/>
      <c r="T1045" s="98"/>
      <c r="U1045" s="98"/>
      <c r="V1045" s="98"/>
      <c r="W1045" s="98"/>
      <c r="X1045" s="98"/>
      <c r="Y1045" s="98"/>
      <c r="Z1045" s="98"/>
      <c r="AA1045" s="98"/>
      <c r="AB1045" s="98"/>
      <c r="AC1045" s="98"/>
      <c r="AD1045" s="98"/>
    </row>
    <row r="1046" spans="1:30" ht="12.75" customHeight="1">
      <c r="A1046" s="138" t="s">
        <v>495</v>
      </c>
      <c r="B1046" s="492">
        <v>44336</v>
      </c>
      <c r="C1046" s="493">
        <v>-12315</v>
      </c>
      <c r="D1046" s="395"/>
      <c r="E1046" s="487"/>
      <c r="F1046" s="491"/>
      <c r="G1046" s="488"/>
      <c r="H1046" s="98"/>
      <c r="K1046" s="98"/>
      <c r="L1046" s="98"/>
      <c r="M1046" s="98"/>
      <c r="N1046" s="98"/>
      <c r="O1046" s="98"/>
      <c r="P1046" s="98"/>
      <c r="Q1046" s="98"/>
      <c r="R1046" s="98"/>
      <c r="S1046" s="98"/>
      <c r="T1046" s="98"/>
      <c r="U1046" s="98"/>
      <c r="V1046" s="98"/>
      <c r="W1046" s="98"/>
      <c r="X1046" s="98"/>
      <c r="Y1046" s="98"/>
      <c r="Z1046" s="98"/>
      <c r="AA1046" s="98"/>
      <c r="AB1046" s="98"/>
      <c r="AC1046" s="98"/>
      <c r="AD1046" s="98"/>
    </row>
    <row r="1047" spans="1:30" ht="12.75" customHeight="1">
      <c r="A1047" s="125" t="s">
        <v>495</v>
      </c>
      <c r="B1047" s="495">
        <v>44356</v>
      </c>
      <c r="C1047" s="496">
        <v>12437</v>
      </c>
      <c r="D1047" s="489">
        <f>C1047+C1046</f>
        <v>122</v>
      </c>
      <c r="E1047" s="490">
        <f>-D1047/C1046</f>
        <v>9.9066179455948034E-3</v>
      </c>
      <c r="F1047" s="383">
        <f>B1047-B1046</f>
        <v>20</v>
      </c>
      <c r="G1047" s="490">
        <f>(C1047/-C1046)^(1/((B1047-B1046)/365))-1</f>
        <v>0.1971049629276429</v>
      </c>
      <c r="H1047" s="98"/>
      <c r="K1047" s="98"/>
      <c r="L1047" s="98"/>
      <c r="M1047" s="98"/>
      <c r="N1047" s="98"/>
      <c r="O1047" s="98"/>
      <c r="P1047" s="98"/>
      <c r="Q1047" s="98"/>
      <c r="R1047" s="98"/>
      <c r="S1047" s="98"/>
      <c r="T1047" s="98"/>
      <c r="U1047" s="98"/>
      <c r="V1047" s="98"/>
      <c r="W1047" s="98"/>
      <c r="X1047" s="98"/>
      <c r="Y1047" s="98"/>
      <c r="Z1047" s="98"/>
      <c r="AA1047" s="98"/>
      <c r="AB1047" s="98"/>
      <c r="AC1047" s="98"/>
      <c r="AD1047" s="98"/>
    </row>
    <row r="1048" spans="1:30" ht="12.75" customHeight="1">
      <c r="A1048" s="140" t="s">
        <v>495</v>
      </c>
      <c r="B1048" s="154">
        <v>44589</v>
      </c>
      <c r="C1048" s="395">
        <v>-2440</v>
      </c>
      <c r="D1048" s="395"/>
      <c r="E1048" s="487"/>
      <c r="F1048" s="491"/>
      <c r="G1048" s="488"/>
      <c r="H1048" s="98"/>
      <c r="K1048" s="98"/>
      <c r="L1048" s="98"/>
      <c r="M1048" s="98"/>
      <c r="N1048" s="98"/>
      <c r="O1048" s="98"/>
      <c r="P1048" s="98"/>
      <c r="Q1048" s="98"/>
      <c r="R1048" s="98"/>
      <c r="S1048" s="98"/>
      <c r="T1048" s="98"/>
      <c r="U1048" s="98"/>
      <c r="V1048" s="98"/>
      <c r="W1048" s="98"/>
      <c r="X1048" s="98"/>
      <c r="Y1048" s="98"/>
      <c r="Z1048" s="98"/>
      <c r="AA1048" s="98"/>
      <c r="AB1048" s="98"/>
      <c r="AC1048" s="98"/>
      <c r="AD1048" s="98"/>
    </row>
    <row r="1049" spans="1:30" ht="12.75" customHeight="1">
      <c r="A1049" s="125" t="s">
        <v>495</v>
      </c>
      <c r="B1049" s="155">
        <v>44592</v>
      </c>
      <c r="C1049" s="489">
        <v>2460</v>
      </c>
      <c r="D1049" s="489">
        <f>C1049+C1048</f>
        <v>20</v>
      </c>
      <c r="E1049" s="490">
        <f>IFERROR(-D1049/C1048,0)</f>
        <v>8.1967213114754103E-3</v>
      </c>
      <c r="F1049" s="383">
        <f>B1049-B1048</f>
        <v>3</v>
      </c>
      <c r="G1049" s="490">
        <f>(C1049/-C1048)^(1/((B1049-B1048)/365))-1</f>
        <v>1.6998677610750335</v>
      </c>
      <c r="H1049" s="98"/>
      <c r="K1049" s="98"/>
      <c r="L1049" s="98"/>
      <c r="M1049" s="98"/>
      <c r="N1049" s="98"/>
      <c r="O1049" s="98"/>
      <c r="P1049" s="98"/>
      <c r="Q1049" s="98"/>
      <c r="R1049" s="98"/>
      <c r="S1049" s="98"/>
      <c r="T1049" s="98"/>
      <c r="U1049" s="98"/>
      <c r="V1049" s="98"/>
      <c r="W1049" s="98"/>
      <c r="X1049" s="98"/>
      <c r="Y1049" s="98"/>
      <c r="Z1049" s="98"/>
      <c r="AA1049" s="98"/>
      <c r="AB1049" s="98"/>
      <c r="AC1049" s="98"/>
      <c r="AD1049" s="98"/>
    </row>
    <row r="1050" spans="1:30" ht="12.75" customHeight="1">
      <c r="A1050" s="140" t="s">
        <v>495</v>
      </c>
      <c r="B1050" s="154">
        <v>44589</v>
      </c>
      <c r="C1050" s="395">
        <v>-19623</v>
      </c>
      <c r="D1050" s="395"/>
      <c r="E1050" s="487"/>
      <c r="F1050" s="491"/>
      <c r="G1050" s="488"/>
      <c r="H1050" s="98"/>
      <c r="K1050" s="98"/>
      <c r="L1050" s="98"/>
      <c r="M1050" s="98"/>
      <c r="N1050" s="98"/>
      <c r="O1050" s="98"/>
      <c r="P1050" s="98"/>
      <c r="Q1050" s="98"/>
      <c r="R1050" s="98"/>
      <c r="S1050" s="98"/>
      <c r="T1050" s="98"/>
      <c r="U1050" s="98"/>
      <c r="V1050" s="98"/>
      <c r="W1050" s="98"/>
      <c r="X1050" s="98"/>
      <c r="Y1050" s="98"/>
      <c r="Z1050" s="98"/>
      <c r="AA1050" s="98"/>
      <c r="AB1050" s="98"/>
      <c r="AC1050" s="98"/>
      <c r="AD1050" s="98"/>
    </row>
    <row r="1051" spans="1:30" ht="12.75" customHeight="1">
      <c r="A1051" s="125" t="s">
        <v>495</v>
      </c>
      <c r="B1051" s="155">
        <v>44643</v>
      </c>
      <c r="C1051" s="489">
        <v>20529</v>
      </c>
      <c r="D1051" s="489">
        <f>C1051+C1050</f>
        <v>906</v>
      </c>
      <c r="E1051" s="490">
        <f>IFERROR(-D1051/C1050,0)</f>
        <v>4.6170310350099372E-2</v>
      </c>
      <c r="F1051" s="383">
        <f>B1051-B1050</f>
        <v>54</v>
      </c>
      <c r="G1051" s="490">
        <f>(C1051/-C1050)^(1/((B1051-B1050)/365))-1</f>
        <v>0.35674316370332826</v>
      </c>
      <c r="H1051" s="98"/>
      <c r="K1051" s="98"/>
      <c r="L1051" s="98"/>
      <c r="M1051" s="98"/>
      <c r="N1051" s="98"/>
      <c r="O1051" s="98"/>
      <c r="P1051" s="98"/>
      <c r="Q1051" s="98"/>
      <c r="R1051" s="98"/>
      <c r="S1051" s="98"/>
      <c r="T1051" s="98"/>
      <c r="U1051" s="98"/>
      <c r="V1051" s="98"/>
      <c r="W1051" s="98"/>
      <c r="X1051" s="98"/>
      <c r="Y1051" s="98"/>
      <c r="Z1051" s="98"/>
      <c r="AA1051" s="98"/>
      <c r="AB1051" s="98"/>
      <c r="AC1051" s="98"/>
      <c r="AD1051" s="98"/>
    </row>
    <row r="1052" spans="1:30" ht="12.75" customHeight="1">
      <c r="A1052" s="140" t="s">
        <v>495</v>
      </c>
      <c r="B1052" s="154">
        <v>44589</v>
      </c>
      <c r="C1052" s="395">
        <v>-39647</v>
      </c>
      <c r="D1052" s="395"/>
      <c r="E1052" s="487"/>
      <c r="F1052" s="491"/>
      <c r="G1052" s="488"/>
      <c r="H1052" s="98"/>
      <c r="K1052" s="98"/>
      <c r="L1052" s="98"/>
      <c r="M1052" s="98"/>
      <c r="N1052" s="98"/>
      <c r="O1052" s="98"/>
      <c r="P1052" s="98"/>
      <c r="Q1052" s="98"/>
      <c r="R1052" s="98"/>
      <c r="S1052" s="98"/>
      <c r="T1052" s="98"/>
      <c r="U1052" s="98"/>
      <c r="V1052" s="98"/>
      <c r="W1052" s="98"/>
      <c r="X1052" s="98"/>
      <c r="Y1052" s="98"/>
      <c r="Z1052" s="98"/>
      <c r="AA1052" s="98"/>
      <c r="AB1052" s="98"/>
      <c r="AC1052" s="98"/>
      <c r="AD1052" s="98"/>
    </row>
    <row r="1053" spans="1:30" ht="12.75" customHeight="1">
      <c r="A1053" s="125" t="s">
        <v>495</v>
      </c>
      <c r="B1053" s="155">
        <v>44643</v>
      </c>
      <c r="C1053" s="489">
        <v>41557</v>
      </c>
      <c r="D1053" s="489">
        <f>C1053+C1052</f>
        <v>1910</v>
      </c>
      <c r="E1053" s="490">
        <f>IFERROR(-D1053/C1052,0)</f>
        <v>4.81751456604535E-2</v>
      </c>
      <c r="F1053" s="383">
        <f>B1053-B1052</f>
        <v>54</v>
      </c>
      <c r="G1053" s="490">
        <f>(C1053/-C1052)^(1/((B1053-B1052)/365))-1</f>
        <v>0.37441453851666551</v>
      </c>
      <c r="H1053" s="98"/>
      <c r="K1053" s="98"/>
      <c r="L1053" s="98"/>
      <c r="M1053" s="98"/>
      <c r="N1053" s="98"/>
      <c r="O1053" s="98"/>
      <c r="P1053" s="98"/>
      <c r="Q1053" s="98"/>
      <c r="R1053" s="98"/>
      <c r="S1053" s="98"/>
      <c r="T1053" s="98"/>
      <c r="U1053" s="98"/>
      <c r="V1053" s="98"/>
      <c r="W1053" s="98"/>
      <c r="X1053" s="98"/>
      <c r="Y1053" s="98"/>
      <c r="Z1053" s="98"/>
      <c r="AA1053" s="98"/>
      <c r="AB1053" s="98"/>
      <c r="AC1053" s="98"/>
      <c r="AD1053" s="98"/>
    </row>
    <row r="1054" spans="1:30" ht="12.75" customHeight="1">
      <c r="A1054" s="140" t="s">
        <v>495</v>
      </c>
      <c r="B1054" s="154">
        <v>44589</v>
      </c>
      <c r="C1054" s="395">
        <v>-29736</v>
      </c>
      <c r="D1054" s="395"/>
      <c r="E1054" s="487"/>
      <c r="F1054" s="491"/>
      <c r="G1054" s="488"/>
      <c r="H1054" s="98"/>
      <c r="K1054" s="98"/>
      <c r="L1054" s="98"/>
      <c r="M1054" s="98"/>
      <c r="N1054" s="98"/>
      <c r="O1054" s="98"/>
      <c r="P1054" s="98"/>
      <c r="Q1054" s="98"/>
      <c r="R1054" s="98"/>
      <c r="S1054" s="98"/>
      <c r="T1054" s="98"/>
      <c r="U1054" s="98"/>
      <c r="V1054" s="98"/>
      <c r="W1054" s="98"/>
      <c r="X1054" s="98"/>
      <c r="Y1054" s="98"/>
      <c r="Z1054" s="98"/>
      <c r="AA1054" s="98"/>
      <c r="AB1054" s="98"/>
      <c r="AC1054" s="98"/>
      <c r="AD1054" s="98"/>
    </row>
    <row r="1055" spans="1:30" ht="12.75" customHeight="1">
      <c r="A1055" s="125" t="s">
        <v>495</v>
      </c>
      <c r="B1055" s="155">
        <v>44652</v>
      </c>
      <c r="C1055" s="489">
        <v>30269</v>
      </c>
      <c r="D1055" s="489">
        <f>C1055+C1054</f>
        <v>533</v>
      </c>
      <c r="E1055" s="490">
        <f>IFERROR(-D1055/C1054,0)</f>
        <v>1.792440139897767E-2</v>
      </c>
      <c r="F1055" s="383">
        <f>B1055-B1054</f>
        <v>63</v>
      </c>
      <c r="G1055" s="490">
        <f>(C1055/-C1054)^(1/((B1055-B1054)/365))-1</f>
        <v>0.10841159215009499</v>
      </c>
      <c r="H1055" s="98"/>
      <c r="K1055" s="98"/>
      <c r="L1055" s="98"/>
      <c r="M1055" s="98"/>
      <c r="N1055" s="98"/>
      <c r="O1055" s="98"/>
      <c r="P1055" s="98"/>
      <c r="Q1055" s="98"/>
      <c r="R1055" s="98"/>
      <c r="S1055" s="98"/>
      <c r="T1055" s="98"/>
      <c r="U1055" s="98"/>
      <c r="V1055" s="98"/>
      <c r="W1055" s="98"/>
      <c r="X1055" s="98"/>
      <c r="Y1055" s="98"/>
      <c r="Z1055" s="98"/>
      <c r="AA1055" s="98"/>
      <c r="AB1055" s="98"/>
      <c r="AC1055" s="98"/>
      <c r="AD1055" s="98"/>
    </row>
    <row r="1056" spans="1:30" ht="12.75" customHeight="1">
      <c r="A1056" s="140" t="s">
        <v>495</v>
      </c>
      <c r="B1056" s="154">
        <v>44930</v>
      </c>
      <c r="C1056" s="395">
        <v>-2150</v>
      </c>
      <c r="D1056" s="395"/>
      <c r="E1056" s="487"/>
      <c r="F1056" s="491"/>
      <c r="G1056" s="488"/>
      <c r="H1056" s="98"/>
      <c r="K1056" s="98"/>
      <c r="L1056" s="98"/>
      <c r="M1056" s="98"/>
      <c r="N1056" s="98"/>
      <c r="O1056" s="98"/>
      <c r="P1056" s="98"/>
      <c r="Q1056" s="98"/>
      <c r="R1056" s="98"/>
      <c r="S1056" s="98"/>
      <c r="T1056" s="98"/>
      <c r="U1056" s="98"/>
      <c r="V1056" s="98"/>
      <c r="W1056" s="98"/>
      <c r="X1056" s="98"/>
      <c r="Y1056" s="98"/>
      <c r="Z1056" s="98"/>
      <c r="AA1056" s="98"/>
      <c r="AB1056" s="98"/>
      <c r="AC1056" s="98"/>
      <c r="AD1056" s="98"/>
    </row>
    <row r="1057" spans="1:30" ht="12.75" customHeight="1">
      <c r="A1057" s="125" t="s">
        <v>495</v>
      </c>
      <c r="B1057" s="155">
        <v>44928</v>
      </c>
      <c r="C1057" s="489">
        <v>2197</v>
      </c>
      <c r="D1057" s="489">
        <f>C1057+C1056</f>
        <v>47</v>
      </c>
      <c r="E1057" s="490">
        <f>IFERROR(-D1057/C1056,0)</f>
        <v>2.1860465116279069E-2</v>
      </c>
      <c r="F1057" s="383">
        <f>B1057-B1056</f>
        <v>-2</v>
      </c>
      <c r="G1057" s="490">
        <f>(C1057/-C1056)^(1/((B1057-B1056)/365))-1</f>
        <v>-0.98067882444428145</v>
      </c>
      <c r="H1057" s="98"/>
      <c r="K1057" s="98"/>
      <c r="L1057" s="98"/>
      <c r="M1057" s="98"/>
      <c r="N1057" s="98"/>
      <c r="O1057" s="98"/>
      <c r="P1057" s="98"/>
      <c r="Q1057" s="98"/>
      <c r="R1057" s="98"/>
      <c r="S1057" s="98"/>
      <c r="T1057" s="98"/>
      <c r="U1057" s="98"/>
      <c r="V1057" s="98"/>
      <c r="W1057" s="98"/>
      <c r="X1057" s="98"/>
      <c r="Y1057" s="98"/>
      <c r="Z1057" s="98"/>
      <c r="AA1057" s="98"/>
      <c r="AB1057" s="98"/>
      <c r="AC1057" s="98"/>
      <c r="AD1057" s="98"/>
    </row>
    <row r="1058" spans="1:30" ht="12.75" customHeight="1">
      <c r="A1058" s="140" t="s">
        <v>495</v>
      </c>
      <c r="B1058" s="154">
        <v>44956</v>
      </c>
      <c r="C1058" s="395">
        <v>-4318</v>
      </c>
      <c r="D1058" s="395"/>
      <c r="E1058" s="487"/>
      <c r="F1058" s="491"/>
      <c r="G1058" s="488"/>
      <c r="H1058" s="98"/>
      <c r="K1058" s="98"/>
      <c r="L1058" s="98"/>
      <c r="M1058" s="98"/>
      <c r="N1058" s="98"/>
      <c r="O1058" s="98"/>
      <c r="P1058" s="98"/>
      <c r="Q1058" s="98"/>
      <c r="R1058" s="98"/>
      <c r="S1058" s="98"/>
      <c r="T1058" s="98"/>
      <c r="U1058" s="98"/>
      <c r="V1058" s="98"/>
      <c r="W1058" s="98"/>
      <c r="X1058" s="98"/>
      <c r="Y1058" s="98"/>
      <c r="Z1058" s="98"/>
      <c r="AA1058" s="98"/>
      <c r="AB1058" s="98"/>
      <c r="AC1058" s="98"/>
      <c r="AD1058" s="98"/>
    </row>
    <row r="1059" spans="1:30" ht="12.75" customHeight="1">
      <c r="A1059" s="125" t="s">
        <v>495</v>
      </c>
      <c r="B1059" s="155">
        <v>44928</v>
      </c>
      <c r="C1059" s="489">
        <v>4346</v>
      </c>
      <c r="D1059" s="489">
        <f>C1059+C1058</f>
        <v>28</v>
      </c>
      <c r="E1059" s="490">
        <f>IFERROR(-D1059/C1058,0)</f>
        <v>6.4844835572024084E-3</v>
      </c>
      <c r="F1059" s="383">
        <f>B1059-B1058</f>
        <v>-28</v>
      </c>
      <c r="G1059" s="490">
        <f>(C1059/-C1058)^(1/((B1059-B1058)/365))-1</f>
        <v>-8.0804996073461699E-2</v>
      </c>
      <c r="H1059" s="98"/>
      <c r="K1059" s="98"/>
      <c r="L1059" s="98"/>
      <c r="M1059" s="98"/>
      <c r="N1059" s="98"/>
      <c r="O1059" s="98"/>
      <c r="P1059" s="98"/>
      <c r="Q1059" s="98"/>
      <c r="R1059" s="98"/>
      <c r="S1059" s="98"/>
      <c r="T1059" s="98"/>
      <c r="U1059" s="98"/>
      <c r="V1059" s="98"/>
      <c r="W1059" s="98"/>
      <c r="X1059" s="98"/>
      <c r="Y1059" s="98"/>
      <c r="Z1059" s="98"/>
      <c r="AA1059" s="98"/>
      <c r="AB1059" s="98"/>
      <c r="AC1059" s="98"/>
      <c r="AD1059" s="98"/>
    </row>
    <row r="1060" spans="1:30" ht="12.75" customHeight="1">
      <c r="A1060" s="140" t="s">
        <v>495</v>
      </c>
      <c r="B1060" s="154">
        <v>45028</v>
      </c>
      <c r="C1060" s="395">
        <v>-8260</v>
      </c>
      <c r="D1060" s="395"/>
      <c r="E1060" s="487"/>
      <c r="F1060" s="491"/>
      <c r="G1060" s="488"/>
      <c r="H1060" s="98"/>
      <c r="K1060" s="98"/>
      <c r="L1060" s="98"/>
      <c r="M1060" s="98"/>
      <c r="N1060" s="98"/>
      <c r="O1060" s="98"/>
      <c r="P1060" s="98"/>
      <c r="Q1060" s="98"/>
      <c r="R1060" s="98"/>
      <c r="S1060" s="98"/>
      <c r="T1060" s="98"/>
      <c r="U1060" s="98"/>
      <c r="V1060" s="98"/>
      <c r="W1060" s="98"/>
      <c r="X1060" s="98"/>
      <c r="Y1060" s="98"/>
      <c r="Z1060" s="98"/>
      <c r="AA1060" s="98"/>
      <c r="AB1060" s="98"/>
      <c r="AC1060" s="98"/>
      <c r="AD1060" s="98"/>
    </row>
    <row r="1061" spans="1:30" ht="12.75" customHeight="1">
      <c r="A1061" s="125" t="s">
        <v>495</v>
      </c>
      <c r="B1061" s="155">
        <v>45049</v>
      </c>
      <c r="C1061" s="489">
        <v>8516</v>
      </c>
      <c r="D1061" s="489">
        <f>C1061+C1060</f>
        <v>256</v>
      </c>
      <c r="E1061" s="490">
        <f>IFERROR(-D1061/C1060,0)</f>
        <v>3.099273607748184E-2</v>
      </c>
      <c r="F1061" s="383">
        <f>B1061-B1060</f>
        <v>21</v>
      </c>
      <c r="G1061" s="490">
        <f>(C1061/-C1060)^(1/((B1061-B1060)/365))-1</f>
        <v>0.6997891276417687</v>
      </c>
      <c r="H1061" s="98"/>
      <c r="K1061" s="98"/>
      <c r="L1061" s="98"/>
      <c r="M1061" s="98"/>
      <c r="N1061" s="98"/>
      <c r="O1061" s="98"/>
      <c r="P1061" s="98"/>
      <c r="Q1061" s="98"/>
      <c r="R1061" s="98"/>
      <c r="S1061" s="98"/>
      <c r="T1061" s="98"/>
      <c r="U1061" s="98"/>
      <c r="V1061" s="98"/>
      <c r="W1061" s="98"/>
      <c r="X1061" s="98"/>
      <c r="Y1061" s="98"/>
      <c r="Z1061" s="98"/>
      <c r="AA1061" s="98"/>
      <c r="AB1061" s="98"/>
      <c r="AC1061" s="98"/>
      <c r="AD1061" s="98"/>
    </row>
    <row r="1062" spans="1:30" ht="12.75" customHeight="1">
      <c r="A1062" s="140" t="s">
        <v>582</v>
      </c>
      <c r="B1062" s="154">
        <v>44460</v>
      </c>
      <c r="C1062" s="140">
        <v>-14880</v>
      </c>
      <c r="D1062" s="395"/>
      <c r="E1062" s="487"/>
      <c r="F1062" s="491"/>
      <c r="G1062" s="488"/>
      <c r="H1062" s="98"/>
      <c r="K1062" s="98"/>
      <c r="L1062" s="98"/>
      <c r="M1062" s="98"/>
      <c r="N1062" s="98"/>
      <c r="O1062" s="98"/>
      <c r="P1062" s="98"/>
      <c r="Q1062" s="98"/>
      <c r="R1062" s="98"/>
      <c r="S1062" s="98"/>
      <c r="T1062" s="98"/>
      <c r="U1062" s="98"/>
      <c r="V1062" s="98"/>
      <c r="W1062" s="98"/>
      <c r="X1062" s="98"/>
      <c r="Y1062" s="98"/>
      <c r="Z1062" s="98"/>
      <c r="AA1062" s="98"/>
      <c r="AB1062" s="98"/>
      <c r="AC1062" s="98"/>
      <c r="AD1062" s="98"/>
    </row>
    <row r="1063" spans="1:30" ht="12.75" customHeight="1">
      <c r="A1063" s="125" t="s">
        <v>582</v>
      </c>
      <c r="B1063" s="155">
        <v>44463</v>
      </c>
      <c r="C1063" s="489">
        <v>16743</v>
      </c>
      <c r="D1063" s="489">
        <f>C1063+C1062</f>
        <v>1863</v>
      </c>
      <c r="E1063" s="490">
        <f>-D1063/C1062</f>
        <v>0.12520161290322582</v>
      </c>
      <c r="F1063" s="383">
        <f>B1063-B1062</f>
        <v>3</v>
      </c>
      <c r="G1063" s="490">
        <f>(C1063/-C1062)^(1/((B1063-B1062)/365))-1</f>
        <v>1710114.4602002222</v>
      </c>
      <c r="H1063" s="98"/>
      <c r="K1063" s="98"/>
      <c r="L1063" s="98"/>
      <c r="M1063" s="98"/>
      <c r="N1063" s="98"/>
      <c r="O1063" s="98"/>
      <c r="P1063" s="98"/>
      <c r="Q1063" s="98"/>
      <c r="R1063" s="98"/>
      <c r="S1063" s="98"/>
      <c r="T1063" s="98"/>
      <c r="U1063" s="98"/>
      <c r="V1063" s="98"/>
      <c r="W1063" s="98"/>
      <c r="X1063" s="98"/>
      <c r="Y1063" s="98"/>
      <c r="Z1063" s="98"/>
      <c r="AA1063" s="98"/>
      <c r="AB1063" s="98"/>
      <c r="AC1063" s="98"/>
      <c r="AD1063" s="98"/>
    </row>
    <row r="1064" spans="1:30" ht="12.75" customHeight="1">
      <c r="A1064" s="140" t="s">
        <v>620</v>
      </c>
      <c r="B1064" s="154">
        <v>44676</v>
      </c>
      <c r="C1064" s="395">
        <v>-7644</v>
      </c>
      <c r="D1064" s="395"/>
      <c r="E1064" s="487"/>
      <c r="F1064" s="491"/>
      <c r="G1064" s="488"/>
      <c r="H1064" s="98"/>
      <c r="K1064" s="98"/>
      <c r="L1064" s="98"/>
      <c r="M1064" s="98"/>
      <c r="N1064" s="98"/>
      <c r="O1064" s="98"/>
      <c r="P1064" s="98"/>
      <c r="Q1064" s="98"/>
      <c r="R1064" s="98"/>
      <c r="S1064" s="98"/>
      <c r="T1064" s="98"/>
      <c r="U1064" s="98"/>
      <c r="V1064" s="98"/>
      <c r="W1064" s="98"/>
      <c r="X1064" s="98"/>
      <c r="Y1064" s="98"/>
      <c r="Z1064" s="98"/>
      <c r="AA1064" s="98"/>
      <c r="AB1064" s="98"/>
      <c r="AC1064" s="98"/>
      <c r="AD1064" s="98"/>
    </row>
    <row r="1065" spans="1:30" ht="12.75" customHeight="1">
      <c r="A1065" s="125" t="s">
        <v>620</v>
      </c>
      <c r="B1065" s="155">
        <v>44736</v>
      </c>
      <c r="C1065" s="489">
        <v>9000</v>
      </c>
      <c r="D1065" s="489">
        <f>C1065+C1064</f>
        <v>1356</v>
      </c>
      <c r="E1065" s="490">
        <f>IFERROR(-D1065/C1064,0)</f>
        <v>0.17739403453689168</v>
      </c>
      <c r="F1065" s="383">
        <f>B1065-B1064</f>
        <v>60</v>
      </c>
      <c r="G1065" s="490">
        <f>(C1065/-C1064)^(1/((B1065-B1064)/365))-1</f>
        <v>1.7004810802143813</v>
      </c>
      <c r="H1065" s="98"/>
      <c r="K1065" s="98"/>
      <c r="L1065" s="98"/>
      <c r="M1065" s="98"/>
      <c r="N1065" s="98"/>
      <c r="O1065" s="98"/>
      <c r="P1065" s="98"/>
      <c r="Q1065" s="98"/>
      <c r="R1065" s="98"/>
      <c r="S1065" s="98"/>
      <c r="T1065" s="98"/>
      <c r="U1065" s="98"/>
      <c r="V1065" s="98"/>
      <c r="W1065" s="98"/>
      <c r="X1065" s="98"/>
      <c r="Y1065" s="98"/>
      <c r="Z1065" s="98"/>
      <c r="AA1065" s="98"/>
      <c r="AB1065" s="98"/>
      <c r="AC1065" s="98"/>
      <c r="AD1065" s="98"/>
    </row>
    <row r="1066" spans="1:30" ht="12.75" customHeight="1">
      <c r="A1066" s="138" t="s">
        <v>502</v>
      </c>
      <c r="B1066" s="492">
        <v>44302</v>
      </c>
      <c r="C1066" s="493">
        <v>-4703</v>
      </c>
      <c r="D1066" s="395"/>
      <c r="E1066" s="487"/>
      <c r="F1066" s="491"/>
      <c r="G1066" s="488"/>
      <c r="H1066" s="98"/>
      <c r="K1066" s="98"/>
      <c r="L1066" s="98"/>
      <c r="M1066" s="98"/>
      <c r="N1066" s="98"/>
      <c r="O1066" s="98"/>
      <c r="P1066" s="98"/>
      <c r="Q1066" s="98"/>
      <c r="R1066" s="98"/>
      <c r="S1066" s="98"/>
      <c r="T1066" s="98"/>
      <c r="U1066" s="98"/>
      <c r="V1066" s="98"/>
      <c r="W1066" s="98"/>
      <c r="X1066" s="98"/>
      <c r="Y1066" s="98"/>
      <c r="Z1066" s="98"/>
      <c r="AA1066" s="98"/>
      <c r="AB1066" s="98"/>
      <c r="AC1066" s="98"/>
      <c r="AD1066" s="98"/>
    </row>
    <row r="1067" spans="1:30" ht="12.75" customHeight="1">
      <c r="A1067" s="125" t="s">
        <v>502</v>
      </c>
      <c r="B1067" s="495">
        <v>44314</v>
      </c>
      <c r="C1067" s="496">
        <v>4895</v>
      </c>
      <c r="D1067" s="489">
        <f>C1067+C1066</f>
        <v>192</v>
      </c>
      <c r="E1067" s="490">
        <f>-D1067/C1066</f>
        <v>4.0825005315755898E-2</v>
      </c>
      <c r="F1067" s="383">
        <f>B1067-B1066</f>
        <v>12</v>
      </c>
      <c r="G1067" s="490">
        <f>(C1067/-C1066)^(1/((B1067-B1066)/365))-1</f>
        <v>2.3773201984830417</v>
      </c>
      <c r="H1067" s="98"/>
      <c r="K1067" s="98"/>
      <c r="L1067" s="98"/>
      <c r="M1067" s="98"/>
      <c r="N1067" s="98"/>
      <c r="O1067" s="98"/>
      <c r="P1067" s="98"/>
      <c r="Q1067" s="98"/>
      <c r="R1067" s="98"/>
      <c r="S1067" s="98"/>
      <c r="T1067" s="98"/>
      <c r="U1067" s="98"/>
      <c r="V1067" s="98"/>
      <c r="W1067" s="98"/>
      <c r="X1067" s="98"/>
      <c r="Y1067" s="98"/>
      <c r="Z1067" s="98"/>
      <c r="AA1067" s="98"/>
      <c r="AB1067" s="98"/>
      <c r="AC1067" s="98"/>
      <c r="AD1067" s="98"/>
    </row>
    <row r="1068" spans="1:30" ht="12.75" customHeight="1">
      <c r="A1068" s="138" t="s">
        <v>493</v>
      </c>
      <c r="B1068" s="492">
        <v>44298</v>
      </c>
      <c r="C1068" s="493">
        <v>-6648</v>
      </c>
      <c r="D1068" s="395"/>
      <c r="E1068" s="487"/>
      <c r="F1068" s="491"/>
      <c r="G1068" s="488"/>
      <c r="H1068" s="98"/>
      <c r="K1068" s="98"/>
      <c r="L1068" s="98"/>
      <c r="M1068" s="98"/>
      <c r="N1068" s="98"/>
      <c r="O1068" s="98"/>
      <c r="P1068" s="98"/>
      <c r="Q1068" s="98"/>
      <c r="R1068" s="98"/>
      <c r="S1068" s="98"/>
      <c r="T1068" s="98"/>
      <c r="U1068" s="98"/>
      <c r="V1068" s="98"/>
      <c r="W1068" s="98"/>
      <c r="X1068" s="98"/>
      <c r="Y1068" s="98"/>
      <c r="Z1068" s="98"/>
      <c r="AA1068" s="98"/>
      <c r="AB1068" s="98"/>
      <c r="AC1068" s="98"/>
      <c r="AD1068" s="98"/>
    </row>
    <row r="1069" spans="1:30" ht="12.75" customHeight="1">
      <c r="A1069" s="125" t="s">
        <v>493</v>
      </c>
      <c r="B1069" s="495">
        <v>44301</v>
      </c>
      <c r="C1069" s="496">
        <v>6833</v>
      </c>
      <c r="D1069" s="489">
        <f>C1069+C1068</f>
        <v>185</v>
      </c>
      <c r="E1069" s="490">
        <f>-D1069/C1068</f>
        <v>2.7827918170878461E-2</v>
      </c>
      <c r="F1069" s="383">
        <f>B1069-B1068</f>
        <v>3</v>
      </c>
      <c r="G1069" s="490">
        <f>(C1069/-C1068)^(1/((B1069-B1068)/365))-1</f>
        <v>27.2043791022422</v>
      </c>
      <c r="H1069" s="98"/>
      <c r="K1069" s="98"/>
      <c r="L1069" s="98"/>
      <c r="M1069" s="98"/>
      <c r="N1069" s="98"/>
      <c r="O1069" s="98"/>
      <c r="P1069" s="98"/>
      <c r="Q1069" s="98"/>
      <c r="R1069" s="98"/>
      <c r="S1069" s="98"/>
      <c r="T1069" s="98"/>
      <c r="U1069" s="98"/>
      <c r="V1069" s="98"/>
      <c r="W1069" s="98"/>
      <c r="X1069" s="98"/>
      <c r="Y1069" s="98"/>
      <c r="Z1069" s="98"/>
      <c r="AA1069" s="98"/>
      <c r="AB1069" s="98"/>
      <c r="AC1069" s="98"/>
      <c r="AD1069" s="98"/>
    </row>
    <row r="1070" spans="1:30" ht="12.75" customHeight="1">
      <c r="A1070" s="138" t="s">
        <v>493</v>
      </c>
      <c r="B1070" s="492">
        <v>44245</v>
      </c>
      <c r="C1070" s="493">
        <v>-42062.83</v>
      </c>
      <c r="D1070" s="395"/>
      <c r="E1070" s="487"/>
      <c r="F1070" s="491"/>
      <c r="G1070" s="488"/>
      <c r="H1070" s="98"/>
      <c r="K1070" s="98"/>
      <c r="L1070" s="98"/>
      <c r="M1070" s="98"/>
      <c r="N1070" s="98"/>
      <c r="O1070" s="98"/>
      <c r="P1070" s="98"/>
      <c r="Q1070" s="98"/>
      <c r="R1070" s="98"/>
      <c r="S1070" s="98"/>
      <c r="T1070" s="98"/>
      <c r="U1070" s="98"/>
      <c r="V1070" s="98"/>
      <c r="W1070" s="98"/>
      <c r="X1070" s="98"/>
      <c r="Y1070" s="98"/>
      <c r="Z1070" s="98"/>
      <c r="AA1070" s="98"/>
      <c r="AB1070" s="98"/>
      <c r="AC1070" s="98"/>
      <c r="AD1070" s="98"/>
    </row>
    <row r="1071" spans="1:30" ht="12.75" customHeight="1">
      <c r="A1071" s="125" t="s">
        <v>493</v>
      </c>
      <c r="B1071" s="495">
        <v>44333</v>
      </c>
      <c r="C1071" s="496">
        <v>37861</v>
      </c>
      <c r="D1071" s="489">
        <f>C1071+C1070</f>
        <v>-4201.8300000000017</v>
      </c>
      <c r="E1071" s="490">
        <f>-D1071/C1070</f>
        <v>-9.989413456013306E-2</v>
      </c>
      <c r="F1071" s="383">
        <f>B1071-B1070</f>
        <v>88</v>
      </c>
      <c r="G1071" s="490">
        <f>(C1071/-C1070)^(1/((B1071-B1070)/365))-1</f>
        <v>-0.35371766719161879</v>
      </c>
      <c r="H1071" s="98"/>
      <c r="K1071" s="98"/>
      <c r="L1071" s="98"/>
      <c r="M1071" s="98"/>
      <c r="N1071" s="98"/>
      <c r="O1071" s="98"/>
      <c r="P1071" s="98"/>
      <c r="Q1071" s="98"/>
      <c r="R1071" s="98"/>
      <c r="S1071" s="98"/>
      <c r="T1071" s="98"/>
      <c r="U1071" s="98"/>
      <c r="V1071" s="98"/>
      <c r="W1071" s="98"/>
      <c r="X1071" s="98"/>
      <c r="Y1071" s="98"/>
      <c r="Z1071" s="98"/>
      <c r="AA1071" s="98"/>
      <c r="AB1071" s="98"/>
      <c r="AC1071" s="98"/>
      <c r="AD1071" s="98"/>
    </row>
    <row r="1072" spans="1:30" ht="12.75" customHeight="1">
      <c r="A1072" s="140" t="s">
        <v>493</v>
      </c>
      <c r="B1072" s="154">
        <v>44424</v>
      </c>
      <c r="C1072" s="140">
        <v>-4270</v>
      </c>
      <c r="D1072" s="395"/>
      <c r="E1072" s="487"/>
      <c r="F1072" s="491"/>
      <c r="G1072" s="488"/>
      <c r="H1072" s="98"/>
      <c r="K1072" s="98"/>
      <c r="L1072" s="98"/>
      <c r="M1072" s="98"/>
      <c r="N1072" s="98"/>
      <c r="O1072" s="98"/>
      <c r="P1072" s="98"/>
      <c r="Q1072" s="98"/>
      <c r="R1072" s="98"/>
      <c r="S1072" s="98"/>
      <c r="T1072" s="98"/>
      <c r="U1072" s="98"/>
      <c r="V1072" s="98"/>
      <c r="W1072" s="98"/>
      <c r="X1072" s="98"/>
      <c r="Y1072" s="98"/>
      <c r="Z1072" s="98"/>
      <c r="AA1072" s="98"/>
      <c r="AB1072" s="98"/>
      <c r="AC1072" s="98"/>
      <c r="AD1072" s="98"/>
    </row>
    <row r="1073" spans="1:30" ht="12.75" customHeight="1">
      <c r="A1073" s="125" t="s">
        <v>493</v>
      </c>
      <c r="B1073" s="155">
        <v>44454</v>
      </c>
      <c r="C1073" s="489">
        <v>4399</v>
      </c>
      <c r="D1073" s="489">
        <f>C1073+C1072</f>
        <v>129</v>
      </c>
      <c r="E1073" s="490">
        <f>-D1073/C1072</f>
        <v>3.0210772833723653E-2</v>
      </c>
      <c r="F1073" s="383">
        <f>B1073-B1072</f>
        <v>30</v>
      </c>
      <c r="G1073" s="490">
        <f>(C1073/-C1072)^(1/((B1073-B1072)/365))-1</f>
        <v>0.43637352355751746</v>
      </c>
      <c r="H1073" s="98"/>
      <c r="K1073" s="98"/>
      <c r="L1073" s="98"/>
      <c r="M1073" s="98"/>
      <c r="N1073" s="98"/>
      <c r="O1073" s="98"/>
      <c r="P1073" s="98"/>
      <c r="Q1073" s="98"/>
      <c r="R1073" s="98"/>
      <c r="S1073" s="98"/>
      <c r="T1073" s="98"/>
      <c r="U1073" s="98"/>
      <c r="V1073" s="98"/>
      <c r="W1073" s="98"/>
      <c r="X1073" s="98"/>
      <c r="Y1073" s="98"/>
      <c r="Z1073" s="98"/>
      <c r="AA1073" s="98"/>
      <c r="AB1073" s="98"/>
      <c r="AC1073" s="98"/>
      <c r="AD1073" s="98"/>
    </row>
    <row r="1074" spans="1:30" ht="12.75" customHeight="1">
      <c r="A1074" s="140" t="s">
        <v>493</v>
      </c>
      <c r="B1074" s="154">
        <v>44470</v>
      </c>
      <c r="C1074" s="140">
        <v>-6773</v>
      </c>
      <c r="D1074" s="395"/>
      <c r="E1074" s="487"/>
      <c r="F1074" s="491"/>
      <c r="G1074" s="488"/>
      <c r="H1074" s="98"/>
      <c r="K1074" s="98"/>
      <c r="L1074" s="98"/>
      <c r="M1074" s="98"/>
      <c r="N1074" s="98"/>
      <c r="O1074" s="98"/>
      <c r="P1074" s="98"/>
      <c r="Q1074" s="98"/>
      <c r="R1074" s="98"/>
      <c r="S1074" s="98"/>
      <c r="T1074" s="98"/>
      <c r="U1074" s="98"/>
      <c r="V1074" s="98"/>
      <c r="W1074" s="98"/>
      <c r="X1074" s="98"/>
      <c r="Y1074" s="98"/>
      <c r="Z1074" s="98"/>
      <c r="AA1074" s="98"/>
      <c r="AB1074" s="98"/>
      <c r="AC1074" s="98"/>
      <c r="AD1074" s="98"/>
    </row>
    <row r="1075" spans="1:30" ht="12.75" customHeight="1">
      <c r="A1075" s="125" t="s">
        <v>493</v>
      </c>
      <c r="B1075" s="155">
        <v>44494</v>
      </c>
      <c r="C1075" s="489">
        <v>7567</v>
      </c>
      <c r="D1075" s="489">
        <f>C1075+C1074</f>
        <v>794</v>
      </c>
      <c r="E1075" s="490">
        <f>-D1075/C1074</f>
        <v>0.11723017865052414</v>
      </c>
      <c r="F1075" s="383">
        <f>B1075-B1074</f>
        <v>24</v>
      </c>
      <c r="G1075" s="490">
        <f>(C1075/-C1074)^(1/((B1075-B1074)/365))-1</f>
        <v>4.3972134741879341</v>
      </c>
      <c r="H1075" s="98"/>
      <c r="K1075" s="98"/>
      <c r="L1075" s="98"/>
      <c r="M1075" s="98"/>
      <c r="N1075" s="98"/>
      <c r="O1075" s="98"/>
      <c r="P1075" s="98"/>
      <c r="Q1075" s="98"/>
      <c r="R1075" s="98"/>
      <c r="S1075" s="98"/>
      <c r="T1075" s="98"/>
      <c r="U1075" s="98"/>
      <c r="V1075" s="98"/>
      <c r="W1075" s="98"/>
      <c r="X1075" s="98"/>
      <c r="Y1075" s="98"/>
      <c r="Z1075" s="98"/>
      <c r="AA1075" s="98"/>
      <c r="AB1075" s="98"/>
      <c r="AC1075" s="98"/>
      <c r="AD1075" s="98"/>
    </row>
    <row r="1076" spans="1:30" ht="12.75" customHeight="1">
      <c r="A1076" s="140" t="s">
        <v>493</v>
      </c>
      <c r="B1076" s="154">
        <v>44497</v>
      </c>
      <c r="C1076" s="395">
        <v>-5056</v>
      </c>
      <c r="D1076" s="395"/>
      <c r="E1076" s="487"/>
      <c r="F1076" s="491"/>
      <c r="G1076" s="488"/>
      <c r="H1076" s="98"/>
      <c r="K1076" s="98"/>
      <c r="L1076" s="98"/>
      <c r="M1076" s="98"/>
      <c r="N1076" s="98"/>
      <c r="O1076" s="98"/>
      <c r="P1076" s="98"/>
      <c r="Q1076" s="98"/>
      <c r="R1076" s="98"/>
      <c r="S1076" s="98"/>
      <c r="T1076" s="98"/>
      <c r="U1076" s="98"/>
      <c r="V1076" s="98"/>
      <c r="W1076" s="98"/>
      <c r="X1076" s="98"/>
      <c r="Y1076" s="98"/>
      <c r="Z1076" s="98"/>
      <c r="AA1076" s="98"/>
      <c r="AB1076" s="98"/>
      <c r="AC1076" s="98"/>
      <c r="AD1076" s="98"/>
    </row>
    <row r="1077" spans="1:30" ht="12.75" customHeight="1">
      <c r="A1077" s="125" t="s">
        <v>493</v>
      </c>
      <c r="B1077" s="155">
        <v>44502</v>
      </c>
      <c r="C1077" s="489">
        <v>5220</v>
      </c>
      <c r="D1077" s="489">
        <f>C1077+C1076</f>
        <v>164</v>
      </c>
      <c r="E1077" s="490">
        <f>-D1077/C1076</f>
        <v>3.2436708860759493E-2</v>
      </c>
      <c r="F1077" s="383">
        <f>B1077-B1076</f>
        <v>5</v>
      </c>
      <c r="G1077" s="490">
        <f>(C1077/-C1076)^(1/((B1077-B1076)/365))-1</f>
        <v>9.2808957212584744</v>
      </c>
      <c r="H1077" s="98"/>
      <c r="K1077" s="98"/>
      <c r="L1077" s="98"/>
      <c r="M1077" s="98"/>
      <c r="N1077" s="98"/>
      <c r="O1077" s="98"/>
      <c r="P1077" s="98"/>
      <c r="Q1077" s="98"/>
      <c r="R1077" s="98"/>
      <c r="S1077" s="98"/>
      <c r="T1077" s="98"/>
      <c r="U1077" s="98"/>
      <c r="V1077" s="98"/>
      <c r="W1077" s="98"/>
      <c r="X1077" s="98"/>
      <c r="Y1077" s="98"/>
      <c r="Z1077" s="98"/>
      <c r="AA1077" s="98"/>
      <c r="AB1077" s="98"/>
      <c r="AC1077" s="98"/>
      <c r="AD1077" s="98"/>
    </row>
    <row r="1078" spans="1:30" ht="12.75" customHeight="1">
      <c r="A1078" s="140" t="s">
        <v>493</v>
      </c>
      <c r="B1078" s="154">
        <v>44508</v>
      </c>
      <c r="C1078" s="395">
        <v>-7794</v>
      </c>
      <c r="D1078" s="395"/>
      <c r="E1078" s="487"/>
      <c r="F1078" s="491"/>
      <c r="G1078" s="488"/>
      <c r="H1078" s="98"/>
      <c r="K1078" s="98"/>
      <c r="L1078" s="98"/>
      <c r="M1078" s="98"/>
      <c r="N1078" s="98"/>
      <c r="O1078" s="98"/>
      <c r="P1078" s="98"/>
      <c r="Q1078" s="98"/>
      <c r="R1078" s="98"/>
      <c r="S1078" s="98"/>
      <c r="T1078" s="98"/>
      <c r="U1078" s="98"/>
      <c r="V1078" s="98"/>
      <c r="W1078" s="98"/>
      <c r="X1078" s="98"/>
      <c r="Y1078" s="98"/>
      <c r="Z1078" s="98"/>
      <c r="AA1078" s="98"/>
      <c r="AB1078" s="98"/>
      <c r="AC1078" s="98"/>
      <c r="AD1078" s="98"/>
    </row>
    <row r="1079" spans="1:30" ht="12.75" customHeight="1">
      <c r="A1079" s="125" t="s">
        <v>493</v>
      </c>
      <c r="B1079" s="155">
        <v>44509</v>
      </c>
      <c r="C1079" s="489">
        <v>7942</v>
      </c>
      <c r="D1079" s="489">
        <f>C1079+C1078</f>
        <v>148</v>
      </c>
      <c r="E1079" s="490">
        <f>-D1079/C1078</f>
        <v>1.8988965871182963E-2</v>
      </c>
      <c r="F1079" s="383">
        <f>B1079-B1078</f>
        <v>1</v>
      </c>
      <c r="G1079" s="490">
        <f>(C1079/-C1078)^(1/((B1079-B1078)/365))-1</f>
        <v>958.09287347617806</v>
      </c>
      <c r="H1079" s="98"/>
      <c r="K1079" s="98"/>
      <c r="L1079" s="98"/>
      <c r="M1079" s="98"/>
      <c r="N1079" s="98"/>
      <c r="O1079" s="98"/>
      <c r="P1079" s="98"/>
      <c r="Q1079" s="98"/>
      <c r="R1079" s="98"/>
      <c r="S1079" s="98"/>
      <c r="T1079" s="98"/>
      <c r="U1079" s="98"/>
      <c r="V1079" s="98"/>
      <c r="W1079" s="98"/>
      <c r="X1079" s="98"/>
      <c r="Y1079" s="98"/>
      <c r="Z1079" s="98"/>
      <c r="AA1079" s="98"/>
      <c r="AB1079" s="98"/>
      <c r="AC1079" s="98"/>
      <c r="AD1079" s="98"/>
    </row>
    <row r="1080" spans="1:30" ht="12.75" customHeight="1">
      <c r="A1080" s="140" t="s">
        <v>493</v>
      </c>
      <c r="B1080" s="154">
        <v>44511</v>
      </c>
      <c r="C1080" s="395">
        <v>-12990</v>
      </c>
      <c r="D1080" s="395"/>
      <c r="E1080" s="487"/>
      <c r="F1080" s="491"/>
      <c r="G1080" s="488"/>
      <c r="H1080" s="98"/>
      <c r="K1080" s="98"/>
      <c r="L1080" s="98"/>
      <c r="M1080" s="98"/>
      <c r="N1080" s="98"/>
      <c r="O1080" s="98"/>
      <c r="P1080" s="98"/>
      <c r="Q1080" s="98"/>
      <c r="R1080" s="98"/>
      <c r="S1080" s="98"/>
      <c r="T1080" s="98"/>
      <c r="U1080" s="98"/>
      <c r="V1080" s="98"/>
      <c r="W1080" s="98"/>
      <c r="X1080" s="98"/>
      <c r="Y1080" s="98"/>
      <c r="Z1080" s="98"/>
      <c r="AA1080" s="98"/>
      <c r="AB1080" s="98"/>
      <c r="AC1080" s="98"/>
      <c r="AD1080" s="98"/>
    </row>
    <row r="1081" spans="1:30" ht="12.75" customHeight="1">
      <c r="A1081" s="125" t="s">
        <v>493</v>
      </c>
      <c r="B1081" s="155">
        <v>44588</v>
      </c>
      <c r="C1081" s="489">
        <v>13149</v>
      </c>
      <c r="D1081" s="489">
        <f>C1081+C1080</f>
        <v>159</v>
      </c>
      <c r="E1081" s="490">
        <f>IFERROR(-D1081/C1080,0)</f>
        <v>1.2240184757505773E-2</v>
      </c>
      <c r="F1081" s="383">
        <f>B1081-B1080</f>
        <v>77</v>
      </c>
      <c r="G1081" s="490">
        <f>(C1081/-C1080)^(1/((B1081-B1080)/365))-1</f>
        <v>5.9364741955832967E-2</v>
      </c>
      <c r="H1081" s="98"/>
      <c r="K1081" s="98"/>
      <c r="L1081" s="98"/>
      <c r="M1081" s="98"/>
      <c r="N1081" s="98"/>
      <c r="O1081" s="98"/>
      <c r="P1081" s="98"/>
      <c r="Q1081" s="98"/>
      <c r="R1081" s="98"/>
      <c r="S1081" s="98"/>
      <c r="T1081" s="98"/>
      <c r="U1081" s="98"/>
      <c r="V1081" s="98"/>
      <c r="W1081" s="98"/>
      <c r="X1081" s="98"/>
      <c r="Y1081" s="98"/>
      <c r="Z1081" s="98"/>
      <c r="AA1081" s="98"/>
      <c r="AB1081" s="98"/>
      <c r="AC1081" s="98"/>
      <c r="AD1081" s="98"/>
    </row>
    <row r="1082" spans="1:30" ht="12.75" customHeight="1">
      <c r="A1082" s="140" t="s">
        <v>493</v>
      </c>
      <c r="B1082" s="154">
        <v>44628</v>
      </c>
      <c r="C1082" s="395">
        <v>-21743</v>
      </c>
      <c r="D1082" s="395"/>
      <c r="E1082" s="487"/>
      <c r="F1082" s="491"/>
      <c r="G1082" s="488"/>
      <c r="H1082" s="98"/>
      <c r="K1082" s="98"/>
      <c r="L1082" s="98"/>
      <c r="M1082" s="98"/>
      <c r="N1082" s="98"/>
      <c r="O1082" s="98"/>
      <c r="P1082" s="98"/>
      <c r="Q1082" s="98"/>
      <c r="R1082" s="98"/>
      <c r="S1082" s="98"/>
      <c r="T1082" s="98"/>
      <c r="U1082" s="98"/>
      <c r="V1082" s="98"/>
      <c r="W1082" s="98"/>
      <c r="X1082" s="98"/>
      <c r="Y1082" s="98"/>
      <c r="Z1082" s="98"/>
      <c r="AA1082" s="98"/>
      <c r="AB1082" s="98"/>
      <c r="AC1082" s="98"/>
      <c r="AD1082" s="98"/>
    </row>
    <row r="1083" spans="1:30" ht="12.75" customHeight="1">
      <c r="A1083" s="125" t="s">
        <v>493</v>
      </c>
      <c r="B1083" s="155">
        <v>44650</v>
      </c>
      <c r="C1083" s="489">
        <v>24974</v>
      </c>
      <c r="D1083" s="489">
        <f>C1083+C1082</f>
        <v>3231</v>
      </c>
      <c r="E1083" s="490">
        <f>IFERROR(-D1083/C1082,0)</f>
        <v>0.14859954928022812</v>
      </c>
      <c r="F1083" s="383">
        <f>B1083-B1082</f>
        <v>22</v>
      </c>
      <c r="G1083" s="490">
        <f>(C1083/-C1082)^(1/((B1083-B1082)/365))-1</f>
        <v>8.9598422912079059</v>
      </c>
      <c r="H1083" s="98"/>
      <c r="K1083" s="98"/>
      <c r="L1083" s="98"/>
      <c r="M1083" s="98"/>
      <c r="N1083" s="98"/>
      <c r="O1083" s="98"/>
      <c r="P1083" s="98"/>
      <c r="Q1083" s="98"/>
      <c r="R1083" s="98"/>
      <c r="S1083" s="98"/>
      <c r="T1083" s="98"/>
      <c r="U1083" s="98"/>
      <c r="V1083" s="98"/>
      <c r="W1083" s="98"/>
      <c r="X1083" s="98"/>
      <c r="Y1083" s="98"/>
      <c r="Z1083" s="98"/>
      <c r="AA1083" s="98"/>
      <c r="AB1083" s="98"/>
      <c r="AC1083" s="98"/>
      <c r="AD1083" s="98"/>
    </row>
    <row r="1084" spans="1:30" ht="12.75" customHeight="1">
      <c r="A1084" s="140" t="s">
        <v>493</v>
      </c>
      <c r="B1084" s="154">
        <v>44628</v>
      </c>
      <c r="C1084" s="395">
        <v>-10872</v>
      </c>
      <c r="D1084" s="395"/>
      <c r="E1084" s="487"/>
      <c r="F1084" s="491"/>
      <c r="G1084" s="488"/>
      <c r="H1084" s="98"/>
      <c r="K1084" s="98"/>
      <c r="L1084" s="98"/>
      <c r="M1084" s="98"/>
      <c r="N1084" s="98"/>
      <c r="O1084" s="98"/>
      <c r="P1084" s="98"/>
      <c r="Q1084" s="98"/>
      <c r="R1084" s="98"/>
      <c r="S1084" s="98"/>
      <c r="T1084" s="98"/>
      <c r="U1084" s="98"/>
      <c r="V1084" s="98"/>
      <c r="W1084" s="98"/>
      <c r="X1084" s="98"/>
      <c r="Y1084" s="98"/>
      <c r="Z1084" s="98"/>
      <c r="AA1084" s="98"/>
      <c r="AB1084" s="98"/>
      <c r="AC1084" s="98"/>
      <c r="AD1084" s="98"/>
    </row>
    <row r="1085" spans="1:30" ht="12.75" customHeight="1">
      <c r="A1085" s="125" t="s">
        <v>493</v>
      </c>
      <c r="B1085" s="155">
        <v>44652</v>
      </c>
      <c r="C1085" s="489">
        <v>12487</v>
      </c>
      <c r="D1085" s="489">
        <f>C1085+C1084</f>
        <v>1615</v>
      </c>
      <c r="E1085" s="490">
        <f>IFERROR(-D1085/C1084,0)</f>
        <v>0.1485467255334805</v>
      </c>
      <c r="F1085" s="383">
        <f>B1085-B1084</f>
        <v>24</v>
      </c>
      <c r="G1085" s="490">
        <f>(C1085/-C1084)^(1/((B1085-B1084)/365))-1</f>
        <v>7.2179026524260479</v>
      </c>
      <c r="H1085" s="98"/>
      <c r="K1085" s="98"/>
      <c r="L1085" s="98"/>
      <c r="M1085" s="98"/>
      <c r="N1085" s="98"/>
      <c r="O1085" s="98"/>
      <c r="P1085" s="98"/>
      <c r="Q1085" s="98"/>
      <c r="R1085" s="98"/>
      <c r="S1085" s="98"/>
      <c r="T1085" s="98"/>
      <c r="U1085" s="98"/>
      <c r="V1085" s="98"/>
      <c r="W1085" s="98"/>
      <c r="X1085" s="98"/>
      <c r="Y1085" s="98"/>
      <c r="Z1085" s="98"/>
      <c r="AA1085" s="98"/>
      <c r="AB1085" s="98"/>
      <c r="AC1085" s="98"/>
      <c r="AD1085" s="98"/>
    </row>
    <row r="1086" spans="1:30" ht="12.75" customHeight="1">
      <c r="A1086" s="140" t="s">
        <v>493</v>
      </c>
      <c r="B1086" s="154">
        <v>44615</v>
      </c>
      <c r="C1086" s="395">
        <v>-5006</v>
      </c>
      <c r="D1086" s="395"/>
      <c r="E1086" s="487"/>
      <c r="F1086" s="491"/>
      <c r="G1086" s="488"/>
      <c r="H1086" s="98"/>
      <c r="K1086" s="98"/>
      <c r="L1086" s="98"/>
      <c r="M1086" s="98"/>
      <c r="N1086" s="98"/>
      <c r="O1086" s="98"/>
      <c r="P1086" s="98"/>
      <c r="Q1086" s="98"/>
      <c r="R1086" s="98"/>
      <c r="S1086" s="98"/>
      <c r="T1086" s="98"/>
      <c r="U1086" s="98"/>
      <c r="V1086" s="98"/>
      <c r="W1086" s="98"/>
      <c r="X1086" s="98"/>
      <c r="Y1086" s="98"/>
      <c r="Z1086" s="98"/>
      <c r="AA1086" s="98"/>
      <c r="AB1086" s="98"/>
      <c r="AC1086" s="98"/>
      <c r="AD1086" s="98"/>
    </row>
    <row r="1087" spans="1:30" ht="12.75" customHeight="1">
      <c r="A1087" s="125" t="s">
        <v>493</v>
      </c>
      <c r="B1087" s="155">
        <v>44652</v>
      </c>
      <c r="C1087" s="489">
        <v>4995</v>
      </c>
      <c r="D1087" s="489">
        <f>C1087+C1086</f>
        <v>-11</v>
      </c>
      <c r="E1087" s="490">
        <f>IFERROR(-D1087/C1086,0)</f>
        <v>-2.1973631642029563E-3</v>
      </c>
      <c r="F1087" s="383">
        <f>B1087-B1086</f>
        <v>37</v>
      </c>
      <c r="G1087" s="490">
        <f>(C1087/-C1086)^(1/((B1087-B1086)/365))-1</f>
        <v>-2.1466778631327732E-2</v>
      </c>
      <c r="H1087" s="98"/>
      <c r="K1087" s="98"/>
      <c r="L1087" s="98"/>
      <c r="M1087" s="98"/>
      <c r="N1087" s="98"/>
      <c r="O1087" s="98"/>
      <c r="P1087" s="98"/>
      <c r="Q1087" s="98"/>
      <c r="R1087" s="98"/>
      <c r="S1087" s="98"/>
      <c r="T1087" s="98"/>
      <c r="U1087" s="98"/>
      <c r="V1087" s="98"/>
      <c r="W1087" s="98"/>
      <c r="X1087" s="98"/>
      <c r="Y1087" s="98"/>
      <c r="Z1087" s="98"/>
      <c r="AA1087" s="98"/>
      <c r="AB1087" s="98"/>
      <c r="AC1087" s="98"/>
      <c r="AD1087" s="98"/>
    </row>
    <row r="1088" spans="1:30" ht="12.75" customHeight="1">
      <c r="A1088" s="140" t="s">
        <v>493</v>
      </c>
      <c r="B1088" s="154">
        <v>44673</v>
      </c>
      <c r="C1088" s="395">
        <v>-12615</v>
      </c>
      <c r="D1088" s="395"/>
      <c r="E1088" s="487"/>
      <c r="F1088" s="491"/>
      <c r="G1088" s="488"/>
      <c r="H1088" s="98"/>
      <c r="K1088" s="98"/>
      <c r="L1088" s="98"/>
      <c r="M1088" s="98"/>
      <c r="N1088" s="98"/>
      <c r="O1088" s="98"/>
      <c r="P1088" s="98"/>
      <c r="Q1088" s="98"/>
      <c r="R1088" s="98"/>
      <c r="S1088" s="98"/>
      <c r="T1088" s="98"/>
      <c r="U1088" s="98"/>
      <c r="V1088" s="98"/>
      <c r="W1088" s="98"/>
      <c r="X1088" s="98"/>
      <c r="Y1088" s="98"/>
      <c r="Z1088" s="98"/>
      <c r="AA1088" s="98"/>
      <c r="AB1088" s="98"/>
      <c r="AC1088" s="98"/>
      <c r="AD1088" s="98"/>
    </row>
    <row r="1089" spans="1:30" ht="12.75" customHeight="1">
      <c r="A1089" s="125" t="s">
        <v>493</v>
      </c>
      <c r="B1089" s="155">
        <v>44769</v>
      </c>
      <c r="C1089" s="489">
        <v>13061</v>
      </c>
      <c r="D1089" s="489">
        <f>C1089+C1088</f>
        <v>446</v>
      </c>
      <c r="E1089" s="490">
        <f>IFERROR(-D1089/C1088,0)</f>
        <v>3.5354736424891002E-2</v>
      </c>
      <c r="F1089" s="383">
        <f>B1089-B1088</f>
        <v>96</v>
      </c>
      <c r="G1089" s="490">
        <f>(C1089/-C1088)^(1/((B1089-B1088)/365))-1</f>
        <v>0.14122243108977273</v>
      </c>
      <c r="H1089" s="98"/>
      <c r="K1089" s="98"/>
      <c r="L1089" s="98"/>
      <c r="M1089" s="98"/>
      <c r="N1089" s="98"/>
      <c r="O1089" s="98"/>
      <c r="P1089" s="98"/>
      <c r="Q1089" s="98"/>
      <c r="R1089" s="98"/>
      <c r="S1089" s="98"/>
      <c r="T1089" s="98"/>
      <c r="U1089" s="98"/>
      <c r="V1089" s="98"/>
      <c r="W1089" s="98"/>
      <c r="X1089" s="98"/>
      <c r="Y1089" s="98"/>
      <c r="Z1089" s="98"/>
      <c r="AA1089" s="98"/>
      <c r="AB1089" s="98"/>
      <c r="AC1089" s="98"/>
      <c r="AD1089" s="98"/>
    </row>
    <row r="1090" spans="1:30" ht="12.75" customHeight="1">
      <c r="A1090" s="140" t="s">
        <v>493</v>
      </c>
      <c r="B1090" s="154">
        <v>44673</v>
      </c>
      <c r="C1090" s="395">
        <v>-12615</v>
      </c>
      <c r="D1090" s="395"/>
      <c r="E1090" s="487"/>
      <c r="F1090" s="491"/>
      <c r="G1090" s="488"/>
      <c r="H1090" s="98"/>
      <c r="K1090" s="98"/>
      <c r="L1090" s="98"/>
      <c r="M1090" s="98"/>
      <c r="N1090" s="98"/>
      <c r="O1090" s="98"/>
      <c r="P1090" s="98"/>
      <c r="Q1090" s="98"/>
      <c r="R1090" s="98"/>
      <c r="S1090" s="98"/>
      <c r="T1090" s="98"/>
      <c r="U1090" s="98"/>
      <c r="V1090" s="98"/>
      <c r="W1090" s="98"/>
      <c r="X1090" s="98"/>
      <c r="Y1090" s="98"/>
      <c r="Z1090" s="98"/>
      <c r="AA1090" s="98"/>
      <c r="AB1090" s="98"/>
      <c r="AC1090" s="98"/>
      <c r="AD1090" s="98"/>
    </row>
    <row r="1091" spans="1:30" ht="12.75" customHeight="1">
      <c r="A1091" s="125" t="s">
        <v>493</v>
      </c>
      <c r="B1091" s="155">
        <v>44775</v>
      </c>
      <c r="C1091" s="489">
        <v>13536</v>
      </c>
      <c r="D1091" s="489">
        <f>C1091+C1090</f>
        <v>921</v>
      </c>
      <c r="E1091" s="490">
        <f>IFERROR(-D1091/C1090,0)</f>
        <v>7.3008323424494648E-2</v>
      </c>
      <c r="F1091" s="383">
        <f>B1091-B1090</f>
        <v>102</v>
      </c>
      <c r="G1091" s="490">
        <f>(C1091/-C1090)^(1/((B1091-B1090)/365))-1</f>
        <v>0.28680002409999883</v>
      </c>
      <c r="H1091" s="98"/>
      <c r="K1091" s="98"/>
      <c r="L1091" s="98"/>
      <c r="M1091" s="98"/>
      <c r="N1091" s="98"/>
      <c r="O1091" s="98"/>
      <c r="P1091" s="98"/>
      <c r="Q1091" s="98"/>
      <c r="R1091" s="98"/>
      <c r="S1091" s="98"/>
      <c r="T1091" s="98"/>
      <c r="U1091" s="98"/>
      <c r="V1091" s="98"/>
      <c r="W1091" s="98"/>
      <c r="X1091" s="98"/>
      <c r="Y1091" s="98"/>
      <c r="Z1091" s="98"/>
      <c r="AA1091" s="98"/>
      <c r="AB1091" s="98"/>
      <c r="AC1091" s="98"/>
      <c r="AD1091" s="98"/>
    </row>
    <row r="1092" spans="1:30" ht="12.75" customHeight="1">
      <c r="A1092" s="138" t="s">
        <v>532</v>
      </c>
      <c r="B1092" s="492">
        <v>44348</v>
      </c>
      <c r="C1092" s="493">
        <v>-12515</v>
      </c>
      <c r="D1092" s="395"/>
      <c r="E1092" s="487"/>
      <c r="F1092" s="491"/>
      <c r="G1092" s="488"/>
      <c r="H1092" s="98"/>
      <c r="K1092" s="98"/>
      <c r="L1092" s="98"/>
      <c r="M1092" s="98"/>
      <c r="N1092" s="98"/>
      <c r="O1092" s="98"/>
      <c r="P1092" s="98"/>
      <c r="Q1092" s="98"/>
      <c r="R1092" s="98"/>
      <c r="S1092" s="98"/>
      <c r="T1092" s="98"/>
      <c r="U1092" s="98"/>
      <c r="V1092" s="98"/>
      <c r="W1092" s="98"/>
      <c r="X1092" s="98"/>
      <c r="Y1092" s="98"/>
      <c r="Z1092" s="98"/>
      <c r="AA1092" s="98"/>
      <c r="AB1092" s="98"/>
      <c r="AC1092" s="98"/>
      <c r="AD1092" s="98"/>
    </row>
    <row r="1093" spans="1:30" ht="12.75" customHeight="1">
      <c r="A1093" s="125" t="s">
        <v>532</v>
      </c>
      <c r="B1093" s="495">
        <v>44356</v>
      </c>
      <c r="C1093" s="496">
        <v>13456</v>
      </c>
      <c r="D1093" s="489">
        <f>C1093+C1092</f>
        <v>941</v>
      </c>
      <c r="E1093" s="490">
        <f>-D1093/C1092</f>
        <v>7.5189772273272074E-2</v>
      </c>
      <c r="F1093" s="383">
        <f>B1093-B1092</f>
        <v>8</v>
      </c>
      <c r="G1093" s="490">
        <f>(C1093/-C1092)^(1/((B1093-B1092)/365))-1</f>
        <v>26.321768409052709</v>
      </c>
      <c r="H1093" s="98"/>
      <c r="K1093" s="98"/>
      <c r="L1093" s="98"/>
      <c r="M1093" s="98"/>
      <c r="N1093" s="98"/>
      <c r="O1093" s="98"/>
      <c r="P1093" s="98"/>
      <c r="Q1093" s="98"/>
      <c r="R1093" s="98"/>
      <c r="S1093" s="98"/>
      <c r="T1093" s="98"/>
      <c r="U1093" s="98"/>
      <c r="V1093" s="98"/>
      <c r="W1093" s="98"/>
      <c r="X1093" s="98"/>
      <c r="Y1093" s="98"/>
      <c r="Z1093" s="98"/>
      <c r="AA1093" s="98"/>
      <c r="AB1093" s="98"/>
      <c r="AC1093" s="98"/>
      <c r="AD1093" s="98"/>
    </row>
    <row r="1094" spans="1:30" ht="12.75" customHeight="1">
      <c r="A1094" s="140" t="s">
        <v>526</v>
      </c>
      <c r="B1094" s="154">
        <v>44342</v>
      </c>
      <c r="C1094" s="395">
        <v>-11714</v>
      </c>
      <c r="D1094" s="395"/>
      <c r="E1094" s="487"/>
      <c r="F1094" s="491"/>
      <c r="G1094" s="488"/>
      <c r="H1094" s="98"/>
      <c r="K1094" s="98"/>
      <c r="L1094" s="98"/>
      <c r="M1094" s="98"/>
      <c r="N1094" s="98"/>
      <c r="O1094" s="98"/>
      <c r="P1094" s="98"/>
      <c r="Q1094" s="98"/>
      <c r="R1094" s="98"/>
      <c r="S1094" s="98"/>
      <c r="T1094" s="98"/>
      <c r="U1094" s="98"/>
      <c r="V1094" s="98"/>
      <c r="W1094" s="98"/>
      <c r="X1094" s="98"/>
      <c r="Y1094" s="98"/>
      <c r="Z1094" s="98"/>
      <c r="AA1094" s="98"/>
      <c r="AB1094" s="98"/>
      <c r="AC1094" s="98"/>
      <c r="AD1094" s="98"/>
    </row>
    <row r="1095" spans="1:30" ht="12.75" customHeight="1">
      <c r="A1095" s="125" t="s">
        <v>526</v>
      </c>
      <c r="B1095" s="155">
        <v>44557</v>
      </c>
      <c r="C1095" s="489">
        <v>11089</v>
      </c>
      <c r="D1095" s="489">
        <f>C1095+C1094</f>
        <v>-625</v>
      </c>
      <c r="E1095" s="490">
        <f>-D1095/C1094</f>
        <v>-5.3354959877070174E-2</v>
      </c>
      <c r="F1095" s="383">
        <f>B1095-B1094</f>
        <v>215</v>
      </c>
      <c r="G1095" s="490">
        <f>(C1095/-C1094)^(1/((B1095-B1094)/365))-1</f>
        <v>-8.8884243736107371E-2</v>
      </c>
      <c r="H1095" s="98"/>
      <c r="K1095" s="98"/>
      <c r="L1095" s="98"/>
      <c r="M1095" s="98"/>
      <c r="N1095" s="98"/>
      <c r="O1095" s="98"/>
      <c r="P1095" s="98"/>
      <c r="Q1095" s="98"/>
      <c r="R1095" s="98"/>
      <c r="S1095" s="98"/>
      <c r="T1095" s="98"/>
      <c r="U1095" s="98"/>
      <c r="V1095" s="98"/>
      <c r="W1095" s="98"/>
      <c r="X1095" s="98"/>
      <c r="Y1095" s="98"/>
      <c r="Z1095" s="98"/>
      <c r="AA1095" s="98"/>
      <c r="AB1095" s="98"/>
      <c r="AC1095" s="98"/>
      <c r="AD1095" s="98"/>
    </row>
    <row r="1096" spans="1:30" ht="12.75" customHeight="1">
      <c r="A1096" s="140" t="s">
        <v>526</v>
      </c>
      <c r="B1096" s="154">
        <v>44558</v>
      </c>
      <c r="C1096" s="395">
        <v>-11313</v>
      </c>
      <c r="D1096" s="395"/>
      <c r="E1096" s="487"/>
      <c r="F1096" s="491"/>
      <c r="G1096" s="488"/>
      <c r="H1096" s="98"/>
      <c r="K1096" s="98"/>
      <c r="L1096" s="98"/>
      <c r="M1096" s="98"/>
      <c r="N1096" s="98"/>
      <c r="O1096" s="98"/>
      <c r="P1096" s="98"/>
      <c r="Q1096" s="98"/>
      <c r="R1096" s="98"/>
      <c r="S1096" s="98"/>
      <c r="T1096" s="98"/>
      <c r="U1096" s="98"/>
      <c r="V1096" s="98"/>
      <c r="W1096" s="98"/>
      <c r="X1096" s="98"/>
      <c r="Y1096" s="98"/>
      <c r="Z1096" s="98"/>
      <c r="AA1096" s="98"/>
      <c r="AB1096" s="98"/>
      <c r="AC1096" s="98"/>
      <c r="AD1096" s="98"/>
    </row>
    <row r="1097" spans="1:30" ht="12.75" customHeight="1">
      <c r="A1097" s="125" t="s">
        <v>526</v>
      </c>
      <c r="B1097" s="155">
        <v>44561</v>
      </c>
      <c r="C1097" s="489">
        <v>11438</v>
      </c>
      <c r="D1097" s="489">
        <f>C1097+C1096</f>
        <v>125</v>
      </c>
      <c r="E1097" s="490">
        <f>-D1097/C1096</f>
        <v>1.1049235392910811E-2</v>
      </c>
      <c r="F1097" s="383">
        <f>B1097-B1096</f>
        <v>3</v>
      </c>
      <c r="G1097" s="490">
        <f>(C1097/-C1096)^(1/((B1097-B1096)/365))-1</f>
        <v>2.8074170646037659</v>
      </c>
      <c r="H1097" s="98"/>
      <c r="K1097" s="98"/>
      <c r="L1097" s="98"/>
      <c r="M1097" s="98"/>
      <c r="N1097" s="98"/>
      <c r="O1097" s="98"/>
      <c r="P1097" s="98"/>
      <c r="Q1097" s="98"/>
      <c r="R1097" s="98"/>
      <c r="S1097" s="98"/>
      <c r="T1097" s="98"/>
      <c r="U1097" s="98"/>
      <c r="V1097" s="98"/>
      <c r="W1097" s="98"/>
      <c r="X1097" s="98"/>
      <c r="Y1097" s="98"/>
      <c r="Z1097" s="98"/>
      <c r="AA1097" s="98"/>
      <c r="AB1097" s="98"/>
      <c r="AC1097" s="98"/>
      <c r="AD1097" s="98"/>
    </row>
    <row r="1098" spans="1:30" ht="12.75" customHeight="1">
      <c r="A1098" s="140" t="s">
        <v>526</v>
      </c>
      <c r="B1098" s="154">
        <v>44560</v>
      </c>
      <c r="C1098" s="395">
        <v>-10913</v>
      </c>
      <c r="D1098" s="395"/>
      <c r="E1098" s="487"/>
      <c r="F1098" s="491"/>
      <c r="G1098" s="488"/>
      <c r="H1098" s="98"/>
      <c r="K1098" s="98"/>
      <c r="L1098" s="98"/>
      <c r="M1098" s="98"/>
      <c r="N1098" s="98"/>
      <c r="O1098" s="98"/>
      <c r="P1098" s="98"/>
      <c r="Q1098" s="98"/>
      <c r="R1098" s="98"/>
      <c r="S1098" s="98"/>
      <c r="T1098" s="98"/>
      <c r="U1098" s="98"/>
      <c r="V1098" s="98"/>
      <c r="W1098" s="98"/>
      <c r="X1098" s="98"/>
      <c r="Y1098" s="98"/>
      <c r="Z1098" s="98"/>
      <c r="AA1098" s="98"/>
      <c r="AB1098" s="98"/>
      <c r="AC1098" s="98"/>
      <c r="AD1098" s="98"/>
    </row>
    <row r="1099" spans="1:30" ht="12.75" customHeight="1">
      <c r="A1099" s="125" t="s">
        <v>526</v>
      </c>
      <c r="B1099" s="155">
        <v>44561</v>
      </c>
      <c r="C1099" s="489">
        <v>11184</v>
      </c>
      <c r="D1099" s="489">
        <f>C1099+C1098</f>
        <v>271</v>
      </c>
      <c r="E1099" s="490">
        <f>-D1099/C1098</f>
        <v>2.4832768258040868E-2</v>
      </c>
      <c r="F1099" s="383">
        <f>B1099-B1098</f>
        <v>1</v>
      </c>
      <c r="G1099" s="490">
        <f>(C1099/-C1098)^(1/((B1099-B1098)/365))-1</f>
        <v>7731.9671887503591</v>
      </c>
      <c r="H1099" s="98"/>
      <c r="K1099" s="98"/>
      <c r="L1099" s="98"/>
      <c r="M1099" s="98"/>
      <c r="N1099" s="98"/>
      <c r="O1099" s="98"/>
      <c r="P1099" s="98"/>
      <c r="Q1099" s="98"/>
      <c r="R1099" s="98"/>
      <c r="S1099" s="98"/>
      <c r="T1099" s="98"/>
      <c r="U1099" s="98"/>
      <c r="V1099" s="98"/>
      <c r="W1099" s="98"/>
      <c r="X1099" s="98"/>
      <c r="Y1099" s="98"/>
      <c r="Z1099" s="98"/>
      <c r="AA1099" s="98"/>
      <c r="AB1099" s="98"/>
      <c r="AC1099" s="98"/>
      <c r="AD1099" s="98"/>
    </row>
    <row r="1100" spans="1:30" ht="12.75" customHeight="1">
      <c r="A1100" s="140" t="s">
        <v>552</v>
      </c>
      <c r="B1100" s="154">
        <v>44369</v>
      </c>
      <c r="C1100" s="140">
        <v>-13770</v>
      </c>
      <c r="D1100" s="395"/>
      <c r="E1100" s="487"/>
      <c r="F1100" s="491"/>
      <c r="G1100" s="488"/>
      <c r="H1100" s="98"/>
      <c r="K1100" s="98"/>
      <c r="L1100" s="98"/>
      <c r="M1100" s="98"/>
      <c r="N1100" s="98"/>
      <c r="O1100" s="98"/>
      <c r="P1100" s="98"/>
      <c r="Q1100" s="98"/>
      <c r="R1100" s="98"/>
      <c r="S1100" s="98"/>
      <c r="T1100" s="98"/>
      <c r="U1100" s="98"/>
      <c r="V1100" s="98"/>
      <c r="W1100" s="98"/>
      <c r="X1100" s="98"/>
      <c r="Y1100" s="98"/>
      <c r="Z1100" s="98"/>
      <c r="AA1100" s="98"/>
      <c r="AB1100" s="98"/>
      <c r="AC1100" s="98"/>
      <c r="AD1100" s="98"/>
    </row>
    <row r="1101" spans="1:30" ht="12.75" customHeight="1">
      <c r="A1101" s="125" t="s">
        <v>552</v>
      </c>
      <c r="B1101" s="155">
        <v>44375</v>
      </c>
      <c r="C1101" s="489">
        <v>17217</v>
      </c>
      <c r="D1101" s="489">
        <f>C1101+C1100</f>
        <v>3447</v>
      </c>
      <c r="E1101" s="490">
        <f>-D1101/C1100</f>
        <v>0.25032679738562091</v>
      </c>
      <c r="F1101" s="383">
        <f>B1101-B1100</f>
        <v>6</v>
      </c>
      <c r="G1101" s="490">
        <f>(C1101/-C1100)^(1/((B1101-B1100)/365))-1</f>
        <v>798481.31539093063</v>
      </c>
      <c r="H1101" s="98"/>
      <c r="K1101" s="98"/>
      <c r="L1101" s="98"/>
      <c r="M1101" s="98"/>
      <c r="N1101" s="98"/>
      <c r="O1101" s="98"/>
      <c r="P1101" s="98"/>
      <c r="Q1101" s="98"/>
      <c r="R1101" s="98"/>
      <c r="S1101" s="98"/>
      <c r="T1101" s="98"/>
      <c r="U1101" s="98"/>
      <c r="V1101" s="98"/>
      <c r="W1101" s="98"/>
      <c r="X1101" s="98"/>
      <c r="Y1101" s="98"/>
      <c r="Z1101" s="98"/>
      <c r="AA1101" s="98"/>
      <c r="AB1101" s="98"/>
      <c r="AC1101" s="98"/>
      <c r="AD1101" s="98"/>
    </row>
    <row r="1102" spans="1:30" ht="12.75" customHeight="1">
      <c r="A1102" s="140" t="s">
        <v>557</v>
      </c>
      <c r="B1102" s="154">
        <v>44379</v>
      </c>
      <c r="C1102" s="395">
        <v>-9161</v>
      </c>
      <c r="D1102" s="395"/>
      <c r="E1102" s="487"/>
      <c r="F1102" s="491"/>
      <c r="G1102" s="488"/>
      <c r="H1102" s="98"/>
      <c r="K1102" s="98"/>
      <c r="L1102" s="98"/>
      <c r="M1102" s="98"/>
      <c r="N1102" s="98"/>
      <c r="O1102" s="98"/>
      <c r="P1102" s="98"/>
      <c r="Q1102" s="98"/>
      <c r="R1102" s="98"/>
      <c r="S1102" s="98"/>
      <c r="T1102" s="98"/>
      <c r="U1102" s="98"/>
      <c r="V1102" s="98"/>
      <c r="W1102" s="98"/>
      <c r="X1102" s="98"/>
      <c r="Y1102" s="98"/>
      <c r="Z1102" s="98"/>
      <c r="AA1102" s="98"/>
      <c r="AB1102" s="98"/>
      <c r="AC1102" s="98"/>
      <c r="AD1102" s="98"/>
    </row>
    <row r="1103" spans="1:30" ht="12.75" customHeight="1">
      <c r="A1103" s="125" t="s">
        <v>557</v>
      </c>
      <c r="B1103" s="155">
        <v>44897</v>
      </c>
      <c r="C1103" s="489">
        <v>10389</v>
      </c>
      <c r="D1103" s="489">
        <f>C1103+C1102</f>
        <v>1228</v>
      </c>
      <c r="E1103" s="490">
        <f>IFERROR(-D1103/C1102,0)</f>
        <v>0.13404650147363825</v>
      </c>
      <c r="F1103" s="383">
        <f>B1103-B1102</f>
        <v>518</v>
      </c>
      <c r="G1103" s="490">
        <f>(C1103/-C1102)^(1/((B1103-B1102)/365))-1</f>
        <v>9.2684343031589345E-2</v>
      </c>
      <c r="H1103" s="98"/>
      <c r="K1103" s="98"/>
      <c r="L1103" s="98"/>
      <c r="M1103" s="98"/>
      <c r="N1103" s="98"/>
      <c r="O1103" s="98"/>
      <c r="P1103" s="98"/>
      <c r="Q1103" s="98"/>
      <c r="R1103" s="98"/>
      <c r="S1103" s="98"/>
      <c r="T1103" s="98"/>
      <c r="U1103" s="98"/>
      <c r="V1103" s="98"/>
      <c r="W1103" s="98"/>
      <c r="X1103" s="98"/>
      <c r="Y1103" s="98"/>
      <c r="Z1103" s="98"/>
      <c r="AA1103" s="98"/>
      <c r="AB1103" s="98"/>
      <c r="AC1103" s="98"/>
      <c r="AD1103" s="98"/>
    </row>
    <row r="1104" spans="1:30" ht="12.75" customHeight="1">
      <c r="A1104" s="140" t="s">
        <v>550</v>
      </c>
      <c r="B1104" s="154">
        <v>44368</v>
      </c>
      <c r="C1104" s="140">
        <v>-14841</v>
      </c>
      <c r="D1104" s="395"/>
      <c r="E1104" s="487"/>
      <c r="F1104" s="491"/>
      <c r="G1104" s="488"/>
      <c r="H1104" s="98"/>
      <c r="K1104" s="98"/>
      <c r="L1104" s="98"/>
      <c r="M1104" s="98"/>
      <c r="N1104" s="98"/>
      <c r="O1104" s="98"/>
      <c r="P1104" s="98"/>
      <c r="Q1104" s="98"/>
      <c r="R1104" s="98"/>
      <c r="S1104" s="98"/>
      <c r="T1104" s="98"/>
      <c r="U1104" s="98"/>
      <c r="V1104" s="98"/>
      <c r="W1104" s="98"/>
      <c r="X1104" s="98"/>
      <c r="Y1104" s="98"/>
      <c r="Z1104" s="98"/>
      <c r="AA1104" s="98"/>
      <c r="AB1104" s="98"/>
      <c r="AC1104" s="98"/>
      <c r="AD1104" s="98"/>
    </row>
    <row r="1105" spans="1:30" ht="12.75" customHeight="1">
      <c r="A1105" s="125" t="s">
        <v>550</v>
      </c>
      <c r="B1105" s="155">
        <v>44371</v>
      </c>
      <c r="C1105" s="489">
        <v>16252</v>
      </c>
      <c r="D1105" s="489">
        <f>C1105+C1104</f>
        <v>1411</v>
      </c>
      <c r="E1105" s="490">
        <f>-D1105/C1104</f>
        <v>9.5074455899198163E-2</v>
      </c>
      <c r="F1105" s="383">
        <f>B1105-B1104</f>
        <v>3</v>
      </c>
      <c r="G1105" s="490">
        <f>(C1105/-C1104)^(1/((B1105-B1104)/365))-1</f>
        <v>62946.319727670612</v>
      </c>
      <c r="H1105" s="98"/>
      <c r="K1105" s="98"/>
      <c r="L1105" s="98"/>
      <c r="M1105" s="98"/>
      <c r="N1105" s="98"/>
      <c r="O1105" s="98"/>
      <c r="P1105" s="98"/>
      <c r="Q1105" s="98"/>
      <c r="R1105" s="98"/>
      <c r="S1105" s="98"/>
      <c r="T1105" s="98"/>
      <c r="U1105" s="98"/>
      <c r="V1105" s="98"/>
      <c r="W1105" s="98"/>
      <c r="X1105" s="98"/>
      <c r="Y1105" s="98"/>
      <c r="Z1105" s="98"/>
      <c r="AA1105" s="98"/>
      <c r="AB1105" s="98"/>
      <c r="AC1105" s="98"/>
      <c r="AD1105" s="98"/>
    </row>
    <row r="1106" spans="1:30" ht="12.75" customHeight="1">
      <c r="A1106" s="140" t="s">
        <v>550</v>
      </c>
      <c r="B1106" s="154">
        <v>44372</v>
      </c>
      <c r="C1106" s="140">
        <v>-20274</v>
      </c>
      <c r="D1106" s="395"/>
      <c r="E1106" s="487"/>
      <c r="F1106" s="491"/>
      <c r="G1106" s="488"/>
      <c r="H1106" s="98"/>
      <c r="K1106" s="98"/>
      <c r="L1106" s="98"/>
      <c r="M1106" s="98"/>
      <c r="N1106" s="98"/>
      <c r="O1106" s="98"/>
      <c r="P1106" s="98"/>
      <c r="Q1106" s="98"/>
      <c r="R1106" s="98"/>
      <c r="S1106" s="98"/>
      <c r="T1106" s="98"/>
      <c r="U1106" s="98"/>
      <c r="V1106" s="98"/>
      <c r="W1106" s="98"/>
      <c r="X1106" s="98"/>
      <c r="Y1106" s="98"/>
      <c r="Z1106" s="98"/>
      <c r="AA1106" s="98"/>
      <c r="AB1106" s="98"/>
      <c r="AC1106" s="98"/>
      <c r="AD1106" s="98"/>
    </row>
    <row r="1107" spans="1:30" ht="12.75" customHeight="1">
      <c r="A1107" s="125" t="s">
        <v>550</v>
      </c>
      <c r="B1107" s="155">
        <v>44386</v>
      </c>
      <c r="C1107" s="489">
        <v>20828</v>
      </c>
      <c r="D1107" s="489">
        <f>C1107+C1106</f>
        <v>554</v>
      </c>
      <c r="E1107" s="490">
        <f>-D1107/C1106</f>
        <v>2.7325638749136825E-2</v>
      </c>
      <c r="F1107" s="383">
        <f>B1107-B1106</f>
        <v>14</v>
      </c>
      <c r="G1107" s="490">
        <f>(C1107/-C1106)^(1/((B1107-B1106)/365))-1</f>
        <v>1.0195173692119539</v>
      </c>
      <c r="H1107" s="98"/>
      <c r="K1107" s="98"/>
      <c r="L1107" s="98"/>
      <c r="M1107" s="98"/>
      <c r="N1107" s="98"/>
      <c r="O1107" s="98"/>
      <c r="P1107" s="98"/>
      <c r="Q1107" s="98"/>
      <c r="R1107" s="98"/>
      <c r="S1107" s="98"/>
      <c r="T1107" s="98"/>
      <c r="U1107" s="98"/>
      <c r="V1107" s="98"/>
      <c r="W1107" s="98"/>
      <c r="X1107" s="98"/>
      <c r="Y1107" s="98"/>
      <c r="Z1107" s="98"/>
      <c r="AA1107" s="98"/>
      <c r="AB1107" s="98"/>
      <c r="AC1107" s="98"/>
      <c r="AD1107" s="98"/>
    </row>
    <row r="1108" spans="1:30" ht="12.75" customHeight="1">
      <c r="A1108" s="140" t="s">
        <v>556</v>
      </c>
      <c r="B1108" s="154">
        <v>44378</v>
      </c>
      <c r="C1108" s="140">
        <v>-14637</v>
      </c>
      <c r="D1108" s="395"/>
      <c r="E1108" s="487"/>
      <c r="F1108" s="491"/>
      <c r="G1108" s="488"/>
      <c r="H1108" s="98"/>
      <c r="K1108" s="98"/>
      <c r="L1108" s="98"/>
      <c r="M1108" s="98"/>
      <c r="N1108" s="98"/>
      <c r="O1108" s="98"/>
      <c r="P1108" s="98"/>
      <c r="Q1108" s="98"/>
      <c r="R1108" s="98"/>
      <c r="S1108" s="98"/>
      <c r="T1108" s="98"/>
      <c r="U1108" s="98"/>
      <c r="V1108" s="98"/>
      <c r="W1108" s="98"/>
      <c r="X1108" s="98"/>
      <c r="Y1108" s="98"/>
      <c r="Z1108" s="98"/>
      <c r="AA1108" s="98"/>
      <c r="AB1108" s="98"/>
      <c r="AC1108" s="98"/>
      <c r="AD1108" s="98"/>
    </row>
    <row r="1109" spans="1:30" ht="12.75" customHeight="1">
      <c r="A1109" s="125" t="s">
        <v>556</v>
      </c>
      <c r="B1109" s="155">
        <v>44393</v>
      </c>
      <c r="C1109" s="489">
        <v>15364</v>
      </c>
      <c r="D1109" s="489">
        <f>C1109+C1108</f>
        <v>727</v>
      </c>
      <c r="E1109" s="490">
        <f>-D1109/C1108</f>
        <v>4.9668647946983668E-2</v>
      </c>
      <c r="F1109" s="383">
        <f>B1109-B1108</f>
        <v>15</v>
      </c>
      <c r="G1109" s="490">
        <f>(C1109/-C1108)^(1/((B1109-B1108)/365))-1</f>
        <v>2.2529008383620197</v>
      </c>
      <c r="H1109" s="98"/>
      <c r="K1109" s="98"/>
      <c r="L1109" s="98"/>
      <c r="M1109" s="98"/>
      <c r="N1109" s="98"/>
      <c r="O1109" s="98"/>
      <c r="P1109" s="98"/>
      <c r="Q1109" s="98"/>
      <c r="R1109" s="98"/>
      <c r="S1109" s="98"/>
      <c r="T1109" s="98"/>
      <c r="U1109" s="98"/>
      <c r="V1109" s="98"/>
      <c r="W1109" s="98"/>
      <c r="X1109" s="98"/>
      <c r="Y1109" s="98"/>
      <c r="Z1109" s="98"/>
      <c r="AA1109" s="98"/>
      <c r="AB1109" s="98"/>
      <c r="AC1109" s="98"/>
      <c r="AD1109" s="98"/>
    </row>
    <row r="1110" spans="1:30" ht="12.75" customHeight="1">
      <c r="A1110" s="140" t="s">
        <v>645</v>
      </c>
      <c r="B1110" s="154">
        <v>44915</v>
      </c>
      <c r="C1110" s="395">
        <v>-14994</v>
      </c>
      <c r="D1110" s="395"/>
      <c r="E1110" s="487"/>
      <c r="F1110" s="491"/>
      <c r="G1110" s="488"/>
      <c r="H1110" s="98"/>
      <c r="K1110" s="98"/>
      <c r="L1110" s="98"/>
      <c r="M1110" s="98"/>
      <c r="N1110" s="98"/>
      <c r="O1110" s="98"/>
      <c r="P1110" s="98"/>
      <c r="Q1110" s="98"/>
      <c r="R1110" s="98"/>
      <c r="S1110" s="98"/>
      <c r="T1110" s="98"/>
      <c r="U1110" s="98"/>
      <c r="V1110" s="98"/>
      <c r="W1110" s="98"/>
      <c r="X1110" s="98"/>
      <c r="Y1110" s="98"/>
      <c r="Z1110" s="98"/>
      <c r="AA1110" s="98"/>
      <c r="AB1110" s="98"/>
      <c r="AC1110" s="98"/>
      <c r="AD1110" s="98"/>
    </row>
    <row r="1111" spans="1:30" ht="12.75" customHeight="1">
      <c r="A1111" s="125" t="s">
        <v>645</v>
      </c>
      <c r="B1111" s="155">
        <v>44942</v>
      </c>
      <c r="C1111" s="489">
        <v>15012</v>
      </c>
      <c r="D1111" s="489">
        <f>C1111+C1110</f>
        <v>18</v>
      </c>
      <c r="E1111" s="490">
        <f>IFERROR(-D1111/C1110,0)</f>
        <v>1.2004801920768306E-3</v>
      </c>
      <c r="F1111" s="383">
        <f>B1111-B1110</f>
        <v>27</v>
      </c>
      <c r="G1111" s="490">
        <f>(C1111/-C1110)^(1/((B1111-B1110)/365))-1</f>
        <v>1.6351222008347044E-2</v>
      </c>
      <c r="H1111" s="98"/>
      <c r="K1111" s="98"/>
      <c r="L1111" s="98"/>
      <c r="M1111" s="98"/>
      <c r="N1111" s="98"/>
      <c r="O1111" s="98"/>
      <c r="P1111" s="98"/>
      <c r="Q1111" s="98"/>
      <c r="R1111" s="98"/>
      <c r="S1111" s="98"/>
      <c r="T1111" s="98"/>
      <c r="U1111" s="98"/>
      <c r="V1111" s="98"/>
      <c r="W1111" s="98"/>
      <c r="X1111" s="98"/>
      <c r="Y1111" s="98"/>
      <c r="Z1111" s="98"/>
      <c r="AA1111" s="98"/>
      <c r="AB1111" s="98"/>
      <c r="AC1111" s="98"/>
      <c r="AD1111" s="98"/>
    </row>
    <row r="1112" spans="1:30" ht="12.75" customHeight="1">
      <c r="A1112" s="140" t="s">
        <v>530</v>
      </c>
      <c r="B1112" s="154">
        <v>44344</v>
      </c>
      <c r="C1112" s="140">
        <v>-5507</v>
      </c>
      <c r="D1112" s="395"/>
      <c r="E1112" s="487"/>
      <c r="F1112" s="491"/>
      <c r="G1112" s="488"/>
      <c r="H1112" s="98"/>
      <c r="K1112" s="98"/>
      <c r="L1112" s="98"/>
      <c r="M1112" s="98"/>
      <c r="N1112" s="98"/>
      <c r="O1112" s="98"/>
      <c r="P1112" s="98"/>
      <c r="Q1112" s="98"/>
      <c r="R1112" s="98"/>
      <c r="S1112" s="98"/>
      <c r="T1112" s="98"/>
      <c r="U1112" s="98"/>
      <c r="V1112" s="98"/>
      <c r="W1112" s="98"/>
      <c r="X1112" s="98"/>
      <c r="Y1112" s="98"/>
      <c r="Z1112" s="98"/>
      <c r="AA1112" s="98"/>
      <c r="AB1112" s="98"/>
      <c r="AC1112" s="98"/>
      <c r="AD1112" s="98"/>
    </row>
    <row r="1113" spans="1:30" ht="12.75" customHeight="1">
      <c r="A1113" s="125" t="s">
        <v>530</v>
      </c>
      <c r="B1113" s="155">
        <v>44365</v>
      </c>
      <c r="C1113" s="489">
        <v>5524</v>
      </c>
      <c r="D1113" s="489">
        <f>C1113+C1112</f>
        <v>17</v>
      </c>
      <c r="E1113" s="490">
        <f>-D1113/C1112</f>
        <v>3.0869802070092609E-3</v>
      </c>
      <c r="F1113" s="383">
        <f>B1113-B1112</f>
        <v>21</v>
      </c>
      <c r="G1113" s="490">
        <f>(C1113/-C1112)^(1/((B1113-B1112)/365))-1</f>
        <v>5.5032962576098798E-2</v>
      </c>
      <c r="H1113" s="98"/>
      <c r="K1113" s="98"/>
      <c r="L1113" s="98"/>
      <c r="M1113" s="98"/>
      <c r="N1113" s="98"/>
      <c r="O1113" s="98"/>
      <c r="P1113" s="98"/>
      <c r="Q1113" s="98"/>
      <c r="R1113" s="98"/>
      <c r="S1113" s="98"/>
      <c r="T1113" s="98"/>
      <c r="U1113" s="98"/>
      <c r="V1113" s="98"/>
      <c r="W1113" s="98"/>
      <c r="X1113" s="98"/>
      <c r="Y1113" s="98"/>
      <c r="Z1113" s="98"/>
      <c r="AA1113" s="98"/>
      <c r="AB1113" s="98"/>
      <c r="AC1113" s="98"/>
      <c r="AD1113" s="98"/>
    </row>
    <row r="1114" spans="1:30" ht="12.75" customHeight="1">
      <c r="A1114" s="140" t="s">
        <v>633</v>
      </c>
      <c r="B1114" s="154">
        <v>44802</v>
      </c>
      <c r="C1114" s="395">
        <v>-7299</v>
      </c>
      <c r="D1114" s="395"/>
      <c r="E1114" s="487"/>
      <c r="F1114" s="491"/>
      <c r="G1114" s="488"/>
      <c r="H1114" s="98"/>
      <c r="K1114" s="98"/>
      <c r="L1114" s="98"/>
      <c r="M1114" s="98"/>
      <c r="N1114" s="98"/>
      <c r="O1114" s="98"/>
      <c r="P1114" s="98"/>
      <c r="Q1114" s="98"/>
      <c r="R1114" s="98"/>
      <c r="S1114" s="98"/>
      <c r="T1114" s="98"/>
      <c r="U1114" s="98"/>
      <c r="V1114" s="98"/>
      <c r="W1114" s="98"/>
      <c r="X1114" s="98"/>
      <c r="Y1114" s="98"/>
      <c r="Z1114" s="98"/>
      <c r="AA1114" s="98"/>
      <c r="AB1114" s="98"/>
      <c r="AC1114" s="98"/>
      <c r="AD1114" s="98"/>
    </row>
    <row r="1115" spans="1:30" ht="12.75" customHeight="1">
      <c r="A1115" s="125" t="s">
        <v>633</v>
      </c>
      <c r="B1115" s="155">
        <v>44809</v>
      </c>
      <c r="C1115" s="489">
        <v>8631</v>
      </c>
      <c r="D1115" s="489">
        <f>C1115+C1114</f>
        <v>1332</v>
      </c>
      <c r="E1115" s="490">
        <f>IFERROR(-D1115/C1114,0)</f>
        <v>0.18249075215782984</v>
      </c>
      <c r="F1115" s="383">
        <f>B1115-B1114</f>
        <v>7</v>
      </c>
      <c r="G1115" s="490">
        <f>(C1115/-C1114)^(1/((B1115-B1114)/365))-1</f>
        <v>6249.0405190742877</v>
      </c>
      <c r="H1115" s="98"/>
      <c r="K1115" s="98"/>
      <c r="L1115" s="98"/>
      <c r="M1115" s="98"/>
      <c r="N1115" s="98"/>
      <c r="O1115" s="98"/>
      <c r="P1115" s="98"/>
      <c r="Q1115" s="98"/>
      <c r="R1115" s="98"/>
      <c r="S1115" s="98"/>
      <c r="T1115" s="98"/>
      <c r="U1115" s="98"/>
      <c r="V1115" s="98"/>
      <c r="W1115" s="98"/>
      <c r="X1115" s="98"/>
      <c r="Y1115" s="98"/>
      <c r="Z1115" s="98"/>
      <c r="AA1115" s="98"/>
      <c r="AB1115" s="98"/>
      <c r="AC1115" s="98"/>
      <c r="AD1115" s="98"/>
    </row>
    <row r="1116" spans="1:30" ht="12.75" customHeight="1">
      <c r="A1116" s="140" t="s">
        <v>633</v>
      </c>
      <c r="B1116" s="154">
        <v>44795</v>
      </c>
      <c r="C1116" s="395">
        <v>-841</v>
      </c>
      <c r="D1116" s="395"/>
      <c r="E1116" s="487"/>
      <c r="F1116" s="491"/>
      <c r="G1116" s="488"/>
      <c r="H1116" s="98"/>
      <c r="K1116" s="98"/>
      <c r="L1116" s="98"/>
      <c r="M1116" s="98"/>
      <c r="N1116" s="98"/>
      <c r="O1116" s="98"/>
      <c r="P1116" s="98"/>
      <c r="Q1116" s="98"/>
      <c r="R1116" s="98"/>
      <c r="S1116" s="98"/>
      <c r="T1116" s="98"/>
      <c r="U1116" s="98"/>
      <c r="V1116" s="98"/>
      <c r="W1116" s="98"/>
      <c r="X1116" s="98"/>
      <c r="Y1116" s="98"/>
      <c r="Z1116" s="98"/>
      <c r="AA1116" s="98"/>
      <c r="AB1116" s="98"/>
      <c r="AC1116" s="98"/>
      <c r="AD1116" s="98"/>
    </row>
    <row r="1117" spans="1:30" ht="12.75" customHeight="1">
      <c r="A1117" s="125" t="s">
        <v>633</v>
      </c>
      <c r="B1117" s="155">
        <v>44809</v>
      </c>
      <c r="C1117" s="489">
        <v>959</v>
      </c>
      <c r="D1117" s="489">
        <f>C1117+C1116</f>
        <v>118</v>
      </c>
      <c r="E1117" s="490">
        <f>IFERROR(-D1117/C1116,0)</f>
        <v>0.14030915576694411</v>
      </c>
      <c r="F1117" s="383">
        <f>B1117-B1116</f>
        <v>14</v>
      </c>
      <c r="G1117" s="490">
        <f>(C1117/-C1116)^(1/((B1117-B1116)/365))-1</f>
        <v>29.666268889713585</v>
      </c>
      <c r="H1117" s="98"/>
      <c r="K1117" s="98"/>
      <c r="L1117" s="98"/>
      <c r="M1117" s="98"/>
      <c r="N1117" s="98"/>
      <c r="O1117" s="98"/>
      <c r="P1117" s="98"/>
      <c r="Q1117" s="98"/>
      <c r="R1117" s="98"/>
      <c r="S1117" s="98"/>
      <c r="T1117" s="98"/>
      <c r="U1117" s="98"/>
      <c r="V1117" s="98"/>
      <c r="W1117" s="98"/>
      <c r="X1117" s="98"/>
      <c r="Y1117" s="98"/>
      <c r="Z1117" s="98"/>
      <c r="AA1117" s="98"/>
      <c r="AB1117" s="98"/>
      <c r="AC1117" s="98"/>
      <c r="AD1117" s="98"/>
    </row>
    <row r="1118" spans="1:30" ht="12.75" customHeight="1">
      <c r="A1118" s="140" t="s">
        <v>633</v>
      </c>
      <c r="B1118" s="154">
        <v>44818</v>
      </c>
      <c r="C1118" s="395">
        <v>-921</v>
      </c>
      <c r="D1118" s="395"/>
      <c r="E1118" s="487"/>
      <c r="F1118" s="491"/>
      <c r="G1118" s="488"/>
      <c r="H1118" s="98"/>
      <c r="K1118" s="98"/>
      <c r="L1118" s="98"/>
      <c r="M1118" s="98"/>
      <c r="N1118" s="98"/>
      <c r="O1118" s="98"/>
      <c r="P1118" s="98"/>
      <c r="Q1118" s="98"/>
      <c r="R1118" s="98"/>
      <c r="S1118" s="98"/>
      <c r="T1118" s="98"/>
      <c r="U1118" s="98"/>
      <c r="V1118" s="98"/>
      <c r="W1118" s="98"/>
      <c r="X1118" s="98"/>
      <c r="Y1118" s="98"/>
      <c r="Z1118" s="98"/>
      <c r="AA1118" s="98"/>
      <c r="AB1118" s="98"/>
      <c r="AC1118" s="98"/>
      <c r="AD1118" s="98"/>
    </row>
    <row r="1119" spans="1:30" ht="12.75" customHeight="1">
      <c r="A1119" s="125" t="s">
        <v>633</v>
      </c>
      <c r="B1119" s="155">
        <v>44901</v>
      </c>
      <c r="C1119" s="489">
        <v>1024</v>
      </c>
      <c r="D1119" s="489">
        <f>C1119+C1118</f>
        <v>103</v>
      </c>
      <c r="E1119" s="490">
        <f>IFERROR(-D1119/C1118,0)</f>
        <v>0.11183496199782844</v>
      </c>
      <c r="F1119" s="383">
        <f>B1119-B1118</f>
        <v>83</v>
      </c>
      <c r="G1119" s="490">
        <f>(C1119/-C1118)^(1/((B1119-B1118)/365))-1</f>
        <v>0.59391991100323982</v>
      </c>
      <c r="H1119" s="98"/>
      <c r="K1119" s="98"/>
      <c r="L1119" s="98"/>
      <c r="M1119" s="98"/>
      <c r="N1119" s="98"/>
      <c r="O1119" s="98"/>
      <c r="P1119" s="98"/>
      <c r="Q1119" s="98"/>
      <c r="R1119" s="98"/>
      <c r="S1119" s="98"/>
      <c r="T1119" s="98"/>
      <c r="U1119" s="98"/>
      <c r="V1119" s="98"/>
      <c r="W1119" s="98"/>
      <c r="X1119" s="98"/>
      <c r="Y1119" s="98"/>
      <c r="Z1119" s="98"/>
      <c r="AA1119" s="98"/>
      <c r="AB1119" s="98"/>
      <c r="AC1119" s="98"/>
      <c r="AD1119" s="98"/>
    </row>
    <row r="1120" spans="1:30" ht="12.75" customHeight="1">
      <c r="A1120" s="138" t="s">
        <v>518</v>
      </c>
      <c r="B1120" s="492">
        <v>44330</v>
      </c>
      <c r="C1120" s="493">
        <v>-16344</v>
      </c>
      <c r="D1120" s="395"/>
      <c r="E1120" s="487"/>
      <c r="F1120" s="491"/>
      <c r="G1120" s="488"/>
      <c r="H1120" s="98"/>
      <c r="K1120" s="98"/>
      <c r="L1120" s="98"/>
      <c r="M1120" s="98"/>
      <c r="N1120" s="98"/>
      <c r="O1120" s="98"/>
      <c r="P1120" s="98"/>
      <c r="Q1120" s="98"/>
      <c r="R1120" s="98"/>
      <c r="S1120" s="98"/>
      <c r="T1120" s="98"/>
      <c r="U1120" s="98"/>
      <c r="V1120" s="98"/>
      <c r="W1120" s="98"/>
      <c r="X1120" s="98"/>
      <c r="Y1120" s="98"/>
      <c r="Z1120" s="98"/>
      <c r="AA1120" s="98"/>
      <c r="AB1120" s="98"/>
      <c r="AC1120" s="98"/>
      <c r="AD1120" s="98"/>
    </row>
    <row r="1121" spans="1:30" ht="12.75" customHeight="1">
      <c r="A1121" s="125" t="s">
        <v>518</v>
      </c>
      <c r="B1121" s="495">
        <v>44334</v>
      </c>
      <c r="C1121" s="496">
        <v>16588</v>
      </c>
      <c r="D1121" s="489">
        <f>C1121+C1120</f>
        <v>244</v>
      </c>
      <c r="E1121" s="490">
        <f>-D1121/C1120</f>
        <v>1.49290259422418E-2</v>
      </c>
      <c r="F1121" s="383">
        <f>B1121-B1120</f>
        <v>4</v>
      </c>
      <c r="G1121" s="490">
        <f>(C1121/-C1120)^(1/((B1121-B1120)/365))-1</f>
        <v>2.8659405162221039</v>
      </c>
      <c r="H1121" s="98"/>
      <c r="K1121" s="98"/>
      <c r="L1121" s="98"/>
      <c r="M1121" s="98"/>
      <c r="N1121" s="98"/>
      <c r="O1121" s="98"/>
      <c r="P1121" s="98"/>
      <c r="Q1121" s="98"/>
      <c r="R1121" s="98"/>
      <c r="S1121" s="98"/>
      <c r="T1121" s="98"/>
      <c r="U1121" s="98"/>
      <c r="V1121" s="98"/>
      <c r="W1121" s="98"/>
      <c r="X1121" s="98"/>
      <c r="Y1121" s="98"/>
      <c r="Z1121" s="98"/>
      <c r="AA1121" s="98"/>
      <c r="AB1121" s="98"/>
      <c r="AC1121" s="98"/>
      <c r="AD1121" s="98"/>
    </row>
    <row r="1122" spans="1:30" ht="12.75" customHeight="1">
      <c r="A1122" s="140" t="s">
        <v>518</v>
      </c>
      <c r="B1122" s="154">
        <v>44496</v>
      </c>
      <c r="C1122" s="395">
        <v>-10012</v>
      </c>
      <c r="D1122" s="395"/>
      <c r="E1122" s="487"/>
      <c r="F1122" s="491"/>
      <c r="G1122" s="488"/>
      <c r="H1122" s="98"/>
      <c r="K1122" s="98"/>
      <c r="L1122" s="98"/>
      <c r="M1122" s="98"/>
      <c r="N1122" s="98"/>
      <c r="O1122" s="98"/>
      <c r="P1122" s="98"/>
      <c r="Q1122" s="98"/>
      <c r="R1122" s="98"/>
      <c r="S1122" s="98"/>
      <c r="T1122" s="98"/>
      <c r="U1122" s="98"/>
      <c r="V1122" s="98"/>
      <c r="W1122" s="98"/>
      <c r="X1122" s="98"/>
      <c r="Y1122" s="98"/>
      <c r="Z1122" s="98"/>
      <c r="AA1122" s="98"/>
      <c r="AB1122" s="98"/>
      <c r="AC1122" s="98"/>
      <c r="AD1122" s="98"/>
    </row>
    <row r="1123" spans="1:30" ht="12.75" customHeight="1">
      <c r="A1123" s="125" t="s">
        <v>518</v>
      </c>
      <c r="B1123" s="155">
        <v>44509</v>
      </c>
      <c r="C1123" s="489">
        <v>10212</v>
      </c>
      <c r="D1123" s="489">
        <f>C1123+C1122</f>
        <v>200</v>
      </c>
      <c r="E1123" s="490">
        <f>-D1123/C1122</f>
        <v>1.9976028765481421E-2</v>
      </c>
      <c r="F1123" s="383">
        <f>B1123-B1122</f>
        <v>13</v>
      </c>
      <c r="G1123" s="490">
        <f>(C1123/-C1122)^(1/((B1123-B1122)/365))-1</f>
        <v>0.74252810716196915</v>
      </c>
      <c r="H1123" s="98"/>
      <c r="K1123" s="98"/>
      <c r="L1123" s="98"/>
      <c r="M1123" s="98"/>
      <c r="N1123" s="98"/>
      <c r="O1123" s="98"/>
      <c r="P1123" s="98"/>
      <c r="Q1123" s="98"/>
      <c r="R1123" s="98"/>
      <c r="S1123" s="98"/>
      <c r="T1123" s="98"/>
      <c r="U1123" s="98"/>
      <c r="V1123" s="98"/>
      <c r="W1123" s="98"/>
      <c r="X1123" s="98"/>
      <c r="Y1123" s="98"/>
      <c r="Z1123" s="98"/>
      <c r="AA1123" s="98"/>
      <c r="AB1123" s="98"/>
      <c r="AC1123" s="98"/>
      <c r="AD1123" s="98"/>
    </row>
    <row r="1124" spans="1:30" ht="12.75" customHeight="1">
      <c r="A1124" s="140" t="s">
        <v>518</v>
      </c>
      <c r="B1124" s="154">
        <v>44657</v>
      </c>
      <c r="C1124" s="395">
        <v>-13786</v>
      </c>
      <c r="D1124" s="395"/>
      <c r="E1124" s="487"/>
      <c r="F1124" s="491"/>
      <c r="G1124" s="488"/>
      <c r="H1124" s="98"/>
      <c r="K1124" s="98"/>
      <c r="L1124" s="98"/>
      <c r="M1124" s="98"/>
      <c r="N1124" s="98"/>
      <c r="O1124" s="98"/>
      <c r="P1124" s="98"/>
      <c r="Q1124" s="98"/>
      <c r="R1124" s="98"/>
      <c r="S1124" s="98"/>
      <c r="T1124" s="98"/>
      <c r="U1124" s="98"/>
      <c r="V1124" s="98"/>
      <c r="W1124" s="98"/>
      <c r="X1124" s="98"/>
      <c r="Y1124" s="98"/>
      <c r="Z1124" s="98"/>
      <c r="AA1124" s="98"/>
      <c r="AB1124" s="98"/>
      <c r="AC1124" s="98"/>
      <c r="AD1124" s="98"/>
    </row>
    <row r="1125" spans="1:30" ht="12.75" customHeight="1">
      <c r="A1125" s="125" t="s">
        <v>518</v>
      </c>
      <c r="B1125" s="155">
        <v>44775</v>
      </c>
      <c r="C1125" s="489">
        <v>14325</v>
      </c>
      <c r="D1125" s="489">
        <f>C1125+C1124</f>
        <v>539</v>
      </c>
      <c r="E1125" s="490">
        <f>IFERROR(-D1125/C1124,0)</f>
        <v>3.909763528217032E-2</v>
      </c>
      <c r="F1125" s="383">
        <f>B1125-B1124</f>
        <v>118</v>
      </c>
      <c r="G1125" s="490">
        <f>(C1125/-C1124)^(1/((B1125-B1124)/365))-1</f>
        <v>0.12595693622318493</v>
      </c>
      <c r="H1125" s="98"/>
      <c r="K1125" s="98"/>
      <c r="L1125" s="98"/>
      <c r="M1125" s="98"/>
      <c r="N1125" s="98"/>
      <c r="O1125" s="98"/>
      <c r="P1125" s="98"/>
      <c r="Q1125" s="98"/>
      <c r="R1125" s="98"/>
      <c r="S1125" s="98"/>
      <c r="T1125" s="98"/>
      <c r="U1125" s="98"/>
      <c r="V1125" s="98"/>
      <c r="W1125" s="98"/>
      <c r="X1125" s="98"/>
      <c r="Y1125" s="98"/>
      <c r="Z1125" s="98"/>
      <c r="AA1125" s="98"/>
      <c r="AB1125" s="98"/>
      <c r="AC1125" s="98"/>
      <c r="AD1125" s="98"/>
    </row>
    <row r="1126" spans="1:30" ht="12.75" customHeight="1">
      <c r="A1126" s="138" t="s">
        <v>479</v>
      </c>
      <c r="B1126" s="492">
        <v>44355</v>
      </c>
      <c r="C1126" s="493">
        <v>-11714</v>
      </c>
      <c r="D1126" s="395"/>
      <c r="E1126" s="487"/>
      <c r="F1126" s="491"/>
      <c r="G1126" s="488"/>
      <c r="H1126" s="98"/>
      <c r="K1126" s="98"/>
      <c r="L1126" s="98"/>
      <c r="M1126" s="98"/>
      <c r="N1126" s="98"/>
      <c r="O1126" s="98"/>
      <c r="P1126" s="98"/>
      <c r="Q1126" s="98"/>
      <c r="R1126" s="98"/>
      <c r="S1126" s="98"/>
      <c r="T1126" s="98"/>
      <c r="U1126" s="98"/>
      <c r="V1126" s="98"/>
      <c r="W1126" s="98"/>
      <c r="X1126" s="98"/>
      <c r="Y1126" s="98"/>
      <c r="Z1126" s="98"/>
      <c r="AA1126" s="98"/>
      <c r="AB1126" s="98"/>
      <c r="AC1126" s="98"/>
      <c r="AD1126" s="98"/>
    </row>
    <row r="1127" spans="1:30" ht="12.75" customHeight="1">
      <c r="A1127" s="125" t="s">
        <v>479</v>
      </c>
      <c r="B1127" s="495">
        <v>44356</v>
      </c>
      <c r="C1127" s="496">
        <v>12787</v>
      </c>
      <c r="D1127" s="489">
        <f>C1127+C1126</f>
        <v>1073</v>
      </c>
      <c r="E1127" s="490">
        <f>-D1127/C1126</f>
        <v>9.1599795116954069E-2</v>
      </c>
      <c r="F1127" s="383">
        <f>B1127-B1126</f>
        <v>1</v>
      </c>
      <c r="G1127" s="490">
        <f>(C1127/-C1126)^(1/((B1127-B1126)/365))-1</f>
        <v>78191150250670.422</v>
      </c>
      <c r="H1127" s="98"/>
      <c r="K1127" s="98"/>
      <c r="L1127" s="98"/>
      <c r="M1127" s="98"/>
      <c r="N1127" s="98"/>
      <c r="O1127" s="98"/>
      <c r="P1127" s="98"/>
      <c r="Q1127" s="98"/>
      <c r="R1127" s="98"/>
      <c r="S1127" s="98"/>
      <c r="T1127" s="98"/>
      <c r="U1127" s="98"/>
      <c r="V1127" s="98"/>
      <c r="W1127" s="98"/>
      <c r="X1127" s="98"/>
      <c r="Y1127" s="98"/>
      <c r="Z1127" s="98"/>
      <c r="AA1127" s="98"/>
      <c r="AB1127" s="98"/>
      <c r="AC1127" s="98"/>
      <c r="AD1127" s="98"/>
    </row>
    <row r="1128" spans="1:30" ht="12.75" customHeight="1">
      <c r="A1128" s="140" t="s">
        <v>479</v>
      </c>
      <c r="B1128" s="154">
        <v>44515</v>
      </c>
      <c r="C1128" s="395">
        <v>-7261</v>
      </c>
      <c r="D1128" s="395"/>
      <c r="E1128" s="487"/>
      <c r="F1128" s="491"/>
      <c r="G1128" s="488"/>
      <c r="H1128" s="98"/>
      <c r="K1128" s="98"/>
      <c r="L1128" s="98"/>
      <c r="M1128" s="98"/>
      <c r="N1128" s="98"/>
      <c r="O1128" s="98"/>
      <c r="P1128" s="98"/>
      <c r="Q1128" s="98"/>
      <c r="R1128" s="98"/>
      <c r="S1128" s="98"/>
      <c r="T1128" s="98"/>
      <c r="U1128" s="98"/>
      <c r="V1128" s="98"/>
      <c r="W1128" s="98"/>
      <c r="X1128" s="98"/>
      <c r="Y1128" s="98"/>
      <c r="Z1128" s="98"/>
      <c r="AA1128" s="98"/>
      <c r="AB1128" s="98"/>
      <c r="AC1128" s="98"/>
      <c r="AD1128" s="98"/>
    </row>
    <row r="1129" spans="1:30" ht="12.75" customHeight="1">
      <c r="A1129" s="125" t="s">
        <v>479</v>
      </c>
      <c r="B1129" s="155">
        <v>44517</v>
      </c>
      <c r="C1129" s="489">
        <v>7498</v>
      </c>
      <c r="D1129" s="489">
        <f>C1129+C1128</f>
        <v>237</v>
      </c>
      <c r="E1129" s="490">
        <f>-D1129/C1128</f>
        <v>3.2640132213193777E-2</v>
      </c>
      <c r="F1129" s="383">
        <f>B1129-B1128</f>
        <v>2</v>
      </c>
      <c r="G1129" s="490">
        <f>(C1129/-C1128)^(1/((B1129-B1128)/365))-1</f>
        <v>350.31150889144169</v>
      </c>
      <c r="H1129" s="98"/>
      <c r="K1129" s="98"/>
      <c r="L1129" s="98"/>
      <c r="M1129" s="98"/>
      <c r="N1129" s="98"/>
      <c r="O1129" s="98"/>
      <c r="P1129" s="98"/>
      <c r="Q1129" s="98"/>
      <c r="R1129" s="98"/>
      <c r="S1129" s="98"/>
      <c r="T1129" s="98"/>
      <c r="U1129" s="98"/>
      <c r="V1129" s="98"/>
      <c r="W1129" s="98"/>
      <c r="X1129" s="98"/>
      <c r="Y1129" s="98"/>
      <c r="Z1129" s="98"/>
      <c r="AA1129" s="98"/>
      <c r="AB1129" s="98"/>
      <c r="AC1129" s="98"/>
      <c r="AD1129" s="98"/>
    </row>
    <row r="1130" spans="1:30" ht="12.75" customHeight="1">
      <c r="A1130" s="140" t="s">
        <v>479</v>
      </c>
      <c r="B1130" s="154">
        <v>44515</v>
      </c>
      <c r="C1130" s="395">
        <v>-4841</v>
      </c>
      <c r="D1130" s="395"/>
      <c r="E1130" s="487"/>
      <c r="F1130" s="491"/>
      <c r="G1130" s="488"/>
      <c r="H1130" s="98"/>
      <c r="K1130" s="98"/>
      <c r="L1130" s="98"/>
      <c r="M1130" s="98"/>
      <c r="N1130" s="98"/>
      <c r="O1130" s="98"/>
      <c r="P1130" s="98"/>
      <c r="Q1130" s="98"/>
      <c r="R1130" s="98"/>
      <c r="S1130" s="98"/>
      <c r="T1130" s="98"/>
      <c r="U1130" s="98"/>
      <c r="V1130" s="98"/>
      <c r="W1130" s="98"/>
      <c r="X1130" s="98"/>
      <c r="Y1130" s="98"/>
      <c r="Z1130" s="98"/>
      <c r="AA1130" s="98"/>
      <c r="AB1130" s="98"/>
      <c r="AC1130" s="98"/>
      <c r="AD1130" s="98"/>
    </row>
    <row r="1131" spans="1:30" ht="12.75" customHeight="1">
      <c r="A1131" s="125" t="s">
        <v>479</v>
      </c>
      <c r="B1131" s="155">
        <v>44525</v>
      </c>
      <c r="C1131" s="489">
        <v>4870</v>
      </c>
      <c r="D1131" s="489">
        <f>C1131+C1130</f>
        <v>29</v>
      </c>
      <c r="E1131" s="490">
        <f>-D1131/C1130</f>
        <v>5.9904978310266477E-3</v>
      </c>
      <c r="F1131" s="383">
        <f>B1131-B1130</f>
        <v>10</v>
      </c>
      <c r="G1131" s="490">
        <f>(C1131/-C1130)^(1/((B1131-B1130)/365))-1</f>
        <v>0.24358812964081644</v>
      </c>
      <c r="H1131" s="98"/>
      <c r="K1131" s="98"/>
      <c r="L1131" s="98"/>
      <c r="M1131" s="98"/>
      <c r="N1131" s="98"/>
      <c r="O1131" s="98"/>
      <c r="P1131" s="98"/>
      <c r="Q1131" s="98"/>
      <c r="R1131" s="98"/>
      <c r="S1131" s="98"/>
      <c r="T1131" s="98"/>
      <c r="U1131" s="98"/>
      <c r="V1131" s="98"/>
      <c r="W1131" s="98"/>
      <c r="X1131" s="98"/>
      <c r="Y1131" s="98"/>
      <c r="Z1131" s="98"/>
      <c r="AA1131" s="98"/>
      <c r="AB1131" s="98"/>
      <c r="AC1131" s="98"/>
      <c r="AD1131" s="98"/>
    </row>
    <row r="1132" spans="1:30" ht="12.75" customHeight="1">
      <c r="A1132" s="140" t="s">
        <v>479</v>
      </c>
      <c r="B1132" s="154">
        <v>44518</v>
      </c>
      <c r="C1132" s="395">
        <v>-7342</v>
      </c>
      <c r="D1132" s="395"/>
      <c r="E1132" s="487"/>
      <c r="F1132" s="491"/>
      <c r="G1132" s="488"/>
      <c r="H1132" s="98"/>
      <c r="K1132" s="98"/>
      <c r="L1132" s="98"/>
      <c r="M1132" s="98"/>
      <c r="N1132" s="98"/>
      <c r="O1132" s="98"/>
      <c r="P1132" s="98"/>
      <c r="Q1132" s="98"/>
      <c r="R1132" s="98"/>
      <c r="S1132" s="98"/>
      <c r="T1132" s="98"/>
      <c r="U1132" s="98"/>
      <c r="V1132" s="98"/>
      <c r="W1132" s="98"/>
      <c r="X1132" s="98"/>
      <c r="Y1132" s="98"/>
      <c r="Z1132" s="98"/>
      <c r="AA1132" s="98"/>
      <c r="AB1132" s="98"/>
      <c r="AC1132" s="98"/>
      <c r="AD1132" s="98"/>
    </row>
    <row r="1133" spans="1:30" ht="12.75" customHeight="1">
      <c r="A1133" s="125" t="s">
        <v>479</v>
      </c>
      <c r="B1133" s="155">
        <v>44525</v>
      </c>
      <c r="C1133" s="489">
        <v>7305</v>
      </c>
      <c r="D1133" s="489">
        <f>C1133+C1132</f>
        <v>-37</v>
      </c>
      <c r="E1133" s="490">
        <f>-D1133/C1132</f>
        <v>-5.0394987741759741E-3</v>
      </c>
      <c r="F1133" s="383">
        <f>B1133-B1132</f>
        <v>7</v>
      </c>
      <c r="G1133" s="490">
        <f>(C1133/-C1132)^(1/((B1133-B1132)/365))-1</f>
        <v>-0.23159490841746833</v>
      </c>
      <c r="H1133" s="98"/>
      <c r="K1133" s="98"/>
      <c r="L1133" s="98"/>
      <c r="M1133" s="98"/>
      <c r="N1133" s="98"/>
      <c r="O1133" s="98"/>
      <c r="P1133" s="98"/>
      <c r="Q1133" s="98"/>
      <c r="R1133" s="98"/>
      <c r="S1133" s="98"/>
      <c r="T1133" s="98"/>
      <c r="U1133" s="98"/>
      <c r="V1133" s="98"/>
      <c r="W1133" s="98"/>
      <c r="X1133" s="98"/>
      <c r="Y1133" s="98"/>
      <c r="Z1133" s="98"/>
      <c r="AA1133" s="98"/>
      <c r="AB1133" s="98"/>
      <c r="AC1133" s="98"/>
      <c r="AD1133" s="98"/>
    </row>
    <row r="1134" spans="1:30" ht="12.75" customHeight="1">
      <c r="A1134" s="140" t="s">
        <v>479</v>
      </c>
      <c r="B1134" s="154">
        <v>44526</v>
      </c>
      <c r="C1134" s="395">
        <v>-8195</v>
      </c>
      <c r="D1134" s="395"/>
      <c r="E1134" s="487"/>
      <c r="F1134" s="491"/>
      <c r="G1134" s="488"/>
      <c r="H1134" s="98"/>
      <c r="K1134" s="98"/>
      <c r="L1134" s="98"/>
      <c r="M1134" s="98"/>
      <c r="N1134" s="98"/>
      <c r="O1134" s="98"/>
      <c r="P1134" s="98"/>
      <c r="Q1134" s="98"/>
      <c r="R1134" s="98"/>
      <c r="S1134" s="98"/>
      <c r="T1134" s="98"/>
      <c r="U1134" s="98"/>
      <c r="V1134" s="98"/>
      <c r="W1134" s="98"/>
      <c r="X1134" s="98"/>
      <c r="Y1134" s="98"/>
      <c r="Z1134" s="98"/>
      <c r="AA1134" s="98"/>
      <c r="AB1134" s="98"/>
      <c r="AC1134" s="98"/>
      <c r="AD1134" s="98"/>
    </row>
    <row r="1135" spans="1:30" ht="12.75" customHeight="1">
      <c r="A1135" s="125" t="s">
        <v>479</v>
      </c>
      <c r="B1135" s="155">
        <v>44578</v>
      </c>
      <c r="C1135" s="489">
        <v>8671</v>
      </c>
      <c r="D1135" s="489">
        <f>C1135+C1134</f>
        <v>476</v>
      </c>
      <c r="E1135" s="490">
        <f>-D1135/C1134</f>
        <v>5.8084197681513121E-2</v>
      </c>
      <c r="F1135" s="383">
        <f>B1135-B1134</f>
        <v>52</v>
      </c>
      <c r="G1135" s="490">
        <f>(C1135/-C1134)^(1/((B1135-B1134)/365))-1</f>
        <v>0.48632280412536</v>
      </c>
      <c r="H1135" s="98"/>
      <c r="K1135" s="98"/>
      <c r="L1135" s="98"/>
      <c r="M1135" s="98"/>
      <c r="N1135" s="98"/>
      <c r="O1135" s="98"/>
      <c r="P1135" s="98"/>
      <c r="Q1135" s="98"/>
      <c r="R1135" s="98"/>
      <c r="S1135" s="98"/>
      <c r="T1135" s="98"/>
      <c r="U1135" s="98"/>
      <c r="V1135" s="98"/>
      <c r="W1135" s="98"/>
      <c r="X1135" s="98"/>
      <c r="Y1135" s="98"/>
      <c r="Z1135" s="98"/>
      <c r="AA1135" s="98"/>
      <c r="AB1135" s="98"/>
      <c r="AC1135" s="98"/>
      <c r="AD1135" s="98"/>
    </row>
    <row r="1136" spans="1:30" ht="12.75" customHeight="1">
      <c r="A1136" s="140" t="s">
        <v>479</v>
      </c>
      <c r="B1136" s="154">
        <v>44526</v>
      </c>
      <c r="C1136" s="395">
        <v>-8195</v>
      </c>
      <c r="D1136" s="395"/>
      <c r="E1136" s="487"/>
      <c r="F1136" s="491"/>
      <c r="G1136" s="488"/>
      <c r="H1136" s="98"/>
      <c r="K1136" s="98"/>
      <c r="L1136" s="98"/>
      <c r="M1136" s="98"/>
      <c r="N1136" s="98"/>
      <c r="O1136" s="98"/>
      <c r="P1136" s="98"/>
      <c r="Q1136" s="98"/>
      <c r="R1136" s="98"/>
      <c r="S1136" s="98"/>
      <c r="T1136" s="98"/>
      <c r="U1136" s="98"/>
      <c r="V1136" s="98"/>
      <c r="W1136" s="98"/>
      <c r="X1136" s="98"/>
      <c r="Y1136" s="98"/>
      <c r="Z1136" s="98"/>
      <c r="AA1136" s="98"/>
      <c r="AB1136" s="98"/>
      <c r="AC1136" s="98"/>
      <c r="AD1136" s="98"/>
    </row>
    <row r="1137" spans="1:30" ht="12.75" customHeight="1">
      <c r="A1137" s="125" t="s">
        <v>479</v>
      </c>
      <c r="B1137" s="155">
        <v>44580</v>
      </c>
      <c r="C1137" s="489">
        <v>8409</v>
      </c>
      <c r="D1137" s="489">
        <f>C1137+C1136</f>
        <v>214</v>
      </c>
      <c r="E1137" s="490">
        <f>-D1137/C1136</f>
        <v>2.6113483831604636E-2</v>
      </c>
      <c r="F1137" s="383">
        <f>B1137-B1136</f>
        <v>54</v>
      </c>
      <c r="G1137" s="490">
        <f>(C1137/-C1136)^(1/((B1137-B1136)/365))-1</f>
        <v>0.19034423908671649</v>
      </c>
      <c r="H1137" s="98"/>
      <c r="K1137" s="98"/>
      <c r="L1137" s="98"/>
      <c r="M1137" s="98"/>
      <c r="N1137" s="98"/>
      <c r="O1137" s="98"/>
      <c r="P1137" s="98"/>
      <c r="Q1137" s="98"/>
      <c r="R1137" s="98"/>
      <c r="S1137" s="98"/>
      <c r="T1137" s="98"/>
      <c r="U1137" s="98"/>
      <c r="V1137" s="98"/>
      <c r="W1137" s="98"/>
      <c r="X1137" s="98"/>
      <c r="Y1137" s="98"/>
      <c r="Z1137" s="98"/>
      <c r="AA1137" s="98"/>
      <c r="AB1137" s="98"/>
      <c r="AC1137" s="98"/>
      <c r="AD1137" s="98"/>
    </row>
    <row r="1138" spans="1:30" ht="12.75" customHeight="1">
      <c r="A1138" s="140" t="s">
        <v>479</v>
      </c>
      <c r="B1138" s="154">
        <v>44769</v>
      </c>
      <c r="C1138" s="395">
        <v>-2163</v>
      </c>
      <c r="D1138" s="395"/>
      <c r="E1138" s="487"/>
      <c r="F1138" s="491"/>
      <c r="G1138" s="488"/>
      <c r="H1138" s="98"/>
      <c r="K1138" s="98"/>
      <c r="L1138" s="98"/>
      <c r="M1138" s="98"/>
      <c r="N1138" s="98"/>
      <c r="O1138" s="98"/>
      <c r="P1138" s="98"/>
      <c r="Q1138" s="98"/>
      <c r="R1138" s="98"/>
      <c r="S1138" s="98"/>
      <c r="T1138" s="98"/>
      <c r="U1138" s="98"/>
      <c r="V1138" s="98"/>
      <c r="W1138" s="98"/>
      <c r="X1138" s="98"/>
      <c r="Y1138" s="98"/>
      <c r="Z1138" s="98"/>
      <c r="AA1138" s="98"/>
      <c r="AB1138" s="98"/>
      <c r="AC1138" s="98"/>
      <c r="AD1138" s="98"/>
    </row>
    <row r="1139" spans="1:30" ht="12.75" customHeight="1">
      <c r="A1139" s="125" t="s">
        <v>479</v>
      </c>
      <c r="B1139" s="155">
        <v>44785</v>
      </c>
      <c r="C1139" s="489">
        <v>2347</v>
      </c>
      <c r="D1139" s="489">
        <f>C1139+C1138</f>
        <v>184</v>
      </c>
      <c r="E1139" s="490">
        <f>IFERROR(-D1139/C1138,0)</f>
        <v>8.5067036523347198E-2</v>
      </c>
      <c r="F1139" s="383">
        <f>B1139-B1138</f>
        <v>16</v>
      </c>
      <c r="G1139" s="490">
        <f>(C1139/-C1138)^(1/((B1139-B1138)/365))-1</f>
        <v>5.4395127402203425</v>
      </c>
      <c r="H1139" s="98"/>
      <c r="K1139" s="98"/>
      <c r="L1139" s="98"/>
      <c r="M1139" s="98"/>
      <c r="N1139" s="98"/>
      <c r="O1139" s="98"/>
      <c r="P1139" s="98"/>
      <c r="Q1139" s="98"/>
      <c r="R1139" s="98"/>
      <c r="S1139" s="98"/>
      <c r="T1139" s="98"/>
      <c r="U1139" s="98"/>
      <c r="V1139" s="98"/>
      <c r="W1139" s="98"/>
      <c r="X1139" s="98"/>
      <c r="Y1139" s="98"/>
      <c r="Z1139" s="98"/>
      <c r="AA1139" s="98"/>
      <c r="AB1139" s="98"/>
      <c r="AC1139" s="98"/>
      <c r="AD1139" s="98"/>
    </row>
    <row r="1140" spans="1:30" ht="12.75" customHeight="1">
      <c r="A1140" s="140" t="s">
        <v>479</v>
      </c>
      <c r="B1140" s="154">
        <v>44579</v>
      </c>
      <c r="C1140" s="395">
        <v>-7374</v>
      </c>
      <c r="D1140" s="395"/>
      <c r="E1140" s="487"/>
      <c r="F1140" s="491"/>
      <c r="G1140" s="488"/>
      <c r="H1140" s="98"/>
      <c r="K1140" s="98"/>
      <c r="L1140" s="98"/>
      <c r="M1140" s="98"/>
      <c r="N1140" s="98"/>
      <c r="O1140" s="98"/>
      <c r="P1140" s="98"/>
      <c r="Q1140" s="98"/>
      <c r="R1140" s="98"/>
      <c r="S1140" s="98"/>
      <c r="T1140" s="98"/>
      <c r="U1140" s="98"/>
      <c r="V1140" s="98"/>
      <c r="W1140" s="98"/>
      <c r="X1140" s="98"/>
      <c r="Y1140" s="98"/>
      <c r="Z1140" s="98"/>
      <c r="AA1140" s="98"/>
      <c r="AB1140" s="98"/>
      <c r="AC1140" s="98"/>
      <c r="AD1140" s="98"/>
    </row>
    <row r="1141" spans="1:30" ht="12.75" customHeight="1">
      <c r="A1141" s="125" t="s">
        <v>479</v>
      </c>
      <c r="B1141" s="155">
        <v>44810</v>
      </c>
      <c r="C1141" s="489">
        <v>7357</v>
      </c>
      <c r="D1141" s="489">
        <f>C1141+C1140</f>
        <v>-17</v>
      </c>
      <c r="E1141" s="490">
        <f>IFERROR(-D1141/C1140,0)</f>
        <v>-2.3053973420124763E-3</v>
      </c>
      <c r="F1141" s="383">
        <f>B1141-B1140</f>
        <v>231</v>
      </c>
      <c r="G1141" s="490">
        <f>(C1141/-C1140)^(1/((B1141-B1140)/365))-1</f>
        <v>-3.6402908508154086E-3</v>
      </c>
      <c r="H1141" s="98"/>
      <c r="K1141" s="98"/>
      <c r="L1141" s="98"/>
      <c r="M1141" s="98"/>
      <c r="N1141" s="98"/>
      <c r="O1141" s="98"/>
      <c r="P1141" s="98"/>
      <c r="Q1141" s="98"/>
      <c r="R1141" s="98"/>
      <c r="S1141" s="98"/>
      <c r="T1141" s="98"/>
      <c r="U1141" s="98"/>
      <c r="V1141" s="98"/>
      <c r="W1141" s="98"/>
      <c r="X1141" s="98"/>
      <c r="Y1141" s="98"/>
      <c r="Z1141" s="98"/>
      <c r="AA1141" s="98"/>
      <c r="AB1141" s="98"/>
      <c r="AC1141" s="98"/>
      <c r="AD1141" s="98"/>
    </row>
    <row r="1142" spans="1:30" ht="12.75" customHeight="1">
      <c r="A1142" s="140" t="s">
        <v>604</v>
      </c>
      <c r="B1142" s="154">
        <v>44508</v>
      </c>
      <c r="C1142" s="395">
        <v>-8073</v>
      </c>
      <c r="D1142" s="395"/>
      <c r="E1142" s="487"/>
      <c r="F1142" s="491"/>
      <c r="G1142" s="488"/>
      <c r="H1142" s="98"/>
      <c r="K1142" s="98"/>
      <c r="L1142" s="98"/>
      <c r="M1142" s="98"/>
      <c r="N1142" s="98"/>
      <c r="O1142" s="98"/>
      <c r="P1142" s="98"/>
      <c r="Q1142" s="98"/>
      <c r="R1142" s="98"/>
      <c r="S1142" s="98"/>
      <c r="T1142" s="98"/>
      <c r="U1142" s="98"/>
      <c r="V1142" s="98"/>
      <c r="W1142" s="98"/>
      <c r="X1142" s="98"/>
      <c r="Y1142" s="98"/>
      <c r="Z1142" s="98"/>
      <c r="AA1142" s="98"/>
      <c r="AB1142" s="98"/>
      <c r="AC1142" s="98"/>
      <c r="AD1142" s="98"/>
    </row>
    <row r="1143" spans="1:30" ht="12.75" customHeight="1">
      <c r="A1143" s="125" t="s">
        <v>604</v>
      </c>
      <c r="B1143" s="155">
        <v>44622</v>
      </c>
      <c r="C1143" s="489">
        <v>7762</v>
      </c>
      <c r="D1143" s="489">
        <f>C1143+C1142</f>
        <v>-311</v>
      </c>
      <c r="E1143" s="490">
        <f>IFERROR(-D1143/C1142,0)</f>
        <v>-3.8523473306082003E-2</v>
      </c>
      <c r="F1143" s="383">
        <f>B1143-B1142</f>
        <v>114</v>
      </c>
      <c r="G1143" s="490">
        <f>(C1143/-C1142)^(1/((B1143-B1142)/365))-1</f>
        <v>-0.1181923486849219</v>
      </c>
      <c r="H1143" s="98"/>
      <c r="K1143" s="98"/>
      <c r="L1143" s="98"/>
      <c r="M1143" s="98"/>
      <c r="N1143" s="98"/>
      <c r="O1143" s="98"/>
      <c r="P1143" s="98"/>
      <c r="Q1143" s="98"/>
      <c r="R1143" s="98"/>
      <c r="S1143" s="98"/>
      <c r="T1143" s="98"/>
      <c r="U1143" s="98"/>
      <c r="V1143" s="98"/>
      <c r="W1143" s="98"/>
      <c r="X1143" s="98"/>
      <c r="Y1143" s="98"/>
      <c r="Z1143" s="98"/>
      <c r="AA1143" s="98"/>
      <c r="AB1143" s="98"/>
      <c r="AC1143" s="98"/>
      <c r="AD1143" s="98"/>
    </row>
    <row r="1144" spans="1:30" ht="12.75" customHeight="1">
      <c r="A1144" s="140" t="s">
        <v>604</v>
      </c>
      <c r="B1144" s="154">
        <v>44579</v>
      </c>
      <c r="C1144" s="395">
        <v>-4826</v>
      </c>
      <c r="D1144" s="395"/>
      <c r="E1144" s="487"/>
      <c r="F1144" s="491"/>
      <c r="G1144" s="488"/>
      <c r="H1144" s="98"/>
      <c r="K1144" s="98"/>
      <c r="L1144" s="98"/>
      <c r="M1144" s="98"/>
      <c r="N1144" s="98"/>
      <c r="O1144" s="98"/>
      <c r="P1144" s="98"/>
      <c r="Q1144" s="98"/>
      <c r="R1144" s="98"/>
      <c r="S1144" s="98"/>
      <c r="T1144" s="98"/>
      <c r="U1144" s="98"/>
      <c r="V1144" s="98"/>
      <c r="W1144" s="98"/>
      <c r="X1144" s="98"/>
      <c r="Y1144" s="98"/>
      <c r="Z1144" s="98"/>
      <c r="AA1144" s="98"/>
      <c r="AB1144" s="98"/>
      <c r="AC1144" s="98"/>
      <c r="AD1144" s="98"/>
    </row>
    <row r="1145" spans="1:30" ht="12.75" customHeight="1">
      <c r="A1145" s="125" t="s">
        <v>604</v>
      </c>
      <c r="B1145" s="155">
        <v>44622</v>
      </c>
      <c r="C1145" s="489">
        <v>5175</v>
      </c>
      <c r="D1145" s="489">
        <f>C1145+C1144</f>
        <v>349</v>
      </c>
      <c r="E1145" s="490">
        <f>IFERROR(-D1145/C1144,0)</f>
        <v>7.2316618317447165E-2</v>
      </c>
      <c r="F1145" s="383">
        <f>B1145-B1144</f>
        <v>43</v>
      </c>
      <c r="G1145" s="490">
        <f>(C1145/-C1144)^(1/((B1145-B1144)/365))-1</f>
        <v>0.80881111178810294</v>
      </c>
      <c r="H1145" s="98"/>
      <c r="K1145" s="98"/>
      <c r="L1145" s="98"/>
      <c r="M1145" s="98"/>
      <c r="N1145" s="98"/>
      <c r="O1145" s="98"/>
      <c r="P1145" s="98"/>
      <c r="Q1145" s="98"/>
      <c r="R1145" s="98"/>
      <c r="S1145" s="98"/>
      <c r="T1145" s="98"/>
      <c r="U1145" s="98"/>
      <c r="V1145" s="98"/>
      <c r="W1145" s="98"/>
      <c r="X1145" s="98"/>
      <c r="Y1145" s="98"/>
      <c r="Z1145" s="98"/>
      <c r="AA1145" s="98"/>
      <c r="AB1145" s="98"/>
      <c r="AC1145" s="98"/>
      <c r="AD1145" s="98"/>
    </row>
    <row r="1146" spans="1:30" ht="12.75" customHeight="1">
      <c r="A1146" s="140" t="s">
        <v>604</v>
      </c>
      <c r="B1146" s="154">
        <v>44795</v>
      </c>
      <c r="C1146" s="395">
        <v>-5381</v>
      </c>
      <c r="D1146" s="395"/>
      <c r="E1146" s="487"/>
      <c r="F1146" s="491"/>
      <c r="G1146" s="488"/>
      <c r="H1146" s="98"/>
      <c r="K1146" s="98"/>
      <c r="L1146" s="98"/>
      <c r="M1146" s="98"/>
      <c r="N1146" s="98"/>
      <c r="O1146" s="98"/>
      <c r="P1146" s="98"/>
      <c r="Q1146" s="98"/>
      <c r="R1146" s="98"/>
      <c r="S1146" s="98"/>
      <c r="T1146" s="98"/>
      <c r="U1146" s="98"/>
      <c r="V1146" s="98"/>
      <c r="W1146" s="98"/>
      <c r="X1146" s="98"/>
      <c r="Y1146" s="98"/>
      <c r="Z1146" s="98"/>
      <c r="AA1146" s="98"/>
      <c r="AB1146" s="98"/>
      <c r="AC1146" s="98"/>
      <c r="AD1146" s="98"/>
    </row>
    <row r="1147" spans="1:30" ht="12.75" customHeight="1">
      <c r="A1147" s="125" t="s">
        <v>604</v>
      </c>
      <c r="B1147" s="155">
        <v>44896</v>
      </c>
      <c r="C1147" s="489">
        <v>5457</v>
      </c>
      <c r="D1147" s="489">
        <f>C1147+C1146</f>
        <v>76</v>
      </c>
      <c r="E1147" s="490">
        <f>IFERROR(-D1147/C1146,0)</f>
        <v>1.4123768816205166E-2</v>
      </c>
      <c r="F1147" s="383">
        <f>B1147-B1146</f>
        <v>101</v>
      </c>
      <c r="G1147" s="490">
        <f>(C1147/-C1146)^(1/((B1147-B1146)/365))-1</f>
        <v>5.1990678003377422E-2</v>
      </c>
      <c r="H1147" s="98"/>
      <c r="K1147" s="98"/>
      <c r="L1147" s="98"/>
      <c r="M1147" s="98"/>
      <c r="N1147" s="98"/>
      <c r="O1147" s="98"/>
      <c r="P1147" s="98"/>
      <c r="Q1147" s="98"/>
      <c r="R1147" s="98"/>
      <c r="S1147" s="98"/>
      <c r="T1147" s="98"/>
      <c r="U1147" s="98"/>
      <c r="V1147" s="98"/>
      <c r="W1147" s="98"/>
      <c r="X1147" s="98"/>
      <c r="Y1147" s="98"/>
      <c r="Z1147" s="98"/>
      <c r="AA1147" s="98"/>
      <c r="AB1147" s="98"/>
      <c r="AC1147" s="98"/>
      <c r="AD1147" s="98"/>
    </row>
    <row r="1148" spans="1:30" ht="12.75" customHeight="1">
      <c r="A1148" s="140" t="s">
        <v>569</v>
      </c>
      <c r="B1148" s="154">
        <v>44406</v>
      </c>
      <c r="C1148" s="140">
        <v>-2303</v>
      </c>
      <c r="D1148" s="395"/>
      <c r="E1148" s="487"/>
      <c r="F1148" s="491"/>
      <c r="G1148" s="488"/>
      <c r="H1148" s="98"/>
      <c r="K1148" s="98"/>
      <c r="L1148" s="98"/>
      <c r="M1148" s="98"/>
      <c r="N1148" s="98"/>
      <c r="O1148" s="98"/>
      <c r="P1148" s="98"/>
      <c r="Q1148" s="98"/>
      <c r="R1148" s="98"/>
      <c r="S1148" s="98"/>
      <c r="T1148" s="98"/>
      <c r="U1148" s="98"/>
      <c r="V1148" s="98"/>
      <c r="W1148" s="98"/>
      <c r="X1148" s="98"/>
      <c r="Y1148" s="98"/>
      <c r="Z1148" s="98"/>
      <c r="AA1148" s="98"/>
      <c r="AB1148" s="98"/>
      <c r="AC1148" s="98"/>
      <c r="AD1148" s="98"/>
    </row>
    <row r="1149" spans="1:30" ht="12.75" customHeight="1">
      <c r="A1149" s="125" t="s">
        <v>569</v>
      </c>
      <c r="B1149" s="155">
        <v>44477</v>
      </c>
      <c r="C1149" s="489">
        <v>2373</v>
      </c>
      <c r="D1149" s="489">
        <f>C1149+C1148</f>
        <v>70</v>
      </c>
      <c r="E1149" s="490">
        <f>-D1149/C1148</f>
        <v>3.0395136778115502E-2</v>
      </c>
      <c r="F1149" s="383">
        <f>B1149-B1148</f>
        <v>71</v>
      </c>
      <c r="G1149" s="490">
        <f>(C1149/-C1148)^(1/((B1149-B1148)/365))-1</f>
        <v>0.16640808799634321</v>
      </c>
      <c r="H1149" s="98"/>
      <c r="K1149" s="98"/>
      <c r="L1149" s="98"/>
      <c r="M1149" s="98"/>
      <c r="N1149" s="98"/>
      <c r="O1149" s="98"/>
      <c r="P1149" s="98"/>
      <c r="Q1149" s="98"/>
      <c r="R1149" s="98"/>
      <c r="S1149" s="98"/>
      <c r="T1149" s="98"/>
      <c r="U1149" s="98"/>
      <c r="V1149" s="98"/>
      <c r="W1149" s="98"/>
      <c r="X1149" s="98"/>
      <c r="Y1149" s="98"/>
      <c r="Z1149" s="98"/>
      <c r="AA1149" s="98"/>
      <c r="AB1149" s="98"/>
      <c r="AC1149" s="98"/>
      <c r="AD1149" s="98"/>
    </row>
    <row r="1150" spans="1:30" ht="12.75" customHeight="1">
      <c r="A1150" s="140" t="s">
        <v>588</v>
      </c>
      <c r="B1150" s="154">
        <v>44490</v>
      </c>
      <c r="C1150" s="395">
        <v>-7129</v>
      </c>
      <c r="D1150" s="395"/>
      <c r="E1150" s="487"/>
      <c r="F1150" s="491"/>
      <c r="G1150" s="488"/>
      <c r="H1150" s="98"/>
      <c r="K1150" s="98"/>
      <c r="L1150" s="98"/>
      <c r="M1150" s="98"/>
      <c r="N1150" s="98"/>
      <c r="O1150" s="98"/>
      <c r="P1150" s="98"/>
      <c r="Q1150" s="98"/>
      <c r="R1150" s="98"/>
      <c r="S1150" s="98"/>
      <c r="T1150" s="98"/>
      <c r="U1150" s="98"/>
      <c r="V1150" s="98"/>
      <c r="W1150" s="98"/>
      <c r="X1150" s="98"/>
      <c r="Y1150" s="98"/>
      <c r="Z1150" s="98"/>
      <c r="AA1150" s="98"/>
      <c r="AB1150" s="98"/>
      <c r="AC1150" s="98"/>
      <c r="AD1150" s="98"/>
    </row>
    <row r="1151" spans="1:30" ht="12.75" customHeight="1">
      <c r="A1151" s="125" t="s">
        <v>588</v>
      </c>
      <c r="B1151" s="155">
        <v>44530</v>
      </c>
      <c r="C1151" s="489">
        <v>7093</v>
      </c>
      <c r="D1151" s="489">
        <f>C1151+C1150</f>
        <v>-36</v>
      </c>
      <c r="E1151" s="490">
        <f>-D1151/C1150</f>
        <v>-5.0497966054145037E-3</v>
      </c>
      <c r="F1151" s="383">
        <f>B1151-B1150</f>
        <v>40</v>
      </c>
      <c r="G1151" s="490">
        <f>(C1151/-C1150)^(1/((B1151-B1150)/365))-1</f>
        <v>-4.514533466655779E-2</v>
      </c>
      <c r="H1151" s="98"/>
      <c r="K1151" s="98"/>
      <c r="L1151" s="98"/>
      <c r="M1151" s="98"/>
      <c r="N1151" s="98"/>
      <c r="O1151" s="98"/>
      <c r="P1151" s="98"/>
      <c r="Q1151" s="98"/>
      <c r="R1151" s="98"/>
      <c r="S1151" s="98"/>
      <c r="T1151" s="98"/>
      <c r="U1151" s="98"/>
      <c r="V1151" s="98"/>
      <c r="W1151" s="98"/>
      <c r="X1151" s="98"/>
      <c r="Y1151" s="98"/>
      <c r="Z1151" s="98"/>
      <c r="AA1151" s="98"/>
      <c r="AB1151" s="98"/>
      <c r="AC1151" s="98"/>
      <c r="AD1151" s="98"/>
    </row>
    <row r="1152" spans="1:30" ht="12.75" customHeight="1">
      <c r="A1152" s="140" t="s">
        <v>588</v>
      </c>
      <c r="B1152" s="154">
        <v>44491</v>
      </c>
      <c r="C1152" s="395">
        <v>-3519</v>
      </c>
      <c r="D1152" s="395"/>
      <c r="E1152" s="487"/>
      <c r="F1152" s="491"/>
      <c r="G1152" s="488"/>
      <c r="H1152" s="98"/>
      <c r="K1152" s="98"/>
      <c r="L1152" s="98"/>
      <c r="M1152" s="98"/>
      <c r="N1152" s="98"/>
      <c r="O1152" s="98"/>
      <c r="P1152" s="98"/>
      <c r="Q1152" s="98"/>
      <c r="R1152" s="98"/>
      <c r="S1152" s="98"/>
      <c r="T1152" s="98"/>
      <c r="U1152" s="98"/>
      <c r="V1152" s="98"/>
      <c r="W1152" s="98"/>
      <c r="X1152" s="98"/>
      <c r="Y1152" s="98"/>
      <c r="Z1152" s="98"/>
      <c r="AA1152" s="98"/>
      <c r="AB1152" s="98"/>
      <c r="AC1152" s="98"/>
      <c r="AD1152" s="98"/>
    </row>
    <row r="1153" spans="1:30" ht="12.75" customHeight="1">
      <c r="A1153" s="125" t="s">
        <v>588</v>
      </c>
      <c r="B1153" s="155">
        <v>44531</v>
      </c>
      <c r="C1153" s="489">
        <v>3547</v>
      </c>
      <c r="D1153" s="489">
        <f>C1153+C1152</f>
        <v>28</v>
      </c>
      <c r="E1153" s="490">
        <f>-D1153/C1152</f>
        <v>7.956805910770106E-3</v>
      </c>
      <c r="F1153" s="383">
        <f>B1153-B1152</f>
        <v>40</v>
      </c>
      <c r="G1153" s="490">
        <f>(C1153/-C1152)^(1/((B1153-B1152)/365))-1</f>
        <v>7.4997699685436237E-2</v>
      </c>
      <c r="H1153" s="98"/>
      <c r="K1153" s="98"/>
      <c r="L1153" s="98"/>
      <c r="M1153" s="98"/>
      <c r="N1153" s="98"/>
      <c r="O1153" s="98"/>
      <c r="P1153" s="98"/>
      <c r="Q1153" s="98"/>
      <c r="R1153" s="98"/>
      <c r="S1153" s="98"/>
      <c r="T1153" s="98"/>
      <c r="U1153" s="98"/>
      <c r="V1153" s="98"/>
      <c r="W1153" s="98"/>
      <c r="X1153" s="98"/>
      <c r="Y1153" s="98"/>
      <c r="Z1153" s="98"/>
      <c r="AA1153" s="98"/>
      <c r="AB1153" s="98"/>
      <c r="AC1153" s="98"/>
      <c r="AD1153" s="98"/>
    </row>
    <row r="1154" spans="1:30" ht="12.75" customHeight="1">
      <c r="A1154" s="140" t="s">
        <v>588</v>
      </c>
      <c r="B1154" s="154">
        <v>44490</v>
      </c>
      <c r="C1154" s="395">
        <v>-7128</v>
      </c>
      <c r="D1154" s="395"/>
      <c r="E1154" s="487"/>
      <c r="F1154" s="491"/>
      <c r="G1154" s="488"/>
      <c r="H1154" s="98"/>
      <c r="K1154" s="98"/>
      <c r="L1154" s="98"/>
      <c r="M1154" s="98"/>
      <c r="N1154" s="98"/>
      <c r="O1154" s="98"/>
      <c r="P1154" s="98"/>
      <c r="Q1154" s="98"/>
      <c r="R1154" s="98"/>
      <c r="S1154" s="98"/>
      <c r="T1154" s="98"/>
      <c r="U1154" s="98"/>
      <c r="V1154" s="98"/>
      <c r="W1154" s="98"/>
      <c r="X1154" s="98"/>
      <c r="Y1154" s="98"/>
      <c r="Z1154" s="98"/>
      <c r="AA1154" s="98"/>
      <c r="AB1154" s="98"/>
      <c r="AC1154" s="98"/>
      <c r="AD1154" s="98"/>
    </row>
    <row r="1155" spans="1:30" ht="12.75" customHeight="1">
      <c r="A1155" s="125" t="s">
        <v>588</v>
      </c>
      <c r="B1155" s="155">
        <v>44531</v>
      </c>
      <c r="C1155" s="489">
        <v>7155</v>
      </c>
      <c r="D1155" s="489">
        <f>C1155+C1154</f>
        <v>27</v>
      </c>
      <c r="E1155" s="490">
        <f>-D1155/C1154</f>
        <v>3.787878787878788E-3</v>
      </c>
      <c r="F1155" s="383">
        <f>B1155-B1154</f>
        <v>41</v>
      </c>
      <c r="G1155" s="490">
        <f>(C1155/-C1154)^(1/((B1155-B1154)/365))-1</f>
        <v>3.4230482015712438E-2</v>
      </c>
      <c r="H1155" s="98"/>
      <c r="K1155" s="98"/>
      <c r="L1155" s="98"/>
      <c r="M1155" s="98"/>
      <c r="N1155" s="98"/>
      <c r="O1155" s="98"/>
      <c r="P1155" s="98"/>
      <c r="Q1155" s="98"/>
      <c r="R1155" s="98"/>
      <c r="S1155" s="98"/>
      <c r="T1155" s="98"/>
      <c r="U1155" s="98"/>
      <c r="V1155" s="98"/>
      <c r="W1155" s="98"/>
      <c r="X1155" s="98"/>
      <c r="Y1155" s="98"/>
      <c r="Z1155" s="98"/>
      <c r="AA1155" s="98"/>
      <c r="AB1155" s="98"/>
      <c r="AC1155" s="98"/>
      <c r="AD1155" s="98"/>
    </row>
    <row r="1156" spans="1:30" ht="12.75" customHeight="1">
      <c r="A1156" s="140" t="s">
        <v>588</v>
      </c>
      <c r="B1156" s="154">
        <v>44487</v>
      </c>
      <c r="C1156" s="395">
        <v>-3618</v>
      </c>
      <c r="D1156" s="395"/>
      <c r="E1156" s="487"/>
      <c r="F1156" s="491"/>
      <c r="G1156" s="488"/>
      <c r="H1156" s="98"/>
      <c r="K1156" s="98"/>
      <c r="L1156" s="98"/>
      <c r="M1156" s="98"/>
      <c r="N1156" s="98"/>
      <c r="O1156" s="98"/>
      <c r="P1156" s="98"/>
      <c r="Q1156" s="98"/>
      <c r="R1156" s="98"/>
      <c r="S1156" s="98"/>
      <c r="T1156" s="98"/>
      <c r="U1156" s="98"/>
      <c r="V1156" s="98"/>
      <c r="W1156" s="98"/>
      <c r="X1156" s="98"/>
      <c r="Y1156" s="98"/>
      <c r="Z1156" s="98"/>
      <c r="AA1156" s="98"/>
      <c r="AB1156" s="98"/>
      <c r="AC1156" s="98"/>
      <c r="AD1156" s="98"/>
    </row>
    <row r="1157" spans="1:30" ht="12.75" customHeight="1">
      <c r="A1157" s="125" t="s">
        <v>588</v>
      </c>
      <c r="B1157" s="155">
        <v>44532</v>
      </c>
      <c r="C1157" s="489">
        <v>3626</v>
      </c>
      <c r="D1157" s="489">
        <f>C1157+C1156</f>
        <v>8</v>
      </c>
      <c r="E1157" s="490">
        <f>-D1157/C1156</f>
        <v>2.2111663902708678E-3</v>
      </c>
      <c r="F1157" s="383">
        <f>B1157-B1156</f>
        <v>45</v>
      </c>
      <c r="G1157" s="490">
        <f>(C1157/-C1156)^(1/((B1157-B1156)/365))-1</f>
        <v>1.8076656939187918E-2</v>
      </c>
      <c r="H1157" s="98"/>
      <c r="K1157" s="98"/>
      <c r="L1157" s="98"/>
      <c r="M1157" s="98"/>
      <c r="N1157" s="98"/>
      <c r="O1157" s="98"/>
      <c r="P1157" s="98"/>
      <c r="Q1157" s="98"/>
      <c r="R1157" s="98"/>
      <c r="S1157" s="98"/>
      <c r="T1157" s="98"/>
      <c r="U1157" s="98"/>
      <c r="V1157" s="98"/>
      <c r="W1157" s="98"/>
      <c r="X1157" s="98"/>
      <c r="Y1157" s="98"/>
      <c r="Z1157" s="98"/>
      <c r="AA1157" s="98"/>
      <c r="AB1157" s="98"/>
      <c r="AC1157" s="98"/>
      <c r="AD1157" s="98"/>
    </row>
    <row r="1158" spans="1:30" ht="12.75" customHeight="1">
      <c r="A1158" s="140" t="s">
        <v>588</v>
      </c>
      <c r="B1158" s="154">
        <v>44818</v>
      </c>
      <c r="C1158" s="395">
        <v>-6267</v>
      </c>
      <c r="D1158" s="395"/>
      <c r="E1158" s="487"/>
      <c r="F1158" s="491"/>
      <c r="G1158" s="488"/>
      <c r="H1158" s="98"/>
      <c r="K1158" s="98"/>
      <c r="L1158" s="98"/>
      <c r="M1158" s="98"/>
      <c r="N1158" s="98"/>
      <c r="O1158" s="98"/>
      <c r="P1158" s="98"/>
      <c r="Q1158" s="98"/>
      <c r="R1158" s="98"/>
      <c r="S1158" s="98"/>
      <c r="T1158" s="98"/>
      <c r="U1158" s="98"/>
      <c r="V1158" s="98"/>
      <c r="W1158" s="98"/>
      <c r="X1158" s="98"/>
      <c r="Y1158" s="98"/>
      <c r="Z1158" s="98"/>
      <c r="AA1158" s="98"/>
      <c r="AB1158" s="98"/>
      <c r="AC1158" s="98"/>
      <c r="AD1158" s="98"/>
    </row>
    <row r="1159" spans="1:30" ht="12.75" customHeight="1">
      <c r="A1159" s="125" t="s">
        <v>588</v>
      </c>
      <c r="B1159" s="155">
        <v>44889</v>
      </c>
      <c r="C1159" s="489">
        <v>6713</v>
      </c>
      <c r="D1159" s="489">
        <f>C1159+C1158</f>
        <v>446</v>
      </c>
      <c r="E1159" s="490">
        <f>IFERROR(-D1159/C1158,0)</f>
        <v>7.1166427317695874E-2</v>
      </c>
      <c r="F1159" s="383">
        <f>B1159-B1158</f>
        <v>71</v>
      </c>
      <c r="G1159" s="490">
        <f>(C1159/-C1158)^(1/((B1159-B1158)/365))-1</f>
        <v>0.42393435076838415</v>
      </c>
      <c r="H1159" s="98"/>
      <c r="K1159" s="98"/>
      <c r="L1159" s="98"/>
      <c r="M1159" s="98"/>
      <c r="N1159" s="98"/>
      <c r="O1159" s="98"/>
      <c r="P1159" s="98"/>
      <c r="Q1159" s="98"/>
      <c r="R1159" s="98"/>
      <c r="S1159" s="98"/>
      <c r="T1159" s="98"/>
      <c r="U1159" s="98"/>
      <c r="V1159" s="98"/>
      <c r="W1159" s="98"/>
      <c r="X1159" s="98"/>
      <c r="Y1159" s="98"/>
      <c r="Z1159" s="98"/>
      <c r="AA1159" s="98"/>
      <c r="AB1159" s="98"/>
      <c r="AC1159" s="98"/>
      <c r="AD1159" s="98"/>
    </row>
    <row r="1160" spans="1:30" ht="12.75" customHeight="1">
      <c r="A1160" s="140" t="s">
        <v>574</v>
      </c>
      <c r="B1160" s="154">
        <v>44433</v>
      </c>
      <c r="C1160" s="140">
        <v>-848</v>
      </c>
      <c r="D1160" s="395"/>
      <c r="E1160" s="487"/>
      <c r="F1160" s="491"/>
      <c r="G1160" s="488"/>
      <c r="H1160" s="98"/>
      <c r="K1160" s="98"/>
      <c r="L1160" s="98"/>
      <c r="M1160" s="98"/>
      <c r="N1160" s="98"/>
      <c r="O1160" s="98"/>
      <c r="P1160" s="98"/>
      <c r="Q1160" s="98"/>
      <c r="R1160" s="98"/>
      <c r="S1160" s="98"/>
      <c r="T1160" s="98"/>
      <c r="U1160" s="98"/>
      <c r="V1160" s="98"/>
      <c r="W1160" s="98"/>
      <c r="X1160" s="98"/>
      <c r="Y1160" s="98"/>
      <c r="Z1160" s="98"/>
      <c r="AA1160" s="98"/>
      <c r="AB1160" s="98"/>
      <c r="AC1160" s="98"/>
      <c r="AD1160" s="98"/>
    </row>
    <row r="1161" spans="1:30" ht="12.75" customHeight="1">
      <c r="A1161" s="125" t="s">
        <v>574</v>
      </c>
      <c r="B1161" s="155">
        <v>44445</v>
      </c>
      <c r="C1161" s="489">
        <v>1133</v>
      </c>
      <c r="D1161" s="489">
        <f>C1161+C1160</f>
        <v>285</v>
      </c>
      <c r="E1161" s="490">
        <f>-D1161/C1160</f>
        <v>0.33608490566037735</v>
      </c>
      <c r="F1161" s="383">
        <f>B1161-B1160</f>
        <v>12</v>
      </c>
      <c r="G1161" s="490">
        <f>(C1161/-C1160)^(1/((B1161-B1160)/365))-1</f>
        <v>6720.2892486809387</v>
      </c>
      <c r="H1161" s="98"/>
      <c r="K1161" s="98"/>
      <c r="L1161" s="98"/>
      <c r="M1161" s="98"/>
      <c r="N1161" s="98"/>
      <c r="O1161" s="98"/>
      <c r="P1161" s="98"/>
      <c r="Q1161" s="98"/>
      <c r="R1161" s="98"/>
      <c r="S1161" s="98"/>
      <c r="T1161" s="98"/>
      <c r="U1161" s="98"/>
      <c r="V1161" s="98"/>
      <c r="W1161" s="98"/>
      <c r="X1161" s="98"/>
      <c r="Y1161" s="98"/>
      <c r="Z1161" s="98"/>
      <c r="AA1161" s="98"/>
      <c r="AB1161" s="98"/>
      <c r="AC1161" s="98"/>
      <c r="AD1161" s="98"/>
    </row>
    <row r="1162" spans="1:30" ht="12.75" customHeight="1">
      <c r="A1162" s="140" t="s">
        <v>600</v>
      </c>
      <c r="B1162" s="154">
        <v>44572</v>
      </c>
      <c r="C1162" s="395">
        <v>-10553</v>
      </c>
      <c r="D1162" s="395"/>
      <c r="E1162" s="487"/>
      <c r="F1162" s="491"/>
      <c r="G1162" s="488"/>
      <c r="H1162" s="98"/>
      <c r="K1162" s="98"/>
      <c r="L1162" s="98"/>
      <c r="M1162" s="98"/>
      <c r="N1162" s="98"/>
      <c r="O1162" s="98"/>
      <c r="P1162" s="98"/>
      <c r="Q1162" s="98"/>
      <c r="R1162" s="98"/>
      <c r="S1162" s="98"/>
      <c r="T1162" s="98"/>
      <c r="U1162" s="98"/>
      <c r="V1162" s="98"/>
      <c r="W1162" s="98"/>
      <c r="X1162" s="98"/>
      <c r="Y1162" s="98"/>
      <c r="Z1162" s="98"/>
      <c r="AA1162" s="98"/>
      <c r="AB1162" s="98"/>
      <c r="AC1162" s="98"/>
      <c r="AD1162" s="98"/>
    </row>
    <row r="1163" spans="1:30" ht="12.75" customHeight="1">
      <c r="A1163" s="125" t="s">
        <v>600</v>
      </c>
      <c r="B1163" s="155">
        <v>44578</v>
      </c>
      <c r="C1163" s="489">
        <v>12673</v>
      </c>
      <c r="D1163" s="489">
        <f>C1163+C1162</f>
        <v>2120</v>
      </c>
      <c r="E1163" s="490">
        <f>-D1163/C1162</f>
        <v>0.20089074196910831</v>
      </c>
      <c r="F1163" s="383">
        <f>B1163-B1162</f>
        <v>6</v>
      </c>
      <c r="G1163" s="490">
        <f>(C1163/-C1162)^(1/((B1163-B1162)/365))-1</f>
        <v>68620.896700520883</v>
      </c>
      <c r="H1163" s="98"/>
      <c r="K1163" s="98"/>
      <c r="L1163" s="98"/>
      <c r="M1163" s="98"/>
      <c r="N1163" s="98"/>
      <c r="O1163" s="98"/>
      <c r="P1163" s="98"/>
      <c r="Q1163" s="98"/>
      <c r="R1163" s="98"/>
      <c r="S1163" s="98"/>
      <c r="T1163" s="98"/>
      <c r="U1163" s="98"/>
      <c r="V1163" s="98"/>
      <c r="W1163" s="98"/>
      <c r="X1163" s="98"/>
      <c r="Y1163" s="98"/>
      <c r="Z1163" s="98"/>
      <c r="AA1163" s="98"/>
      <c r="AB1163" s="98"/>
      <c r="AC1163" s="98"/>
      <c r="AD1163" s="98"/>
    </row>
    <row r="1164" spans="1:30" ht="12.75" customHeight="1">
      <c r="A1164" s="140" t="s">
        <v>600</v>
      </c>
      <c r="B1164" s="154">
        <v>44586</v>
      </c>
      <c r="C1164" s="395">
        <v>-3734</v>
      </c>
      <c r="D1164" s="395"/>
      <c r="E1164" s="487"/>
      <c r="F1164" s="491"/>
      <c r="G1164" s="488"/>
      <c r="H1164" s="98"/>
      <c r="K1164" s="98"/>
      <c r="L1164" s="98"/>
      <c r="M1164" s="98"/>
      <c r="N1164" s="98"/>
      <c r="O1164" s="98"/>
      <c r="P1164" s="98"/>
      <c r="Q1164" s="98"/>
      <c r="R1164" s="98"/>
      <c r="S1164" s="98"/>
      <c r="T1164" s="98"/>
      <c r="U1164" s="98"/>
      <c r="V1164" s="98"/>
      <c r="W1164" s="98"/>
      <c r="X1164" s="98"/>
      <c r="Y1164" s="98"/>
      <c r="Z1164" s="98"/>
      <c r="AA1164" s="98"/>
      <c r="AB1164" s="98"/>
      <c r="AC1164" s="98"/>
      <c r="AD1164" s="98"/>
    </row>
    <row r="1165" spans="1:30" ht="12.75" customHeight="1">
      <c r="A1165" s="125" t="s">
        <v>600</v>
      </c>
      <c r="B1165" s="155">
        <v>44592</v>
      </c>
      <c r="C1165" s="489">
        <v>4475</v>
      </c>
      <c r="D1165" s="489">
        <f>C1165+C1164</f>
        <v>741</v>
      </c>
      <c r="E1165" s="490">
        <f>IFERROR(-D1165/C1164,0)</f>
        <v>0.1984467059453669</v>
      </c>
      <c r="F1165" s="383">
        <f>B1165-B1164</f>
        <v>6</v>
      </c>
      <c r="G1165" s="490">
        <f>(C1165/-C1164)^(1/((B1165-B1164)/365))-1</f>
        <v>60622.243337479398</v>
      </c>
      <c r="H1165" s="98"/>
      <c r="K1165" s="98"/>
      <c r="L1165" s="98"/>
      <c r="M1165" s="98"/>
      <c r="N1165" s="98"/>
      <c r="O1165" s="98"/>
      <c r="P1165" s="98"/>
      <c r="Q1165" s="98"/>
      <c r="R1165" s="98"/>
      <c r="S1165" s="98"/>
      <c r="T1165" s="98"/>
      <c r="U1165" s="98"/>
      <c r="V1165" s="98"/>
      <c r="W1165" s="98"/>
      <c r="X1165" s="98"/>
      <c r="Y1165" s="98"/>
      <c r="Z1165" s="98"/>
      <c r="AA1165" s="98"/>
      <c r="AB1165" s="98"/>
      <c r="AC1165" s="98"/>
      <c r="AD1165" s="98"/>
    </row>
    <row r="1166" spans="1:30" ht="12.75" customHeight="1">
      <c r="A1166" s="140" t="s">
        <v>600</v>
      </c>
      <c r="B1166" s="154">
        <v>44585</v>
      </c>
      <c r="C1166" s="395">
        <v>-7623</v>
      </c>
      <c r="D1166" s="395"/>
      <c r="E1166" s="487"/>
      <c r="F1166" s="491"/>
      <c r="G1166" s="488"/>
      <c r="H1166" s="98"/>
      <c r="K1166" s="98"/>
      <c r="L1166" s="98"/>
      <c r="M1166" s="98"/>
      <c r="N1166" s="98"/>
      <c r="O1166" s="98"/>
      <c r="P1166" s="98"/>
      <c r="Q1166" s="98"/>
      <c r="R1166" s="98"/>
      <c r="S1166" s="98"/>
      <c r="T1166" s="98"/>
      <c r="U1166" s="98"/>
      <c r="V1166" s="98"/>
      <c r="W1166" s="98"/>
      <c r="X1166" s="98"/>
      <c r="Y1166" s="98"/>
      <c r="Z1166" s="98"/>
      <c r="AA1166" s="98"/>
      <c r="AB1166" s="98"/>
      <c r="AC1166" s="98"/>
      <c r="AD1166" s="98"/>
    </row>
    <row r="1167" spans="1:30" ht="12.75" customHeight="1">
      <c r="A1167" s="125" t="s">
        <v>600</v>
      </c>
      <c r="B1167" s="155">
        <v>44593</v>
      </c>
      <c r="C1167" s="489">
        <v>9295</v>
      </c>
      <c r="D1167" s="489">
        <f>C1167+C1166</f>
        <v>1672</v>
      </c>
      <c r="E1167" s="490">
        <f>IFERROR(-D1167/C1166,0)</f>
        <v>0.21933621933621933</v>
      </c>
      <c r="F1167" s="383">
        <f>B1167-B1166</f>
        <v>8</v>
      </c>
      <c r="G1167" s="490">
        <f>(C1167/-C1166)^(1/((B1167-B1166)/365))-1</f>
        <v>8498.3070033043859</v>
      </c>
      <c r="H1167" s="98"/>
      <c r="K1167" s="98"/>
      <c r="L1167" s="98"/>
      <c r="M1167" s="98"/>
      <c r="N1167" s="98"/>
      <c r="O1167" s="98"/>
      <c r="P1167" s="98"/>
      <c r="Q1167" s="98"/>
      <c r="R1167" s="98"/>
      <c r="S1167" s="98"/>
      <c r="T1167" s="98"/>
      <c r="U1167" s="98"/>
      <c r="V1167" s="98"/>
      <c r="W1167" s="98"/>
      <c r="X1167" s="98"/>
      <c r="Y1167" s="98"/>
      <c r="Z1167" s="98"/>
      <c r="AA1167" s="98"/>
      <c r="AB1167" s="98"/>
      <c r="AC1167" s="98"/>
      <c r="AD1167" s="98"/>
    </row>
    <row r="1168" spans="1:30" ht="12.75" customHeight="1">
      <c r="A1168" s="140" t="s">
        <v>600</v>
      </c>
      <c r="B1168" s="154">
        <v>44593</v>
      </c>
      <c r="C1168" s="395">
        <v>-9181</v>
      </c>
      <c r="D1168" s="395"/>
      <c r="E1168" s="487"/>
      <c r="F1168" s="491"/>
      <c r="G1168" s="488"/>
      <c r="H1168" s="98"/>
      <c r="K1168" s="98"/>
      <c r="L1168" s="98"/>
      <c r="M1168" s="98"/>
      <c r="N1168" s="98"/>
      <c r="O1168" s="98"/>
      <c r="P1168" s="98"/>
      <c r="Q1168" s="98"/>
      <c r="R1168" s="98"/>
      <c r="S1168" s="98"/>
      <c r="T1168" s="98"/>
      <c r="U1168" s="98"/>
      <c r="V1168" s="98"/>
      <c r="W1168" s="98"/>
      <c r="X1168" s="98"/>
      <c r="Y1168" s="98"/>
      <c r="Z1168" s="98"/>
      <c r="AA1168" s="98"/>
      <c r="AB1168" s="98"/>
      <c r="AC1168" s="98"/>
      <c r="AD1168" s="98"/>
    </row>
    <row r="1169" spans="1:30" ht="12.75" customHeight="1">
      <c r="A1169" s="125" t="s">
        <v>600</v>
      </c>
      <c r="B1169" s="155">
        <v>44651</v>
      </c>
      <c r="C1169" s="489">
        <v>9200</v>
      </c>
      <c r="D1169" s="489">
        <f>C1169+C1168</f>
        <v>19</v>
      </c>
      <c r="E1169" s="490">
        <f>IFERROR(-D1169/C1168,0)</f>
        <v>2.0694913408125476E-3</v>
      </c>
      <c r="F1169" s="383">
        <f>B1169-B1168</f>
        <v>58</v>
      </c>
      <c r="G1169" s="490">
        <f>(C1169/-C1168)^(1/((B1169-B1168)/365))-1</f>
        <v>1.309506474092359E-2</v>
      </c>
      <c r="H1169" s="98"/>
      <c r="K1169" s="98"/>
      <c r="L1169" s="98"/>
      <c r="M1169" s="98"/>
      <c r="N1169" s="98"/>
      <c r="O1169" s="98"/>
      <c r="P1169" s="98"/>
      <c r="Q1169" s="98"/>
      <c r="R1169" s="98"/>
      <c r="S1169" s="98"/>
      <c r="T1169" s="98"/>
      <c r="U1169" s="98"/>
      <c r="V1169" s="98"/>
      <c r="W1169" s="98"/>
      <c r="X1169" s="98"/>
      <c r="Y1169" s="98"/>
      <c r="Z1169" s="98"/>
      <c r="AA1169" s="98"/>
      <c r="AB1169" s="98"/>
      <c r="AC1169" s="98"/>
      <c r="AD1169" s="98"/>
    </row>
    <row r="1170" spans="1:30" ht="12.75" customHeight="1">
      <c r="A1170" s="140" t="s">
        <v>600</v>
      </c>
      <c r="B1170" s="154">
        <v>44603</v>
      </c>
      <c r="C1170" s="395">
        <v>-4165</v>
      </c>
      <c r="D1170" s="395"/>
      <c r="E1170" s="487"/>
      <c r="F1170" s="491"/>
      <c r="G1170" s="488"/>
      <c r="H1170" s="98"/>
      <c r="K1170" s="98"/>
      <c r="L1170" s="98"/>
      <c r="M1170" s="98"/>
      <c r="N1170" s="98"/>
      <c r="O1170" s="98"/>
      <c r="P1170" s="98"/>
      <c r="Q1170" s="98"/>
      <c r="R1170" s="98"/>
      <c r="S1170" s="98"/>
      <c r="T1170" s="98"/>
      <c r="U1170" s="98"/>
      <c r="V1170" s="98"/>
      <c r="W1170" s="98"/>
      <c r="X1170" s="98"/>
      <c r="Y1170" s="98"/>
      <c r="Z1170" s="98"/>
      <c r="AA1170" s="98"/>
      <c r="AB1170" s="98"/>
      <c r="AC1170" s="98"/>
      <c r="AD1170" s="98"/>
    </row>
    <row r="1171" spans="1:30" ht="12.75" customHeight="1">
      <c r="A1171" s="125" t="s">
        <v>600</v>
      </c>
      <c r="B1171" s="155">
        <v>44651</v>
      </c>
      <c r="C1171" s="489">
        <v>4600</v>
      </c>
      <c r="D1171" s="489">
        <f>C1171+C1170</f>
        <v>435</v>
      </c>
      <c r="E1171" s="490">
        <f>IFERROR(-D1171/C1170,0)</f>
        <v>0.10444177671068428</v>
      </c>
      <c r="F1171" s="383">
        <f>B1171-B1170</f>
        <v>48</v>
      </c>
      <c r="G1171" s="490">
        <f>(C1171/-C1170)^(1/((B1171-B1170)/365))-1</f>
        <v>1.1284587550847802</v>
      </c>
      <c r="H1171" s="98"/>
      <c r="K1171" s="98"/>
      <c r="L1171" s="98"/>
      <c r="M1171" s="98"/>
      <c r="N1171" s="98"/>
      <c r="O1171" s="98"/>
      <c r="P1171" s="98"/>
      <c r="Q1171" s="98"/>
      <c r="R1171" s="98"/>
      <c r="S1171" s="98"/>
      <c r="T1171" s="98"/>
      <c r="U1171" s="98"/>
      <c r="V1171" s="98"/>
      <c r="W1171" s="98"/>
      <c r="X1171" s="98"/>
      <c r="Y1171" s="98"/>
      <c r="Z1171" s="98"/>
      <c r="AA1171" s="98"/>
      <c r="AB1171" s="98"/>
      <c r="AC1171" s="98"/>
      <c r="AD1171" s="98"/>
    </row>
    <row r="1172" spans="1:30" ht="12.75" customHeight="1">
      <c r="A1172" s="140" t="s">
        <v>600</v>
      </c>
      <c r="B1172" s="154">
        <v>44606</v>
      </c>
      <c r="C1172" s="395">
        <v>-2376</v>
      </c>
      <c r="D1172" s="395"/>
      <c r="E1172" s="487"/>
      <c r="F1172" s="491"/>
      <c r="G1172" s="488"/>
      <c r="H1172" s="98"/>
      <c r="K1172" s="98"/>
      <c r="L1172" s="98"/>
      <c r="M1172" s="98"/>
      <c r="N1172" s="98"/>
      <c r="O1172" s="98"/>
      <c r="P1172" s="98"/>
      <c r="Q1172" s="98"/>
      <c r="R1172" s="98"/>
      <c r="S1172" s="98"/>
      <c r="T1172" s="98"/>
      <c r="U1172" s="98"/>
      <c r="V1172" s="98"/>
      <c r="W1172" s="98"/>
      <c r="X1172" s="98"/>
      <c r="Y1172" s="98"/>
      <c r="Z1172" s="98"/>
      <c r="AA1172" s="98"/>
      <c r="AB1172" s="98"/>
      <c r="AC1172" s="98"/>
      <c r="AD1172" s="98"/>
    </row>
    <row r="1173" spans="1:30" ht="12.75" customHeight="1">
      <c r="A1173" s="125" t="s">
        <v>600</v>
      </c>
      <c r="B1173" s="155">
        <v>44655</v>
      </c>
      <c r="C1173" s="489">
        <v>2937</v>
      </c>
      <c r="D1173" s="489">
        <f>C1173+C1172</f>
        <v>561</v>
      </c>
      <c r="E1173" s="490">
        <f>IFERROR(-D1173/C1172,0)</f>
        <v>0.2361111111111111</v>
      </c>
      <c r="F1173" s="383">
        <f>B1173-B1172</f>
        <v>49</v>
      </c>
      <c r="G1173" s="490">
        <f>(C1173/-C1172)^(1/((B1173-B1172)/365))-1</f>
        <v>3.8499193292204179</v>
      </c>
      <c r="H1173" s="98"/>
      <c r="K1173" s="98"/>
      <c r="L1173" s="98"/>
      <c r="M1173" s="98"/>
      <c r="N1173" s="98"/>
      <c r="O1173" s="98"/>
      <c r="P1173" s="98"/>
      <c r="Q1173" s="98"/>
      <c r="R1173" s="98"/>
      <c r="S1173" s="98"/>
      <c r="T1173" s="98"/>
      <c r="U1173" s="98"/>
      <c r="V1173" s="98"/>
      <c r="W1173" s="98"/>
      <c r="X1173" s="98"/>
      <c r="Y1173" s="98"/>
      <c r="Z1173" s="98"/>
      <c r="AA1173" s="98"/>
      <c r="AB1173" s="98"/>
      <c r="AC1173" s="98"/>
      <c r="AD1173" s="98"/>
    </row>
    <row r="1174" spans="1:30" ht="12.75" customHeight="1">
      <c r="A1174" s="140" t="s">
        <v>600</v>
      </c>
      <c r="B1174" s="154">
        <v>44607</v>
      </c>
      <c r="C1174" s="395">
        <v>-1506</v>
      </c>
      <c r="D1174" s="395"/>
      <c r="E1174" s="487"/>
      <c r="F1174" s="491"/>
      <c r="G1174" s="488"/>
      <c r="H1174" s="98"/>
      <c r="K1174" s="98"/>
      <c r="L1174" s="98"/>
      <c r="M1174" s="98"/>
      <c r="N1174" s="98"/>
      <c r="O1174" s="98"/>
      <c r="P1174" s="98"/>
      <c r="Q1174" s="98"/>
      <c r="R1174" s="98"/>
      <c r="S1174" s="98"/>
      <c r="T1174" s="98"/>
      <c r="U1174" s="98"/>
      <c r="V1174" s="98"/>
      <c r="W1174" s="98"/>
      <c r="X1174" s="98"/>
      <c r="Y1174" s="98"/>
      <c r="Z1174" s="98"/>
      <c r="AA1174" s="98"/>
      <c r="AB1174" s="98"/>
      <c r="AC1174" s="98"/>
      <c r="AD1174" s="98"/>
    </row>
    <row r="1175" spans="1:30" ht="12.75" customHeight="1">
      <c r="A1175" s="125" t="s">
        <v>600</v>
      </c>
      <c r="B1175" s="155">
        <v>44656</v>
      </c>
      <c r="C1175" s="489">
        <v>2056</v>
      </c>
      <c r="D1175" s="489">
        <f>C1175+C1174</f>
        <v>550</v>
      </c>
      <c r="E1175" s="490">
        <f>IFERROR(-D1175/C1174,0)</f>
        <v>0.3652058432934927</v>
      </c>
      <c r="F1175" s="383">
        <f>B1175-B1174</f>
        <v>49</v>
      </c>
      <c r="G1175" s="490">
        <f>(C1175/-C1174)^(1/((B1175-B1174)/365))-1</f>
        <v>9.1645504144029442</v>
      </c>
      <c r="H1175" s="98"/>
      <c r="K1175" s="98"/>
      <c r="L1175" s="98"/>
      <c r="M1175" s="98"/>
      <c r="N1175" s="98"/>
      <c r="O1175" s="98"/>
      <c r="P1175" s="98"/>
      <c r="Q1175" s="98"/>
      <c r="R1175" s="98"/>
      <c r="S1175" s="98"/>
      <c r="T1175" s="98"/>
      <c r="U1175" s="98"/>
      <c r="V1175" s="98"/>
      <c r="W1175" s="98"/>
      <c r="X1175" s="98"/>
      <c r="Y1175" s="98"/>
      <c r="Z1175" s="98"/>
      <c r="AA1175" s="98"/>
      <c r="AB1175" s="98"/>
      <c r="AC1175" s="98"/>
      <c r="AD1175" s="98"/>
    </row>
    <row r="1176" spans="1:30" ht="12.75" customHeight="1">
      <c r="A1176" s="138" t="s">
        <v>531</v>
      </c>
      <c r="B1176" s="492">
        <v>44344</v>
      </c>
      <c r="C1176" s="493">
        <v>-21100</v>
      </c>
      <c r="D1176" s="395"/>
      <c r="E1176" s="487"/>
      <c r="F1176" s="491"/>
      <c r="G1176" s="488"/>
      <c r="H1176" s="98"/>
      <c r="K1176" s="98"/>
      <c r="L1176" s="98"/>
      <c r="M1176" s="98"/>
      <c r="N1176" s="98"/>
      <c r="O1176" s="98"/>
      <c r="P1176" s="98"/>
      <c r="Q1176" s="98"/>
      <c r="R1176" s="98"/>
      <c r="S1176" s="98"/>
      <c r="T1176" s="98"/>
      <c r="U1176" s="98"/>
      <c r="V1176" s="98"/>
      <c r="W1176" s="98"/>
      <c r="X1176" s="98"/>
      <c r="Y1176" s="98"/>
      <c r="Z1176" s="98"/>
      <c r="AA1176" s="98"/>
      <c r="AB1176" s="98"/>
      <c r="AC1176" s="98"/>
      <c r="AD1176" s="98"/>
    </row>
    <row r="1177" spans="1:30" ht="12.75" customHeight="1">
      <c r="A1177" s="125" t="s">
        <v>531</v>
      </c>
      <c r="B1177" s="495">
        <v>44356</v>
      </c>
      <c r="C1177" s="496">
        <v>21727</v>
      </c>
      <c r="D1177" s="489">
        <f>C1177+C1176</f>
        <v>627</v>
      </c>
      <c r="E1177" s="490">
        <f>-D1177/C1176</f>
        <v>2.971563981042654E-2</v>
      </c>
      <c r="F1177" s="383">
        <f>B1177-B1176</f>
        <v>12</v>
      </c>
      <c r="G1177" s="490">
        <f>(C1177/-C1176)^(1/((B1177-B1176)/365))-1</f>
        <v>1.4367902631840344</v>
      </c>
      <c r="H1177" s="98"/>
      <c r="K1177" s="98"/>
      <c r="L1177" s="98"/>
      <c r="M1177" s="98"/>
      <c r="N1177" s="98"/>
      <c r="O1177" s="98"/>
      <c r="P1177" s="98"/>
      <c r="Q1177" s="98"/>
      <c r="R1177" s="98"/>
      <c r="S1177" s="98"/>
      <c r="T1177" s="98"/>
      <c r="U1177" s="98"/>
      <c r="V1177" s="98"/>
      <c r="W1177" s="98"/>
      <c r="X1177" s="98"/>
      <c r="Y1177" s="98"/>
      <c r="Z1177" s="98"/>
      <c r="AA1177" s="98"/>
      <c r="AB1177" s="98"/>
      <c r="AC1177" s="98"/>
      <c r="AD1177" s="98"/>
    </row>
    <row r="1178" spans="1:30" ht="12.75" customHeight="1">
      <c r="A1178" s="140" t="s">
        <v>571</v>
      </c>
      <c r="B1178" s="154">
        <v>44407</v>
      </c>
      <c r="C1178" s="140">
        <v>-1026</v>
      </c>
      <c r="D1178" s="395"/>
      <c r="E1178" s="487"/>
      <c r="F1178" s="491"/>
      <c r="G1178" s="488"/>
      <c r="H1178" s="98"/>
      <c r="K1178" s="98"/>
      <c r="L1178" s="98"/>
      <c r="M1178" s="98"/>
      <c r="N1178" s="98"/>
      <c r="O1178" s="98"/>
      <c r="P1178" s="98"/>
      <c r="Q1178" s="98"/>
      <c r="R1178" s="98"/>
      <c r="S1178" s="98"/>
      <c r="T1178" s="98"/>
      <c r="U1178" s="98"/>
      <c r="V1178" s="98"/>
      <c r="W1178" s="98"/>
      <c r="X1178" s="98"/>
      <c r="Y1178" s="98"/>
      <c r="Z1178" s="98"/>
      <c r="AA1178" s="98"/>
      <c r="AB1178" s="98"/>
      <c r="AC1178" s="98"/>
      <c r="AD1178" s="98"/>
    </row>
    <row r="1179" spans="1:30" ht="12.75" customHeight="1">
      <c r="A1179" s="125" t="s">
        <v>571</v>
      </c>
      <c r="B1179" s="155">
        <v>44434</v>
      </c>
      <c r="C1179" s="489">
        <v>1031</v>
      </c>
      <c r="D1179" s="489">
        <f>C1179+C1178</f>
        <v>5</v>
      </c>
      <c r="E1179" s="490">
        <f>-D1179/C1178</f>
        <v>4.8732943469785572E-3</v>
      </c>
      <c r="F1179" s="383">
        <f>B1179-B1178</f>
        <v>27</v>
      </c>
      <c r="G1179" s="490">
        <f>(C1179/-C1178)^(1/((B1179-B1178)/365))-1</f>
        <v>6.7927349989251429E-2</v>
      </c>
      <c r="H1179" s="98"/>
      <c r="K1179" s="98"/>
      <c r="L1179" s="98"/>
      <c r="M1179" s="98"/>
      <c r="N1179" s="98"/>
      <c r="O1179" s="98"/>
      <c r="P1179" s="98"/>
      <c r="Q1179" s="98"/>
      <c r="R1179" s="98"/>
      <c r="S1179" s="98"/>
      <c r="T1179" s="98"/>
      <c r="U1179" s="98"/>
      <c r="V1179" s="98"/>
      <c r="W1179" s="98"/>
      <c r="X1179" s="98"/>
      <c r="Y1179" s="98"/>
      <c r="Z1179" s="98"/>
      <c r="AA1179" s="98"/>
      <c r="AB1179" s="98"/>
      <c r="AC1179" s="98"/>
      <c r="AD1179" s="98"/>
    </row>
    <row r="1180" spans="1:30" ht="12.75" customHeight="1">
      <c r="A1180" s="138" t="s">
        <v>534</v>
      </c>
      <c r="B1180" s="492">
        <v>44349</v>
      </c>
      <c r="C1180" s="493">
        <v>-11364</v>
      </c>
      <c r="D1180" s="395"/>
      <c r="E1180" s="487"/>
      <c r="F1180" s="491"/>
      <c r="G1180" s="488"/>
      <c r="H1180" s="98"/>
      <c r="K1180" s="98"/>
      <c r="L1180" s="98"/>
      <c r="M1180" s="98"/>
      <c r="N1180" s="98"/>
      <c r="O1180" s="98"/>
      <c r="P1180" s="98"/>
      <c r="Q1180" s="98"/>
      <c r="R1180" s="98"/>
      <c r="S1180" s="98"/>
      <c r="T1180" s="98"/>
      <c r="U1180" s="98"/>
      <c r="V1180" s="98"/>
      <c r="W1180" s="98"/>
      <c r="X1180" s="98"/>
      <c r="Y1180" s="98"/>
      <c r="Z1180" s="98"/>
      <c r="AA1180" s="98"/>
      <c r="AB1180" s="98"/>
      <c r="AC1180" s="98"/>
      <c r="AD1180" s="98"/>
    </row>
    <row r="1181" spans="1:30" ht="12.75" customHeight="1">
      <c r="A1181" s="125" t="s">
        <v>534</v>
      </c>
      <c r="B1181" s="495">
        <v>44358</v>
      </c>
      <c r="C1181" s="496">
        <v>11688</v>
      </c>
      <c r="D1181" s="489">
        <f>C1181+C1180</f>
        <v>324</v>
      </c>
      <c r="E1181" s="490">
        <f>-D1181/C1180</f>
        <v>2.8511087645195353E-2</v>
      </c>
      <c r="F1181" s="383">
        <f>B1181-B1180</f>
        <v>9</v>
      </c>
      <c r="G1181" s="490">
        <f>(C1181/-C1180)^(1/((B1181-B1180)/365))-1</f>
        <v>2.1271007988454218</v>
      </c>
      <c r="H1181" s="98"/>
      <c r="K1181" s="98"/>
      <c r="L1181" s="98"/>
      <c r="M1181" s="98"/>
      <c r="N1181" s="98"/>
      <c r="O1181" s="98"/>
      <c r="P1181" s="98"/>
      <c r="Q1181" s="98"/>
      <c r="R1181" s="98"/>
      <c r="S1181" s="98"/>
      <c r="T1181" s="98"/>
      <c r="U1181" s="98"/>
      <c r="V1181" s="98"/>
      <c r="W1181" s="98"/>
      <c r="X1181" s="98"/>
      <c r="Y1181" s="98"/>
      <c r="Z1181" s="98"/>
      <c r="AA1181" s="98"/>
      <c r="AB1181" s="98"/>
      <c r="AC1181" s="98"/>
      <c r="AD1181" s="98"/>
    </row>
    <row r="1182" spans="1:30" ht="12.75" customHeight="1">
      <c r="A1182" s="140" t="s">
        <v>621</v>
      </c>
      <c r="B1182" s="154">
        <v>44679</v>
      </c>
      <c r="C1182" s="395">
        <v>-4205</v>
      </c>
      <c r="D1182" s="395"/>
      <c r="E1182" s="487"/>
      <c r="F1182" s="491"/>
      <c r="G1182" s="488"/>
      <c r="H1182" s="98"/>
      <c r="K1182" s="98"/>
      <c r="L1182" s="98"/>
      <c r="M1182" s="98"/>
      <c r="N1182" s="98"/>
      <c r="O1182" s="98"/>
      <c r="P1182" s="98"/>
      <c r="Q1182" s="98"/>
      <c r="R1182" s="98"/>
      <c r="S1182" s="98"/>
      <c r="T1182" s="98"/>
      <c r="U1182" s="98"/>
      <c r="V1182" s="98"/>
      <c r="W1182" s="98"/>
      <c r="X1182" s="98"/>
      <c r="Y1182" s="98"/>
      <c r="Z1182" s="98"/>
      <c r="AA1182" s="98"/>
      <c r="AB1182" s="98"/>
      <c r="AC1182" s="98"/>
      <c r="AD1182" s="98"/>
    </row>
    <row r="1183" spans="1:30" ht="12.75" customHeight="1">
      <c r="A1183" s="125" t="s">
        <v>621</v>
      </c>
      <c r="B1183" s="155">
        <v>44797</v>
      </c>
      <c r="C1183" s="489">
        <v>4216</v>
      </c>
      <c r="D1183" s="489">
        <f>C1183+C1182</f>
        <v>11</v>
      </c>
      <c r="E1183" s="490">
        <f>IFERROR(-D1183/C1182,0)</f>
        <v>2.6159334126040429E-3</v>
      </c>
      <c r="F1183" s="383">
        <f>B1183-B1182</f>
        <v>118</v>
      </c>
      <c r="G1183" s="490">
        <f>(C1183/-C1182)^(1/((B1183-B1182)/365))-1</f>
        <v>8.1138334053405536E-3</v>
      </c>
      <c r="H1183" s="98"/>
      <c r="K1183" s="98"/>
      <c r="L1183" s="98"/>
      <c r="M1183" s="98"/>
      <c r="N1183" s="98"/>
      <c r="O1183" s="98"/>
      <c r="P1183" s="98"/>
      <c r="Q1183" s="98"/>
      <c r="R1183" s="98"/>
      <c r="S1183" s="98"/>
      <c r="T1183" s="98"/>
      <c r="U1183" s="98"/>
      <c r="V1183" s="98"/>
      <c r="W1183" s="98"/>
      <c r="X1183" s="98"/>
      <c r="Y1183" s="98"/>
      <c r="Z1183" s="98"/>
      <c r="AA1183" s="98"/>
      <c r="AB1183" s="98"/>
      <c r="AC1183" s="98"/>
      <c r="AD1183" s="98"/>
    </row>
    <row r="1184" spans="1:30" ht="12.75" customHeight="1">
      <c r="A1184" s="140" t="s">
        <v>596</v>
      </c>
      <c r="B1184" s="154">
        <v>44517</v>
      </c>
      <c r="C1184" s="395">
        <v>-3975</v>
      </c>
      <c r="D1184" s="395"/>
      <c r="E1184" s="487"/>
      <c r="F1184" s="491"/>
      <c r="G1184" s="488"/>
      <c r="H1184" s="98"/>
      <c r="K1184" s="98"/>
      <c r="L1184" s="98"/>
      <c r="M1184" s="98"/>
      <c r="N1184" s="98"/>
      <c r="O1184" s="98"/>
      <c r="P1184" s="98"/>
      <c r="Q1184" s="98"/>
      <c r="R1184" s="98"/>
      <c r="S1184" s="98"/>
      <c r="T1184" s="98"/>
      <c r="U1184" s="98"/>
      <c r="V1184" s="98"/>
      <c r="W1184" s="98"/>
      <c r="X1184" s="98"/>
      <c r="Y1184" s="98"/>
      <c r="Z1184" s="98"/>
      <c r="AA1184" s="98"/>
      <c r="AB1184" s="98"/>
      <c r="AC1184" s="98"/>
      <c r="AD1184" s="98"/>
    </row>
    <row r="1185" spans="1:30" ht="12.75" customHeight="1">
      <c r="A1185" s="125" t="s">
        <v>596</v>
      </c>
      <c r="B1185" s="155">
        <v>44532</v>
      </c>
      <c r="C1185" s="489">
        <v>4246</v>
      </c>
      <c r="D1185" s="489">
        <f>C1185+C1184</f>
        <v>271</v>
      </c>
      <c r="E1185" s="490">
        <f>-D1185/C1184</f>
        <v>6.8176100628930814E-2</v>
      </c>
      <c r="F1185" s="383">
        <f>B1185-B1184</f>
        <v>15</v>
      </c>
      <c r="G1185" s="490">
        <f>(C1185/-C1184)^(1/((B1185-B1184)/365))-1</f>
        <v>3.9770978954486003</v>
      </c>
      <c r="H1185" s="98"/>
      <c r="K1185" s="98"/>
      <c r="L1185" s="98"/>
      <c r="M1185" s="98"/>
      <c r="N1185" s="98"/>
      <c r="O1185" s="98"/>
      <c r="P1185" s="98"/>
      <c r="Q1185" s="98"/>
      <c r="R1185" s="98"/>
      <c r="S1185" s="98"/>
      <c r="T1185" s="98"/>
      <c r="U1185" s="98"/>
      <c r="V1185" s="98"/>
      <c r="W1185" s="98"/>
      <c r="X1185" s="98"/>
      <c r="Y1185" s="98"/>
      <c r="Z1185" s="98"/>
      <c r="AA1185" s="98"/>
      <c r="AB1185" s="98"/>
      <c r="AC1185" s="98"/>
      <c r="AD1185" s="98"/>
    </row>
    <row r="1186" spans="1:30" ht="12.75" customHeight="1">
      <c r="A1186" s="140" t="s">
        <v>591</v>
      </c>
      <c r="B1186" s="154">
        <v>44498</v>
      </c>
      <c r="C1186" s="395">
        <v>-792</v>
      </c>
      <c r="D1186" s="395"/>
      <c r="E1186" s="487"/>
      <c r="F1186" s="491"/>
      <c r="G1186" s="488"/>
      <c r="H1186" s="98"/>
      <c r="K1186" s="98"/>
      <c r="L1186" s="98"/>
      <c r="M1186" s="98"/>
      <c r="N1186" s="98"/>
      <c r="O1186" s="98"/>
      <c r="P1186" s="98"/>
      <c r="Q1186" s="98"/>
      <c r="R1186" s="98"/>
      <c r="S1186" s="98"/>
      <c r="T1186" s="98"/>
      <c r="U1186" s="98"/>
      <c r="V1186" s="98"/>
      <c r="W1186" s="98"/>
      <c r="X1186" s="98"/>
      <c r="Y1186" s="98"/>
      <c r="Z1186" s="98"/>
      <c r="AA1186" s="98"/>
      <c r="AB1186" s="98"/>
      <c r="AC1186" s="98"/>
      <c r="AD1186" s="98"/>
    </row>
    <row r="1187" spans="1:30" ht="12.75" customHeight="1">
      <c r="A1187" s="125" t="s">
        <v>591</v>
      </c>
      <c r="B1187" s="155">
        <v>44557</v>
      </c>
      <c r="C1187" s="489">
        <v>710</v>
      </c>
      <c r="D1187" s="489">
        <f>C1187+C1186</f>
        <v>-82</v>
      </c>
      <c r="E1187" s="490">
        <f>-D1187/C1186</f>
        <v>-0.10353535353535354</v>
      </c>
      <c r="F1187" s="383">
        <f>B1187-B1186</f>
        <v>59</v>
      </c>
      <c r="G1187" s="490">
        <f>(C1187/-C1186)^(1/((B1187-B1186)/365))-1</f>
        <v>-0.49143173750917735</v>
      </c>
      <c r="H1187" s="98"/>
      <c r="K1187" s="98"/>
      <c r="L1187" s="98"/>
      <c r="M1187" s="98"/>
      <c r="N1187" s="98"/>
      <c r="O1187" s="98"/>
      <c r="P1187" s="98"/>
      <c r="Q1187" s="98"/>
      <c r="R1187" s="98"/>
      <c r="S1187" s="98"/>
      <c r="T1187" s="98"/>
      <c r="U1187" s="98"/>
      <c r="V1187" s="98"/>
      <c r="W1187" s="98"/>
      <c r="X1187" s="98"/>
      <c r="Y1187" s="98"/>
      <c r="Z1187" s="98"/>
      <c r="AA1187" s="98"/>
      <c r="AB1187" s="98"/>
      <c r="AC1187" s="98"/>
      <c r="AD1187" s="98"/>
    </row>
    <row r="1188" spans="1:30" ht="12.75" customHeight="1">
      <c r="A1188" s="140" t="s">
        <v>591</v>
      </c>
      <c r="B1188" s="154">
        <v>44508</v>
      </c>
      <c r="C1188" s="395">
        <v>-1997</v>
      </c>
      <c r="D1188" s="395"/>
      <c r="E1188" s="487"/>
      <c r="F1188" s="491"/>
      <c r="G1188" s="488"/>
      <c r="H1188" s="98"/>
      <c r="K1188" s="98"/>
      <c r="L1188" s="98"/>
      <c r="M1188" s="98"/>
      <c r="N1188" s="98"/>
      <c r="O1188" s="98"/>
      <c r="P1188" s="98"/>
      <c r="Q1188" s="98"/>
      <c r="R1188" s="98"/>
      <c r="S1188" s="98"/>
      <c r="T1188" s="98"/>
      <c r="U1188" s="98"/>
      <c r="V1188" s="98"/>
      <c r="W1188" s="98"/>
      <c r="X1188" s="98"/>
      <c r="Y1188" s="98"/>
      <c r="Z1188" s="98"/>
      <c r="AA1188" s="98"/>
      <c r="AB1188" s="98"/>
      <c r="AC1188" s="98"/>
      <c r="AD1188" s="98"/>
    </row>
    <row r="1189" spans="1:30" ht="12.75" customHeight="1">
      <c r="A1189" s="125" t="s">
        <v>591</v>
      </c>
      <c r="B1189" s="155">
        <v>44557</v>
      </c>
      <c r="C1189" s="489">
        <v>1657</v>
      </c>
      <c r="D1189" s="489">
        <f>C1189+C1188</f>
        <v>-340</v>
      </c>
      <c r="E1189" s="490">
        <f>-D1189/C1188</f>
        <v>-0.17025538307461191</v>
      </c>
      <c r="F1189" s="383">
        <f>B1189-B1188</f>
        <v>49</v>
      </c>
      <c r="G1189" s="490">
        <f>(C1189/-C1188)^(1/((B1189-B1188)/365))-1</f>
        <v>-0.75098883841490705</v>
      </c>
      <c r="H1189" s="98"/>
      <c r="K1189" s="98"/>
      <c r="L1189" s="98"/>
      <c r="M1189" s="98"/>
      <c r="N1189" s="98"/>
      <c r="O1189" s="98"/>
      <c r="P1189" s="98"/>
      <c r="Q1189" s="98"/>
      <c r="R1189" s="98"/>
      <c r="S1189" s="98"/>
      <c r="T1189" s="98"/>
      <c r="U1189" s="98"/>
      <c r="V1189" s="98"/>
      <c r="W1189" s="98"/>
      <c r="X1189" s="98"/>
      <c r="Y1189" s="98"/>
      <c r="Z1189" s="98"/>
      <c r="AA1189" s="98"/>
      <c r="AB1189" s="98"/>
      <c r="AC1189" s="98"/>
      <c r="AD1189" s="98"/>
    </row>
    <row r="1190" spans="1:30" ht="12.75" customHeight="1">
      <c r="A1190" s="140" t="s">
        <v>591</v>
      </c>
      <c r="B1190" s="154">
        <v>44511</v>
      </c>
      <c r="C1190" s="395">
        <v>-6808</v>
      </c>
      <c r="D1190" s="395"/>
      <c r="E1190" s="487"/>
      <c r="F1190" s="491"/>
      <c r="G1190" s="488"/>
      <c r="H1190" s="98"/>
      <c r="K1190" s="98"/>
      <c r="L1190" s="98"/>
      <c r="M1190" s="98"/>
      <c r="N1190" s="98"/>
      <c r="O1190" s="98"/>
      <c r="P1190" s="98"/>
      <c r="Q1190" s="98"/>
      <c r="R1190" s="98"/>
      <c r="S1190" s="98"/>
      <c r="T1190" s="98"/>
      <c r="U1190" s="98"/>
      <c r="V1190" s="98"/>
      <c r="W1190" s="98"/>
      <c r="X1190" s="98"/>
      <c r="Y1190" s="98"/>
      <c r="Z1190" s="98"/>
      <c r="AA1190" s="98"/>
      <c r="AB1190" s="98"/>
      <c r="AC1190" s="98"/>
      <c r="AD1190" s="98"/>
    </row>
    <row r="1191" spans="1:30" ht="12.75" customHeight="1">
      <c r="A1191" s="125" t="s">
        <v>591</v>
      </c>
      <c r="B1191" s="155">
        <v>44557</v>
      </c>
      <c r="C1191" s="489">
        <v>5919</v>
      </c>
      <c r="D1191" s="489">
        <f>C1191+C1190</f>
        <v>-889</v>
      </c>
      <c r="E1191" s="490">
        <f>-D1191/C1190</f>
        <v>-0.13058166862514689</v>
      </c>
      <c r="F1191" s="383">
        <f>B1191-B1190</f>
        <v>46</v>
      </c>
      <c r="G1191" s="490">
        <f>(C1191/-C1190)^(1/((B1191-B1190)/365))-1</f>
        <v>-0.67054683601634069</v>
      </c>
      <c r="H1191" s="98"/>
      <c r="K1191" s="98"/>
      <c r="L1191" s="98"/>
      <c r="M1191" s="98"/>
      <c r="N1191" s="98"/>
      <c r="O1191" s="98"/>
      <c r="P1191" s="98"/>
      <c r="Q1191" s="98"/>
      <c r="R1191" s="98"/>
      <c r="S1191" s="98"/>
      <c r="T1191" s="98"/>
      <c r="U1191" s="98"/>
      <c r="V1191" s="98"/>
      <c r="W1191" s="98"/>
      <c r="X1191" s="98"/>
      <c r="Y1191" s="98"/>
      <c r="Z1191" s="98"/>
      <c r="AA1191" s="98"/>
      <c r="AB1191" s="98"/>
      <c r="AC1191" s="98"/>
      <c r="AD1191" s="98"/>
    </row>
    <row r="1192" spans="1:30" ht="12.75" customHeight="1">
      <c r="A1192" s="140" t="s">
        <v>591</v>
      </c>
      <c r="B1192" s="154">
        <v>44558</v>
      </c>
      <c r="C1192" s="395">
        <v>-12640</v>
      </c>
      <c r="D1192" s="395"/>
      <c r="E1192" s="487"/>
      <c r="F1192" s="491"/>
      <c r="G1192" s="488"/>
      <c r="H1192" s="98"/>
      <c r="K1192" s="98"/>
      <c r="L1192" s="98"/>
      <c r="M1192" s="98"/>
      <c r="N1192" s="98"/>
      <c r="O1192" s="98"/>
      <c r="P1192" s="98"/>
      <c r="Q1192" s="98"/>
      <c r="R1192" s="98"/>
      <c r="S1192" s="98"/>
      <c r="T1192" s="98"/>
      <c r="U1192" s="98"/>
      <c r="V1192" s="98"/>
      <c r="W1192" s="98"/>
      <c r="X1192" s="98"/>
      <c r="Y1192" s="98"/>
      <c r="Z1192" s="98"/>
      <c r="AA1192" s="98"/>
      <c r="AB1192" s="98"/>
      <c r="AC1192" s="98"/>
      <c r="AD1192" s="98"/>
    </row>
    <row r="1193" spans="1:30" ht="12.75" customHeight="1">
      <c r="A1193" s="125" t="s">
        <v>591</v>
      </c>
      <c r="B1193" s="155">
        <v>44566</v>
      </c>
      <c r="C1193" s="489">
        <v>13136</v>
      </c>
      <c r="D1193" s="489">
        <f>C1193+C1192</f>
        <v>496</v>
      </c>
      <c r="E1193" s="490">
        <f>-D1193/C1192</f>
        <v>3.9240506329113925E-2</v>
      </c>
      <c r="F1193" s="383">
        <f>B1193-B1192</f>
        <v>8</v>
      </c>
      <c r="G1193" s="490">
        <f>(C1193/-C1192)^(1/((B1193-B1192)/365))-1</f>
        <v>4.7898925416134492</v>
      </c>
      <c r="H1193" s="98"/>
      <c r="K1193" s="98"/>
      <c r="L1193" s="98"/>
      <c r="M1193" s="98"/>
      <c r="N1193" s="98"/>
      <c r="O1193" s="98"/>
      <c r="P1193" s="98"/>
      <c r="Q1193" s="98"/>
      <c r="R1193" s="98"/>
      <c r="S1193" s="98"/>
      <c r="T1193" s="98"/>
      <c r="U1193" s="98"/>
      <c r="V1193" s="98"/>
      <c r="W1193" s="98"/>
      <c r="X1193" s="98"/>
      <c r="Y1193" s="98"/>
      <c r="Z1193" s="98"/>
      <c r="AA1193" s="98"/>
      <c r="AB1193" s="98"/>
      <c r="AC1193" s="98"/>
      <c r="AD1193" s="98"/>
    </row>
    <row r="1194" spans="1:30" ht="12.75" customHeight="1">
      <c r="A1194" s="140" t="s">
        <v>591</v>
      </c>
      <c r="B1194" s="154">
        <v>44572</v>
      </c>
      <c r="C1194" s="395">
        <v>-13266</v>
      </c>
      <c r="D1194" s="395"/>
      <c r="E1194" s="487"/>
      <c r="F1194" s="491"/>
      <c r="G1194" s="488"/>
      <c r="H1194" s="98"/>
      <c r="K1194" s="98"/>
      <c r="L1194" s="98"/>
      <c r="M1194" s="98"/>
      <c r="N1194" s="98"/>
      <c r="O1194" s="98"/>
      <c r="P1194" s="98"/>
      <c r="Q1194" s="98"/>
      <c r="R1194" s="98"/>
      <c r="S1194" s="98"/>
      <c r="T1194" s="98"/>
      <c r="U1194" s="98"/>
      <c r="V1194" s="98"/>
      <c r="W1194" s="98"/>
      <c r="X1194" s="98"/>
      <c r="Y1194" s="98"/>
      <c r="Z1194" s="98"/>
      <c r="AA1194" s="98"/>
      <c r="AB1194" s="98"/>
      <c r="AC1194" s="98"/>
      <c r="AD1194" s="98"/>
    </row>
    <row r="1195" spans="1:30" ht="12.75" customHeight="1">
      <c r="A1195" s="125" t="s">
        <v>591</v>
      </c>
      <c r="B1195" s="155">
        <v>44581</v>
      </c>
      <c r="C1195" s="489">
        <v>13602</v>
      </c>
      <c r="D1195" s="489">
        <f>C1195+C1194</f>
        <v>336</v>
      </c>
      <c r="E1195" s="490">
        <f>-D1195/C1194</f>
        <v>2.5327905924920849E-2</v>
      </c>
      <c r="F1195" s="383">
        <f>B1195-B1194</f>
        <v>9</v>
      </c>
      <c r="G1195" s="490">
        <f>(C1195/-C1194)^(1/((B1195-B1194)/365))-1</f>
        <v>1.7576933911663541</v>
      </c>
      <c r="H1195" s="98"/>
      <c r="K1195" s="98"/>
      <c r="L1195" s="98"/>
      <c r="M1195" s="98"/>
      <c r="N1195" s="98"/>
      <c r="O1195" s="98"/>
      <c r="P1195" s="98"/>
      <c r="Q1195" s="98"/>
      <c r="R1195" s="98"/>
      <c r="S1195" s="98"/>
      <c r="T1195" s="98"/>
      <c r="U1195" s="98"/>
      <c r="V1195" s="98"/>
      <c r="W1195" s="98"/>
      <c r="X1195" s="98"/>
      <c r="Y1195" s="98"/>
      <c r="Z1195" s="98"/>
      <c r="AA1195" s="98"/>
      <c r="AB1195" s="98"/>
      <c r="AC1195" s="98"/>
      <c r="AD1195" s="98"/>
    </row>
    <row r="1196" spans="1:30" ht="12.75" customHeight="1">
      <c r="A1196" s="138" t="s">
        <v>538</v>
      </c>
      <c r="B1196" s="492">
        <v>44357</v>
      </c>
      <c r="C1196" s="493">
        <v>-9501</v>
      </c>
      <c r="D1196" s="395"/>
      <c r="E1196" s="487"/>
      <c r="F1196" s="491"/>
      <c r="G1196" s="488"/>
      <c r="H1196" s="98"/>
      <c r="K1196" s="98"/>
      <c r="L1196" s="98"/>
      <c r="M1196" s="98"/>
      <c r="N1196" s="98"/>
      <c r="O1196" s="98"/>
      <c r="P1196" s="98"/>
      <c r="Q1196" s="98"/>
      <c r="R1196" s="98"/>
      <c r="S1196" s="98"/>
      <c r="T1196" s="98"/>
      <c r="U1196" s="98"/>
      <c r="V1196" s="98"/>
      <c r="W1196" s="98"/>
      <c r="X1196" s="98"/>
      <c r="Y1196" s="98"/>
      <c r="Z1196" s="98"/>
      <c r="AA1196" s="98"/>
      <c r="AB1196" s="98"/>
      <c r="AC1196" s="98"/>
      <c r="AD1196" s="98"/>
    </row>
    <row r="1197" spans="1:30" ht="12.75" customHeight="1">
      <c r="A1197" s="125" t="s">
        <v>538</v>
      </c>
      <c r="B1197" s="495">
        <v>44361</v>
      </c>
      <c r="C1197" s="496">
        <v>9610</v>
      </c>
      <c r="D1197" s="489">
        <f>C1197+C1196</f>
        <v>109</v>
      </c>
      <c r="E1197" s="490">
        <f>-D1197/C1196</f>
        <v>1.1472476581412483E-2</v>
      </c>
      <c r="F1197" s="383">
        <f>B1197-B1196</f>
        <v>4</v>
      </c>
      <c r="G1197" s="490">
        <f>(C1197/-C1196)^(1/((B1197-B1196)/365))-1</f>
        <v>1.8317756884252239</v>
      </c>
      <c r="H1197" s="98"/>
      <c r="K1197" s="98"/>
      <c r="L1197" s="98"/>
      <c r="M1197" s="98"/>
      <c r="N1197" s="98"/>
      <c r="O1197" s="98"/>
      <c r="P1197" s="98"/>
      <c r="Q1197" s="98"/>
      <c r="R1197" s="98"/>
      <c r="S1197" s="98"/>
      <c r="T1197" s="98"/>
      <c r="U1197" s="98"/>
      <c r="V1197" s="98"/>
      <c r="W1197" s="98"/>
      <c r="X1197" s="98"/>
      <c r="Y1197" s="98"/>
      <c r="Z1197" s="98"/>
      <c r="AA1197" s="98"/>
      <c r="AB1197" s="98"/>
      <c r="AC1197" s="98"/>
      <c r="AD1197" s="98"/>
    </row>
    <row r="1198" spans="1:30" ht="12.75" customHeight="1">
      <c r="A1198" s="140" t="s">
        <v>567</v>
      </c>
      <c r="B1198" s="154">
        <v>44396</v>
      </c>
      <c r="C1198" s="140">
        <v>-2633</v>
      </c>
      <c r="D1198" s="395"/>
      <c r="E1198" s="487"/>
      <c r="F1198" s="491"/>
      <c r="G1198" s="488"/>
      <c r="H1198" s="98"/>
      <c r="K1198" s="98"/>
      <c r="L1198" s="98"/>
      <c r="M1198" s="98"/>
      <c r="N1198" s="98"/>
      <c r="O1198" s="98"/>
      <c r="P1198" s="98"/>
      <c r="Q1198" s="98"/>
      <c r="R1198" s="98"/>
      <c r="S1198" s="98"/>
      <c r="T1198" s="98"/>
      <c r="U1198" s="98"/>
      <c r="V1198" s="98"/>
      <c r="W1198" s="98"/>
      <c r="X1198" s="98"/>
      <c r="Y1198" s="98"/>
      <c r="Z1198" s="98"/>
      <c r="AA1198" s="98"/>
      <c r="AB1198" s="98"/>
      <c r="AC1198" s="98"/>
      <c r="AD1198" s="98"/>
    </row>
    <row r="1199" spans="1:30" ht="12.75" customHeight="1">
      <c r="A1199" s="125" t="s">
        <v>567</v>
      </c>
      <c r="B1199" s="155">
        <v>44455</v>
      </c>
      <c r="C1199" s="489">
        <v>2827</v>
      </c>
      <c r="D1199" s="489">
        <f>C1199+C1198</f>
        <v>194</v>
      </c>
      <c r="E1199" s="490">
        <f>-D1199/C1198</f>
        <v>7.3680212685150015E-2</v>
      </c>
      <c r="F1199" s="383">
        <f>B1199-B1198</f>
        <v>59</v>
      </c>
      <c r="G1199" s="490">
        <f>(C1199/-C1198)^(1/((B1199-B1198)/365))-1</f>
        <v>0.55240861010166364</v>
      </c>
      <c r="H1199" s="98"/>
      <c r="K1199" s="98"/>
      <c r="L1199" s="98"/>
      <c r="M1199" s="98"/>
      <c r="N1199" s="98"/>
      <c r="O1199" s="98"/>
      <c r="P1199" s="98"/>
      <c r="Q1199" s="98"/>
      <c r="R1199" s="98"/>
      <c r="S1199" s="98"/>
      <c r="T1199" s="98"/>
      <c r="U1199" s="98"/>
      <c r="V1199" s="98"/>
      <c r="W1199" s="98"/>
      <c r="X1199" s="98"/>
      <c r="Y1199" s="98"/>
      <c r="Z1199" s="98"/>
      <c r="AA1199" s="98"/>
      <c r="AB1199" s="98"/>
      <c r="AC1199" s="98"/>
      <c r="AD1199" s="98"/>
    </row>
    <row r="1200" spans="1:30" ht="12.75" customHeight="1">
      <c r="A1200" s="139" t="s">
        <v>528</v>
      </c>
      <c r="B1200" s="492">
        <v>44343</v>
      </c>
      <c r="C1200" s="493">
        <v>-10462</v>
      </c>
      <c r="D1200" s="395"/>
      <c r="E1200" s="487"/>
      <c r="F1200" s="491"/>
      <c r="G1200" s="488"/>
      <c r="H1200" s="98"/>
      <c r="K1200" s="98"/>
      <c r="L1200" s="98"/>
      <c r="M1200" s="98"/>
      <c r="N1200" s="98"/>
      <c r="O1200" s="98"/>
      <c r="P1200" s="98"/>
      <c r="Q1200" s="98"/>
      <c r="R1200" s="98"/>
      <c r="S1200" s="98"/>
      <c r="T1200" s="98"/>
      <c r="U1200" s="98"/>
      <c r="V1200" s="98"/>
      <c r="W1200" s="98"/>
      <c r="X1200" s="98"/>
      <c r="Y1200" s="98"/>
      <c r="Z1200" s="98"/>
      <c r="AA1200" s="98"/>
      <c r="AB1200" s="98"/>
      <c r="AC1200" s="98"/>
      <c r="AD1200" s="98"/>
    </row>
    <row r="1201" spans="1:30" ht="12.75" customHeight="1">
      <c r="A1201" s="125" t="s">
        <v>528</v>
      </c>
      <c r="B1201" s="495">
        <v>44344</v>
      </c>
      <c r="C1201" s="496">
        <v>10689</v>
      </c>
      <c r="D1201" s="489">
        <f>C1201+C1200</f>
        <v>227</v>
      </c>
      <c r="E1201" s="490">
        <f>-D1201/C1200</f>
        <v>2.1697572165933855E-2</v>
      </c>
      <c r="F1201" s="383">
        <f>B1201-B1200</f>
        <v>1</v>
      </c>
      <c r="G1201" s="490">
        <f>(C1201/-C1200)^(1/((B1201-B1200)/365))-1</f>
        <v>2526.3297140149875</v>
      </c>
      <c r="H1201" s="98"/>
      <c r="K1201" s="98"/>
      <c r="L1201" s="98"/>
      <c r="M1201" s="98"/>
      <c r="N1201" s="98"/>
      <c r="O1201" s="98"/>
      <c r="P1201" s="98"/>
      <c r="Q1201" s="98"/>
      <c r="R1201" s="98"/>
      <c r="S1201" s="98"/>
      <c r="T1201" s="98"/>
      <c r="U1201" s="98"/>
      <c r="V1201" s="98"/>
      <c r="W1201" s="98"/>
      <c r="X1201" s="98"/>
      <c r="Y1201" s="98"/>
      <c r="Z1201" s="98"/>
      <c r="AA1201" s="98"/>
      <c r="AB1201" s="98"/>
      <c r="AC1201" s="98"/>
      <c r="AD1201" s="98"/>
    </row>
    <row r="1202" spans="1:30" ht="12.75" customHeight="1">
      <c r="A1202" s="140" t="s">
        <v>577</v>
      </c>
      <c r="B1202" s="154">
        <v>44452</v>
      </c>
      <c r="C1202" s="395">
        <v>-622</v>
      </c>
      <c r="D1202" s="395"/>
      <c r="E1202" s="487"/>
      <c r="F1202" s="491"/>
      <c r="G1202" s="488"/>
      <c r="H1202" s="98"/>
      <c r="K1202" s="98"/>
      <c r="L1202" s="98"/>
      <c r="M1202" s="98"/>
      <c r="N1202" s="98"/>
      <c r="O1202" s="98"/>
      <c r="P1202" s="98"/>
      <c r="Q1202" s="98"/>
      <c r="R1202" s="98"/>
      <c r="S1202" s="98"/>
      <c r="T1202" s="98"/>
      <c r="U1202" s="98"/>
      <c r="V1202" s="98"/>
      <c r="W1202" s="98"/>
      <c r="X1202" s="98"/>
      <c r="Y1202" s="98"/>
      <c r="Z1202" s="98"/>
      <c r="AA1202" s="98"/>
      <c r="AB1202" s="98"/>
      <c r="AC1202" s="98"/>
      <c r="AD1202" s="98"/>
    </row>
    <row r="1203" spans="1:30" ht="12.75" customHeight="1">
      <c r="A1203" s="125" t="s">
        <v>577</v>
      </c>
      <c r="B1203" s="155">
        <v>44509</v>
      </c>
      <c r="C1203" s="489">
        <v>662</v>
      </c>
      <c r="D1203" s="489">
        <f>C1203+C1202</f>
        <v>40</v>
      </c>
      <c r="E1203" s="490">
        <f>-D1203/C1202</f>
        <v>6.4308681672025719E-2</v>
      </c>
      <c r="F1203" s="383">
        <f>B1203-B1202</f>
        <v>57</v>
      </c>
      <c r="G1203" s="490">
        <f>(C1203/-C1202)^(1/((B1203-B1202)/365))-1</f>
        <v>0.4904851191695534</v>
      </c>
      <c r="H1203" s="98"/>
      <c r="K1203" s="98"/>
      <c r="L1203" s="98"/>
      <c r="M1203" s="98"/>
      <c r="N1203" s="98"/>
      <c r="O1203" s="98"/>
      <c r="P1203" s="98"/>
      <c r="Q1203" s="98"/>
      <c r="R1203" s="98"/>
      <c r="S1203" s="98"/>
      <c r="T1203" s="98"/>
      <c r="U1203" s="98"/>
      <c r="V1203" s="98"/>
      <c r="W1203" s="98"/>
      <c r="X1203" s="98"/>
      <c r="Y1203" s="98"/>
      <c r="Z1203" s="98"/>
      <c r="AA1203" s="98"/>
      <c r="AB1203" s="98"/>
      <c r="AC1203" s="98"/>
      <c r="AD1203" s="98"/>
    </row>
    <row r="1204" spans="1:30" ht="12.75" customHeight="1">
      <c r="A1204" s="140" t="s">
        <v>577</v>
      </c>
      <c r="B1204" s="154">
        <v>44454</v>
      </c>
      <c r="C1204" s="395">
        <v>-3744</v>
      </c>
      <c r="D1204" s="395"/>
      <c r="E1204" s="487"/>
      <c r="F1204" s="491"/>
      <c r="G1204" s="488"/>
      <c r="H1204" s="98"/>
      <c r="K1204" s="98"/>
      <c r="L1204" s="98"/>
      <c r="M1204" s="98"/>
      <c r="N1204" s="98"/>
      <c r="O1204" s="98"/>
      <c r="P1204" s="98"/>
      <c r="Q1204" s="98"/>
      <c r="R1204" s="98"/>
      <c r="S1204" s="98"/>
      <c r="T1204" s="98"/>
      <c r="U1204" s="98"/>
      <c r="V1204" s="98"/>
      <c r="W1204" s="98"/>
      <c r="X1204" s="98"/>
      <c r="Y1204" s="98"/>
      <c r="Z1204" s="98"/>
      <c r="AA1204" s="98"/>
      <c r="AB1204" s="98"/>
      <c r="AC1204" s="98"/>
      <c r="AD1204" s="98"/>
    </row>
    <row r="1205" spans="1:30" ht="12.75" customHeight="1">
      <c r="A1205" s="125" t="s">
        <v>577</v>
      </c>
      <c r="B1205" s="155">
        <v>44509</v>
      </c>
      <c r="C1205" s="489">
        <v>3753</v>
      </c>
      <c r="D1205" s="489">
        <f>C1205+C1204</f>
        <v>9</v>
      </c>
      <c r="E1205" s="490">
        <f>-D1205/C1204</f>
        <v>2.403846153846154E-3</v>
      </c>
      <c r="F1205" s="383">
        <f>B1205-B1204</f>
        <v>55</v>
      </c>
      <c r="G1205" s="490">
        <f>(C1205/-C1204)^(1/((B1205-B1204)/365))-1</f>
        <v>1.6061271406134114E-2</v>
      </c>
      <c r="H1205" s="98"/>
      <c r="K1205" s="98"/>
      <c r="L1205" s="98"/>
      <c r="M1205" s="98"/>
      <c r="N1205" s="98"/>
      <c r="O1205" s="98"/>
      <c r="P1205" s="98"/>
      <c r="Q1205" s="98"/>
      <c r="R1205" s="98"/>
      <c r="S1205" s="98"/>
      <c r="T1205" s="98"/>
      <c r="U1205" s="98"/>
      <c r="V1205" s="98"/>
      <c r="W1205" s="98"/>
      <c r="X1205" s="98"/>
      <c r="Y1205" s="98"/>
      <c r="Z1205" s="98"/>
      <c r="AA1205" s="98"/>
      <c r="AB1205" s="98"/>
      <c r="AC1205" s="98"/>
      <c r="AD1205" s="98"/>
    </row>
    <row r="1206" spans="1:30" ht="12.75" customHeight="1">
      <c r="A1206" s="140">
        <f>A565</f>
        <v>0</v>
      </c>
      <c r="B1206" s="154">
        <f>L565</f>
        <v>0</v>
      </c>
      <c r="C1206" s="395">
        <f>-K565</f>
        <v>0</v>
      </c>
      <c r="D1206" s="395"/>
      <c r="E1206" s="487"/>
      <c r="F1206" s="491"/>
      <c r="G1206" s="488"/>
      <c r="H1206" s="98"/>
      <c r="K1206" s="98"/>
      <c r="L1206" s="98"/>
      <c r="M1206" s="98"/>
      <c r="N1206" s="98"/>
      <c r="O1206" s="98"/>
      <c r="P1206" s="98"/>
      <c r="Q1206" s="98"/>
      <c r="R1206" s="98"/>
      <c r="S1206" s="98"/>
      <c r="T1206" s="98"/>
      <c r="U1206" s="98"/>
      <c r="V1206" s="98"/>
      <c r="W1206" s="98"/>
      <c r="X1206" s="98"/>
      <c r="Y1206" s="98"/>
      <c r="Z1206" s="98"/>
      <c r="AA1206" s="98"/>
      <c r="AB1206" s="98"/>
      <c r="AC1206" s="98"/>
      <c r="AD1206" s="98"/>
    </row>
    <row r="1207" spans="1:30" ht="12.75" customHeight="1">
      <c r="A1207" s="125">
        <f>A565</f>
        <v>0</v>
      </c>
      <c r="B1207" s="155">
        <f>Q565</f>
        <v>0</v>
      </c>
      <c r="C1207" s="489">
        <f>O565</f>
        <v>0</v>
      </c>
      <c r="D1207" s="489">
        <f>C1207+C1206</f>
        <v>0</v>
      </c>
      <c r="E1207" s="490">
        <f>IFERROR(-D1207/C1206,0)</f>
        <v>0</v>
      </c>
      <c r="F1207" s="383">
        <f>B1207-B1206</f>
        <v>0</v>
      </c>
      <c r="G1207" s="490" t="e">
        <f>(C1207/-C1206)^(1/((B1207-B1206)/365))-1</f>
        <v>#DIV/0!</v>
      </c>
      <c r="H1207" s="98"/>
      <c r="K1207" s="98"/>
      <c r="L1207" s="98"/>
      <c r="M1207" s="98"/>
      <c r="N1207" s="98"/>
      <c r="O1207" s="98"/>
      <c r="P1207" s="98"/>
      <c r="Q1207" s="98"/>
      <c r="R1207" s="98"/>
      <c r="S1207" s="98"/>
      <c r="T1207" s="98"/>
      <c r="U1207" s="98"/>
      <c r="V1207" s="98"/>
      <c r="W1207" s="98"/>
      <c r="X1207" s="98"/>
      <c r="Y1207" s="98"/>
      <c r="Z1207" s="98"/>
      <c r="AA1207" s="98"/>
      <c r="AB1207" s="98"/>
      <c r="AC1207" s="98"/>
      <c r="AD1207" s="98"/>
    </row>
    <row r="1208" spans="1:30" ht="3.75" customHeight="1">
      <c r="A1208" s="180"/>
      <c r="B1208" s="181"/>
      <c r="C1208" s="98"/>
      <c r="G1208" s="98"/>
      <c r="H1208" s="98"/>
      <c r="K1208" s="98"/>
      <c r="L1208" s="98"/>
      <c r="M1208" s="98"/>
      <c r="N1208" s="98"/>
      <c r="O1208" s="98"/>
      <c r="P1208" s="98"/>
      <c r="Q1208" s="98"/>
      <c r="R1208" s="98"/>
      <c r="S1208" s="98"/>
      <c r="T1208" s="98"/>
      <c r="U1208" s="98"/>
      <c r="V1208" s="98"/>
      <c r="W1208" s="98"/>
      <c r="X1208" s="98"/>
      <c r="Y1208" s="98"/>
      <c r="Z1208" s="98"/>
      <c r="AA1208" s="98"/>
      <c r="AB1208" s="98"/>
      <c r="AC1208" s="98"/>
      <c r="AD1208" s="98"/>
    </row>
    <row r="1209" spans="1:30" ht="22.5" customHeight="1">
      <c r="A1209" s="379" t="s">
        <v>435</v>
      </c>
      <c r="B1209" s="486" t="s">
        <v>1430</v>
      </c>
      <c r="C1209" s="379" t="s">
        <v>1431</v>
      </c>
      <c r="D1209" s="379" t="s">
        <v>1432</v>
      </c>
      <c r="E1209" s="379" t="s">
        <v>1433</v>
      </c>
      <c r="F1209" s="379" t="s">
        <v>1073</v>
      </c>
      <c r="G1209" s="379" t="s">
        <v>1434</v>
      </c>
      <c r="H1209" s="98"/>
      <c r="M1209" s="98"/>
      <c r="O1209" s="4"/>
      <c r="P1209" s="4"/>
      <c r="Q1209" s="98"/>
      <c r="R1209" s="181"/>
      <c r="S1209" s="98"/>
      <c r="T1209" s="98"/>
      <c r="U1209" s="98"/>
      <c r="V1209" s="4"/>
      <c r="W1209" s="98"/>
      <c r="X1209" s="98"/>
      <c r="Y1209" s="98"/>
      <c r="Z1209" s="98"/>
      <c r="AA1209" s="98"/>
      <c r="AB1209" s="98"/>
      <c r="AC1209" s="98"/>
      <c r="AD1209" s="98"/>
    </row>
    <row r="1210" spans="1:30" ht="15.75" customHeight="1">
      <c r="A1210" s="43" t="s">
        <v>1435</v>
      </c>
      <c r="D1210" s="181">
        <f>D1211+D1212</f>
        <v>126342.9200000002</v>
      </c>
      <c r="E1210" s="500">
        <f>D1210-T566</f>
        <v>2.1827872842550278E-10</v>
      </c>
      <c r="F1210" s="355">
        <f>AVERAGE(F576:F1208)</f>
        <v>51.715189873417721</v>
      </c>
      <c r="G1210" s="4"/>
      <c r="H1210" s="4"/>
      <c r="J1210" s="4"/>
      <c r="K1210" s="4"/>
      <c r="L1210" s="4"/>
      <c r="M1210" s="4"/>
      <c r="N1210" s="4"/>
      <c r="O1210" s="4"/>
      <c r="P1210" s="4"/>
      <c r="Q1210" s="4"/>
      <c r="R1210" s="4"/>
      <c r="S1210" s="4"/>
      <c r="T1210" s="4"/>
      <c r="U1210" s="4"/>
      <c r="V1210" s="4"/>
      <c r="W1210" s="4"/>
      <c r="X1210" s="4"/>
      <c r="Y1210" s="4"/>
      <c r="Z1210" s="4"/>
      <c r="AA1210" s="4"/>
      <c r="AB1210" s="4"/>
      <c r="AC1210" s="4"/>
      <c r="AD1210" s="4"/>
    </row>
    <row r="1211" spans="1:30" ht="15.75" hidden="1" customHeight="1">
      <c r="A1211" s="98" t="s">
        <v>1436</v>
      </c>
      <c r="B1211" s="501">
        <f>SUMIF(C$576:C1208,"&gt;0")</f>
        <v>3578094.1900000004</v>
      </c>
      <c r="C1211" s="501">
        <f>-SUMIF(C$576:C1208,"&lt;0")</f>
        <v>3418681.47</v>
      </c>
      <c r="D1211" s="181">
        <f>B1211-C1211</f>
        <v>159412.7200000002</v>
      </c>
      <c r="E1211" s="502">
        <f>XIRR(C$576:C1207,B$576:B1207)</f>
        <v>0.46506925225257878</v>
      </c>
      <c r="F1211" s="503">
        <f>MAX(F576:F1208)</f>
        <v>518</v>
      </c>
      <c r="G1211" s="4"/>
      <c r="H1211" s="4"/>
      <c r="J1211" s="4"/>
      <c r="K1211" s="4"/>
      <c r="L1211" s="4"/>
      <c r="M1211" s="4"/>
      <c r="N1211" s="4"/>
      <c r="O1211" s="4"/>
      <c r="P1211" s="4"/>
      <c r="Q1211" s="4"/>
      <c r="R1211" s="4"/>
      <c r="S1211" s="4"/>
      <c r="T1211" s="4"/>
      <c r="U1211" s="4"/>
      <c r="V1211" s="4"/>
      <c r="W1211" s="4"/>
      <c r="X1211" s="4"/>
      <c r="Y1211" s="4"/>
      <c r="Z1211" s="4"/>
      <c r="AA1211" s="4"/>
      <c r="AB1211" s="4"/>
      <c r="AC1211" s="4"/>
      <c r="AD1211" s="4"/>
    </row>
    <row r="1212" spans="1:30" ht="15.75" hidden="1" customHeight="1">
      <c r="A1212" s="98" t="s">
        <v>1437</v>
      </c>
      <c r="B1212" s="501">
        <v>29380</v>
      </c>
      <c r="C1212" s="501">
        <v>3689.8</v>
      </c>
      <c r="D1212" s="181">
        <f>-SUM(B1212:C1212)</f>
        <v>-33069.800000000003</v>
      </c>
      <c r="F1212" s="4"/>
      <c r="G1212" s="4"/>
      <c r="H1212" s="4"/>
      <c r="J1212" s="4"/>
      <c r="K1212" s="40"/>
      <c r="L1212" s="4"/>
      <c r="M1212" s="4"/>
      <c r="N1212" s="4"/>
      <c r="O1212" s="4"/>
      <c r="P1212" s="4"/>
      <c r="Q1212" s="4"/>
      <c r="R1212" s="4"/>
      <c r="S1212" s="4"/>
      <c r="T1212" s="4"/>
      <c r="U1212" s="4"/>
      <c r="V1212" s="4"/>
      <c r="W1212" s="4"/>
      <c r="X1212" s="4"/>
      <c r="Y1212" s="4"/>
      <c r="Z1212" s="4"/>
      <c r="AA1212" s="4"/>
      <c r="AB1212" s="4"/>
      <c r="AC1212" s="4"/>
      <c r="AD1212" s="4"/>
    </row>
  </sheetData>
  <dataValidations count="1">
    <dataValidation type="list" allowBlank="1" sqref="Q566">
      <formula1>"Satya,Sunita"</formula1>
    </dataValidation>
  </dataValidations>
  <pageMargins left="0.7" right="0.7" top="0.75" bottom="0.75" header="0" footer="0"/>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Enter a value from range, the value entered isn't from the range.">
          <x14:formula1>
            <xm:f>'Master Data'!$A$2:$A$300</xm:f>
          </x14:formula1>
          <xm:sqref>A573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outlinePr summaryBelow="0" summaryRight="0"/>
  </sheetPr>
  <dimension ref="A1:Z438"/>
  <sheetViews>
    <sheetView workbookViewId="0"/>
  </sheetViews>
  <sheetFormatPr baseColWidth="10" defaultColWidth="14.42578125" defaultRowHeight="15" customHeight="1"/>
  <cols>
    <col min="1" max="1" width="9.28515625" customWidth="1"/>
    <col min="2" max="2" width="4.7109375" customWidth="1"/>
    <col min="3" max="5" width="9.42578125" customWidth="1"/>
    <col min="6" max="10" width="4.42578125" customWidth="1"/>
    <col min="11" max="11" width="5.85546875" customWidth="1"/>
  </cols>
  <sheetData>
    <row r="1" spans="1:26" ht="21">
      <c r="A1" s="504" t="s">
        <v>0</v>
      </c>
      <c r="B1" s="505" t="s">
        <v>1438</v>
      </c>
      <c r="C1" s="504" t="s">
        <v>937</v>
      </c>
      <c r="D1" s="506" t="s">
        <v>1439</v>
      </c>
      <c r="E1" s="504" t="s">
        <v>18</v>
      </c>
      <c r="F1" s="98"/>
      <c r="G1" s="507"/>
      <c r="H1" s="507"/>
      <c r="I1" s="507"/>
      <c r="J1" s="507"/>
      <c r="K1" s="507"/>
      <c r="L1" s="98"/>
      <c r="M1" s="98"/>
      <c r="N1" s="98"/>
      <c r="O1" s="98"/>
      <c r="P1" s="98"/>
      <c r="Q1" s="98"/>
      <c r="R1" s="98"/>
      <c r="S1" s="98"/>
      <c r="T1" s="98"/>
      <c r="U1" s="98"/>
      <c r="V1" s="98"/>
      <c r="W1" s="98"/>
      <c r="X1" s="98"/>
      <c r="Y1" s="98"/>
      <c r="Z1" s="98"/>
    </row>
    <row r="2" spans="1:26">
      <c r="A2" s="317">
        <v>44473</v>
      </c>
      <c r="B2" s="508">
        <f t="shared" ref="B2:B264" si="0">A2</f>
        <v>44473</v>
      </c>
      <c r="C2" s="509">
        <v>4825.18</v>
      </c>
      <c r="D2" s="509">
        <v>0</v>
      </c>
      <c r="E2" s="509">
        <f t="shared" ref="E2:E242" si="1">SUM(C2:D2)</f>
        <v>4825.18</v>
      </c>
      <c r="F2" s="98"/>
      <c r="G2" s="507"/>
      <c r="H2" s="507"/>
      <c r="I2" s="507"/>
      <c r="J2" s="507"/>
      <c r="K2" s="507"/>
      <c r="L2" s="98"/>
      <c r="M2" s="98"/>
      <c r="N2" s="98"/>
      <c r="O2" s="98"/>
      <c r="P2" s="98"/>
      <c r="Q2" s="98"/>
      <c r="R2" s="98"/>
      <c r="S2" s="98"/>
      <c r="T2" s="98"/>
      <c r="U2" s="98"/>
      <c r="V2" s="98"/>
      <c r="W2" s="98"/>
      <c r="X2" s="98"/>
      <c r="Y2" s="98"/>
      <c r="Z2" s="98"/>
    </row>
    <row r="3" spans="1:26">
      <c r="A3" s="317">
        <v>44474</v>
      </c>
      <c r="B3" s="510">
        <f t="shared" si="0"/>
        <v>44474</v>
      </c>
      <c r="C3" s="509">
        <v>-92.8</v>
      </c>
      <c r="D3" s="509">
        <v>0</v>
      </c>
      <c r="E3" s="509">
        <f t="shared" si="1"/>
        <v>-92.8</v>
      </c>
      <c r="F3" s="98"/>
      <c r="G3" s="507"/>
      <c r="H3" s="507"/>
      <c r="I3" s="507"/>
      <c r="J3" s="507"/>
      <c r="K3" s="507"/>
      <c r="L3" s="98"/>
      <c r="M3" s="98"/>
      <c r="N3" s="98"/>
      <c r="O3" s="98"/>
      <c r="P3" s="98"/>
      <c r="Q3" s="98"/>
      <c r="R3" s="98"/>
      <c r="S3" s="98"/>
      <c r="T3" s="98"/>
      <c r="U3" s="98"/>
      <c r="V3" s="98"/>
      <c r="W3" s="98"/>
      <c r="X3" s="98"/>
      <c r="Y3" s="98"/>
      <c r="Z3" s="98"/>
    </row>
    <row r="4" spans="1:26">
      <c r="A4" s="317">
        <v>44475</v>
      </c>
      <c r="B4" s="510">
        <f t="shared" si="0"/>
        <v>44475</v>
      </c>
      <c r="C4" s="509">
        <v>3310.65</v>
      </c>
      <c r="D4" s="509">
        <v>0</v>
      </c>
      <c r="E4" s="509">
        <f t="shared" si="1"/>
        <v>3310.65</v>
      </c>
      <c r="F4" s="98"/>
      <c r="G4" s="507"/>
      <c r="H4" s="507"/>
      <c r="I4" s="507"/>
      <c r="J4" s="507"/>
      <c r="K4" s="507"/>
      <c r="L4" s="98"/>
      <c r="M4" s="98"/>
      <c r="N4" s="98"/>
      <c r="O4" s="98"/>
      <c r="P4" s="98"/>
      <c r="Q4" s="98"/>
      <c r="R4" s="98"/>
      <c r="S4" s="98"/>
      <c r="T4" s="98"/>
      <c r="U4" s="98"/>
      <c r="V4" s="98"/>
      <c r="W4" s="98"/>
      <c r="X4" s="98"/>
      <c r="Y4" s="98"/>
      <c r="Z4" s="98"/>
    </row>
    <row r="5" spans="1:26">
      <c r="A5" s="317">
        <v>44480</v>
      </c>
      <c r="B5" s="510">
        <f t="shared" si="0"/>
        <v>44480</v>
      </c>
      <c r="C5" s="509">
        <v>1407.56</v>
      </c>
      <c r="D5" s="509">
        <v>0</v>
      </c>
      <c r="E5" s="509">
        <f t="shared" si="1"/>
        <v>1407.56</v>
      </c>
      <c r="F5" s="98"/>
      <c r="G5" s="507"/>
      <c r="H5" s="507"/>
      <c r="I5" s="507"/>
      <c r="J5" s="507"/>
      <c r="K5" s="507"/>
      <c r="L5" s="98"/>
      <c r="M5" s="98"/>
      <c r="N5" s="98"/>
      <c r="O5" s="98"/>
      <c r="P5" s="98"/>
      <c r="Q5" s="98"/>
      <c r="R5" s="98"/>
      <c r="S5" s="98"/>
      <c r="T5" s="98"/>
      <c r="U5" s="98"/>
      <c r="V5" s="98"/>
      <c r="W5" s="98"/>
      <c r="X5" s="98"/>
      <c r="Y5" s="98"/>
      <c r="Z5" s="98"/>
    </row>
    <row r="6" spans="1:26">
      <c r="A6" s="317">
        <v>44481</v>
      </c>
      <c r="B6" s="510">
        <f t="shared" si="0"/>
        <v>44481</v>
      </c>
      <c r="C6" s="509">
        <v>1109.6000000000001</v>
      </c>
      <c r="D6" s="509">
        <v>0</v>
      </c>
      <c r="E6" s="509">
        <f t="shared" si="1"/>
        <v>1109.6000000000001</v>
      </c>
      <c r="F6" s="98"/>
      <c r="G6" s="507"/>
      <c r="H6" s="507"/>
      <c r="I6" s="507"/>
      <c r="J6" s="507"/>
      <c r="K6" s="507"/>
      <c r="L6" s="98"/>
      <c r="M6" s="98"/>
      <c r="N6" s="98"/>
      <c r="O6" s="98"/>
      <c r="P6" s="98"/>
      <c r="Q6" s="98"/>
      <c r="R6" s="98"/>
      <c r="S6" s="98"/>
      <c r="T6" s="98"/>
      <c r="U6" s="98"/>
      <c r="V6" s="98"/>
      <c r="W6" s="98"/>
      <c r="X6" s="98"/>
      <c r="Y6" s="98"/>
      <c r="Z6" s="98"/>
    </row>
    <row r="7" spans="1:26">
      <c r="A7" s="317">
        <v>44482</v>
      </c>
      <c r="B7" s="510">
        <f t="shared" si="0"/>
        <v>44482</v>
      </c>
      <c r="C7" s="509">
        <v>1409.58</v>
      </c>
      <c r="D7" s="509">
        <v>0</v>
      </c>
      <c r="E7" s="509">
        <f t="shared" si="1"/>
        <v>1409.58</v>
      </c>
      <c r="F7" s="98"/>
      <c r="G7" s="507"/>
      <c r="H7" s="507"/>
      <c r="I7" s="507"/>
      <c r="J7" s="507"/>
      <c r="K7" s="507"/>
      <c r="L7" s="98"/>
      <c r="M7" s="98"/>
      <c r="N7" s="98"/>
      <c r="O7" s="98"/>
      <c r="P7" s="98"/>
      <c r="Q7" s="98"/>
      <c r="R7" s="98"/>
      <c r="S7" s="98"/>
      <c r="T7" s="98"/>
      <c r="U7" s="98"/>
      <c r="V7" s="98"/>
      <c r="W7" s="98"/>
      <c r="X7" s="98"/>
      <c r="Y7" s="98"/>
      <c r="Z7" s="98"/>
    </row>
    <row r="8" spans="1:26">
      <c r="A8" s="317">
        <v>44483</v>
      </c>
      <c r="B8" s="510">
        <f t="shared" si="0"/>
        <v>44483</v>
      </c>
      <c r="C8" s="509">
        <v>1797.34</v>
      </c>
      <c r="D8" s="509">
        <v>0</v>
      </c>
      <c r="E8" s="509">
        <f t="shared" si="1"/>
        <v>1797.34</v>
      </c>
      <c r="F8" s="98"/>
      <c r="G8" s="507"/>
      <c r="H8" s="507"/>
      <c r="I8" s="507"/>
      <c r="J8" s="507"/>
      <c r="K8" s="507"/>
      <c r="L8" s="98"/>
      <c r="M8" s="98"/>
      <c r="N8" s="98"/>
      <c r="O8" s="98"/>
      <c r="P8" s="98"/>
      <c r="Q8" s="98"/>
      <c r="R8" s="98"/>
      <c r="S8" s="98"/>
      <c r="T8" s="98"/>
      <c r="U8" s="98"/>
      <c r="V8" s="98"/>
      <c r="W8" s="98"/>
      <c r="X8" s="98"/>
      <c r="Y8" s="98"/>
      <c r="Z8" s="98"/>
    </row>
    <row r="9" spans="1:26">
      <c r="A9" s="317">
        <v>44487</v>
      </c>
      <c r="B9" s="510">
        <f t="shared" si="0"/>
        <v>44487</v>
      </c>
      <c r="C9" s="509">
        <v>410.82</v>
      </c>
      <c r="D9" s="509">
        <v>16.420000000000002</v>
      </c>
      <c r="E9" s="509">
        <f t="shared" si="1"/>
        <v>427.24</v>
      </c>
      <c r="F9" s="98"/>
      <c r="G9" s="507"/>
      <c r="H9" s="507"/>
      <c r="I9" s="507"/>
      <c r="J9" s="507"/>
      <c r="K9" s="507"/>
      <c r="L9" s="98"/>
      <c r="M9" s="98"/>
      <c r="N9" s="98"/>
      <c r="O9" s="98"/>
      <c r="P9" s="98"/>
      <c r="Q9" s="98"/>
      <c r="R9" s="98"/>
      <c r="S9" s="98"/>
      <c r="T9" s="98"/>
      <c r="U9" s="98"/>
      <c r="V9" s="98"/>
      <c r="W9" s="98"/>
      <c r="X9" s="98"/>
      <c r="Y9" s="98"/>
      <c r="Z9" s="98"/>
    </row>
    <row r="10" spans="1:26">
      <c r="A10" s="317">
        <v>44488</v>
      </c>
      <c r="B10" s="510">
        <f t="shared" si="0"/>
        <v>44488</v>
      </c>
      <c r="C10" s="509">
        <v>1522.62</v>
      </c>
      <c r="D10" s="509">
        <v>0</v>
      </c>
      <c r="E10" s="509">
        <f t="shared" si="1"/>
        <v>1522.62</v>
      </c>
      <c r="F10" s="98"/>
      <c r="G10" s="507"/>
      <c r="H10" s="507"/>
      <c r="I10" s="507"/>
      <c r="J10" s="507"/>
      <c r="K10" s="507"/>
      <c r="L10" s="98"/>
      <c r="M10" s="98"/>
      <c r="N10" s="98"/>
      <c r="O10" s="98"/>
      <c r="P10" s="98"/>
      <c r="Q10" s="98"/>
      <c r="R10" s="98"/>
      <c r="S10" s="98"/>
      <c r="T10" s="98"/>
      <c r="U10" s="98"/>
      <c r="V10" s="98"/>
      <c r="W10" s="98"/>
      <c r="X10" s="98"/>
      <c r="Y10" s="98"/>
      <c r="Z10" s="98"/>
    </row>
    <row r="11" spans="1:26">
      <c r="A11" s="317">
        <v>44494</v>
      </c>
      <c r="B11" s="510">
        <f t="shared" si="0"/>
        <v>44494</v>
      </c>
      <c r="C11" s="509">
        <v>523.52</v>
      </c>
      <c r="D11" s="509">
        <v>0</v>
      </c>
      <c r="E11" s="509">
        <f t="shared" si="1"/>
        <v>523.52</v>
      </c>
      <c r="F11" s="98"/>
      <c r="G11" s="507"/>
      <c r="H11" s="507"/>
      <c r="I11" s="507"/>
      <c r="J11" s="507"/>
      <c r="K11" s="507"/>
      <c r="L11" s="98"/>
      <c r="M11" s="98"/>
      <c r="N11" s="98"/>
      <c r="O11" s="98"/>
      <c r="P11" s="98"/>
      <c r="Q11" s="98"/>
      <c r="R11" s="98"/>
      <c r="S11" s="98"/>
      <c r="T11" s="98"/>
      <c r="U11" s="98"/>
      <c r="V11" s="98"/>
      <c r="W11" s="98"/>
      <c r="X11" s="98"/>
      <c r="Y11" s="98"/>
      <c r="Z11" s="98"/>
    </row>
    <row r="12" spans="1:26">
      <c r="A12" s="317">
        <v>44495</v>
      </c>
      <c r="B12" s="510">
        <f t="shared" si="0"/>
        <v>44495</v>
      </c>
      <c r="C12" s="509">
        <v>416.49</v>
      </c>
      <c r="D12" s="509">
        <v>0</v>
      </c>
      <c r="E12" s="509">
        <f t="shared" si="1"/>
        <v>416.49</v>
      </c>
      <c r="F12" s="98"/>
      <c r="G12" s="507"/>
      <c r="H12" s="507"/>
      <c r="I12" s="507"/>
      <c r="J12" s="507"/>
      <c r="K12" s="507"/>
      <c r="L12" s="98"/>
      <c r="M12" s="98"/>
      <c r="N12" s="98"/>
      <c r="O12" s="98"/>
      <c r="P12" s="98"/>
      <c r="Q12" s="98"/>
      <c r="R12" s="98"/>
      <c r="S12" s="98"/>
      <c r="T12" s="98"/>
      <c r="U12" s="98"/>
      <c r="V12" s="98"/>
      <c r="W12" s="98"/>
      <c r="X12" s="98"/>
      <c r="Y12" s="98"/>
      <c r="Z12" s="98"/>
    </row>
    <row r="13" spans="1:26">
      <c r="A13" s="317">
        <v>44496</v>
      </c>
      <c r="B13" s="510">
        <f t="shared" si="0"/>
        <v>44496</v>
      </c>
      <c r="C13" s="509">
        <v>0</v>
      </c>
      <c r="D13" s="509">
        <v>-833.93</v>
      </c>
      <c r="E13" s="509">
        <f t="shared" si="1"/>
        <v>-833.93</v>
      </c>
      <c r="F13" s="98"/>
      <c r="G13" s="507"/>
      <c r="H13" s="507"/>
      <c r="I13" s="507"/>
      <c r="J13" s="507"/>
      <c r="K13" s="507"/>
      <c r="L13" s="98"/>
      <c r="M13" s="98"/>
      <c r="N13" s="98"/>
      <c r="O13" s="98"/>
      <c r="P13" s="98"/>
      <c r="Q13" s="98"/>
      <c r="R13" s="98"/>
      <c r="S13" s="98"/>
      <c r="T13" s="98"/>
      <c r="U13" s="98"/>
      <c r="V13" s="98"/>
      <c r="W13" s="98"/>
      <c r="X13" s="98"/>
      <c r="Y13" s="98"/>
      <c r="Z13" s="98"/>
    </row>
    <row r="14" spans="1:26">
      <c r="A14" s="317">
        <v>44502</v>
      </c>
      <c r="B14" s="510">
        <f t="shared" si="0"/>
        <v>44502</v>
      </c>
      <c r="C14" s="509">
        <v>918.13</v>
      </c>
      <c r="D14" s="509">
        <v>0</v>
      </c>
      <c r="E14" s="509">
        <f t="shared" si="1"/>
        <v>918.13</v>
      </c>
      <c r="F14" s="98"/>
      <c r="G14" s="507"/>
      <c r="H14" s="507"/>
      <c r="I14" s="507"/>
      <c r="J14" s="507"/>
      <c r="K14" s="507"/>
      <c r="L14" s="98"/>
      <c r="M14" s="98"/>
      <c r="N14" s="98"/>
      <c r="O14" s="98"/>
      <c r="P14" s="98"/>
      <c r="Q14" s="98"/>
      <c r="R14" s="98"/>
      <c r="S14" s="98"/>
      <c r="T14" s="98"/>
      <c r="U14" s="98"/>
      <c r="V14" s="98"/>
      <c r="W14" s="98"/>
      <c r="X14" s="98"/>
      <c r="Y14" s="98"/>
      <c r="Z14" s="98"/>
    </row>
    <row r="15" spans="1:26">
      <c r="A15" s="317">
        <v>44510</v>
      </c>
      <c r="B15" s="510">
        <f t="shared" si="0"/>
        <v>44510</v>
      </c>
      <c r="C15" s="509">
        <v>0</v>
      </c>
      <c r="D15" s="509">
        <v>-306</v>
      </c>
      <c r="E15" s="509">
        <f t="shared" si="1"/>
        <v>-306</v>
      </c>
      <c r="F15" s="98"/>
      <c r="G15" s="507"/>
      <c r="H15" s="507"/>
      <c r="I15" s="507"/>
      <c r="J15" s="507"/>
      <c r="K15" s="507"/>
      <c r="L15" s="98"/>
      <c r="M15" s="98"/>
      <c r="N15" s="98"/>
      <c r="O15" s="98"/>
      <c r="P15" s="98"/>
      <c r="Q15" s="98"/>
      <c r="R15" s="98"/>
      <c r="S15" s="98"/>
      <c r="T15" s="98"/>
      <c r="U15" s="98"/>
      <c r="V15" s="98"/>
      <c r="W15" s="98"/>
      <c r="X15" s="98"/>
      <c r="Y15" s="98"/>
      <c r="Z15" s="98"/>
    </row>
    <row r="16" spans="1:26">
      <c r="A16" s="317">
        <v>44512</v>
      </c>
      <c r="B16" s="510">
        <f t="shared" si="0"/>
        <v>44512</v>
      </c>
      <c r="C16" s="509">
        <v>273.36</v>
      </c>
      <c r="D16" s="509">
        <v>547</v>
      </c>
      <c r="E16" s="509">
        <f t="shared" si="1"/>
        <v>820.36</v>
      </c>
      <c r="F16" s="98"/>
      <c r="G16" s="507"/>
      <c r="H16" s="507"/>
      <c r="I16" s="507"/>
      <c r="J16" s="507"/>
      <c r="K16" s="507"/>
      <c r="L16" s="98"/>
      <c r="M16" s="98"/>
      <c r="N16" s="98"/>
      <c r="O16" s="98"/>
      <c r="P16" s="98"/>
      <c r="Q16" s="98"/>
      <c r="R16" s="98"/>
      <c r="S16" s="98"/>
      <c r="T16" s="98"/>
      <c r="U16" s="98"/>
      <c r="V16" s="98"/>
      <c r="W16" s="98"/>
      <c r="X16" s="98"/>
      <c r="Y16" s="98"/>
      <c r="Z16" s="98"/>
    </row>
    <row r="17" spans="1:26">
      <c r="A17" s="317">
        <v>44515</v>
      </c>
      <c r="B17" s="510">
        <f t="shared" si="0"/>
        <v>44515</v>
      </c>
      <c r="C17" s="509">
        <v>502.83</v>
      </c>
      <c r="D17" s="509">
        <v>1593.07</v>
      </c>
      <c r="E17" s="509">
        <f t="shared" si="1"/>
        <v>2095.9</v>
      </c>
      <c r="F17" s="98"/>
      <c r="G17" s="507"/>
      <c r="H17" s="507"/>
      <c r="I17" s="507"/>
      <c r="J17" s="507"/>
      <c r="K17" s="507"/>
      <c r="L17" s="98"/>
      <c r="M17" s="98"/>
      <c r="N17" s="98"/>
      <c r="O17" s="98"/>
      <c r="P17" s="98"/>
      <c r="Q17" s="98"/>
      <c r="R17" s="98"/>
      <c r="S17" s="98"/>
      <c r="T17" s="98"/>
      <c r="U17" s="98"/>
      <c r="V17" s="98"/>
      <c r="W17" s="98"/>
      <c r="X17" s="98"/>
      <c r="Y17" s="98"/>
      <c r="Z17" s="98"/>
    </row>
    <row r="18" spans="1:26">
      <c r="A18" s="317">
        <v>44525</v>
      </c>
      <c r="B18" s="510">
        <f t="shared" si="0"/>
        <v>44525</v>
      </c>
      <c r="C18" s="509">
        <v>769.26</v>
      </c>
      <c r="D18" s="509">
        <v>0</v>
      </c>
      <c r="E18" s="509">
        <f t="shared" si="1"/>
        <v>769.26</v>
      </c>
      <c r="F18" s="98"/>
      <c r="G18" s="507"/>
      <c r="H18" s="507"/>
      <c r="I18" s="507"/>
      <c r="J18" s="507"/>
      <c r="K18" s="507"/>
      <c r="L18" s="98"/>
      <c r="M18" s="98"/>
      <c r="N18" s="98"/>
      <c r="O18" s="98"/>
      <c r="P18" s="98"/>
      <c r="Q18" s="98"/>
      <c r="R18" s="98"/>
      <c r="S18" s="98"/>
      <c r="T18" s="98"/>
      <c r="U18" s="98"/>
      <c r="V18" s="98"/>
      <c r="W18" s="98"/>
      <c r="X18" s="98"/>
      <c r="Y18" s="98"/>
      <c r="Z18" s="98"/>
    </row>
    <row r="19" spans="1:26">
      <c r="A19" s="317">
        <v>44526</v>
      </c>
      <c r="B19" s="510">
        <f t="shared" si="0"/>
        <v>44526</v>
      </c>
      <c r="C19" s="509">
        <v>439.59</v>
      </c>
      <c r="D19" s="509">
        <v>0</v>
      </c>
      <c r="E19" s="509">
        <f t="shared" si="1"/>
        <v>439.59</v>
      </c>
      <c r="F19" s="98"/>
      <c r="G19" s="507"/>
      <c r="H19" s="507"/>
      <c r="I19" s="507"/>
      <c r="J19" s="507"/>
      <c r="K19" s="507"/>
      <c r="L19" s="98"/>
      <c r="M19" s="98"/>
      <c r="N19" s="98"/>
      <c r="O19" s="98"/>
      <c r="P19" s="98"/>
      <c r="Q19" s="98"/>
      <c r="R19" s="98"/>
      <c r="S19" s="98"/>
      <c r="T19" s="98"/>
      <c r="U19" s="98"/>
      <c r="V19" s="98"/>
      <c r="W19" s="98"/>
      <c r="X19" s="98"/>
      <c r="Y19" s="98"/>
      <c r="Z19" s="98"/>
    </row>
    <row r="20" spans="1:26" ht="15.75" customHeight="1">
      <c r="A20" s="317">
        <v>44530</v>
      </c>
      <c r="B20" s="510">
        <f t="shared" si="0"/>
        <v>44530</v>
      </c>
      <c r="C20" s="509">
        <v>1638.71</v>
      </c>
      <c r="D20" s="509">
        <v>0</v>
      </c>
      <c r="E20" s="509">
        <f t="shared" si="1"/>
        <v>1638.71</v>
      </c>
      <c r="F20" s="98"/>
      <c r="G20" s="507"/>
      <c r="H20" s="507"/>
      <c r="I20" s="507"/>
      <c r="J20" s="507"/>
      <c r="K20" s="507"/>
      <c r="L20" s="98"/>
      <c r="M20" s="98"/>
      <c r="N20" s="98"/>
      <c r="O20" s="98"/>
      <c r="P20" s="98"/>
      <c r="Q20" s="98"/>
      <c r="R20" s="98"/>
      <c r="S20" s="98"/>
      <c r="T20" s="98"/>
      <c r="U20" s="98"/>
      <c r="V20" s="98"/>
      <c r="W20" s="98"/>
      <c r="X20" s="98"/>
      <c r="Y20" s="98"/>
      <c r="Z20" s="98"/>
    </row>
    <row r="21" spans="1:26" ht="15.75" customHeight="1">
      <c r="A21" s="317">
        <v>44531</v>
      </c>
      <c r="B21" s="510">
        <f t="shared" si="0"/>
        <v>44531</v>
      </c>
      <c r="C21" s="509">
        <v>1724.31</v>
      </c>
      <c r="D21" s="509">
        <v>0</v>
      </c>
      <c r="E21" s="509">
        <f t="shared" si="1"/>
        <v>1724.31</v>
      </c>
      <c r="F21" s="98"/>
      <c r="G21" s="507"/>
      <c r="H21" s="507"/>
      <c r="I21" s="507"/>
      <c r="J21" s="507"/>
      <c r="K21" s="507"/>
      <c r="L21" s="98"/>
      <c r="M21" s="98"/>
      <c r="N21" s="98"/>
      <c r="O21" s="98"/>
      <c r="P21" s="98"/>
      <c r="Q21" s="98"/>
      <c r="R21" s="98"/>
      <c r="S21" s="98"/>
      <c r="T21" s="98"/>
      <c r="U21" s="98"/>
      <c r="V21" s="98"/>
      <c r="W21" s="98"/>
      <c r="X21" s="98"/>
      <c r="Y21" s="98"/>
      <c r="Z21" s="98"/>
    </row>
    <row r="22" spans="1:26" ht="15.75" customHeight="1">
      <c r="A22" s="317">
        <v>44532</v>
      </c>
      <c r="B22" s="510">
        <f t="shared" si="0"/>
        <v>44532</v>
      </c>
      <c r="C22" s="509">
        <v>566.97</v>
      </c>
      <c r="D22" s="509">
        <v>0</v>
      </c>
      <c r="E22" s="509">
        <f t="shared" si="1"/>
        <v>566.97</v>
      </c>
      <c r="F22" s="98"/>
      <c r="G22" s="507"/>
      <c r="H22" s="507"/>
      <c r="I22" s="507"/>
      <c r="J22" s="507"/>
      <c r="K22" s="507"/>
      <c r="L22" s="98"/>
      <c r="M22" s="98"/>
      <c r="N22" s="98"/>
      <c r="O22" s="98"/>
      <c r="P22" s="98"/>
      <c r="Q22" s="98"/>
      <c r="R22" s="98"/>
      <c r="S22" s="98"/>
      <c r="T22" s="98"/>
      <c r="U22" s="98"/>
      <c r="V22" s="98"/>
      <c r="W22" s="98"/>
      <c r="X22" s="98"/>
      <c r="Y22" s="98"/>
      <c r="Z22" s="98"/>
    </row>
    <row r="23" spans="1:26" ht="15.75" customHeight="1">
      <c r="A23" s="317">
        <v>44533</v>
      </c>
      <c r="B23" s="510">
        <f t="shared" si="0"/>
        <v>44533</v>
      </c>
      <c r="C23" s="509">
        <v>879.18</v>
      </c>
      <c r="D23" s="509">
        <v>0</v>
      </c>
      <c r="E23" s="509">
        <f t="shared" si="1"/>
        <v>879.18</v>
      </c>
      <c r="F23" s="98"/>
      <c r="G23" s="507"/>
      <c r="H23" s="507"/>
      <c r="I23" s="507"/>
      <c r="J23" s="507"/>
      <c r="K23" s="507"/>
      <c r="L23" s="98"/>
      <c r="M23" s="98"/>
      <c r="N23" s="98"/>
      <c r="O23" s="98"/>
      <c r="P23" s="98"/>
      <c r="Q23" s="98"/>
      <c r="R23" s="98"/>
      <c r="S23" s="98"/>
      <c r="T23" s="98"/>
      <c r="U23" s="98"/>
      <c r="V23" s="98"/>
      <c r="W23" s="98"/>
      <c r="X23" s="98"/>
      <c r="Y23" s="98"/>
      <c r="Z23" s="98"/>
    </row>
    <row r="24" spans="1:26" ht="15.75" customHeight="1">
      <c r="A24" s="317">
        <v>44538</v>
      </c>
      <c r="B24" s="510">
        <f t="shared" si="0"/>
        <v>44538</v>
      </c>
      <c r="C24" s="509">
        <v>418</v>
      </c>
      <c r="D24" s="509">
        <v>0</v>
      </c>
      <c r="E24" s="509">
        <f t="shared" si="1"/>
        <v>418</v>
      </c>
      <c r="F24" s="98"/>
      <c r="G24" s="507"/>
      <c r="H24" s="507"/>
      <c r="I24" s="507"/>
      <c r="J24" s="507"/>
      <c r="K24" s="507"/>
      <c r="L24" s="98"/>
      <c r="M24" s="98"/>
      <c r="N24" s="98"/>
      <c r="O24" s="98"/>
      <c r="P24" s="98"/>
      <c r="Q24" s="98"/>
      <c r="R24" s="98"/>
      <c r="S24" s="98"/>
      <c r="T24" s="98"/>
      <c r="U24" s="98"/>
      <c r="V24" s="98"/>
      <c r="W24" s="98"/>
      <c r="X24" s="98"/>
      <c r="Y24" s="98"/>
      <c r="Z24" s="98"/>
    </row>
    <row r="25" spans="1:26" ht="15.75" customHeight="1">
      <c r="A25" s="317">
        <v>44543</v>
      </c>
      <c r="B25" s="510">
        <f t="shared" si="0"/>
        <v>44543</v>
      </c>
      <c r="C25" s="509">
        <v>0</v>
      </c>
      <c r="D25" s="509">
        <v>-228.93</v>
      </c>
      <c r="E25" s="509">
        <f t="shared" si="1"/>
        <v>-228.93</v>
      </c>
      <c r="F25" s="98"/>
      <c r="G25" s="507"/>
      <c r="H25" s="507"/>
      <c r="I25" s="507"/>
      <c r="J25" s="507"/>
      <c r="K25" s="507"/>
      <c r="L25" s="98"/>
      <c r="M25" s="98"/>
      <c r="N25" s="98"/>
      <c r="O25" s="98"/>
      <c r="P25" s="98"/>
      <c r="Q25" s="98"/>
      <c r="R25" s="98"/>
      <c r="S25" s="98"/>
      <c r="T25" s="98"/>
      <c r="U25" s="98"/>
      <c r="V25" s="98"/>
      <c r="W25" s="98"/>
      <c r="X25" s="98"/>
      <c r="Y25" s="98"/>
      <c r="Z25" s="98"/>
    </row>
    <row r="26" spans="1:26" ht="15.75" customHeight="1">
      <c r="A26" s="317">
        <v>44544</v>
      </c>
      <c r="B26" s="510">
        <f t="shared" si="0"/>
        <v>44544</v>
      </c>
      <c r="C26" s="509">
        <v>1571.02</v>
      </c>
      <c r="D26" s="509">
        <v>0</v>
      </c>
      <c r="E26" s="509">
        <f t="shared" si="1"/>
        <v>1571.02</v>
      </c>
      <c r="F26" s="98"/>
      <c r="G26" s="507"/>
      <c r="H26" s="507"/>
      <c r="I26" s="507"/>
      <c r="J26" s="507"/>
      <c r="K26" s="507"/>
      <c r="L26" s="98"/>
      <c r="M26" s="98"/>
      <c r="N26" s="98"/>
      <c r="O26" s="98"/>
      <c r="P26" s="98"/>
      <c r="Q26" s="98"/>
      <c r="R26" s="98"/>
      <c r="S26" s="98"/>
      <c r="T26" s="98"/>
      <c r="U26" s="98"/>
      <c r="V26" s="98"/>
      <c r="W26" s="98"/>
      <c r="X26" s="98"/>
      <c r="Y26" s="98"/>
      <c r="Z26" s="98"/>
    </row>
    <row r="27" spans="1:26" ht="15.75" customHeight="1">
      <c r="A27" s="317">
        <v>44545</v>
      </c>
      <c r="B27" s="510">
        <f t="shared" si="0"/>
        <v>44545</v>
      </c>
      <c r="C27" s="509">
        <v>0</v>
      </c>
      <c r="D27" s="509">
        <v>711.07</v>
      </c>
      <c r="E27" s="509">
        <f t="shared" si="1"/>
        <v>711.07</v>
      </c>
      <c r="F27" s="98"/>
      <c r="G27" s="507"/>
      <c r="H27" s="507"/>
      <c r="I27" s="507"/>
      <c r="J27" s="507"/>
      <c r="K27" s="507"/>
      <c r="L27" s="98"/>
      <c r="M27" s="98"/>
      <c r="N27" s="98"/>
      <c r="O27" s="98"/>
      <c r="P27" s="98"/>
      <c r="Q27" s="98"/>
      <c r="R27" s="98"/>
      <c r="S27" s="98"/>
      <c r="T27" s="98"/>
      <c r="U27" s="98"/>
      <c r="V27" s="98"/>
      <c r="W27" s="98"/>
      <c r="X27" s="98"/>
      <c r="Y27" s="98"/>
      <c r="Z27" s="98"/>
    </row>
    <row r="28" spans="1:26" ht="15.75" customHeight="1">
      <c r="A28" s="317">
        <v>44546</v>
      </c>
      <c r="B28" s="510">
        <f t="shared" si="0"/>
        <v>44546</v>
      </c>
      <c r="C28" s="509">
        <v>416.33</v>
      </c>
      <c r="D28" s="509">
        <v>0</v>
      </c>
      <c r="E28" s="509">
        <f t="shared" si="1"/>
        <v>416.33</v>
      </c>
      <c r="F28" s="98"/>
      <c r="G28" s="507"/>
      <c r="H28" s="507"/>
      <c r="I28" s="507"/>
      <c r="J28" s="507"/>
      <c r="K28" s="507"/>
      <c r="L28" s="98"/>
      <c r="M28" s="98"/>
      <c r="N28" s="98"/>
      <c r="O28" s="98"/>
      <c r="P28" s="98"/>
      <c r="Q28" s="98"/>
      <c r="R28" s="98"/>
      <c r="S28" s="98"/>
      <c r="T28" s="98"/>
      <c r="U28" s="98"/>
      <c r="V28" s="98"/>
      <c r="W28" s="98"/>
      <c r="X28" s="98"/>
      <c r="Y28" s="98"/>
      <c r="Z28" s="98"/>
    </row>
    <row r="29" spans="1:26" ht="15.75" customHeight="1">
      <c r="A29" s="317">
        <v>44547</v>
      </c>
      <c r="B29" s="510">
        <f t="shared" si="0"/>
        <v>44547</v>
      </c>
      <c r="C29" s="509">
        <v>730.1</v>
      </c>
      <c r="D29" s="509">
        <v>0</v>
      </c>
      <c r="E29" s="509">
        <f t="shared" si="1"/>
        <v>730.1</v>
      </c>
      <c r="F29" s="98"/>
      <c r="G29" s="507"/>
      <c r="H29" s="507"/>
      <c r="I29" s="507"/>
      <c r="J29" s="507"/>
      <c r="K29" s="507"/>
      <c r="L29" s="98"/>
      <c r="M29" s="98"/>
      <c r="N29" s="98"/>
      <c r="O29" s="98"/>
      <c r="P29" s="98"/>
      <c r="Q29" s="98"/>
      <c r="R29" s="98"/>
      <c r="S29" s="98"/>
      <c r="T29" s="98"/>
      <c r="U29" s="98"/>
      <c r="V29" s="98"/>
      <c r="W29" s="98"/>
      <c r="X29" s="98"/>
      <c r="Y29" s="98"/>
      <c r="Z29" s="98"/>
    </row>
    <row r="30" spans="1:26" ht="15.75" customHeight="1">
      <c r="A30" s="317">
        <v>44550</v>
      </c>
      <c r="B30" s="510">
        <f t="shared" si="0"/>
        <v>44550</v>
      </c>
      <c r="C30" s="509">
        <v>3773.22</v>
      </c>
      <c r="D30" s="509">
        <v>1564.07</v>
      </c>
      <c r="E30" s="509">
        <f t="shared" si="1"/>
        <v>5337.29</v>
      </c>
      <c r="F30" s="98"/>
      <c r="G30" s="507"/>
      <c r="H30" s="507"/>
      <c r="I30" s="507"/>
      <c r="J30" s="507"/>
      <c r="K30" s="507"/>
      <c r="L30" s="98"/>
      <c r="M30" s="98"/>
      <c r="N30" s="98"/>
      <c r="O30" s="98"/>
      <c r="P30" s="98"/>
      <c r="Q30" s="98"/>
      <c r="R30" s="98"/>
      <c r="S30" s="98"/>
      <c r="T30" s="98"/>
      <c r="U30" s="98"/>
      <c r="V30" s="98"/>
      <c r="W30" s="98"/>
      <c r="X30" s="98"/>
      <c r="Y30" s="98"/>
      <c r="Z30" s="98"/>
    </row>
    <row r="31" spans="1:26" ht="15.75" customHeight="1">
      <c r="A31" s="317">
        <v>44551</v>
      </c>
      <c r="B31" s="510">
        <f t="shared" si="0"/>
        <v>44551</v>
      </c>
      <c r="C31" s="509">
        <v>1570.47</v>
      </c>
      <c r="D31" s="509">
        <v>0</v>
      </c>
      <c r="E31" s="509">
        <f t="shared" si="1"/>
        <v>1570.47</v>
      </c>
      <c r="F31" s="98"/>
      <c r="G31" s="507"/>
      <c r="H31" s="507"/>
      <c r="I31" s="507"/>
      <c r="J31" s="507"/>
      <c r="K31" s="507"/>
      <c r="L31" s="98"/>
      <c r="M31" s="98"/>
      <c r="N31" s="98"/>
      <c r="O31" s="98"/>
      <c r="P31" s="98"/>
      <c r="Q31" s="98"/>
      <c r="R31" s="98"/>
      <c r="S31" s="98"/>
      <c r="T31" s="98"/>
      <c r="U31" s="98"/>
      <c r="V31" s="98"/>
      <c r="W31" s="98"/>
      <c r="X31" s="98"/>
      <c r="Y31" s="98"/>
      <c r="Z31" s="98"/>
    </row>
    <row r="32" spans="1:26" ht="15.75" customHeight="1">
      <c r="A32" s="317">
        <v>44552</v>
      </c>
      <c r="B32" s="510">
        <f t="shared" si="0"/>
        <v>44552</v>
      </c>
      <c r="C32" s="509">
        <v>374.82</v>
      </c>
      <c r="D32" s="509">
        <v>367.07</v>
      </c>
      <c r="E32" s="509">
        <f t="shared" si="1"/>
        <v>741.89</v>
      </c>
      <c r="F32" s="98"/>
      <c r="G32" s="507"/>
      <c r="H32" s="507"/>
      <c r="I32" s="507"/>
      <c r="J32" s="507"/>
      <c r="K32" s="507"/>
      <c r="L32" s="98"/>
      <c r="M32" s="98"/>
      <c r="N32" s="98"/>
      <c r="O32" s="98"/>
      <c r="P32" s="98"/>
      <c r="Q32" s="98"/>
      <c r="R32" s="98"/>
      <c r="S32" s="98"/>
      <c r="T32" s="98"/>
      <c r="U32" s="98"/>
      <c r="V32" s="98"/>
      <c r="W32" s="98"/>
      <c r="X32" s="98"/>
      <c r="Y32" s="98"/>
      <c r="Z32" s="98"/>
    </row>
    <row r="33" spans="1:26" ht="15.75" customHeight="1">
      <c r="A33" s="317">
        <v>44553</v>
      </c>
      <c r="B33" s="510">
        <f t="shared" si="0"/>
        <v>44553</v>
      </c>
      <c r="C33" s="509">
        <v>0</v>
      </c>
      <c r="D33" s="509">
        <v>361.07</v>
      </c>
      <c r="E33" s="509">
        <f t="shared" si="1"/>
        <v>361.07</v>
      </c>
      <c r="F33" s="98"/>
      <c r="G33" s="507"/>
      <c r="H33" s="507"/>
      <c r="I33" s="507"/>
      <c r="J33" s="507"/>
      <c r="K33" s="507"/>
      <c r="L33" s="98"/>
      <c r="M33" s="98"/>
      <c r="N33" s="98"/>
      <c r="O33" s="98"/>
      <c r="P33" s="98"/>
      <c r="Q33" s="98"/>
      <c r="R33" s="98"/>
      <c r="S33" s="98"/>
      <c r="T33" s="98"/>
      <c r="U33" s="98"/>
      <c r="V33" s="98"/>
      <c r="W33" s="98"/>
      <c r="X33" s="98"/>
      <c r="Y33" s="98"/>
      <c r="Z33" s="98"/>
    </row>
    <row r="34" spans="1:26" ht="15.75" customHeight="1">
      <c r="A34" s="317">
        <v>44559</v>
      </c>
      <c r="B34" s="510">
        <f t="shared" si="0"/>
        <v>44559</v>
      </c>
      <c r="C34" s="509">
        <v>601.42999999999995</v>
      </c>
      <c r="D34" s="509">
        <v>0</v>
      </c>
      <c r="E34" s="509">
        <f t="shared" si="1"/>
        <v>601.42999999999995</v>
      </c>
      <c r="F34" s="98"/>
      <c r="G34" s="507"/>
      <c r="H34" s="507"/>
      <c r="I34" s="507"/>
      <c r="J34" s="507"/>
      <c r="K34" s="507"/>
      <c r="L34" s="98"/>
      <c r="M34" s="98"/>
      <c r="N34" s="98"/>
      <c r="O34" s="98"/>
      <c r="P34" s="98"/>
      <c r="Q34" s="98"/>
      <c r="R34" s="98"/>
      <c r="S34" s="98"/>
      <c r="T34" s="98"/>
      <c r="U34" s="98"/>
      <c r="V34" s="98"/>
      <c r="W34" s="98"/>
      <c r="X34" s="98"/>
      <c r="Y34" s="98"/>
      <c r="Z34" s="98"/>
    </row>
    <row r="35" spans="1:26" ht="15.75" customHeight="1">
      <c r="A35" s="317">
        <v>44561</v>
      </c>
      <c r="B35" s="510">
        <f t="shared" si="0"/>
        <v>44561</v>
      </c>
      <c r="C35" s="509">
        <v>26.79</v>
      </c>
      <c r="D35" s="509">
        <v>0</v>
      </c>
      <c r="E35" s="509">
        <f t="shared" si="1"/>
        <v>26.79</v>
      </c>
      <c r="F35" s="98"/>
      <c r="G35" s="507"/>
      <c r="H35" s="507"/>
      <c r="I35" s="507"/>
      <c r="J35" s="507"/>
      <c r="K35" s="507"/>
      <c r="L35" s="98"/>
      <c r="M35" s="98"/>
      <c r="N35" s="98"/>
      <c r="O35" s="98"/>
      <c r="P35" s="98"/>
      <c r="Q35" s="98"/>
      <c r="R35" s="98"/>
      <c r="S35" s="98"/>
      <c r="T35" s="98"/>
      <c r="U35" s="98"/>
      <c r="V35" s="98"/>
      <c r="W35" s="98"/>
      <c r="X35" s="98"/>
      <c r="Y35" s="98"/>
      <c r="Z35" s="98"/>
    </row>
    <row r="36" spans="1:26" ht="15.75" customHeight="1">
      <c r="A36" s="317">
        <v>44564</v>
      </c>
      <c r="B36" s="510">
        <f t="shared" si="0"/>
        <v>44564</v>
      </c>
      <c r="C36" s="509">
        <v>0</v>
      </c>
      <c r="D36" s="509">
        <v>77.069999999999993</v>
      </c>
      <c r="E36" s="509">
        <f t="shared" si="1"/>
        <v>77.069999999999993</v>
      </c>
      <c r="F36" s="98"/>
      <c r="G36" s="507"/>
      <c r="H36" s="507"/>
      <c r="I36" s="507"/>
      <c r="J36" s="507"/>
      <c r="K36" s="507"/>
      <c r="L36" s="98"/>
      <c r="M36" s="98"/>
      <c r="N36" s="98"/>
      <c r="O36" s="98"/>
      <c r="P36" s="98"/>
      <c r="Q36" s="98"/>
      <c r="R36" s="98"/>
      <c r="S36" s="98"/>
      <c r="T36" s="98"/>
      <c r="U36" s="98"/>
      <c r="V36" s="98"/>
      <c r="W36" s="98"/>
      <c r="X36" s="98"/>
      <c r="Y36" s="98"/>
      <c r="Z36" s="98"/>
    </row>
    <row r="37" spans="1:26" ht="15.75" customHeight="1">
      <c r="A37" s="317">
        <v>44565</v>
      </c>
      <c r="B37" s="510">
        <f t="shared" si="0"/>
        <v>44565</v>
      </c>
      <c r="C37" s="509">
        <v>1519.71</v>
      </c>
      <c r="D37" s="509">
        <v>0</v>
      </c>
      <c r="E37" s="509">
        <f t="shared" si="1"/>
        <v>1519.71</v>
      </c>
      <c r="F37" s="98"/>
      <c r="G37" s="507"/>
      <c r="H37" s="507"/>
      <c r="I37" s="507"/>
      <c r="J37" s="507"/>
      <c r="K37" s="507"/>
      <c r="L37" s="98"/>
      <c r="M37" s="98"/>
      <c r="N37" s="98"/>
      <c r="O37" s="98"/>
      <c r="P37" s="98"/>
      <c r="Q37" s="98"/>
      <c r="R37" s="98"/>
      <c r="S37" s="98"/>
      <c r="T37" s="98"/>
      <c r="U37" s="98"/>
      <c r="V37" s="98"/>
      <c r="W37" s="98"/>
      <c r="X37" s="98"/>
      <c r="Y37" s="98"/>
      <c r="Z37" s="98"/>
    </row>
    <row r="38" spans="1:26" ht="15.75" customHeight="1">
      <c r="A38" s="317">
        <v>44566</v>
      </c>
      <c r="B38" s="510">
        <f t="shared" si="0"/>
        <v>44566</v>
      </c>
      <c r="C38" s="509">
        <v>0</v>
      </c>
      <c r="D38" s="509">
        <v>430.07</v>
      </c>
      <c r="E38" s="509">
        <f t="shared" si="1"/>
        <v>430.07</v>
      </c>
      <c r="F38" s="98"/>
      <c r="G38" s="507"/>
      <c r="H38" s="507"/>
      <c r="I38" s="507"/>
      <c r="J38" s="507"/>
      <c r="K38" s="507"/>
      <c r="L38" s="98"/>
      <c r="M38" s="98"/>
      <c r="N38" s="98"/>
      <c r="O38" s="98"/>
      <c r="P38" s="98"/>
      <c r="Q38" s="98"/>
      <c r="R38" s="98"/>
      <c r="S38" s="98"/>
      <c r="T38" s="98"/>
      <c r="U38" s="98"/>
      <c r="V38" s="98"/>
      <c r="W38" s="98"/>
      <c r="X38" s="98"/>
      <c r="Y38" s="98"/>
      <c r="Z38" s="98"/>
    </row>
    <row r="39" spans="1:26" ht="15.75" customHeight="1">
      <c r="A39" s="317">
        <v>44567</v>
      </c>
      <c r="B39" s="510">
        <f t="shared" si="0"/>
        <v>44567</v>
      </c>
      <c r="C39" s="509">
        <v>3017.38</v>
      </c>
      <c r="D39" s="509">
        <v>609</v>
      </c>
      <c r="E39" s="509">
        <f t="shared" si="1"/>
        <v>3626.38</v>
      </c>
      <c r="F39" s="98"/>
      <c r="G39" s="507"/>
      <c r="H39" s="507"/>
      <c r="I39" s="507"/>
      <c r="J39" s="507"/>
      <c r="K39" s="507"/>
      <c r="L39" s="98"/>
      <c r="M39" s="98"/>
      <c r="N39" s="98"/>
      <c r="O39" s="98"/>
      <c r="P39" s="98"/>
      <c r="Q39" s="98"/>
      <c r="R39" s="98"/>
      <c r="S39" s="98"/>
      <c r="T39" s="98"/>
      <c r="U39" s="98"/>
      <c r="V39" s="98"/>
      <c r="W39" s="98"/>
      <c r="X39" s="98"/>
      <c r="Y39" s="98"/>
      <c r="Z39" s="98"/>
    </row>
    <row r="40" spans="1:26" ht="15.75" customHeight="1">
      <c r="A40" s="317">
        <v>44568</v>
      </c>
      <c r="B40" s="510">
        <f t="shared" si="0"/>
        <v>44568</v>
      </c>
      <c r="C40" s="509">
        <v>566.16999999999996</v>
      </c>
      <c r="D40" s="509">
        <v>0</v>
      </c>
      <c r="E40" s="509">
        <f t="shared" si="1"/>
        <v>566.16999999999996</v>
      </c>
      <c r="F40" s="98"/>
      <c r="G40" s="507"/>
      <c r="H40" s="507"/>
      <c r="I40" s="507"/>
      <c r="J40" s="507"/>
      <c r="K40" s="507"/>
      <c r="L40" s="98"/>
      <c r="M40" s="98"/>
      <c r="N40" s="98"/>
      <c r="O40" s="98"/>
      <c r="P40" s="98"/>
      <c r="Q40" s="98"/>
      <c r="R40" s="98"/>
      <c r="S40" s="98"/>
      <c r="T40" s="98"/>
      <c r="U40" s="98"/>
      <c r="V40" s="98"/>
      <c r="W40" s="98"/>
      <c r="X40" s="98"/>
      <c r="Y40" s="98"/>
      <c r="Z40" s="98"/>
    </row>
    <row r="41" spans="1:26" ht="15.75" customHeight="1">
      <c r="A41" s="317">
        <v>44571</v>
      </c>
      <c r="B41" s="510">
        <f t="shared" si="0"/>
        <v>44571</v>
      </c>
      <c r="C41" s="509">
        <v>259.83</v>
      </c>
      <c r="D41" s="509">
        <v>173.07</v>
      </c>
      <c r="E41" s="509">
        <f t="shared" si="1"/>
        <v>432.9</v>
      </c>
      <c r="F41" s="98"/>
      <c r="G41" s="507"/>
      <c r="H41" s="507"/>
      <c r="I41" s="507"/>
      <c r="J41" s="507"/>
      <c r="K41" s="507"/>
      <c r="L41" s="98"/>
      <c r="M41" s="98"/>
      <c r="N41" s="98"/>
      <c r="O41" s="98"/>
      <c r="P41" s="98"/>
      <c r="Q41" s="98"/>
      <c r="R41" s="98"/>
      <c r="S41" s="98"/>
      <c r="T41" s="98"/>
      <c r="U41" s="98"/>
      <c r="V41" s="98"/>
      <c r="W41" s="98"/>
      <c r="X41" s="98"/>
      <c r="Y41" s="98"/>
      <c r="Z41" s="98"/>
    </row>
    <row r="42" spans="1:26" ht="15.75" customHeight="1">
      <c r="A42" s="317">
        <v>44572</v>
      </c>
      <c r="B42" s="510">
        <f t="shared" si="0"/>
        <v>44572</v>
      </c>
      <c r="C42" s="509">
        <v>86.12</v>
      </c>
      <c r="D42" s="509">
        <v>0</v>
      </c>
      <c r="E42" s="509">
        <f t="shared" si="1"/>
        <v>86.12</v>
      </c>
      <c r="F42" s="98"/>
      <c r="G42" s="507"/>
      <c r="H42" s="507"/>
      <c r="I42" s="507"/>
      <c r="J42" s="507"/>
      <c r="K42" s="507"/>
      <c r="L42" s="98"/>
      <c r="M42" s="98"/>
      <c r="N42" s="98"/>
      <c r="O42" s="98"/>
      <c r="P42" s="98"/>
      <c r="Q42" s="98"/>
      <c r="R42" s="98"/>
      <c r="S42" s="98"/>
      <c r="T42" s="98"/>
      <c r="U42" s="98"/>
      <c r="V42" s="98"/>
      <c r="W42" s="98"/>
      <c r="X42" s="98"/>
      <c r="Y42" s="98"/>
      <c r="Z42" s="98"/>
    </row>
    <row r="43" spans="1:26" ht="15.75" customHeight="1">
      <c r="A43" s="317">
        <v>44573</v>
      </c>
      <c r="B43" s="510">
        <f t="shared" si="0"/>
        <v>44573</v>
      </c>
      <c r="C43" s="509">
        <v>39.229999999999997</v>
      </c>
      <c r="D43" s="509">
        <v>0</v>
      </c>
      <c r="E43" s="509">
        <f t="shared" si="1"/>
        <v>39.229999999999997</v>
      </c>
      <c r="F43" s="98"/>
      <c r="G43" s="507"/>
      <c r="H43" s="507"/>
      <c r="I43" s="507"/>
      <c r="J43" s="507"/>
      <c r="K43" s="507"/>
      <c r="L43" s="98"/>
      <c r="M43" s="98"/>
      <c r="N43" s="98"/>
      <c r="O43" s="98"/>
      <c r="P43" s="98"/>
      <c r="Q43" s="98"/>
      <c r="R43" s="98"/>
      <c r="S43" s="98"/>
      <c r="T43" s="98"/>
      <c r="U43" s="98"/>
      <c r="V43" s="98"/>
      <c r="W43" s="98"/>
      <c r="X43" s="98"/>
      <c r="Y43" s="98"/>
      <c r="Z43" s="98"/>
    </row>
    <row r="44" spans="1:26" ht="15.75" customHeight="1">
      <c r="A44" s="317">
        <v>44574</v>
      </c>
      <c r="B44" s="510">
        <f t="shared" si="0"/>
        <v>44574</v>
      </c>
      <c r="C44" s="509">
        <v>82.92</v>
      </c>
      <c r="D44" s="509">
        <v>0</v>
      </c>
      <c r="E44" s="509">
        <f t="shared" si="1"/>
        <v>82.92</v>
      </c>
      <c r="F44" s="98"/>
      <c r="G44" s="507"/>
      <c r="H44" s="507"/>
      <c r="I44" s="507"/>
      <c r="J44" s="507"/>
      <c r="K44" s="507"/>
      <c r="L44" s="98"/>
      <c r="M44" s="98"/>
      <c r="N44" s="98"/>
      <c r="O44" s="98"/>
      <c r="P44" s="98"/>
      <c r="Q44" s="98"/>
      <c r="R44" s="98"/>
      <c r="S44" s="98"/>
      <c r="T44" s="98"/>
      <c r="U44" s="98"/>
      <c r="V44" s="98"/>
      <c r="W44" s="98"/>
      <c r="X44" s="98"/>
      <c r="Y44" s="98"/>
      <c r="Z44" s="98"/>
    </row>
    <row r="45" spans="1:26" ht="15.75" customHeight="1">
      <c r="A45" s="317">
        <v>44575</v>
      </c>
      <c r="B45" s="510">
        <f t="shared" si="0"/>
        <v>44575</v>
      </c>
      <c r="C45" s="509">
        <v>427.71</v>
      </c>
      <c r="D45" s="509">
        <v>761.06999999999971</v>
      </c>
      <c r="E45" s="509">
        <f t="shared" si="1"/>
        <v>1188.7799999999997</v>
      </c>
      <c r="F45" s="98"/>
      <c r="G45" s="507"/>
      <c r="H45" s="507"/>
      <c r="I45" s="507"/>
      <c r="J45" s="507"/>
      <c r="K45" s="507"/>
      <c r="L45" s="98"/>
      <c r="M45" s="98"/>
      <c r="N45" s="98"/>
      <c r="O45" s="98"/>
      <c r="P45" s="98"/>
      <c r="Q45" s="98"/>
      <c r="R45" s="98"/>
      <c r="S45" s="98"/>
      <c r="T45" s="98"/>
      <c r="U45" s="98"/>
      <c r="V45" s="98"/>
      <c r="W45" s="98"/>
      <c r="X45" s="98"/>
      <c r="Y45" s="98"/>
      <c r="Z45" s="98"/>
    </row>
    <row r="46" spans="1:26" ht="15.75" customHeight="1">
      <c r="A46" s="317">
        <v>44578</v>
      </c>
      <c r="B46" s="510">
        <f t="shared" si="0"/>
        <v>44578</v>
      </c>
      <c r="C46" s="509">
        <v>962.64</v>
      </c>
      <c r="D46" s="509">
        <v>0</v>
      </c>
      <c r="E46" s="509">
        <f t="shared" si="1"/>
        <v>962.64</v>
      </c>
      <c r="F46" s="98"/>
      <c r="G46" s="507"/>
      <c r="H46" s="507"/>
      <c r="I46" s="507"/>
      <c r="J46" s="507"/>
      <c r="K46" s="507"/>
      <c r="L46" s="98"/>
      <c r="M46" s="98"/>
      <c r="N46" s="98"/>
      <c r="O46" s="98"/>
      <c r="P46" s="98"/>
      <c r="Q46" s="98"/>
      <c r="R46" s="98"/>
      <c r="S46" s="98"/>
      <c r="T46" s="98"/>
      <c r="U46" s="98"/>
      <c r="V46" s="98"/>
      <c r="W46" s="98"/>
      <c r="X46" s="98"/>
      <c r="Y46" s="98"/>
      <c r="Z46" s="98"/>
    </row>
    <row r="47" spans="1:26" ht="15.75" customHeight="1">
      <c r="A47" s="317">
        <v>44579</v>
      </c>
      <c r="B47" s="510">
        <f t="shared" si="0"/>
        <v>44579</v>
      </c>
      <c r="C47" s="509">
        <v>139.18000000000029</v>
      </c>
      <c r="D47" s="509">
        <v>703.14</v>
      </c>
      <c r="E47" s="509">
        <f t="shared" si="1"/>
        <v>842.32000000000028</v>
      </c>
      <c r="F47" s="98"/>
      <c r="G47" s="507"/>
      <c r="H47" s="507"/>
      <c r="I47" s="507"/>
      <c r="J47" s="507"/>
      <c r="K47" s="507"/>
      <c r="L47" s="98"/>
      <c r="M47" s="98"/>
      <c r="N47" s="98"/>
      <c r="O47" s="98"/>
      <c r="P47" s="98"/>
      <c r="Q47" s="98"/>
      <c r="R47" s="98"/>
      <c r="S47" s="98"/>
      <c r="T47" s="98"/>
      <c r="U47" s="98"/>
      <c r="V47" s="98"/>
      <c r="W47" s="98"/>
      <c r="X47" s="98"/>
      <c r="Y47" s="98"/>
      <c r="Z47" s="98"/>
    </row>
    <row r="48" spans="1:26" ht="15.75" customHeight="1">
      <c r="A48" s="317">
        <v>44580</v>
      </c>
      <c r="B48" s="510">
        <f t="shared" si="0"/>
        <v>44580</v>
      </c>
      <c r="C48" s="509">
        <v>3699.2299999999959</v>
      </c>
      <c r="D48" s="509">
        <v>3211.0699999999997</v>
      </c>
      <c r="E48" s="509">
        <f t="shared" si="1"/>
        <v>6910.2999999999956</v>
      </c>
      <c r="F48" s="98"/>
      <c r="G48" s="507"/>
      <c r="H48" s="507"/>
      <c r="I48" s="507"/>
      <c r="J48" s="507"/>
      <c r="K48" s="507"/>
      <c r="L48" s="98"/>
      <c r="M48" s="98"/>
      <c r="N48" s="98"/>
      <c r="O48" s="98"/>
      <c r="P48" s="98"/>
      <c r="Q48" s="98"/>
      <c r="R48" s="98"/>
      <c r="S48" s="98"/>
      <c r="T48" s="98"/>
      <c r="U48" s="98"/>
      <c r="V48" s="98"/>
      <c r="W48" s="98"/>
      <c r="X48" s="98"/>
      <c r="Y48" s="98"/>
      <c r="Z48" s="98"/>
    </row>
    <row r="49" spans="1:26" ht="15.75" customHeight="1">
      <c r="A49" s="317">
        <v>44581</v>
      </c>
      <c r="B49" s="510">
        <f t="shared" si="0"/>
        <v>44581</v>
      </c>
      <c r="C49" s="509">
        <v>2508.85</v>
      </c>
      <c r="D49" s="509">
        <v>0</v>
      </c>
      <c r="E49" s="509">
        <f t="shared" si="1"/>
        <v>2508.85</v>
      </c>
      <c r="F49" s="98"/>
      <c r="G49" s="507"/>
      <c r="H49" s="507"/>
      <c r="I49" s="507"/>
      <c r="J49" s="507"/>
      <c r="K49" s="507"/>
      <c r="L49" s="98"/>
      <c r="M49" s="98"/>
      <c r="N49" s="98"/>
      <c r="O49" s="98"/>
      <c r="P49" s="98"/>
      <c r="Q49" s="98"/>
      <c r="R49" s="98"/>
      <c r="S49" s="98"/>
      <c r="T49" s="98"/>
      <c r="U49" s="98"/>
      <c r="V49" s="98"/>
      <c r="W49" s="98"/>
      <c r="X49" s="98"/>
      <c r="Y49" s="98"/>
      <c r="Z49" s="98"/>
    </row>
    <row r="50" spans="1:26" ht="15.75" customHeight="1">
      <c r="A50" s="317">
        <v>44582</v>
      </c>
      <c r="B50" s="510">
        <f t="shared" si="0"/>
        <v>44582</v>
      </c>
      <c r="C50" s="509">
        <v>299.04000000000002</v>
      </c>
      <c r="D50" s="509">
        <v>0</v>
      </c>
      <c r="E50" s="509">
        <f t="shared" si="1"/>
        <v>299.04000000000002</v>
      </c>
      <c r="F50" s="98"/>
      <c r="G50" s="507"/>
      <c r="H50" s="507"/>
      <c r="I50" s="507"/>
      <c r="J50" s="507"/>
      <c r="K50" s="507"/>
      <c r="L50" s="98"/>
      <c r="M50" s="98"/>
      <c r="N50" s="98"/>
      <c r="O50" s="98"/>
      <c r="P50" s="98"/>
      <c r="Q50" s="98"/>
      <c r="R50" s="98"/>
      <c r="S50" s="98"/>
      <c r="T50" s="98"/>
      <c r="U50" s="98"/>
      <c r="V50" s="98"/>
      <c r="W50" s="98"/>
      <c r="X50" s="98"/>
      <c r="Y50" s="98"/>
      <c r="Z50" s="98"/>
    </row>
    <row r="51" spans="1:26" ht="15.75" customHeight="1">
      <c r="A51" s="317">
        <v>44585</v>
      </c>
      <c r="B51" s="510">
        <f t="shared" si="0"/>
        <v>44585</v>
      </c>
      <c r="C51" s="509">
        <v>1611.1200000000026</v>
      </c>
      <c r="D51" s="509">
        <v>0</v>
      </c>
      <c r="E51" s="509">
        <f t="shared" si="1"/>
        <v>1611.1200000000026</v>
      </c>
      <c r="F51" s="98"/>
      <c r="G51" s="507"/>
      <c r="H51" s="507"/>
      <c r="I51" s="507"/>
      <c r="J51" s="507"/>
      <c r="K51" s="507"/>
      <c r="L51" s="98"/>
      <c r="M51" s="98"/>
      <c r="N51" s="98"/>
      <c r="O51" s="98"/>
      <c r="P51" s="98"/>
      <c r="Q51" s="98"/>
      <c r="R51" s="98"/>
      <c r="S51" s="98"/>
      <c r="T51" s="98"/>
      <c r="U51" s="98"/>
      <c r="V51" s="98"/>
      <c r="W51" s="98"/>
      <c r="X51" s="98"/>
      <c r="Y51" s="98"/>
      <c r="Z51" s="98"/>
    </row>
    <row r="52" spans="1:26" ht="15.75" customHeight="1">
      <c r="A52" s="317">
        <v>44586</v>
      </c>
      <c r="B52" s="510">
        <f t="shared" si="0"/>
        <v>44586</v>
      </c>
      <c r="C52" s="509">
        <v>488.96</v>
      </c>
      <c r="D52" s="509">
        <v>0</v>
      </c>
      <c r="E52" s="509">
        <f t="shared" si="1"/>
        <v>488.96</v>
      </c>
      <c r="F52" s="98"/>
      <c r="G52" s="507"/>
      <c r="H52" s="507"/>
      <c r="I52" s="507"/>
      <c r="J52" s="507"/>
      <c r="K52" s="507"/>
      <c r="L52" s="98"/>
      <c r="M52" s="98"/>
      <c r="N52" s="98"/>
      <c r="O52" s="98"/>
      <c r="P52" s="98"/>
      <c r="Q52" s="98"/>
      <c r="R52" s="98"/>
      <c r="S52" s="98"/>
      <c r="T52" s="98"/>
      <c r="U52" s="98"/>
      <c r="V52" s="98"/>
      <c r="W52" s="98"/>
      <c r="X52" s="98"/>
      <c r="Y52" s="98"/>
      <c r="Z52" s="98"/>
    </row>
    <row r="53" spans="1:26" ht="15.75" customHeight="1">
      <c r="A53" s="317">
        <v>44588</v>
      </c>
      <c r="B53" s="510">
        <f t="shared" si="0"/>
        <v>44588</v>
      </c>
      <c r="C53" s="509">
        <v>1207.6200000000026</v>
      </c>
      <c r="D53" s="509">
        <v>0</v>
      </c>
      <c r="E53" s="509">
        <f t="shared" si="1"/>
        <v>1207.6200000000026</v>
      </c>
      <c r="F53" s="98"/>
      <c r="G53" s="507"/>
      <c r="H53" s="507"/>
      <c r="I53" s="507"/>
      <c r="J53" s="507"/>
      <c r="K53" s="507"/>
      <c r="L53" s="98"/>
      <c r="M53" s="98"/>
      <c r="N53" s="98"/>
      <c r="O53" s="98"/>
      <c r="P53" s="98"/>
      <c r="Q53" s="98"/>
      <c r="R53" s="98"/>
      <c r="S53" s="98"/>
      <c r="T53" s="98"/>
      <c r="U53" s="98"/>
      <c r="V53" s="98"/>
      <c r="W53" s="98"/>
      <c r="X53" s="98"/>
      <c r="Y53" s="98"/>
      <c r="Z53" s="98"/>
    </row>
    <row r="54" spans="1:26" ht="15.75" customHeight="1">
      <c r="A54" s="317">
        <v>44589</v>
      </c>
      <c r="B54" s="510">
        <f t="shared" si="0"/>
        <v>44589</v>
      </c>
      <c r="C54" s="509">
        <v>1375.6200000000026</v>
      </c>
      <c r="D54" s="509">
        <v>0</v>
      </c>
      <c r="E54" s="509">
        <f t="shared" si="1"/>
        <v>1375.6200000000026</v>
      </c>
      <c r="F54" s="98"/>
      <c r="G54" s="507"/>
      <c r="H54" s="507"/>
      <c r="I54" s="507"/>
      <c r="J54" s="507"/>
      <c r="K54" s="507"/>
      <c r="L54" s="98"/>
      <c r="M54" s="98"/>
      <c r="N54" s="98"/>
      <c r="O54" s="98"/>
      <c r="P54" s="98"/>
      <c r="Q54" s="98"/>
      <c r="R54" s="98"/>
      <c r="S54" s="98"/>
      <c r="T54" s="98"/>
      <c r="U54" s="98"/>
      <c r="V54" s="98"/>
      <c r="W54" s="98"/>
      <c r="X54" s="98"/>
      <c r="Y54" s="98"/>
      <c r="Z54" s="98"/>
    </row>
    <row r="55" spans="1:26" ht="15.75" customHeight="1">
      <c r="A55" s="317">
        <v>44592</v>
      </c>
      <c r="B55" s="510">
        <f t="shared" si="0"/>
        <v>44592</v>
      </c>
      <c r="C55" s="509">
        <v>217.58</v>
      </c>
      <c r="D55" s="509">
        <v>0</v>
      </c>
      <c r="E55" s="509">
        <f t="shared" si="1"/>
        <v>217.58</v>
      </c>
      <c r="F55" s="98"/>
      <c r="G55" s="507"/>
      <c r="H55" s="507"/>
      <c r="I55" s="507"/>
      <c r="J55" s="507"/>
      <c r="K55" s="507"/>
      <c r="L55" s="98"/>
      <c r="M55" s="98"/>
      <c r="N55" s="98"/>
      <c r="O55" s="98"/>
      <c r="P55" s="98"/>
      <c r="Q55" s="98"/>
      <c r="R55" s="98"/>
      <c r="S55" s="98"/>
      <c r="T55" s="98"/>
      <c r="U55" s="98"/>
      <c r="V55" s="98"/>
      <c r="W55" s="98"/>
      <c r="X55" s="98"/>
      <c r="Y55" s="98"/>
      <c r="Z55" s="98"/>
    </row>
    <row r="56" spans="1:26" ht="15.75" customHeight="1">
      <c r="A56" s="317">
        <v>44593</v>
      </c>
      <c r="B56" s="510">
        <f t="shared" si="0"/>
        <v>44593</v>
      </c>
      <c r="C56" s="509">
        <v>378.48</v>
      </c>
      <c r="D56" s="509">
        <v>0</v>
      </c>
      <c r="E56" s="509">
        <f t="shared" si="1"/>
        <v>378.48</v>
      </c>
      <c r="F56" s="98"/>
      <c r="G56" s="507"/>
      <c r="H56" s="507"/>
      <c r="I56" s="507"/>
      <c r="J56" s="507"/>
      <c r="K56" s="507"/>
      <c r="L56" s="98"/>
      <c r="M56" s="98"/>
      <c r="N56" s="98"/>
      <c r="O56" s="98"/>
      <c r="P56" s="98"/>
      <c r="Q56" s="98"/>
      <c r="R56" s="98"/>
      <c r="S56" s="98"/>
      <c r="T56" s="98"/>
      <c r="U56" s="98"/>
      <c r="V56" s="98"/>
      <c r="W56" s="98"/>
      <c r="X56" s="98"/>
      <c r="Y56" s="98"/>
      <c r="Z56" s="98"/>
    </row>
    <row r="57" spans="1:26" ht="15.75" customHeight="1">
      <c r="A57" s="317">
        <v>44594</v>
      </c>
      <c r="B57" s="510">
        <f t="shared" si="0"/>
        <v>44594</v>
      </c>
      <c r="C57" s="509">
        <v>1060.8399999999965</v>
      </c>
      <c r="D57" s="509">
        <v>0</v>
      </c>
      <c r="E57" s="509">
        <f t="shared" si="1"/>
        <v>1060.8399999999965</v>
      </c>
      <c r="F57" s="98"/>
      <c r="G57" s="507"/>
      <c r="H57" s="507"/>
      <c r="I57" s="507"/>
      <c r="J57" s="507"/>
      <c r="K57" s="507"/>
      <c r="L57" s="98"/>
      <c r="M57" s="98"/>
      <c r="N57" s="98"/>
      <c r="O57" s="98"/>
      <c r="P57" s="98"/>
      <c r="Q57" s="98"/>
      <c r="R57" s="98"/>
      <c r="S57" s="98"/>
      <c r="T57" s="98"/>
      <c r="U57" s="98"/>
      <c r="V57" s="98"/>
      <c r="W57" s="98"/>
      <c r="X57" s="98"/>
      <c r="Y57" s="98"/>
      <c r="Z57" s="98"/>
    </row>
    <row r="58" spans="1:26" ht="15.75" customHeight="1">
      <c r="A58" s="317">
        <v>44595</v>
      </c>
      <c r="B58" s="510">
        <f t="shared" si="0"/>
        <v>44595</v>
      </c>
      <c r="C58" s="509">
        <v>1004.06</v>
      </c>
      <c r="D58" s="509">
        <v>0</v>
      </c>
      <c r="E58" s="509">
        <f t="shared" si="1"/>
        <v>1004.06</v>
      </c>
      <c r="F58" s="98"/>
      <c r="G58" s="507"/>
      <c r="H58" s="507"/>
      <c r="I58" s="507"/>
      <c r="J58" s="507"/>
      <c r="K58" s="507"/>
      <c r="L58" s="98"/>
      <c r="M58" s="98"/>
      <c r="N58" s="98"/>
      <c r="O58" s="98"/>
      <c r="P58" s="98"/>
      <c r="Q58" s="98"/>
      <c r="R58" s="98"/>
      <c r="S58" s="98"/>
      <c r="T58" s="98"/>
      <c r="U58" s="98"/>
      <c r="V58" s="98"/>
      <c r="W58" s="98"/>
      <c r="X58" s="98"/>
      <c r="Y58" s="98"/>
      <c r="Z58" s="98"/>
    </row>
    <row r="59" spans="1:26" ht="15.75" customHeight="1">
      <c r="A59" s="317">
        <v>44596</v>
      </c>
      <c r="B59" s="510">
        <f t="shared" si="0"/>
        <v>44596</v>
      </c>
      <c r="C59" s="509">
        <v>516.05999999999995</v>
      </c>
      <c r="D59" s="509">
        <v>0</v>
      </c>
      <c r="E59" s="509">
        <f t="shared" si="1"/>
        <v>516.05999999999995</v>
      </c>
      <c r="F59" s="98"/>
      <c r="G59" s="507"/>
      <c r="H59" s="507"/>
      <c r="I59" s="507"/>
      <c r="J59" s="507"/>
      <c r="K59" s="507"/>
      <c r="L59" s="98"/>
      <c r="M59" s="98"/>
      <c r="N59" s="98"/>
      <c r="O59" s="98"/>
      <c r="P59" s="98"/>
      <c r="Q59" s="98"/>
      <c r="R59" s="98"/>
      <c r="S59" s="98"/>
      <c r="T59" s="98"/>
      <c r="U59" s="98"/>
      <c r="V59" s="98"/>
      <c r="W59" s="98"/>
      <c r="X59" s="98"/>
      <c r="Y59" s="98"/>
      <c r="Z59" s="98"/>
    </row>
    <row r="60" spans="1:26" ht="15.75" customHeight="1">
      <c r="A60" s="317">
        <v>44600</v>
      </c>
      <c r="B60" s="510">
        <f t="shared" si="0"/>
        <v>44600</v>
      </c>
      <c r="C60" s="509">
        <v>677.81</v>
      </c>
      <c r="D60" s="509">
        <v>-77.930000000000007</v>
      </c>
      <c r="E60" s="509">
        <f t="shared" si="1"/>
        <v>599.87999999999988</v>
      </c>
      <c r="F60" s="98"/>
      <c r="G60" s="507"/>
      <c r="H60" s="507"/>
      <c r="I60" s="507"/>
      <c r="J60" s="507"/>
      <c r="K60" s="507"/>
      <c r="L60" s="98"/>
      <c r="M60" s="98"/>
      <c r="N60" s="98"/>
      <c r="O60" s="98"/>
      <c r="P60" s="98"/>
      <c r="Q60" s="98"/>
      <c r="R60" s="98"/>
      <c r="S60" s="98"/>
      <c r="T60" s="98"/>
      <c r="U60" s="98"/>
      <c r="V60" s="98"/>
      <c r="W60" s="98"/>
      <c r="X60" s="98"/>
      <c r="Y60" s="98"/>
      <c r="Z60" s="98"/>
    </row>
    <row r="61" spans="1:26" ht="15.75" customHeight="1">
      <c r="A61" s="317">
        <v>44601</v>
      </c>
      <c r="B61" s="510">
        <f t="shared" si="0"/>
        <v>44601</v>
      </c>
      <c r="C61" s="509">
        <v>293.95</v>
      </c>
      <c r="D61" s="509">
        <v>357.06999999999971</v>
      </c>
      <c r="E61" s="509">
        <f t="shared" si="1"/>
        <v>651.01999999999975</v>
      </c>
      <c r="F61" s="98"/>
      <c r="G61" s="507"/>
      <c r="H61" s="507"/>
      <c r="I61" s="507"/>
      <c r="J61" s="507"/>
      <c r="K61" s="507"/>
      <c r="L61" s="98"/>
      <c r="M61" s="98"/>
      <c r="N61" s="98"/>
      <c r="O61" s="98"/>
      <c r="P61" s="98"/>
      <c r="Q61" s="98"/>
      <c r="R61" s="98"/>
      <c r="S61" s="98"/>
      <c r="T61" s="98"/>
      <c r="U61" s="98"/>
      <c r="V61" s="98"/>
      <c r="W61" s="98"/>
      <c r="X61" s="98"/>
      <c r="Y61" s="98"/>
      <c r="Z61" s="98"/>
    </row>
    <row r="62" spans="1:26" ht="15.75" customHeight="1">
      <c r="A62" s="317">
        <v>44603</v>
      </c>
      <c r="B62" s="510">
        <f t="shared" si="0"/>
        <v>44603</v>
      </c>
      <c r="C62" s="509">
        <v>58.27</v>
      </c>
      <c r="D62" s="509">
        <v>358.06999999999971</v>
      </c>
      <c r="E62" s="509">
        <f t="shared" si="1"/>
        <v>416.33999999999969</v>
      </c>
      <c r="F62" s="98"/>
      <c r="G62" s="507"/>
      <c r="H62" s="507"/>
      <c r="I62" s="507"/>
      <c r="J62" s="507"/>
      <c r="K62" s="507"/>
      <c r="L62" s="98"/>
      <c r="M62" s="98"/>
      <c r="N62" s="98"/>
      <c r="O62" s="98"/>
      <c r="P62" s="98"/>
      <c r="Q62" s="98"/>
      <c r="R62" s="98"/>
      <c r="S62" s="98"/>
      <c r="T62" s="98"/>
      <c r="U62" s="98"/>
      <c r="V62" s="98"/>
      <c r="W62" s="98"/>
      <c r="X62" s="98"/>
      <c r="Y62" s="98"/>
      <c r="Z62" s="98"/>
    </row>
    <row r="63" spans="1:26" ht="15.75" customHeight="1">
      <c r="A63" s="317">
        <v>44606</v>
      </c>
      <c r="B63" s="510">
        <f t="shared" si="0"/>
        <v>44606</v>
      </c>
      <c r="C63" s="509">
        <v>201.78</v>
      </c>
      <c r="D63" s="509">
        <v>0</v>
      </c>
      <c r="E63" s="509">
        <f t="shared" si="1"/>
        <v>201.78</v>
      </c>
      <c r="F63" s="98"/>
      <c r="G63" s="507"/>
      <c r="H63" s="507"/>
      <c r="I63" s="507"/>
      <c r="J63" s="507"/>
      <c r="K63" s="507"/>
      <c r="L63" s="98"/>
      <c r="M63" s="98"/>
      <c r="N63" s="98"/>
      <c r="O63" s="98"/>
      <c r="P63" s="98"/>
      <c r="Q63" s="98"/>
      <c r="R63" s="98"/>
      <c r="S63" s="98"/>
      <c r="T63" s="98"/>
      <c r="U63" s="98"/>
      <c r="V63" s="98"/>
      <c r="W63" s="98"/>
      <c r="X63" s="98"/>
      <c r="Y63" s="98"/>
      <c r="Z63" s="98"/>
    </row>
    <row r="64" spans="1:26" ht="15.75" customHeight="1">
      <c r="A64" s="317">
        <v>44607</v>
      </c>
      <c r="B64" s="510">
        <f t="shared" si="0"/>
        <v>44607</v>
      </c>
      <c r="C64" s="509">
        <v>468.79</v>
      </c>
      <c r="D64" s="509">
        <v>0</v>
      </c>
      <c r="E64" s="509">
        <f t="shared" si="1"/>
        <v>468.79</v>
      </c>
      <c r="F64" s="98"/>
      <c r="G64" s="507"/>
      <c r="H64" s="507"/>
      <c r="I64" s="507"/>
      <c r="J64" s="507"/>
      <c r="K64" s="507"/>
      <c r="L64" s="98"/>
      <c r="M64" s="98"/>
      <c r="N64" s="98"/>
      <c r="O64" s="98"/>
      <c r="P64" s="98"/>
      <c r="Q64" s="98"/>
      <c r="R64" s="98"/>
      <c r="S64" s="98"/>
      <c r="T64" s="98"/>
      <c r="U64" s="98"/>
      <c r="V64" s="98"/>
      <c r="W64" s="98"/>
      <c r="X64" s="98"/>
      <c r="Y64" s="98"/>
      <c r="Z64" s="98"/>
    </row>
    <row r="65" spans="1:26" ht="15.75" customHeight="1">
      <c r="A65" s="317">
        <v>44610</v>
      </c>
      <c r="B65" s="510">
        <f t="shared" si="0"/>
        <v>44610</v>
      </c>
      <c r="C65" s="509">
        <v>55.71</v>
      </c>
      <c r="D65" s="509">
        <v>600.06999999999971</v>
      </c>
      <c r="E65" s="509">
        <f t="shared" si="1"/>
        <v>655.77999999999975</v>
      </c>
      <c r="F65" s="98"/>
      <c r="G65" s="507"/>
      <c r="H65" s="507"/>
      <c r="I65" s="507"/>
      <c r="J65" s="507"/>
      <c r="K65" s="507"/>
      <c r="L65" s="98"/>
      <c r="M65" s="98"/>
      <c r="N65" s="98"/>
      <c r="O65" s="98"/>
      <c r="P65" s="98"/>
      <c r="Q65" s="98"/>
      <c r="R65" s="98"/>
      <c r="S65" s="98"/>
      <c r="T65" s="98"/>
      <c r="U65" s="98"/>
      <c r="V65" s="98"/>
      <c r="W65" s="98"/>
      <c r="X65" s="98"/>
      <c r="Y65" s="98"/>
      <c r="Z65" s="98"/>
    </row>
    <row r="66" spans="1:26" ht="15.75" customHeight="1">
      <c r="A66" s="317">
        <v>44613</v>
      </c>
      <c r="B66" s="510">
        <f t="shared" si="0"/>
        <v>44613</v>
      </c>
      <c r="C66" s="509">
        <v>41.03</v>
      </c>
      <c r="D66" s="509">
        <v>1537.07</v>
      </c>
      <c r="E66" s="509">
        <f t="shared" si="1"/>
        <v>1578.1</v>
      </c>
      <c r="F66" s="98"/>
      <c r="G66" s="507"/>
      <c r="H66" s="507"/>
      <c r="I66" s="507"/>
      <c r="J66" s="507"/>
      <c r="K66" s="507"/>
      <c r="L66" s="98"/>
      <c r="M66" s="98"/>
      <c r="N66" s="98"/>
      <c r="O66" s="98"/>
      <c r="P66" s="98"/>
      <c r="Q66" s="98"/>
      <c r="R66" s="98"/>
      <c r="S66" s="98"/>
      <c r="T66" s="98"/>
      <c r="U66" s="98"/>
      <c r="V66" s="98"/>
      <c r="W66" s="98"/>
      <c r="X66" s="98"/>
      <c r="Y66" s="98"/>
      <c r="Z66" s="98"/>
    </row>
    <row r="67" spans="1:26" ht="15.75" customHeight="1">
      <c r="A67" s="317">
        <v>44614</v>
      </c>
      <c r="B67" s="510">
        <f t="shared" si="0"/>
        <v>44614</v>
      </c>
      <c r="C67" s="509">
        <v>88.28</v>
      </c>
      <c r="D67" s="509">
        <v>2705</v>
      </c>
      <c r="E67" s="509">
        <f t="shared" si="1"/>
        <v>2793.28</v>
      </c>
      <c r="F67" s="98"/>
      <c r="G67" s="507"/>
      <c r="H67" s="507"/>
      <c r="I67" s="507"/>
      <c r="J67" s="507"/>
      <c r="K67" s="507"/>
      <c r="L67" s="98"/>
      <c r="M67" s="98"/>
      <c r="N67" s="98"/>
      <c r="O67" s="98"/>
      <c r="P67" s="98"/>
      <c r="Q67" s="98"/>
      <c r="R67" s="98"/>
      <c r="S67" s="98"/>
      <c r="T67" s="98"/>
      <c r="U67" s="98"/>
      <c r="V67" s="98"/>
      <c r="W67" s="98"/>
      <c r="X67" s="98"/>
      <c r="Y67" s="98"/>
      <c r="Z67" s="98"/>
    </row>
    <row r="68" spans="1:26" ht="15.75" customHeight="1">
      <c r="A68" s="317">
        <v>44615</v>
      </c>
      <c r="B68" s="510">
        <f t="shared" si="0"/>
        <v>44615</v>
      </c>
      <c r="C68" s="509">
        <v>58.2</v>
      </c>
      <c r="D68" s="509">
        <v>0</v>
      </c>
      <c r="E68" s="509">
        <f t="shared" si="1"/>
        <v>58.2</v>
      </c>
      <c r="F68" s="98"/>
      <c r="G68" s="507"/>
      <c r="H68" s="507"/>
      <c r="I68" s="507"/>
      <c r="J68" s="507"/>
      <c r="K68" s="507"/>
      <c r="L68" s="98"/>
      <c r="M68" s="98"/>
      <c r="N68" s="98"/>
      <c r="O68" s="98"/>
      <c r="P68" s="98"/>
      <c r="Q68" s="98"/>
      <c r="R68" s="98"/>
      <c r="S68" s="98"/>
      <c r="T68" s="98"/>
      <c r="U68" s="98"/>
      <c r="V68" s="98"/>
      <c r="W68" s="98"/>
      <c r="X68" s="98"/>
      <c r="Y68" s="98"/>
      <c r="Z68" s="98"/>
    </row>
    <row r="69" spans="1:26" ht="15.75" customHeight="1">
      <c r="A69" s="317">
        <v>44616</v>
      </c>
      <c r="B69" s="510">
        <f t="shared" si="0"/>
        <v>44616</v>
      </c>
      <c r="C69" s="509">
        <v>234.97</v>
      </c>
      <c r="D69" s="509">
        <v>263.07</v>
      </c>
      <c r="E69" s="509">
        <f t="shared" si="1"/>
        <v>498.03999999999996</v>
      </c>
      <c r="F69" s="98"/>
      <c r="G69" s="507"/>
      <c r="H69" s="507"/>
      <c r="I69" s="507"/>
      <c r="J69" s="507"/>
      <c r="K69" s="507"/>
      <c r="L69" s="98"/>
      <c r="M69" s="98"/>
      <c r="N69" s="98"/>
      <c r="O69" s="98"/>
      <c r="P69" s="98"/>
      <c r="Q69" s="98"/>
      <c r="R69" s="98"/>
      <c r="S69" s="98"/>
      <c r="T69" s="98"/>
      <c r="U69" s="98"/>
      <c r="V69" s="98"/>
      <c r="W69" s="98"/>
      <c r="X69" s="98"/>
      <c r="Y69" s="98"/>
      <c r="Z69" s="98"/>
    </row>
    <row r="70" spans="1:26" ht="15.75" customHeight="1">
      <c r="A70" s="317">
        <v>44617</v>
      </c>
      <c r="B70" s="510">
        <f t="shared" si="0"/>
        <v>44617</v>
      </c>
      <c r="C70" s="509">
        <v>94</v>
      </c>
      <c r="D70" s="509">
        <v>756.07</v>
      </c>
      <c r="E70" s="509">
        <f t="shared" si="1"/>
        <v>850.07</v>
      </c>
      <c r="F70" s="98"/>
      <c r="G70" s="507"/>
      <c r="H70" s="507"/>
      <c r="I70" s="507"/>
      <c r="J70" s="507"/>
      <c r="K70" s="507"/>
      <c r="L70" s="98"/>
      <c r="M70" s="98"/>
      <c r="N70" s="98"/>
      <c r="O70" s="98"/>
      <c r="P70" s="98"/>
      <c r="Q70" s="98"/>
      <c r="R70" s="98"/>
      <c r="S70" s="98"/>
      <c r="T70" s="98"/>
      <c r="U70" s="98"/>
      <c r="V70" s="98"/>
      <c r="W70" s="98"/>
      <c r="X70" s="98"/>
      <c r="Y70" s="98"/>
      <c r="Z70" s="98"/>
    </row>
    <row r="71" spans="1:26" ht="15.75" customHeight="1">
      <c r="A71" s="317">
        <v>44620</v>
      </c>
      <c r="B71" s="510">
        <f t="shared" si="0"/>
        <v>44620</v>
      </c>
      <c r="C71" s="509">
        <v>43.34</v>
      </c>
      <c r="D71" s="509">
        <v>212.14</v>
      </c>
      <c r="E71" s="509">
        <f t="shared" si="1"/>
        <v>255.48</v>
      </c>
      <c r="F71" s="98"/>
      <c r="G71" s="507"/>
      <c r="H71" s="507"/>
      <c r="I71" s="507"/>
      <c r="J71" s="507"/>
      <c r="K71" s="507"/>
      <c r="L71" s="98"/>
      <c r="M71" s="98"/>
      <c r="N71" s="98"/>
      <c r="O71" s="98"/>
      <c r="P71" s="98"/>
      <c r="Q71" s="98"/>
      <c r="R71" s="98"/>
      <c r="S71" s="98"/>
      <c r="T71" s="98"/>
      <c r="U71" s="98"/>
      <c r="V71" s="98"/>
      <c r="W71" s="98"/>
      <c r="X71" s="98"/>
      <c r="Y71" s="98"/>
      <c r="Z71" s="98"/>
    </row>
    <row r="72" spans="1:26" ht="15.75" customHeight="1">
      <c r="A72" s="317">
        <v>44622</v>
      </c>
      <c r="B72" s="510">
        <f t="shared" si="0"/>
        <v>44622</v>
      </c>
      <c r="C72" s="509">
        <v>16.91</v>
      </c>
      <c r="D72" s="509">
        <v>0</v>
      </c>
      <c r="E72" s="509">
        <f t="shared" si="1"/>
        <v>16.91</v>
      </c>
      <c r="F72" s="98"/>
      <c r="G72" s="507"/>
      <c r="H72" s="507"/>
      <c r="I72" s="507"/>
      <c r="J72" s="507"/>
      <c r="K72" s="507"/>
      <c r="L72" s="98"/>
      <c r="M72" s="98"/>
      <c r="N72" s="98"/>
      <c r="O72" s="98"/>
      <c r="P72" s="98"/>
      <c r="Q72" s="98"/>
      <c r="R72" s="98"/>
      <c r="S72" s="98"/>
      <c r="T72" s="98"/>
      <c r="U72" s="98"/>
      <c r="V72" s="98"/>
      <c r="W72" s="98"/>
      <c r="X72" s="98"/>
      <c r="Y72" s="98"/>
      <c r="Z72" s="98"/>
    </row>
    <row r="73" spans="1:26" ht="15.75" customHeight="1">
      <c r="A73" s="317">
        <v>44623</v>
      </c>
      <c r="B73" s="510">
        <f t="shared" si="0"/>
        <v>44623</v>
      </c>
      <c r="C73" s="509">
        <v>127.64</v>
      </c>
      <c r="D73" s="509">
        <v>0</v>
      </c>
      <c r="E73" s="509">
        <f t="shared" si="1"/>
        <v>127.64</v>
      </c>
      <c r="F73" s="98"/>
      <c r="G73" s="507"/>
      <c r="H73" s="507"/>
      <c r="I73" s="507"/>
      <c r="J73" s="507"/>
      <c r="K73" s="507"/>
      <c r="L73" s="98"/>
      <c r="M73" s="98"/>
      <c r="N73" s="98"/>
      <c r="O73" s="98"/>
      <c r="P73" s="98"/>
      <c r="Q73" s="98"/>
      <c r="R73" s="98"/>
      <c r="S73" s="98"/>
      <c r="T73" s="98"/>
      <c r="U73" s="98"/>
      <c r="V73" s="98"/>
      <c r="W73" s="98"/>
      <c r="X73" s="98"/>
      <c r="Y73" s="98"/>
      <c r="Z73" s="98"/>
    </row>
    <row r="74" spans="1:26" ht="15.75" customHeight="1">
      <c r="A74" s="317">
        <v>44624</v>
      </c>
      <c r="B74" s="510">
        <f t="shared" si="0"/>
        <v>44624</v>
      </c>
      <c r="C74" s="509">
        <v>157.06999999999971</v>
      </c>
      <c r="D74" s="509">
        <v>0</v>
      </c>
      <c r="E74" s="509">
        <f t="shared" si="1"/>
        <v>157.06999999999971</v>
      </c>
      <c r="F74" s="98"/>
      <c r="G74" s="507"/>
      <c r="H74" s="507"/>
      <c r="I74" s="507"/>
      <c r="J74" s="507"/>
      <c r="K74" s="507"/>
      <c r="L74" s="98"/>
      <c r="M74" s="98"/>
      <c r="N74" s="98"/>
      <c r="O74" s="98"/>
      <c r="P74" s="98"/>
      <c r="Q74" s="98"/>
      <c r="R74" s="98"/>
      <c r="S74" s="98"/>
      <c r="T74" s="98"/>
      <c r="U74" s="98"/>
      <c r="V74" s="98"/>
      <c r="W74" s="98"/>
      <c r="X74" s="98"/>
      <c r="Y74" s="98"/>
      <c r="Z74" s="98"/>
    </row>
    <row r="75" spans="1:26" ht="15.75" customHeight="1">
      <c r="A75" s="317">
        <v>44627</v>
      </c>
      <c r="B75" s="510">
        <f t="shared" si="0"/>
        <v>44627</v>
      </c>
      <c r="C75" s="509">
        <v>69.55</v>
      </c>
      <c r="D75" s="509">
        <v>162.06999999999971</v>
      </c>
      <c r="E75" s="509">
        <f t="shared" si="1"/>
        <v>231.61999999999972</v>
      </c>
      <c r="F75" s="98"/>
      <c r="G75" s="507"/>
      <c r="H75" s="507"/>
      <c r="I75" s="507"/>
      <c r="J75" s="507"/>
      <c r="K75" s="507"/>
      <c r="L75" s="98"/>
      <c r="M75" s="98"/>
      <c r="N75" s="98"/>
      <c r="O75" s="98"/>
      <c r="P75" s="98"/>
      <c r="Q75" s="98"/>
      <c r="R75" s="98"/>
      <c r="S75" s="98"/>
      <c r="T75" s="98"/>
      <c r="U75" s="98"/>
      <c r="V75" s="98"/>
      <c r="W75" s="98"/>
      <c r="X75" s="98"/>
      <c r="Y75" s="98"/>
      <c r="Z75" s="98"/>
    </row>
    <row r="76" spans="1:26" ht="15.75" customHeight="1">
      <c r="A76" s="317">
        <v>44628</v>
      </c>
      <c r="B76" s="510">
        <f t="shared" si="0"/>
        <v>44628</v>
      </c>
      <c r="C76" s="509">
        <v>933.77</v>
      </c>
      <c r="D76" s="509">
        <v>0</v>
      </c>
      <c r="E76" s="509">
        <f t="shared" si="1"/>
        <v>933.77</v>
      </c>
      <c r="F76" s="98"/>
      <c r="G76" s="507"/>
      <c r="H76" s="507"/>
      <c r="I76" s="507"/>
      <c r="J76" s="507"/>
      <c r="K76" s="507"/>
      <c r="L76" s="98"/>
      <c r="M76" s="98"/>
      <c r="N76" s="98"/>
      <c r="O76" s="98"/>
      <c r="P76" s="98"/>
      <c r="Q76" s="98"/>
      <c r="R76" s="98"/>
      <c r="S76" s="98"/>
      <c r="T76" s="98"/>
      <c r="U76" s="98"/>
      <c r="V76" s="98"/>
      <c r="W76" s="98"/>
      <c r="X76" s="98"/>
      <c r="Y76" s="98"/>
      <c r="Z76" s="98"/>
    </row>
    <row r="77" spans="1:26" ht="15.75" customHeight="1">
      <c r="A77" s="317">
        <v>44629</v>
      </c>
      <c r="B77" s="510">
        <f t="shared" si="0"/>
        <v>44629</v>
      </c>
      <c r="C77" s="509">
        <v>468.06</v>
      </c>
      <c r="D77" s="509">
        <v>65.069999999999993</v>
      </c>
      <c r="E77" s="509">
        <f t="shared" si="1"/>
        <v>533.13</v>
      </c>
      <c r="F77" s="98"/>
      <c r="G77" s="507"/>
      <c r="H77" s="507"/>
      <c r="I77" s="507"/>
      <c r="J77" s="507"/>
      <c r="K77" s="507"/>
      <c r="L77" s="98"/>
      <c r="M77" s="98"/>
      <c r="N77" s="98"/>
      <c r="O77" s="98"/>
      <c r="P77" s="98"/>
      <c r="Q77" s="98"/>
      <c r="R77" s="98"/>
      <c r="S77" s="98"/>
      <c r="T77" s="98"/>
      <c r="U77" s="98"/>
      <c r="V77" s="98"/>
      <c r="W77" s="98"/>
      <c r="X77" s="98"/>
      <c r="Y77" s="98"/>
      <c r="Z77" s="98"/>
    </row>
    <row r="78" spans="1:26" ht="15.75" customHeight="1">
      <c r="A78" s="317">
        <v>44630</v>
      </c>
      <c r="B78" s="510">
        <f t="shared" si="0"/>
        <v>44630</v>
      </c>
      <c r="C78" s="509">
        <v>0</v>
      </c>
      <c r="D78" s="509">
        <v>1975.0699999999997</v>
      </c>
      <c r="E78" s="509">
        <f t="shared" si="1"/>
        <v>1975.0699999999997</v>
      </c>
      <c r="F78" s="98"/>
      <c r="G78" s="507"/>
      <c r="H78" s="507"/>
      <c r="I78" s="507"/>
      <c r="J78" s="507"/>
      <c r="K78" s="507"/>
      <c r="L78" s="98"/>
      <c r="M78" s="98"/>
      <c r="N78" s="98"/>
      <c r="O78" s="98"/>
      <c r="P78" s="98"/>
      <c r="Q78" s="98"/>
      <c r="R78" s="98"/>
      <c r="S78" s="98"/>
      <c r="T78" s="98"/>
      <c r="U78" s="98"/>
      <c r="V78" s="98"/>
      <c r="W78" s="98"/>
      <c r="X78" s="98"/>
      <c r="Y78" s="98"/>
      <c r="Z78" s="98"/>
    </row>
    <row r="79" spans="1:26" ht="15.75" customHeight="1">
      <c r="A79" s="317">
        <v>44634</v>
      </c>
      <c r="B79" s="510">
        <f t="shared" si="0"/>
        <v>44634</v>
      </c>
      <c r="C79" s="509">
        <v>104.65</v>
      </c>
      <c r="D79" s="509">
        <v>427.06999999999971</v>
      </c>
      <c r="E79" s="509">
        <f t="shared" si="1"/>
        <v>531.71999999999969</v>
      </c>
      <c r="F79" s="98"/>
      <c r="G79" s="507"/>
      <c r="H79" s="507"/>
      <c r="I79" s="507"/>
      <c r="J79" s="507"/>
      <c r="K79" s="507"/>
      <c r="L79" s="98"/>
      <c r="M79" s="98"/>
      <c r="N79" s="98"/>
      <c r="O79" s="98"/>
      <c r="P79" s="98"/>
      <c r="Q79" s="98"/>
      <c r="R79" s="98"/>
      <c r="S79" s="98"/>
      <c r="T79" s="98"/>
      <c r="U79" s="98"/>
      <c r="V79" s="98"/>
      <c r="W79" s="98"/>
      <c r="X79" s="98"/>
      <c r="Y79" s="98"/>
      <c r="Z79" s="98"/>
    </row>
    <row r="80" spans="1:26" ht="15.75" customHeight="1">
      <c r="A80" s="317">
        <v>44635</v>
      </c>
      <c r="B80" s="510">
        <f t="shared" si="0"/>
        <v>44635</v>
      </c>
      <c r="C80" s="509">
        <v>197.58</v>
      </c>
      <c r="D80" s="509">
        <v>87</v>
      </c>
      <c r="E80" s="509">
        <f t="shared" si="1"/>
        <v>284.58000000000004</v>
      </c>
      <c r="F80" s="98"/>
      <c r="G80" s="507"/>
      <c r="H80" s="507"/>
      <c r="I80" s="507"/>
      <c r="J80" s="507"/>
      <c r="K80" s="507"/>
      <c r="L80" s="98"/>
      <c r="M80" s="98"/>
      <c r="N80" s="98"/>
      <c r="O80" s="98"/>
      <c r="P80" s="98"/>
      <c r="Q80" s="98"/>
      <c r="R80" s="98"/>
      <c r="S80" s="98"/>
      <c r="T80" s="98"/>
      <c r="U80" s="98"/>
      <c r="V80" s="98"/>
      <c r="W80" s="98"/>
      <c r="X80" s="98"/>
      <c r="Y80" s="98"/>
      <c r="Z80" s="98"/>
    </row>
    <row r="81" spans="1:26" ht="15.75" customHeight="1">
      <c r="A81" s="317">
        <v>44636</v>
      </c>
      <c r="B81" s="510">
        <f t="shared" si="0"/>
        <v>44636</v>
      </c>
      <c r="C81" s="509">
        <v>38.85</v>
      </c>
      <c r="D81" s="509">
        <v>0</v>
      </c>
      <c r="E81" s="509">
        <f t="shared" si="1"/>
        <v>38.85</v>
      </c>
      <c r="F81" s="98"/>
      <c r="G81" s="507"/>
      <c r="H81" s="507"/>
      <c r="I81" s="507"/>
      <c r="J81" s="507"/>
      <c r="K81" s="507"/>
      <c r="L81" s="98"/>
      <c r="M81" s="98"/>
      <c r="N81" s="98"/>
      <c r="O81" s="98"/>
      <c r="P81" s="98"/>
      <c r="Q81" s="98"/>
      <c r="R81" s="98"/>
      <c r="S81" s="98"/>
      <c r="T81" s="98"/>
      <c r="U81" s="98"/>
      <c r="V81" s="98"/>
      <c r="W81" s="98"/>
      <c r="X81" s="98"/>
      <c r="Y81" s="98"/>
      <c r="Z81" s="98"/>
    </row>
    <row r="82" spans="1:26" ht="15.75" customHeight="1">
      <c r="A82" s="317">
        <v>44637</v>
      </c>
      <c r="B82" s="510">
        <f t="shared" si="0"/>
        <v>44637</v>
      </c>
      <c r="C82" s="509">
        <v>126.02</v>
      </c>
      <c r="D82" s="509">
        <v>0</v>
      </c>
      <c r="E82" s="509">
        <f t="shared" si="1"/>
        <v>126.02</v>
      </c>
      <c r="F82" s="98"/>
      <c r="G82" s="507"/>
      <c r="H82" s="507"/>
      <c r="I82" s="507"/>
      <c r="J82" s="507"/>
      <c r="K82" s="507"/>
      <c r="L82" s="98"/>
      <c r="M82" s="98"/>
      <c r="N82" s="98"/>
      <c r="O82" s="98"/>
      <c r="P82" s="98"/>
      <c r="Q82" s="98"/>
      <c r="R82" s="98"/>
      <c r="S82" s="98"/>
      <c r="T82" s="98"/>
      <c r="U82" s="98"/>
      <c r="V82" s="98"/>
      <c r="W82" s="98"/>
      <c r="X82" s="98"/>
      <c r="Y82" s="98"/>
      <c r="Z82" s="98"/>
    </row>
    <row r="83" spans="1:26" ht="15.75" customHeight="1">
      <c r="A83" s="317">
        <v>44641</v>
      </c>
      <c r="B83" s="510">
        <f t="shared" si="0"/>
        <v>44641</v>
      </c>
      <c r="C83" s="509">
        <v>117.12</v>
      </c>
      <c r="D83" s="509">
        <v>0</v>
      </c>
      <c r="E83" s="509">
        <f t="shared" si="1"/>
        <v>117.12</v>
      </c>
      <c r="F83" s="98"/>
      <c r="G83" s="507"/>
      <c r="H83" s="507"/>
      <c r="I83" s="507"/>
      <c r="J83" s="507"/>
      <c r="K83" s="507"/>
      <c r="L83" s="98"/>
      <c r="M83" s="98"/>
      <c r="N83" s="98"/>
      <c r="O83" s="98"/>
      <c r="P83" s="98"/>
      <c r="Q83" s="98"/>
      <c r="R83" s="98"/>
      <c r="S83" s="98"/>
      <c r="T83" s="98"/>
      <c r="U83" s="98"/>
      <c r="V83" s="98"/>
      <c r="W83" s="98"/>
      <c r="X83" s="98"/>
      <c r="Y83" s="98"/>
      <c r="Z83" s="98"/>
    </row>
    <row r="84" spans="1:26" ht="15.75" customHeight="1">
      <c r="A84" s="317">
        <v>44642</v>
      </c>
      <c r="B84" s="510">
        <f t="shared" si="0"/>
        <v>44642</v>
      </c>
      <c r="C84" s="509">
        <v>161.97999999999999</v>
      </c>
      <c r="D84" s="509">
        <v>0</v>
      </c>
      <c r="E84" s="509">
        <f t="shared" si="1"/>
        <v>161.97999999999999</v>
      </c>
      <c r="F84" s="98"/>
      <c r="G84" s="507"/>
      <c r="H84" s="507"/>
      <c r="I84" s="507"/>
      <c r="J84" s="507"/>
      <c r="K84" s="507"/>
      <c r="L84" s="98"/>
      <c r="M84" s="98"/>
      <c r="N84" s="98"/>
      <c r="O84" s="98"/>
      <c r="P84" s="98"/>
      <c r="Q84" s="98"/>
      <c r="R84" s="98"/>
      <c r="S84" s="98"/>
      <c r="T84" s="98"/>
      <c r="U84" s="98"/>
      <c r="V84" s="98"/>
      <c r="W84" s="98"/>
      <c r="X84" s="98"/>
      <c r="Y84" s="98"/>
      <c r="Z84" s="98"/>
    </row>
    <row r="85" spans="1:26" ht="15.75" customHeight="1">
      <c r="A85" s="317">
        <v>44643</v>
      </c>
      <c r="B85" s="510">
        <f t="shared" si="0"/>
        <v>44643</v>
      </c>
      <c r="C85" s="509">
        <v>69.540000000000006</v>
      </c>
      <c r="D85" s="509">
        <v>26.07</v>
      </c>
      <c r="E85" s="509">
        <f t="shared" si="1"/>
        <v>95.610000000000014</v>
      </c>
      <c r="F85" s="98"/>
      <c r="G85" s="507"/>
      <c r="H85" s="507"/>
      <c r="I85" s="507"/>
      <c r="J85" s="507"/>
      <c r="K85" s="507"/>
      <c r="L85" s="98"/>
      <c r="M85" s="98"/>
      <c r="N85" s="98"/>
      <c r="O85" s="98"/>
      <c r="P85" s="98"/>
      <c r="Q85" s="98"/>
      <c r="R85" s="98"/>
      <c r="S85" s="98"/>
      <c r="T85" s="98"/>
      <c r="U85" s="98"/>
      <c r="V85" s="98"/>
      <c r="W85" s="98"/>
      <c r="X85" s="98"/>
      <c r="Y85" s="98"/>
      <c r="Z85" s="98"/>
    </row>
    <row r="86" spans="1:26" ht="15.75" customHeight="1">
      <c r="A86" s="317">
        <v>44644</v>
      </c>
      <c r="B86" s="510">
        <f t="shared" si="0"/>
        <v>44644</v>
      </c>
      <c r="C86" s="509">
        <v>23.23</v>
      </c>
      <c r="D86" s="509">
        <v>0</v>
      </c>
      <c r="E86" s="509">
        <f t="shared" si="1"/>
        <v>23.23</v>
      </c>
      <c r="F86" s="98"/>
      <c r="G86" s="507"/>
      <c r="H86" s="507"/>
      <c r="I86" s="507"/>
      <c r="J86" s="507"/>
      <c r="K86" s="507"/>
      <c r="L86" s="98"/>
      <c r="M86" s="98"/>
      <c r="N86" s="98"/>
      <c r="O86" s="98"/>
      <c r="P86" s="98"/>
      <c r="Q86" s="98"/>
      <c r="R86" s="98"/>
      <c r="S86" s="98"/>
      <c r="T86" s="98"/>
      <c r="U86" s="98"/>
      <c r="V86" s="98"/>
      <c r="W86" s="98"/>
      <c r="X86" s="98"/>
      <c r="Y86" s="98"/>
      <c r="Z86" s="98"/>
    </row>
    <row r="87" spans="1:26" ht="15.75" customHeight="1">
      <c r="A87" s="317">
        <v>44645</v>
      </c>
      <c r="B87" s="510">
        <f t="shared" si="0"/>
        <v>44645</v>
      </c>
      <c r="C87" s="509">
        <v>48.7</v>
      </c>
      <c r="D87" s="509">
        <v>0</v>
      </c>
      <c r="E87" s="509">
        <f t="shared" si="1"/>
        <v>48.7</v>
      </c>
      <c r="F87" s="98"/>
      <c r="G87" s="507"/>
      <c r="H87" s="507"/>
      <c r="I87" s="507"/>
      <c r="J87" s="507"/>
      <c r="K87" s="507"/>
      <c r="L87" s="98"/>
      <c r="M87" s="98"/>
      <c r="N87" s="98"/>
      <c r="O87" s="98"/>
      <c r="P87" s="98"/>
      <c r="Q87" s="98"/>
      <c r="R87" s="98"/>
      <c r="S87" s="98"/>
      <c r="T87" s="98"/>
      <c r="U87" s="98"/>
      <c r="V87" s="98"/>
      <c r="W87" s="98"/>
      <c r="X87" s="98"/>
      <c r="Y87" s="98"/>
      <c r="Z87" s="98"/>
    </row>
    <row r="88" spans="1:26" ht="15.75" customHeight="1">
      <c r="A88" s="317">
        <v>44648</v>
      </c>
      <c r="B88" s="510">
        <f t="shared" si="0"/>
        <v>44648</v>
      </c>
      <c r="C88" s="509">
        <v>127.79</v>
      </c>
      <c r="D88" s="509">
        <v>0</v>
      </c>
      <c r="E88" s="509">
        <f t="shared" si="1"/>
        <v>127.79</v>
      </c>
      <c r="F88" s="98"/>
      <c r="G88" s="507"/>
      <c r="H88" s="507"/>
      <c r="I88" s="507"/>
      <c r="J88" s="507"/>
      <c r="K88" s="507"/>
      <c r="L88" s="98"/>
      <c r="M88" s="98"/>
      <c r="N88" s="98"/>
      <c r="O88" s="98"/>
      <c r="P88" s="98"/>
      <c r="Q88" s="98"/>
      <c r="R88" s="98"/>
      <c r="S88" s="98"/>
      <c r="T88" s="98"/>
      <c r="U88" s="98"/>
      <c r="V88" s="98"/>
      <c r="W88" s="98"/>
      <c r="X88" s="98"/>
      <c r="Y88" s="98"/>
      <c r="Z88" s="98"/>
    </row>
    <row r="89" spans="1:26" ht="15.75" customHeight="1">
      <c r="A89" s="317">
        <v>44649</v>
      </c>
      <c r="B89" s="510">
        <f t="shared" si="0"/>
        <v>44649</v>
      </c>
      <c r="C89" s="509">
        <v>355.47</v>
      </c>
      <c r="D89" s="509">
        <v>0</v>
      </c>
      <c r="E89" s="509">
        <f t="shared" si="1"/>
        <v>355.47</v>
      </c>
      <c r="F89" s="98"/>
      <c r="G89" s="507"/>
      <c r="H89" s="507"/>
      <c r="I89" s="507"/>
      <c r="J89" s="507"/>
      <c r="K89" s="507"/>
      <c r="L89" s="98"/>
      <c r="M89" s="98"/>
      <c r="N89" s="98"/>
      <c r="O89" s="98"/>
      <c r="P89" s="98"/>
      <c r="Q89" s="98"/>
      <c r="R89" s="98"/>
      <c r="S89" s="98"/>
      <c r="T89" s="98"/>
      <c r="U89" s="98"/>
      <c r="V89" s="98"/>
      <c r="W89" s="98"/>
      <c r="X89" s="98"/>
      <c r="Y89" s="98"/>
      <c r="Z89" s="98"/>
    </row>
    <row r="90" spans="1:26" ht="15.75" customHeight="1">
      <c r="A90" s="317">
        <v>44650</v>
      </c>
      <c r="B90" s="510">
        <f t="shared" si="0"/>
        <v>44650</v>
      </c>
      <c r="C90" s="509">
        <v>704.31</v>
      </c>
      <c r="D90" s="509">
        <v>257.06999999999971</v>
      </c>
      <c r="E90" s="509">
        <f t="shared" si="1"/>
        <v>961.37999999999965</v>
      </c>
      <c r="F90" s="98"/>
      <c r="G90" s="507"/>
      <c r="H90" s="507"/>
      <c r="I90" s="507"/>
      <c r="J90" s="507"/>
      <c r="K90" s="507"/>
      <c r="L90" s="98"/>
      <c r="M90" s="98"/>
      <c r="N90" s="98"/>
      <c r="O90" s="98"/>
      <c r="P90" s="98"/>
      <c r="Q90" s="98"/>
      <c r="R90" s="98"/>
      <c r="S90" s="98"/>
      <c r="T90" s="98"/>
      <c r="U90" s="98"/>
      <c r="V90" s="98"/>
      <c r="W90" s="98"/>
      <c r="X90" s="98"/>
      <c r="Y90" s="98"/>
      <c r="Z90" s="98"/>
    </row>
    <row r="91" spans="1:26" ht="15.75" customHeight="1">
      <c r="A91" s="317">
        <v>44651</v>
      </c>
      <c r="B91" s="510">
        <f t="shared" si="0"/>
        <v>44651</v>
      </c>
      <c r="C91" s="509">
        <v>2012.41</v>
      </c>
      <c r="D91" s="509">
        <v>0</v>
      </c>
      <c r="E91" s="509">
        <f t="shared" si="1"/>
        <v>2012.41</v>
      </c>
      <c r="F91" s="98"/>
      <c r="G91" s="507"/>
      <c r="H91" s="507"/>
      <c r="I91" s="507"/>
      <c r="J91" s="507"/>
      <c r="K91" s="507"/>
      <c r="L91" s="98"/>
      <c r="M91" s="98"/>
      <c r="N91" s="98"/>
      <c r="O91" s="98"/>
      <c r="P91" s="98"/>
      <c r="Q91" s="98"/>
      <c r="R91" s="98"/>
      <c r="S91" s="98"/>
      <c r="T91" s="98"/>
      <c r="U91" s="98"/>
      <c r="V91" s="98"/>
      <c r="W91" s="98"/>
      <c r="X91" s="98"/>
      <c r="Y91" s="98"/>
      <c r="Z91" s="98"/>
    </row>
    <row r="92" spans="1:26" ht="15.75" customHeight="1">
      <c r="A92" s="317">
        <v>44652</v>
      </c>
      <c r="B92" s="510">
        <f t="shared" si="0"/>
        <v>44652</v>
      </c>
      <c r="C92" s="509">
        <v>804.83</v>
      </c>
      <c r="D92" s="509">
        <v>3958.0699999999997</v>
      </c>
      <c r="E92" s="509">
        <f t="shared" si="1"/>
        <v>4762.8999999999996</v>
      </c>
      <c r="F92" s="98"/>
      <c r="G92" s="507"/>
      <c r="H92" s="507"/>
      <c r="I92" s="507"/>
      <c r="J92" s="507"/>
      <c r="K92" s="507"/>
      <c r="L92" s="98"/>
      <c r="M92" s="98"/>
      <c r="N92" s="98"/>
      <c r="O92" s="98"/>
      <c r="P92" s="98"/>
      <c r="Q92" s="98"/>
      <c r="R92" s="98"/>
      <c r="S92" s="98"/>
      <c r="T92" s="98"/>
      <c r="U92" s="98"/>
      <c r="V92" s="98"/>
      <c r="W92" s="98"/>
      <c r="X92" s="98"/>
      <c r="Y92" s="98"/>
      <c r="Z92" s="98"/>
    </row>
    <row r="93" spans="1:26" ht="15.75" customHeight="1">
      <c r="A93" s="317">
        <v>44656</v>
      </c>
      <c r="B93" s="510">
        <f t="shared" si="0"/>
        <v>44656</v>
      </c>
      <c r="C93" s="509">
        <v>0</v>
      </c>
      <c r="D93" s="509">
        <v>289.06999999999971</v>
      </c>
      <c r="E93" s="509">
        <f t="shared" si="1"/>
        <v>289.06999999999971</v>
      </c>
      <c r="F93" s="98"/>
      <c r="G93" s="507"/>
      <c r="H93" s="507"/>
      <c r="I93" s="507"/>
      <c r="J93" s="507"/>
      <c r="K93" s="507"/>
      <c r="L93" s="98"/>
      <c r="M93" s="98"/>
      <c r="N93" s="98"/>
      <c r="O93" s="98"/>
      <c r="P93" s="98"/>
      <c r="Q93" s="98"/>
      <c r="R93" s="98"/>
      <c r="S93" s="98"/>
      <c r="T93" s="98"/>
      <c r="U93" s="98"/>
      <c r="V93" s="98"/>
      <c r="W93" s="98"/>
      <c r="X93" s="98"/>
      <c r="Y93" s="98"/>
      <c r="Z93" s="98"/>
    </row>
    <row r="94" spans="1:26" ht="15.75" customHeight="1">
      <c r="A94" s="317">
        <v>44657</v>
      </c>
      <c r="B94" s="510">
        <f t="shared" si="0"/>
        <v>44657</v>
      </c>
      <c r="C94" s="509">
        <v>866</v>
      </c>
      <c r="D94" s="509">
        <v>0</v>
      </c>
      <c r="E94" s="509">
        <f t="shared" si="1"/>
        <v>866</v>
      </c>
      <c r="F94" s="98"/>
      <c r="G94" s="507"/>
      <c r="H94" s="507"/>
      <c r="I94" s="507"/>
      <c r="J94" s="507"/>
      <c r="K94" s="507"/>
      <c r="L94" s="98"/>
      <c r="M94" s="98"/>
      <c r="N94" s="98"/>
      <c r="O94" s="98"/>
      <c r="P94" s="98"/>
      <c r="Q94" s="98"/>
      <c r="R94" s="98"/>
      <c r="S94" s="98"/>
      <c r="T94" s="98"/>
      <c r="U94" s="98"/>
      <c r="V94" s="98"/>
      <c r="W94" s="98"/>
      <c r="X94" s="98"/>
      <c r="Y94" s="98"/>
      <c r="Z94" s="98"/>
    </row>
    <row r="95" spans="1:26" ht="15.75" customHeight="1">
      <c r="A95" s="317">
        <v>44658</v>
      </c>
      <c r="B95" s="510">
        <f t="shared" si="0"/>
        <v>44658</v>
      </c>
      <c r="C95" s="509">
        <v>2055.1299999999974</v>
      </c>
      <c r="D95" s="509">
        <v>0</v>
      </c>
      <c r="E95" s="509">
        <f t="shared" si="1"/>
        <v>2055.1299999999974</v>
      </c>
      <c r="F95" s="98"/>
      <c r="G95" s="507"/>
      <c r="H95" s="507"/>
      <c r="I95" s="507"/>
      <c r="J95" s="507"/>
      <c r="K95" s="507"/>
      <c r="L95" s="98"/>
      <c r="M95" s="98"/>
      <c r="N95" s="98"/>
      <c r="O95" s="98"/>
      <c r="P95" s="98"/>
      <c r="Q95" s="98"/>
      <c r="R95" s="98"/>
      <c r="S95" s="98"/>
      <c r="T95" s="98"/>
      <c r="U95" s="98"/>
      <c r="V95" s="98"/>
      <c r="W95" s="98"/>
      <c r="X95" s="98"/>
      <c r="Y95" s="98"/>
      <c r="Z95" s="98"/>
    </row>
    <row r="96" spans="1:26" ht="15.75" customHeight="1">
      <c r="A96" s="317">
        <v>44659</v>
      </c>
      <c r="B96" s="510">
        <f t="shared" si="0"/>
        <v>44659</v>
      </c>
      <c r="C96" s="509">
        <v>806.41</v>
      </c>
      <c r="D96" s="509">
        <v>0</v>
      </c>
      <c r="E96" s="509">
        <f t="shared" si="1"/>
        <v>806.41</v>
      </c>
      <c r="F96" s="98"/>
      <c r="G96" s="507"/>
      <c r="H96" s="507"/>
      <c r="I96" s="507"/>
      <c r="J96" s="507"/>
      <c r="K96" s="507"/>
      <c r="L96" s="98"/>
      <c r="M96" s="98"/>
      <c r="N96" s="98"/>
      <c r="O96" s="98"/>
      <c r="P96" s="98"/>
      <c r="Q96" s="98"/>
      <c r="R96" s="98"/>
      <c r="S96" s="98"/>
      <c r="T96" s="98"/>
      <c r="U96" s="98"/>
      <c r="V96" s="98"/>
      <c r="W96" s="98"/>
      <c r="X96" s="98"/>
      <c r="Y96" s="98"/>
      <c r="Z96" s="98"/>
    </row>
    <row r="97" spans="1:26" ht="15.75" customHeight="1">
      <c r="A97" s="317">
        <v>44662</v>
      </c>
      <c r="B97" s="510">
        <f t="shared" si="0"/>
        <v>44662</v>
      </c>
      <c r="C97" s="509">
        <v>0</v>
      </c>
      <c r="D97" s="509">
        <v>11609.07</v>
      </c>
      <c r="E97" s="509">
        <f t="shared" si="1"/>
        <v>11609.07</v>
      </c>
      <c r="F97" s="98"/>
      <c r="G97" s="507"/>
      <c r="H97" s="507"/>
      <c r="I97" s="507"/>
      <c r="J97" s="507"/>
      <c r="K97" s="507"/>
      <c r="L97" s="98"/>
      <c r="M97" s="98"/>
      <c r="N97" s="98"/>
      <c r="O97" s="98"/>
      <c r="P97" s="98"/>
      <c r="Q97" s="98"/>
      <c r="R97" s="98"/>
      <c r="S97" s="98"/>
      <c r="T97" s="98"/>
      <c r="U97" s="98"/>
      <c r="V97" s="98"/>
      <c r="W97" s="98"/>
      <c r="X97" s="98"/>
      <c r="Y97" s="98"/>
      <c r="Z97" s="98"/>
    </row>
    <row r="98" spans="1:26" ht="15.75" customHeight="1">
      <c r="A98" s="317">
        <v>44663</v>
      </c>
      <c r="B98" s="510">
        <f t="shared" si="0"/>
        <v>44663</v>
      </c>
      <c r="C98" s="509">
        <v>1846.8300000000017</v>
      </c>
      <c r="D98" s="509">
        <v>3407</v>
      </c>
      <c r="E98" s="509">
        <f t="shared" si="1"/>
        <v>5253.8300000000017</v>
      </c>
      <c r="F98" s="98"/>
      <c r="G98" s="507"/>
      <c r="H98" s="507"/>
      <c r="I98" s="507"/>
      <c r="J98" s="507"/>
      <c r="K98" s="507"/>
      <c r="L98" s="98"/>
      <c r="M98" s="98"/>
      <c r="N98" s="98"/>
      <c r="O98" s="98"/>
      <c r="P98" s="98"/>
      <c r="Q98" s="98"/>
      <c r="R98" s="98"/>
      <c r="S98" s="98"/>
      <c r="T98" s="98"/>
      <c r="U98" s="98"/>
      <c r="V98" s="98"/>
      <c r="W98" s="98"/>
      <c r="X98" s="98"/>
      <c r="Y98" s="98"/>
      <c r="Z98" s="98"/>
    </row>
    <row r="99" spans="1:26" ht="15.75" customHeight="1">
      <c r="A99" s="317">
        <v>44664</v>
      </c>
      <c r="B99" s="510">
        <f t="shared" si="0"/>
        <v>44664</v>
      </c>
      <c r="C99" s="509">
        <v>1427.4700000000012</v>
      </c>
      <c r="D99" s="509">
        <v>0</v>
      </c>
      <c r="E99" s="509">
        <f t="shared" si="1"/>
        <v>1427.4700000000012</v>
      </c>
      <c r="F99" s="98"/>
      <c r="G99" s="507"/>
      <c r="H99" s="507"/>
      <c r="I99" s="507"/>
      <c r="J99" s="507"/>
      <c r="K99" s="507"/>
      <c r="L99" s="98"/>
      <c r="M99" s="98"/>
      <c r="N99" s="98"/>
      <c r="O99" s="98"/>
      <c r="P99" s="98"/>
      <c r="Q99" s="98"/>
      <c r="R99" s="98"/>
      <c r="S99" s="98"/>
      <c r="T99" s="98"/>
      <c r="U99" s="98"/>
      <c r="V99" s="98"/>
      <c r="W99" s="98"/>
      <c r="X99" s="98"/>
      <c r="Y99" s="98"/>
      <c r="Z99" s="98"/>
    </row>
    <row r="100" spans="1:26" ht="15.75" customHeight="1">
      <c r="A100" s="317">
        <v>44669</v>
      </c>
      <c r="B100" s="510">
        <f t="shared" si="0"/>
        <v>44669</v>
      </c>
      <c r="C100" s="509">
        <v>0</v>
      </c>
      <c r="D100" s="509">
        <v>1235.0699999999997</v>
      </c>
      <c r="E100" s="509">
        <f t="shared" si="1"/>
        <v>1235.0699999999997</v>
      </c>
      <c r="F100" s="98"/>
      <c r="G100" s="507"/>
      <c r="H100" s="507"/>
      <c r="I100" s="507"/>
      <c r="J100" s="507"/>
      <c r="K100" s="507"/>
      <c r="L100" s="98"/>
      <c r="M100" s="98"/>
      <c r="N100" s="98"/>
      <c r="O100" s="98"/>
      <c r="P100" s="98"/>
      <c r="Q100" s="98"/>
      <c r="R100" s="98"/>
      <c r="S100" s="98"/>
      <c r="T100" s="98"/>
      <c r="U100" s="98"/>
      <c r="V100" s="98"/>
      <c r="W100" s="98"/>
      <c r="X100" s="98"/>
      <c r="Y100" s="98"/>
      <c r="Z100" s="98"/>
    </row>
    <row r="101" spans="1:26" ht="15.75" customHeight="1">
      <c r="A101" s="317">
        <v>44670</v>
      </c>
      <c r="B101" s="510">
        <f t="shared" si="0"/>
        <v>44670</v>
      </c>
      <c r="C101" s="509">
        <v>489</v>
      </c>
      <c r="D101" s="509">
        <v>1951</v>
      </c>
      <c r="E101" s="509">
        <f t="shared" si="1"/>
        <v>2440</v>
      </c>
      <c r="F101" s="98"/>
      <c r="G101" s="507"/>
      <c r="H101" s="507"/>
      <c r="I101" s="507"/>
      <c r="J101" s="507"/>
      <c r="K101" s="507"/>
      <c r="L101" s="98"/>
      <c r="M101" s="98"/>
      <c r="N101" s="98"/>
      <c r="O101" s="98"/>
      <c r="P101" s="98"/>
      <c r="Q101" s="98"/>
      <c r="R101" s="98"/>
      <c r="S101" s="98"/>
      <c r="T101" s="98"/>
      <c r="U101" s="98"/>
      <c r="V101" s="98"/>
      <c r="W101" s="98"/>
      <c r="X101" s="98"/>
      <c r="Y101" s="98"/>
      <c r="Z101" s="98"/>
    </row>
    <row r="102" spans="1:26" ht="15.75" customHeight="1">
      <c r="A102" s="317">
        <v>44671</v>
      </c>
      <c r="B102" s="510">
        <f t="shared" si="0"/>
        <v>44671</v>
      </c>
      <c r="C102" s="509">
        <v>278.54000000000002</v>
      </c>
      <c r="D102" s="509">
        <v>722.06999999999971</v>
      </c>
      <c r="E102" s="509">
        <f t="shared" si="1"/>
        <v>1000.6099999999997</v>
      </c>
      <c r="F102" s="98"/>
      <c r="G102" s="507"/>
      <c r="H102" s="507"/>
      <c r="I102" s="507"/>
      <c r="J102" s="507"/>
      <c r="K102" s="507"/>
      <c r="L102" s="98"/>
      <c r="M102" s="98"/>
      <c r="N102" s="98"/>
      <c r="O102" s="98"/>
      <c r="P102" s="98"/>
      <c r="Q102" s="98"/>
      <c r="R102" s="98"/>
      <c r="S102" s="98"/>
      <c r="T102" s="98"/>
      <c r="U102" s="98"/>
      <c r="V102" s="98"/>
      <c r="W102" s="98"/>
      <c r="X102" s="98"/>
      <c r="Y102" s="98"/>
      <c r="Z102" s="98"/>
    </row>
    <row r="103" spans="1:26" ht="15.75" customHeight="1">
      <c r="A103" s="317">
        <v>44672</v>
      </c>
      <c r="B103" s="510">
        <f t="shared" si="0"/>
        <v>44672</v>
      </c>
      <c r="C103" s="509">
        <v>761.97</v>
      </c>
      <c r="D103" s="509">
        <v>306.07</v>
      </c>
      <c r="E103" s="509">
        <f t="shared" si="1"/>
        <v>1068.04</v>
      </c>
      <c r="F103" s="98"/>
      <c r="G103" s="507"/>
      <c r="H103" s="507"/>
      <c r="I103" s="507"/>
      <c r="J103" s="507"/>
      <c r="K103" s="507"/>
      <c r="L103" s="98"/>
      <c r="M103" s="98"/>
      <c r="N103" s="98"/>
      <c r="O103" s="98"/>
      <c r="P103" s="98"/>
      <c r="Q103" s="98"/>
      <c r="R103" s="98"/>
      <c r="S103" s="98"/>
      <c r="T103" s="98"/>
      <c r="U103" s="98"/>
      <c r="V103" s="98"/>
      <c r="W103" s="98"/>
      <c r="X103" s="98"/>
      <c r="Y103" s="98"/>
      <c r="Z103" s="98"/>
    </row>
    <row r="104" spans="1:26" ht="15.75" customHeight="1">
      <c r="A104" s="317">
        <v>44673</v>
      </c>
      <c r="B104" s="510">
        <f t="shared" si="0"/>
        <v>44673</v>
      </c>
      <c r="C104" s="509">
        <v>537.89</v>
      </c>
      <c r="D104" s="509">
        <v>438</v>
      </c>
      <c r="E104" s="509">
        <f t="shared" si="1"/>
        <v>975.89</v>
      </c>
      <c r="F104" s="98"/>
      <c r="G104" s="507"/>
      <c r="H104" s="507"/>
      <c r="I104" s="507"/>
      <c r="J104" s="507"/>
      <c r="K104" s="507"/>
      <c r="L104" s="98"/>
      <c r="M104" s="98"/>
      <c r="N104" s="98"/>
      <c r="O104" s="98"/>
      <c r="P104" s="98"/>
      <c r="Q104" s="98"/>
      <c r="R104" s="98"/>
      <c r="S104" s="98"/>
      <c r="T104" s="98"/>
      <c r="U104" s="98"/>
      <c r="V104" s="98"/>
      <c r="W104" s="98"/>
      <c r="X104" s="98"/>
      <c r="Y104" s="98"/>
      <c r="Z104" s="98"/>
    </row>
    <row r="105" spans="1:26" ht="15.75" customHeight="1">
      <c r="A105" s="317">
        <v>44676</v>
      </c>
      <c r="B105" s="510">
        <f t="shared" si="0"/>
        <v>44676</v>
      </c>
      <c r="C105" s="509">
        <v>1188</v>
      </c>
      <c r="D105" s="509">
        <v>0</v>
      </c>
      <c r="E105" s="509">
        <f t="shared" si="1"/>
        <v>1188</v>
      </c>
      <c r="F105" s="98"/>
      <c r="G105" s="507"/>
      <c r="H105" s="507"/>
      <c r="I105" s="507"/>
      <c r="J105" s="507"/>
      <c r="K105" s="507"/>
      <c r="L105" s="98"/>
      <c r="M105" s="98"/>
      <c r="N105" s="98"/>
      <c r="O105" s="98"/>
      <c r="P105" s="98"/>
      <c r="Q105" s="98"/>
      <c r="R105" s="98"/>
      <c r="S105" s="98"/>
      <c r="T105" s="98"/>
      <c r="U105" s="98"/>
      <c r="V105" s="98"/>
      <c r="W105" s="98"/>
      <c r="X105" s="98"/>
      <c r="Y105" s="98"/>
      <c r="Z105" s="98"/>
    </row>
    <row r="106" spans="1:26" ht="15.75" customHeight="1">
      <c r="A106" s="317">
        <v>44677</v>
      </c>
      <c r="B106" s="510">
        <f t="shared" si="0"/>
        <v>44677</v>
      </c>
      <c r="C106" s="509">
        <v>1506</v>
      </c>
      <c r="D106" s="509">
        <v>857.06999999999971</v>
      </c>
      <c r="E106" s="509">
        <f t="shared" si="1"/>
        <v>2363.0699999999997</v>
      </c>
      <c r="F106" s="98"/>
      <c r="G106" s="507"/>
      <c r="H106" s="507"/>
      <c r="I106" s="507"/>
      <c r="J106" s="507"/>
      <c r="K106" s="507"/>
      <c r="L106" s="98"/>
      <c r="M106" s="98"/>
      <c r="N106" s="98"/>
      <c r="O106" s="98"/>
      <c r="P106" s="98"/>
      <c r="Q106" s="98"/>
      <c r="R106" s="98"/>
      <c r="S106" s="98"/>
      <c r="T106" s="98"/>
      <c r="U106" s="98"/>
      <c r="V106" s="98"/>
      <c r="W106" s="98"/>
      <c r="X106" s="98"/>
      <c r="Y106" s="98"/>
      <c r="Z106" s="98"/>
    </row>
    <row r="107" spans="1:26" ht="15.75" customHeight="1">
      <c r="A107" s="317">
        <v>44678</v>
      </c>
      <c r="B107" s="510">
        <f t="shared" si="0"/>
        <v>44678</v>
      </c>
      <c r="C107" s="509">
        <v>505.19</v>
      </c>
      <c r="D107" s="509">
        <v>0</v>
      </c>
      <c r="E107" s="509">
        <f t="shared" si="1"/>
        <v>505.19</v>
      </c>
      <c r="F107" s="98"/>
      <c r="G107" s="507"/>
      <c r="H107" s="507"/>
      <c r="I107" s="507"/>
      <c r="J107" s="507"/>
      <c r="K107" s="507"/>
      <c r="L107" s="98"/>
      <c r="M107" s="98"/>
      <c r="N107" s="98"/>
      <c r="O107" s="98"/>
      <c r="P107" s="98"/>
      <c r="Q107" s="98"/>
      <c r="R107" s="98"/>
      <c r="S107" s="98"/>
      <c r="T107" s="98"/>
      <c r="U107" s="98"/>
      <c r="V107" s="98"/>
      <c r="W107" s="98"/>
      <c r="X107" s="98"/>
      <c r="Y107" s="98"/>
      <c r="Z107" s="98"/>
    </row>
    <row r="108" spans="1:26" ht="15.75" customHeight="1">
      <c r="A108" s="317">
        <v>44679</v>
      </c>
      <c r="B108" s="510">
        <f t="shared" si="0"/>
        <v>44679</v>
      </c>
      <c r="C108" s="509">
        <v>5248.4400000000023</v>
      </c>
      <c r="D108" s="509">
        <v>0</v>
      </c>
      <c r="E108" s="509">
        <f t="shared" si="1"/>
        <v>5248.4400000000023</v>
      </c>
      <c r="F108" s="98"/>
      <c r="G108" s="507"/>
      <c r="H108" s="507"/>
      <c r="I108" s="507"/>
      <c r="J108" s="507"/>
      <c r="K108" s="507"/>
      <c r="L108" s="98"/>
      <c r="M108" s="98"/>
      <c r="N108" s="98"/>
      <c r="O108" s="98"/>
      <c r="P108" s="98"/>
      <c r="Q108" s="98"/>
      <c r="R108" s="98"/>
      <c r="S108" s="98"/>
      <c r="T108" s="98"/>
      <c r="U108" s="98"/>
      <c r="V108" s="98"/>
      <c r="W108" s="98"/>
      <c r="X108" s="98"/>
      <c r="Y108" s="98"/>
      <c r="Z108" s="98"/>
    </row>
    <row r="109" spans="1:26" ht="15.75" customHeight="1">
      <c r="A109" s="317">
        <v>44680</v>
      </c>
      <c r="B109" s="510">
        <f t="shared" si="0"/>
        <v>44680</v>
      </c>
      <c r="C109" s="509">
        <v>3945.0500000000029</v>
      </c>
      <c r="D109" s="509">
        <v>0</v>
      </c>
      <c r="E109" s="509">
        <f t="shared" si="1"/>
        <v>3945.0500000000029</v>
      </c>
      <c r="F109" s="98"/>
      <c r="G109" s="507"/>
      <c r="H109" s="507"/>
      <c r="I109" s="507"/>
      <c r="J109" s="507"/>
      <c r="K109" s="507"/>
      <c r="L109" s="98"/>
      <c r="M109" s="98"/>
      <c r="N109" s="98"/>
      <c r="O109" s="98"/>
      <c r="P109" s="98"/>
      <c r="Q109" s="98"/>
      <c r="R109" s="98"/>
      <c r="S109" s="98"/>
      <c r="T109" s="98"/>
      <c r="U109" s="98"/>
      <c r="V109" s="98"/>
      <c r="W109" s="98"/>
      <c r="X109" s="98"/>
      <c r="Y109" s="98"/>
      <c r="Z109" s="98"/>
    </row>
    <row r="110" spans="1:26" ht="15.75" customHeight="1">
      <c r="A110" s="317">
        <v>44683</v>
      </c>
      <c r="B110" s="510">
        <f t="shared" si="0"/>
        <v>44683</v>
      </c>
      <c r="C110" s="509">
        <v>3014</v>
      </c>
      <c r="D110" s="509">
        <v>1491.0000000000036</v>
      </c>
      <c r="E110" s="509">
        <f t="shared" si="1"/>
        <v>4505.0000000000036</v>
      </c>
      <c r="F110" s="98"/>
      <c r="G110" s="507"/>
      <c r="H110" s="507"/>
      <c r="I110" s="507"/>
      <c r="J110" s="507"/>
      <c r="K110" s="507"/>
      <c r="L110" s="98"/>
      <c r="M110" s="98"/>
      <c r="N110" s="98"/>
      <c r="O110" s="98"/>
      <c r="P110" s="98"/>
      <c r="Q110" s="98"/>
      <c r="R110" s="98"/>
      <c r="S110" s="98"/>
      <c r="T110" s="98"/>
      <c r="U110" s="98"/>
      <c r="V110" s="98"/>
      <c r="W110" s="98"/>
      <c r="X110" s="98"/>
      <c r="Y110" s="98"/>
      <c r="Z110" s="98"/>
    </row>
    <row r="111" spans="1:26" ht="15.75" customHeight="1">
      <c r="A111" s="317">
        <v>44685</v>
      </c>
      <c r="B111" s="510">
        <f t="shared" si="0"/>
        <v>44685</v>
      </c>
      <c r="C111" s="509">
        <v>4645.3</v>
      </c>
      <c r="D111" s="509">
        <v>1061.0699999999997</v>
      </c>
      <c r="E111" s="509">
        <f t="shared" si="1"/>
        <v>5706.37</v>
      </c>
      <c r="F111" s="98"/>
      <c r="G111" s="507"/>
      <c r="H111" s="507"/>
      <c r="I111" s="507"/>
      <c r="J111" s="507"/>
      <c r="K111" s="507"/>
      <c r="L111" s="98"/>
      <c r="M111" s="98"/>
      <c r="N111" s="98"/>
      <c r="O111" s="98"/>
      <c r="P111" s="98"/>
      <c r="Q111" s="98"/>
      <c r="R111" s="98"/>
      <c r="S111" s="98"/>
      <c r="T111" s="98"/>
      <c r="U111" s="98"/>
      <c r="V111" s="98"/>
      <c r="W111" s="98"/>
      <c r="X111" s="98"/>
      <c r="Y111" s="98"/>
      <c r="Z111" s="98"/>
    </row>
    <row r="112" spans="1:26" ht="15.75" customHeight="1">
      <c r="A112" s="317">
        <v>44686</v>
      </c>
      <c r="B112" s="510">
        <f t="shared" si="0"/>
        <v>44686</v>
      </c>
      <c r="C112" s="509">
        <v>5676.71</v>
      </c>
      <c r="D112" s="509">
        <v>1372.0699999999924</v>
      </c>
      <c r="E112" s="509">
        <f t="shared" si="1"/>
        <v>7048.7799999999925</v>
      </c>
      <c r="F112" s="98"/>
      <c r="G112" s="507"/>
      <c r="H112" s="507"/>
      <c r="I112" s="507"/>
      <c r="J112" s="507"/>
      <c r="K112" s="507"/>
      <c r="L112" s="98"/>
      <c r="M112" s="98"/>
      <c r="N112" s="98"/>
      <c r="O112" s="98"/>
      <c r="P112" s="98"/>
      <c r="Q112" s="98"/>
      <c r="R112" s="98"/>
      <c r="S112" s="98"/>
      <c r="T112" s="98"/>
      <c r="U112" s="98"/>
      <c r="V112" s="98"/>
      <c r="W112" s="98"/>
      <c r="X112" s="98"/>
      <c r="Y112" s="98"/>
      <c r="Z112" s="98"/>
    </row>
    <row r="113" spans="1:26" ht="15.75" customHeight="1">
      <c r="A113" s="317">
        <v>44687</v>
      </c>
      <c r="B113" s="510">
        <f t="shared" si="0"/>
        <v>44687</v>
      </c>
      <c r="C113" s="509">
        <v>1934.3600000000006</v>
      </c>
      <c r="D113" s="509">
        <v>6736</v>
      </c>
      <c r="E113" s="509">
        <f t="shared" si="1"/>
        <v>8670.36</v>
      </c>
      <c r="F113" s="98"/>
      <c r="G113" s="507"/>
      <c r="H113" s="507"/>
      <c r="I113" s="507"/>
      <c r="J113" s="507"/>
      <c r="K113" s="507"/>
      <c r="L113" s="98"/>
      <c r="M113" s="98"/>
      <c r="N113" s="98"/>
      <c r="O113" s="98"/>
      <c r="P113" s="98"/>
      <c r="Q113" s="98"/>
      <c r="R113" s="98"/>
      <c r="S113" s="98"/>
      <c r="T113" s="98"/>
      <c r="U113" s="98"/>
      <c r="V113" s="98"/>
      <c r="W113" s="98"/>
      <c r="X113" s="98"/>
      <c r="Y113" s="98"/>
      <c r="Z113" s="98"/>
    </row>
    <row r="114" spans="1:26" ht="15.75" customHeight="1">
      <c r="A114" s="317">
        <v>44690</v>
      </c>
      <c r="B114" s="510">
        <f t="shared" si="0"/>
        <v>44690</v>
      </c>
      <c r="C114" s="509">
        <v>1748.45</v>
      </c>
      <c r="D114" s="509">
        <v>1528.07</v>
      </c>
      <c r="E114" s="509">
        <f t="shared" si="1"/>
        <v>3276.52</v>
      </c>
      <c r="F114" s="98"/>
      <c r="G114" s="507"/>
      <c r="H114" s="507"/>
      <c r="I114" s="507"/>
      <c r="J114" s="507"/>
      <c r="K114" s="507"/>
      <c r="L114" s="98"/>
      <c r="M114" s="98"/>
      <c r="N114" s="98"/>
      <c r="O114" s="98"/>
      <c r="P114" s="98"/>
      <c r="Q114" s="98"/>
      <c r="R114" s="98"/>
      <c r="S114" s="98"/>
      <c r="T114" s="98"/>
      <c r="U114" s="98"/>
      <c r="V114" s="98"/>
      <c r="W114" s="98"/>
      <c r="X114" s="98"/>
      <c r="Y114" s="98"/>
      <c r="Z114" s="98"/>
    </row>
    <row r="115" spans="1:26" ht="15.75" customHeight="1">
      <c r="A115" s="317">
        <v>44691</v>
      </c>
      <c r="B115" s="510">
        <f t="shared" si="0"/>
        <v>44691</v>
      </c>
      <c r="C115" s="509">
        <v>2503.46</v>
      </c>
      <c r="D115" s="509">
        <v>0</v>
      </c>
      <c r="E115" s="509">
        <f t="shared" si="1"/>
        <v>2503.46</v>
      </c>
      <c r="F115" s="98"/>
      <c r="G115" s="507"/>
      <c r="H115" s="507"/>
      <c r="I115" s="507"/>
      <c r="J115" s="507"/>
      <c r="K115" s="507"/>
      <c r="L115" s="98"/>
      <c r="M115" s="98"/>
      <c r="N115" s="98"/>
      <c r="O115" s="98"/>
      <c r="P115" s="98"/>
      <c r="Q115" s="98"/>
      <c r="R115" s="98"/>
      <c r="S115" s="98"/>
      <c r="T115" s="98"/>
      <c r="U115" s="98"/>
      <c r="V115" s="98"/>
      <c r="W115" s="98"/>
      <c r="X115" s="98"/>
      <c r="Y115" s="98"/>
      <c r="Z115" s="98"/>
    </row>
    <row r="116" spans="1:26" ht="15.75" customHeight="1">
      <c r="A116" s="317">
        <v>44692</v>
      </c>
      <c r="B116" s="510">
        <f t="shared" si="0"/>
        <v>44692</v>
      </c>
      <c r="C116" s="509">
        <v>2978.78</v>
      </c>
      <c r="D116" s="509">
        <v>0</v>
      </c>
      <c r="E116" s="509">
        <f t="shared" si="1"/>
        <v>2978.78</v>
      </c>
      <c r="F116" s="98"/>
      <c r="G116" s="507"/>
      <c r="H116" s="507"/>
      <c r="I116" s="507"/>
      <c r="J116" s="507"/>
      <c r="K116" s="507"/>
      <c r="L116" s="98"/>
      <c r="M116" s="98"/>
      <c r="N116" s="98"/>
      <c r="O116" s="98"/>
      <c r="P116" s="98"/>
      <c r="Q116" s="98"/>
      <c r="R116" s="98"/>
      <c r="S116" s="98"/>
      <c r="T116" s="98"/>
      <c r="U116" s="98"/>
      <c r="V116" s="98"/>
      <c r="W116" s="98"/>
      <c r="X116" s="98"/>
      <c r="Y116" s="98"/>
      <c r="Z116" s="98"/>
    </row>
    <row r="117" spans="1:26" ht="15.75" customHeight="1">
      <c r="A117" s="317">
        <v>44693</v>
      </c>
      <c r="B117" s="510">
        <f t="shared" si="0"/>
        <v>44693</v>
      </c>
      <c r="C117" s="509">
        <v>2291.6199999999953</v>
      </c>
      <c r="D117" s="509">
        <v>130.06999999999971</v>
      </c>
      <c r="E117" s="509">
        <f t="shared" si="1"/>
        <v>2421.6899999999951</v>
      </c>
      <c r="F117" s="98"/>
      <c r="G117" s="507"/>
      <c r="H117" s="507"/>
      <c r="I117" s="507"/>
      <c r="J117" s="507"/>
      <c r="K117" s="507"/>
      <c r="L117" s="98"/>
      <c r="M117" s="98"/>
      <c r="N117" s="98"/>
      <c r="O117" s="98"/>
      <c r="P117" s="98"/>
      <c r="Q117" s="98"/>
      <c r="R117" s="98"/>
      <c r="S117" s="98"/>
      <c r="T117" s="98"/>
      <c r="U117" s="98"/>
      <c r="V117" s="98"/>
      <c r="W117" s="98"/>
      <c r="X117" s="98"/>
      <c r="Y117" s="98"/>
      <c r="Z117" s="98"/>
    </row>
    <row r="118" spans="1:26" ht="15.75" customHeight="1">
      <c r="A118" s="317">
        <v>44694</v>
      </c>
      <c r="B118" s="510">
        <f t="shared" si="0"/>
        <v>44694</v>
      </c>
      <c r="C118" s="509">
        <v>28.62</v>
      </c>
      <c r="D118" s="509">
        <v>619</v>
      </c>
      <c r="E118" s="509">
        <f t="shared" si="1"/>
        <v>647.62</v>
      </c>
      <c r="F118" s="98"/>
      <c r="G118" s="507"/>
      <c r="H118" s="507"/>
      <c r="I118" s="507"/>
      <c r="J118" s="507"/>
      <c r="K118" s="507"/>
      <c r="L118" s="98"/>
      <c r="M118" s="98"/>
      <c r="N118" s="98"/>
      <c r="O118" s="98"/>
      <c r="P118" s="98"/>
      <c r="Q118" s="98"/>
      <c r="R118" s="98"/>
      <c r="S118" s="98"/>
      <c r="T118" s="98"/>
      <c r="U118" s="98"/>
      <c r="V118" s="98"/>
      <c r="W118" s="98"/>
      <c r="X118" s="98"/>
      <c r="Y118" s="98"/>
      <c r="Z118" s="98"/>
    </row>
    <row r="119" spans="1:26" ht="15.75" customHeight="1">
      <c r="A119" s="317">
        <v>44697</v>
      </c>
      <c r="B119" s="510">
        <f t="shared" si="0"/>
        <v>44697</v>
      </c>
      <c r="C119" s="509">
        <v>0</v>
      </c>
      <c r="D119" s="509">
        <v>1282</v>
      </c>
      <c r="E119" s="509">
        <f t="shared" si="1"/>
        <v>1282</v>
      </c>
      <c r="F119" s="98"/>
      <c r="G119" s="507"/>
      <c r="H119" s="507"/>
      <c r="I119" s="507"/>
      <c r="J119" s="507"/>
      <c r="K119" s="507"/>
      <c r="L119" s="98"/>
      <c r="M119" s="98"/>
      <c r="N119" s="98"/>
      <c r="O119" s="98"/>
      <c r="P119" s="98"/>
      <c r="Q119" s="98"/>
      <c r="R119" s="98"/>
      <c r="S119" s="98"/>
      <c r="T119" s="98"/>
      <c r="U119" s="98"/>
      <c r="V119" s="98"/>
      <c r="W119" s="98"/>
      <c r="X119" s="98"/>
      <c r="Y119" s="98"/>
      <c r="Z119" s="98"/>
    </row>
    <row r="120" spans="1:26" ht="15.75" customHeight="1">
      <c r="A120" s="317">
        <v>44698</v>
      </c>
      <c r="B120" s="510">
        <f t="shared" si="0"/>
        <v>44698</v>
      </c>
      <c r="C120" s="509">
        <v>293.83</v>
      </c>
      <c r="D120" s="509">
        <v>0</v>
      </c>
      <c r="E120" s="509">
        <f t="shared" si="1"/>
        <v>293.83</v>
      </c>
      <c r="F120" s="98"/>
      <c r="G120" s="507"/>
      <c r="H120" s="507"/>
      <c r="I120" s="507"/>
      <c r="J120" s="507"/>
      <c r="K120" s="507"/>
      <c r="L120" s="98"/>
      <c r="M120" s="98"/>
      <c r="N120" s="98"/>
      <c r="O120" s="98"/>
      <c r="P120" s="98"/>
      <c r="Q120" s="98"/>
      <c r="R120" s="98"/>
      <c r="S120" s="98"/>
      <c r="T120" s="98"/>
      <c r="U120" s="98"/>
      <c r="V120" s="98"/>
      <c r="W120" s="98"/>
      <c r="X120" s="98"/>
      <c r="Y120" s="98"/>
      <c r="Z120" s="98"/>
    </row>
    <row r="121" spans="1:26" ht="15.75" customHeight="1">
      <c r="A121" s="317">
        <v>44699</v>
      </c>
      <c r="B121" s="510">
        <f t="shared" si="0"/>
        <v>44699</v>
      </c>
      <c r="C121" s="509">
        <v>374.02</v>
      </c>
      <c r="D121" s="509">
        <v>0</v>
      </c>
      <c r="E121" s="509">
        <f t="shared" si="1"/>
        <v>374.02</v>
      </c>
      <c r="F121" s="98"/>
      <c r="G121" s="507"/>
      <c r="H121" s="507"/>
      <c r="I121" s="507"/>
      <c r="J121" s="507"/>
      <c r="K121" s="507"/>
      <c r="L121" s="98"/>
      <c r="M121" s="98"/>
      <c r="N121" s="98"/>
      <c r="O121" s="98"/>
      <c r="P121" s="98"/>
      <c r="Q121" s="98"/>
      <c r="R121" s="98"/>
      <c r="S121" s="98"/>
      <c r="T121" s="98"/>
      <c r="U121" s="98"/>
      <c r="V121" s="98"/>
      <c r="W121" s="98"/>
      <c r="X121" s="98"/>
      <c r="Y121" s="98"/>
      <c r="Z121" s="98"/>
    </row>
    <row r="122" spans="1:26" ht="15.75" customHeight="1">
      <c r="A122" s="317">
        <v>44700</v>
      </c>
      <c r="B122" s="510">
        <f t="shared" si="0"/>
        <v>44700</v>
      </c>
      <c r="C122" s="509">
        <v>485.33</v>
      </c>
      <c r="D122" s="509">
        <v>0</v>
      </c>
      <c r="E122" s="509">
        <f t="shared" si="1"/>
        <v>485.33</v>
      </c>
      <c r="F122" s="98"/>
      <c r="G122" s="507"/>
      <c r="H122" s="507"/>
      <c r="I122" s="507"/>
      <c r="J122" s="507"/>
      <c r="K122" s="507"/>
      <c r="L122" s="98"/>
      <c r="M122" s="98"/>
      <c r="N122" s="98"/>
      <c r="O122" s="98"/>
      <c r="P122" s="98"/>
      <c r="Q122" s="98"/>
      <c r="R122" s="98"/>
      <c r="S122" s="98"/>
      <c r="T122" s="98"/>
      <c r="U122" s="98"/>
      <c r="V122" s="98"/>
      <c r="W122" s="98"/>
      <c r="X122" s="98"/>
      <c r="Y122" s="98"/>
      <c r="Z122" s="98"/>
    </row>
    <row r="123" spans="1:26" ht="15.75" customHeight="1">
      <c r="A123" s="317">
        <v>44701</v>
      </c>
      <c r="B123" s="510">
        <f t="shared" si="0"/>
        <v>44701</v>
      </c>
      <c r="C123" s="509">
        <v>857.32</v>
      </c>
      <c r="D123" s="509">
        <v>640.06999999999971</v>
      </c>
      <c r="E123" s="509">
        <f t="shared" si="1"/>
        <v>1497.3899999999999</v>
      </c>
      <c r="F123" s="98"/>
      <c r="G123" s="507"/>
      <c r="H123" s="507"/>
      <c r="I123" s="507"/>
      <c r="J123" s="507"/>
      <c r="K123" s="507"/>
      <c r="L123" s="98"/>
      <c r="M123" s="98"/>
      <c r="N123" s="98"/>
      <c r="O123" s="98"/>
      <c r="P123" s="98"/>
      <c r="Q123" s="98"/>
      <c r="R123" s="98"/>
      <c r="S123" s="98"/>
      <c r="T123" s="98"/>
      <c r="U123" s="98"/>
      <c r="V123" s="98"/>
      <c r="W123" s="98"/>
      <c r="X123" s="98"/>
      <c r="Y123" s="98"/>
      <c r="Z123" s="98"/>
    </row>
    <row r="124" spans="1:26" ht="15.75" customHeight="1">
      <c r="A124" s="317">
        <v>44704</v>
      </c>
      <c r="B124" s="510">
        <f t="shared" si="0"/>
        <v>44704</v>
      </c>
      <c r="C124" s="509">
        <v>589.71</v>
      </c>
      <c r="D124" s="509">
        <v>271</v>
      </c>
      <c r="E124" s="509">
        <f t="shared" si="1"/>
        <v>860.71</v>
      </c>
      <c r="F124" s="98"/>
      <c r="G124" s="507"/>
      <c r="H124" s="507"/>
      <c r="I124" s="507"/>
      <c r="J124" s="507"/>
      <c r="K124" s="507"/>
      <c r="L124" s="98"/>
      <c r="M124" s="98"/>
      <c r="N124" s="98"/>
      <c r="O124" s="98"/>
      <c r="P124" s="98"/>
      <c r="Q124" s="98"/>
      <c r="R124" s="98"/>
      <c r="S124" s="98"/>
      <c r="T124" s="98"/>
      <c r="U124" s="98"/>
      <c r="V124" s="98"/>
      <c r="W124" s="98"/>
      <c r="X124" s="98"/>
      <c r="Y124" s="98"/>
      <c r="Z124" s="98"/>
    </row>
    <row r="125" spans="1:26" ht="15.75" customHeight="1">
      <c r="A125" s="317">
        <v>44705</v>
      </c>
      <c r="B125" s="510">
        <f t="shared" si="0"/>
        <v>44705</v>
      </c>
      <c r="C125" s="509">
        <v>445.93</v>
      </c>
      <c r="D125" s="509">
        <v>376</v>
      </c>
      <c r="E125" s="509">
        <f t="shared" si="1"/>
        <v>821.93000000000006</v>
      </c>
      <c r="F125" s="98"/>
      <c r="G125" s="507"/>
      <c r="H125" s="507"/>
      <c r="I125" s="507"/>
      <c r="J125" s="507"/>
      <c r="K125" s="507"/>
      <c r="L125" s="98"/>
      <c r="M125" s="98"/>
      <c r="N125" s="98"/>
      <c r="O125" s="98"/>
      <c r="P125" s="98"/>
      <c r="Q125" s="98"/>
      <c r="R125" s="98"/>
      <c r="S125" s="98"/>
      <c r="T125" s="98"/>
      <c r="U125" s="98"/>
      <c r="V125" s="98"/>
      <c r="W125" s="98"/>
      <c r="X125" s="98"/>
      <c r="Y125" s="98"/>
      <c r="Z125" s="98"/>
    </row>
    <row r="126" spans="1:26" ht="15.75" customHeight="1">
      <c r="A126" s="317">
        <v>44706</v>
      </c>
      <c r="B126" s="510">
        <f t="shared" si="0"/>
        <v>44706</v>
      </c>
      <c r="C126" s="509">
        <v>239.74</v>
      </c>
      <c r="D126" s="509">
        <v>688</v>
      </c>
      <c r="E126" s="509">
        <f t="shared" si="1"/>
        <v>927.74</v>
      </c>
      <c r="F126" s="98"/>
      <c r="G126" s="507"/>
      <c r="H126" s="507"/>
      <c r="I126" s="507"/>
      <c r="J126" s="507"/>
      <c r="K126" s="507"/>
      <c r="L126" s="98"/>
      <c r="M126" s="98"/>
      <c r="N126" s="98"/>
      <c r="O126" s="98"/>
      <c r="P126" s="98"/>
      <c r="Q126" s="98"/>
      <c r="R126" s="98"/>
      <c r="S126" s="98"/>
      <c r="T126" s="98"/>
      <c r="U126" s="98"/>
      <c r="V126" s="98"/>
      <c r="W126" s="98"/>
      <c r="X126" s="98"/>
      <c r="Y126" s="98"/>
      <c r="Z126" s="98"/>
    </row>
    <row r="127" spans="1:26" ht="15.75" customHeight="1">
      <c r="A127" s="317">
        <v>44707</v>
      </c>
      <c r="B127" s="510">
        <f t="shared" si="0"/>
        <v>44707</v>
      </c>
      <c r="C127" s="509">
        <v>158.4</v>
      </c>
      <c r="D127" s="509">
        <v>114</v>
      </c>
      <c r="E127" s="509">
        <f t="shared" si="1"/>
        <v>272.39999999999998</v>
      </c>
      <c r="F127" s="98"/>
      <c r="G127" s="507"/>
      <c r="H127" s="507"/>
      <c r="I127" s="507"/>
      <c r="J127" s="507"/>
      <c r="K127" s="507"/>
      <c r="L127" s="98"/>
      <c r="M127" s="98"/>
      <c r="N127" s="98"/>
      <c r="O127" s="98"/>
      <c r="P127" s="98"/>
      <c r="Q127" s="98"/>
      <c r="R127" s="98"/>
      <c r="S127" s="98"/>
      <c r="T127" s="98"/>
      <c r="U127" s="98"/>
      <c r="V127" s="98"/>
      <c r="W127" s="98"/>
      <c r="X127" s="98"/>
      <c r="Y127" s="98"/>
      <c r="Z127" s="98"/>
    </row>
    <row r="128" spans="1:26" ht="15.75" customHeight="1">
      <c r="A128" s="317">
        <v>44708</v>
      </c>
      <c r="B128" s="510">
        <f t="shared" si="0"/>
        <v>44708</v>
      </c>
      <c r="C128" s="509">
        <v>214.99</v>
      </c>
      <c r="D128" s="509">
        <v>575.07000000000698</v>
      </c>
      <c r="E128" s="509">
        <f t="shared" si="1"/>
        <v>790.06000000000699</v>
      </c>
      <c r="F128" s="98"/>
      <c r="G128" s="507"/>
      <c r="H128" s="507"/>
      <c r="I128" s="507"/>
      <c r="J128" s="507"/>
      <c r="K128" s="507"/>
      <c r="L128" s="98"/>
      <c r="M128" s="98"/>
      <c r="N128" s="98"/>
      <c r="O128" s="98"/>
      <c r="P128" s="98"/>
      <c r="Q128" s="98"/>
      <c r="R128" s="98"/>
      <c r="S128" s="98"/>
      <c r="T128" s="98"/>
      <c r="U128" s="98"/>
      <c r="V128" s="98"/>
      <c r="W128" s="98"/>
      <c r="X128" s="98"/>
      <c r="Y128" s="98"/>
      <c r="Z128" s="98"/>
    </row>
    <row r="129" spans="1:26" ht="15.75" customHeight="1">
      <c r="A129" s="317">
        <v>44711</v>
      </c>
      <c r="B129" s="510">
        <f t="shared" si="0"/>
        <v>44711</v>
      </c>
      <c r="C129" s="509">
        <v>0</v>
      </c>
      <c r="D129" s="509">
        <v>1148.0699999999997</v>
      </c>
      <c r="E129" s="509">
        <f t="shared" si="1"/>
        <v>1148.0699999999997</v>
      </c>
      <c r="F129" s="98"/>
      <c r="G129" s="507"/>
      <c r="H129" s="507"/>
      <c r="I129" s="507"/>
      <c r="J129" s="507"/>
      <c r="K129" s="507"/>
      <c r="L129" s="98"/>
      <c r="M129" s="98"/>
      <c r="N129" s="98"/>
      <c r="O129" s="98"/>
      <c r="P129" s="98"/>
      <c r="Q129" s="98"/>
      <c r="R129" s="98"/>
      <c r="S129" s="98"/>
      <c r="T129" s="98"/>
      <c r="U129" s="98"/>
      <c r="V129" s="98"/>
      <c r="W129" s="98"/>
      <c r="X129" s="98"/>
      <c r="Y129" s="98"/>
      <c r="Z129" s="98"/>
    </row>
    <row r="130" spans="1:26" ht="15.75" customHeight="1">
      <c r="A130" s="317">
        <v>44712</v>
      </c>
      <c r="B130" s="510">
        <f t="shared" si="0"/>
        <v>44712</v>
      </c>
      <c r="C130" s="509">
        <v>198.68</v>
      </c>
      <c r="D130" s="509">
        <v>0</v>
      </c>
      <c r="E130" s="509">
        <f t="shared" si="1"/>
        <v>198.68</v>
      </c>
      <c r="F130" s="98"/>
      <c r="G130" s="507"/>
      <c r="H130" s="507"/>
      <c r="I130" s="507"/>
      <c r="J130" s="507"/>
      <c r="K130" s="507"/>
      <c r="L130" s="98"/>
      <c r="M130" s="98"/>
      <c r="N130" s="98"/>
      <c r="O130" s="98"/>
      <c r="P130" s="98"/>
      <c r="Q130" s="98"/>
      <c r="R130" s="98"/>
      <c r="S130" s="98"/>
      <c r="T130" s="98"/>
      <c r="U130" s="98"/>
      <c r="V130" s="98"/>
      <c r="W130" s="98"/>
      <c r="X130" s="98"/>
      <c r="Y130" s="98"/>
      <c r="Z130" s="98"/>
    </row>
    <row r="131" spans="1:26" ht="15.75" customHeight="1">
      <c r="A131" s="317">
        <v>44713</v>
      </c>
      <c r="B131" s="510">
        <f t="shared" si="0"/>
        <v>44713</v>
      </c>
      <c r="C131" s="509">
        <v>470.91</v>
      </c>
      <c r="D131" s="509">
        <v>0</v>
      </c>
      <c r="E131" s="509">
        <f t="shared" si="1"/>
        <v>470.91</v>
      </c>
      <c r="F131" s="98"/>
      <c r="G131" s="507"/>
      <c r="H131" s="507"/>
      <c r="I131" s="507"/>
      <c r="J131" s="507"/>
      <c r="K131" s="507"/>
      <c r="L131" s="98"/>
      <c r="M131" s="98"/>
      <c r="N131" s="98"/>
      <c r="O131" s="98"/>
      <c r="P131" s="98"/>
      <c r="Q131" s="98"/>
      <c r="R131" s="98"/>
      <c r="S131" s="98"/>
      <c r="T131" s="98"/>
      <c r="U131" s="98"/>
      <c r="V131" s="98"/>
      <c r="W131" s="98"/>
      <c r="X131" s="98"/>
      <c r="Y131" s="98"/>
      <c r="Z131" s="98"/>
    </row>
    <row r="132" spans="1:26" ht="15.75" customHeight="1">
      <c r="A132" s="317">
        <v>44714</v>
      </c>
      <c r="B132" s="510">
        <f t="shared" si="0"/>
        <v>44714</v>
      </c>
      <c r="C132" s="509">
        <v>530.34</v>
      </c>
      <c r="D132" s="509">
        <v>0</v>
      </c>
      <c r="E132" s="509">
        <f t="shared" si="1"/>
        <v>530.34</v>
      </c>
      <c r="F132" s="98"/>
      <c r="G132" s="507"/>
      <c r="H132" s="507"/>
      <c r="I132" s="507"/>
      <c r="J132" s="507"/>
      <c r="K132" s="507"/>
      <c r="L132" s="98"/>
      <c r="M132" s="98"/>
      <c r="N132" s="98"/>
      <c r="O132" s="98"/>
      <c r="P132" s="98"/>
      <c r="Q132" s="98"/>
      <c r="R132" s="98"/>
      <c r="S132" s="98"/>
      <c r="T132" s="98"/>
      <c r="U132" s="98"/>
      <c r="V132" s="98"/>
      <c r="W132" s="98"/>
      <c r="X132" s="98"/>
      <c r="Y132" s="98"/>
      <c r="Z132" s="98"/>
    </row>
    <row r="133" spans="1:26" ht="15.75" customHeight="1">
      <c r="A133" s="317">
        <v>44715</v>
      </c>
      <c r="B133" s="510">
        <f t="shared" si="0"/>
        <v>44715</v>
      </c>
      <c r="C133" s="509">
        <v>187.24</v>
      </c>
      <c r="D133" s="509">
        <v>0</v>
      </c>
      <c r="E133" s="509">
        <f t="shared" si="1"/>
        <v>187.24</v>
      </c>
      <c r="F133" s="98"/>
      <c r="G133" s="507"/>
      <c r="H133" s="507"/>
      <c r="I133" s="507"/>
      <c r="J133" s="507"/>
      <c r="K133" s="507"/>
      <c r="L133" s="98"/>
      <c r="M133" s="98"/>
      <c r="N133" s="98"/>
      <c r="O133" s="98"/>
      <c r="P133" s="98"/>
      <c r="Q133" s="98"/>
      <c r="R133" s="98"/>
      <c r="S133" s="98"/>
      <c r="T133" s="98"/>
      <c r="U133" s="98"/>
      <c r="V133" s="98"/>
      <c r="W133" s="98"/>
      <c r="X133" s="98"/>
      <c r="Y133" s="98"/>
      <c r="Z133" s="98"/>
    </row>
    <row r="134" spans="1:26" ht="15.75" customHeight="1">
      <c r="A134" s="317">
        <v>44718</v>
      </c>
      <c r="B134" s="510">
        <f t="shared" si="0"/>
        <v>44718</v>
      </c>
      <c r="C134" s="509">
        <v>312.79000000000002</v>
      </c>
      <c r="D134" s="509">
        <v>0</v>
      </c>
      <c r="E134" s="509">
        <f t="shared" si="1"/>
        <v>312.79000000000002</v>
      </c>
      <c r="F134" s="98"/>
      <c r="G134" s="507"/>
      <c r="H134" s="507"/>
      <c r="I134" s="507"/>
      <c r="J134" s="507"/>
      <c r="K134" s="507"/>
      <c r="L134" s="98"/>
      <c r="M134" s="98"/>
      <c r="N134" s="98"/>
      <c r="O134" s="98"/>
      <c r="P134" s="98"/>
      <c r="Q134" s="98"/>
      <c r="R134" s="98"/>
      <c r="S134" s="98"/>
      <c r="T134" s="98"/>
      <c r="U134" s="98"/>
      <c r="V134" s="98"/>
      <c r="W134" s="98"/>
      <c r="X134" s="98"/>
      <c r="Y134" s="98"/>
      <c r="Z134" s="98"/>
    </row>
    <row r="135" spans="1:26" ht="15.75" customHeight="1">
      <c r="A135" s="317">
        <v>44719</v>
      </c>
      <c r="B135" s="510">
        <f t="shared" si="0"/>
        <v>44719</v>
      </c>
      <c r="C135" s="509">
        <v>851.54</v>
      </c>
      <c r="D135" s="509">
        <v>0</v>
      </c>
      <c r="E135" s="509">
        <f t="shared" si="1"/>
        <v>851.54</v>
      </c>
      <c r="F135" s="98"/>
      <c r="G135" s="507"/>
      <c r="H135" s="507"/>
      <c r="I135" s="507"/>
      <c r="J135" s="507"/>
      <c r="K135" s="507"/>
      <c r="L135" s="98"/>
      <c r="M135" s="98"/>
      <c r="N135" s="98"/>
      <c r="O135" s="98"/>
      <c r="P135" s="98"/>
      <c r="Q135" s="98"/>
      <c r="R135" s="98"/>
      <c r="S135" s="98"/>
      <c r="T135" s="98"/>
      <c r="U135" s="98"/>
      <c r="V135" s="98"/>
      <c r="W135" s="98"/>
      <c r="X135" s="98"/>
      <c r="Y135" s="98"/>
      <c r="Z135" s="98"/>
    </row>
    <row r="136" spans="1:26" ht="15.75" customHeight="1">
      <c r="A136" s="317">
        <v>44720</v>
      </c>
      <c r="B136" s="510">
        <f t="shared" si="0"/>
        <v>44720</v>
      </c>
      <c r="C136" s="509">
        <v>378.05</v>
      </c>
      <c r="D136" s="509">
        <v>225.06999999999971</v>
      </c>
      <c r="E136" s="509">
        <f t="shared" si="1"/>
        <v>603.11999999999966</v>
      </c>
      <c r="F136" s="98"/>
      <c r="G136" s="507"/>
      <c r="H136" s="507"/>
      <c r="I136" s="507"/>
      <c r="J136" s="507"/>
      <c r="K136" s="507"/>
      <c r="L136" s="98"/>
      <c r="M136" s="98"/>
      <c r="N136" s="98"/>
      <c r="O136" s="98"/>
      <c r="P136" s="98"/>
      <c r="Q136" s="98"/>
      <c r="R136" s="98"/>
      <c r="S136" s="98"/>
      <c r="T136" s="98"/>
      <c r="U136" s="98"/>
      <c r="V136" s="98"/>
      <c r="W136" s="98"/>
      <c r="X136" s="98"/>
      <c r="Y136" s="98"/>
      <c r="Z136" s="98"/>
    </row>
    <row r="137" spans="1:26" ht="15.75" customHeight="1">
      <c r="A137" s="317">
        <v>44721</v>
      </c>
      <c r="B137" s="510">
        <f t="shared" si="0"/>
        <v>44721</v>
      </c>
      <c r="C137" s="509">
        <v>1223.6600000000035</v>
      </c>
      <c r="D137" s="509">
        <v>0</v>
      </c>
      <c r="E137" s="509">
        <f t="shared" si="1"/>
        <v>1223.6600000000035</v>
      </c>
      <c r="F137" s="98"/>
      <c r="G137" s="507"/>
      <c r="H137" s="507"/>
      <c r="I137" s="507"/>
      <c r="J137" s="507"/>
      <c r="K137" s="507"/>
      <c r="L137" s="98"/>
      <c r="M137" s="98"/>
      <c r="N137" s="98"/>
      <c r="O137" s="98"/>
      <c r="P137" s="98"/>
      <c r="Q137" s="98"/>
      <c r="R137" s="98"/>
      <c r="S137" s="98"/>
      <c r="T137" s="98"/>
      <c r="U137" s="98"/>
      <c r="V137" s="98"/>
      <c r="W137" s="98"/>
      <c r="X137" s="98"/>
      <c r="Y137" s="98"/>
      <c r="Z137" s="98"/>
    </row>
    <row r="138" spans="1:26" ht="15.75" customHeight="1">
      <c r="A138" s="317">
        <v>44722</v>
      </c>
      <c r="B138" s="510">
        <f t="shared" si="0"/>
        <v>44722</v>
      </c>
      <c r="C138" s="509">
        <v>336.3</v>
      </c>
      <c r="D138" s="509">
        <v>0</v>
      </c>
      <c r="E138" s="509">
        <f t="shared" si="1"/>
        <v>336.3</v>
      </c>
      <c r="F138" s="98"/>
      <c r="G138" s="507"/>
      <c r="H138" s="507"/>
      <c r="I138" s="507"/>
      <c r="J138" s="507"/>
      <c r="K138" s="507"/>
      <c r="L138" s="98"/>
      <c r="M138" s="98"/>
      <c r="N138" s="98"/>
      <c r="O138" s="98"/>
      <c r="P138" s="98"/>
      <c r="Q138" s="98"/>
      <c r="R138" s="98"/>
      <c r="S138" s="98"/>
      <c r="T138" s="98"/>
      <c r="U138" s="98"/>
      <c r="V138" s="98"/>
      <c r="W138" s="98"/>
      <c r="X138" s="98"/>
      <c r="Y138" s="98"/>
      <c r="Z138" s="98"/>
    </row>
    <row r="139" spans="1:26" ht="15.75" customHeight="1">
      <c r="A139" s="317">
        <v>44725</v>
      </c>
      <c r="B139" s="510">
        <f t="shared" si="0"/>
        <v>44725</v>
      </c>
      <c r="C139" s="509">
        <v>1034.1300000000047</v>
      </c>
      <c r="D139" s="509">
        <v>20.139999999999418</v>
      </c>
      <c r="E139" s="509">
        <f t="shared" si="1"/>
        <v>1054.2700000000041</v>
      </c>
      <c r="F139" s="98"/>
      <c r="G139" s="507"/>
      <c r="H139" s="507"/>
      <c r="I139" s="507"/>
      <c r="J139" s="507"/>
      <c r="K139" s="507"/>
      <c r="L139" s="98"/>
      <c r="M139" s="98"/>
      <c r="N139" s="98"/>
      <c r="O139" s="98"/>
      <c r="P139" s="98"/>
      <c r="Q139" s="98"/>
      <c r="R139" s="98"/>
      <c r="S139" s="98"/>
      <c r="T139" s="98"/>
      <c r="U139" s="98"/>
      <c r="V139" s="98"/>
      <c r="W139" s="98"/>
      <c r="X139" s="98"/>
      <c r="Y139" s="98"/>
      <c r="Z139" s="98"/>
    </row>
    <row r="140" spans="1:26" ht="15.75" customHeight="1">
      <c r="A140" s="317">
        <v>44726</v>
      </c>
      <c r="B140" s="510">
        <f t="shared" si="0"/>
        <v>44726</v>
      </c>
      <c r="C140" s="509">
        <v>977.58</v>
      </c>
      <c r="D140" s="509">
        <v>0</v>
      </c>
      <c r="E140" s="509">
        <f t="shared" si="1"/>
        <v>977.58</v>
      </c>
      <c r="F140" s="98"/>
      <c r="G140" s="507"/>
      <c r="H140" s="507"/>
      <c r="I140" s="507"/>
      <c r="J140" s="507"/>
      <c r="K140" s="507"/>
      <c r="L140" s="98"/>
      <c r="M140" s="98"/>
      <c r="N140" s="98"/>
      <c r="O140" s="98"/>
      <c r="P140" s="98"/>
      <c r="Q140" s="98"/>
      <c r="R140" s="98"/>
      <c r="S140" s="98"/>
      <c r="T140" s="98"/>
      <c r="U140" s="98"/>
      <c r="V140" s="98"/>
      <c r="W140" s="98"/>
      <c r="X140" s="98"/>
      <c r="Y140" s="98"/>
      <c r="Z140" s="98"/>
    </row>
    <row r="141" spans="1:26" ht="15.75" customHeight="1">
      <c r="A141" s="317">
        <v>44727</v>
      </c>
      <c r="B141" s="510">
        <f t="shared" si="0"/>
        <v>44727</v>
      </c>
      <c r="C141" s="509">
        <v>554.95000000000005</v>
      </c>
      <c r="D141" s="509">
        <v>0</v>
      </c>
      <c r="E141" s="509">
        <f t="shared" si="1"/>
        <v>554.95000000000005</v>
      </c>
      <c r="F141" s="98"/>
      <c r="G141" s="507"/>
      <c r="H141" s="507"/>
      <c r="I141" s="507"/>
      <c r="J141" s="507"/>
      <c r="K141" s="507"/>
      <c r="L141" s="98"/>
      <c r="M141" s="98"/>
      <c r="N141" s="98"/>
      <c r="O141" s="98"/>
      <c r="P141" s="98"/>
      <c r="Q141" s="98"/>
      <c r="R141" s="98"/>
      <c r="S141" s="98"/>
      <c r="T141" s="98"/>
      <c r="U141" s="98"/>
      <c r="V141" s="98"/>
      <c r="W141" s="98"/>
      <c r="X141" s="98"/>
      <c r="Y141" s="98"/>
      <c r="Z141" s="98"/>
    </row>
    <row r="142" spans="1:26" ht="15.75" customHeight="1">
      <c r="A142" s="317">
        <v>44728</v>
      </c>
      <c r="B142" s="510">
        <f t="shared" si="0"/>
        <v>44728</v>
      </c>
      <c r="C142" s="509">
        <v>0</v>
      </c>
      <c r="D142" s="509">
        <v>637.06999999999971</v>
      </c>
      <c r="E142" s="509">
        <f t="shared" si="1"/>
        <v>637.06999999999971</v>
      </c>
      <c r="F142" s="98"/>
      <c r="G142" s="507"/>
      <c r="H142" s="507"/>
      <c r="I142" s="507"/>
      <c r="J142" s="507"/>
      <c r="K142" s="507"/>
      <c r="L142" s="98"/>
      <c r="M142" s="98"/>
      <c r="N142" s="98"/>
      <c r="O142" s="98"/>
      <c r="P142" s="98"/>
      <c r="Q142" s="98"/>
      <c r="R142" s="98"/>
      <c r="S142" s="98"/>
      <c r="T142" s="98"/>
      <c r="U142" s="98"/>
      <c r="V142" s="98"/>
      <c r="W142" s="98"/>
      <c r="X142" s="98"/>
      <c r="Y142" s="98"/>
      <c r="Z142" s="98"/>
    </row>
    <row r="143" spans="1:26" ht="15.75" customHeight="1">
      <c r="A143" s="317">
        <v>44729</v>
      </c>
      <c r="B143" s="510">
        <f t="shared" si="0"/>
        <v>44729</v>
      </c>
      <c r="C143" s="509">
        <v>257.31</v>
      </c>
      <c r="D143" s="509">
        <v>0</v>
      </c>
      <c r="E143" s="509">
        <f t="shared" si="1"/>
        <v>257.31</v>
      </c>
      <c r="F143" s="98"/>
      <c r="G143" s="507"/>
      <c r="H143" s="507"/>
      <c r="I143" s="507"/>
      <c r="J143" s="507"/>
      <c r="K143" s="507"/>
      <c r="L143" s="98"/>
      <c r="M143" s="98"/>
      <c r="N143" s="98"/>
      <c r="O143" s="98"/>
      <c r="P143" s="98"/>
      <c r="Q143" s="98"/>
      <c r="R143" s="98"/>
      <c r="S143" s="98"/>
      <c r="T143" s="98"/>
      <c r="U143" s="98"/>
      <c r="V143" s="98"/>
      <c r="W143" s="98"/>
      <c r="X143" s="98"/>
      <c r="Y143" s="98"/>
      <c r="Z143" s="98"/>
    </row>
    <row r="144" spans="1:26" ht="15.75" customHeight="1">
      <c r="A144" s="317">
        <v>44732</v>
      </c>
      <c r="B144" s="510">
        <f t="shared" si="0"/>
        <v>44732</v>
      </c>
      <c r="C144" s="509">
        <v>519.58000000000004</v>
      </c>
      <c r="D144" s="509">
        <v>0</v>
      </c>
      <c r="E144" s="509">
        <f t="shared" si="1"/>
        <v>519.58000000000004</v>
      </c>
      <c r="F144" s="98"/>
      <c r="G144" s="507"/>
      <c r="H144" s="507"/>
      <c r="I144" s="507"/>
      <c r="J144" s="507"/>
      <c r="K144" s="507"/>
      <c r="L144" s="98"/>
      <c r="M144" s="98"/>
      <c r="N144" s="98"/>
      <c r="O144" s="98"/>
      <c r="P144" s="98"/>
      <c r="Q144" s="98"/>
      <c r="R144" s="98"/>
      <c r="S144" s="98"/>
      <c r="T144" s="98"/>
      <c r="U144" s="98"/>
      <c r="V144" s="98"/>
      <c r="W144" s="98"/>
      <c r="X144" s="98"/>
      <c r="Y144" s="98"/>
      <c r="Z144" s="98"/>
    </row>
    <row r="145" spans="1:26" ht="15.75" customHeight="1">
      <c r="A145" s="317">
        <v>44733</v>
      </c>
      <c r="B145" s="510">
        <f t="shared" si="0"/>
        <v>44733</v>
      </c>
      <c r="C145" s="509">
        <v>825.62</v>
      </c>
      <c r="D145" s="509">
        <v>0</v>
      </c>
      <c r="E145" s="509">
        <f t="shared" si="1"/>
        <v>825.62</v>
      </c>
      <c r="F145" s="98"/>
      <c r="G145" s="507"/>
      <c r="H145" s="507"/>
      <c r="I145" s="507"/>
      <c r="J145" s="507"/>
      <c r="K145" s="507"/>
      <c r="L145" s="98"/>
      <c r="M145" s="98"/>
      <c r="N145" s="98"/>
      <c r="O145" s="98"/>
      <c r="P145" s="98"/>
      <c r="Q145" s="98"/>
      <c r="R145" s="98"/>
      <c r="S145" s="98"/>
      <c r="T145" s="98"/>
      <c r="U145" s="98"/>
      <c r="V145" s="98"/>
      <c r="W145" s="98"/>
      <c r="X145" s="98"/>
      <c r="Y145" s="98"/>
      <c r="Z145" s="98"/>
    </row>
    <row r="146" spans="1:26" ht="15.75" customHeight="1">
      <c r="A146" s="317">
        <v>44734</v>
      </c>
      <c r="B146" s="510">
        <f t="shared" si="0"/>
        <v>44734</v>
      </c>
      <c r="C146" s="509">
        <v>83.69</v>
      </c>
      <c r="D146" s="509">
        <v>0</v>
      </c>
      <c r="E146" s="509">
        <f t="shared" si="1"/>
        <v>83.69</v>
      </c>
      <c r="F146" s="98"/>
      <c r="G146" s="507"/>
      <c r="H146" s="507"/>
      <c r="I146" s="507"/>
      <c r="J146" s="507"/>
      <c r="K146" s="507"/>
      <c r="L146" s="98"/>
      <c r="M146" s="98"/>
      <c r="N146" s="98"/>
      <c r="O146" s="98"/>
      <c r="P146" s="98"/>
      <c r="Q146" s="98"/>
      <c r="R146" s="98"/>
      <c r="S146" s="98"/>
      <c r="T146" s="98"/>
      <c r="U146" s="98"/>
      <c r="V146" s="98"/>
      <c r="W146" s="98"/>
      <c r="X146" s="98"/>
      <c r="Y146" s="98"/>
      <c r="Z146" s="98"/>
    </row>
    <row r="147" spans="1:26" ht="15.75" customHeight="1">
      <c r="A147" s="317">
        <v>44736</v>
      </c>
      <c r="B147" s="510">
        <f t="shared" si="0"/>
        <v>44736</v>
      </c>
      <c r="C147" s="509">
        <v>632.1200000000099</v>
      </c>
      <c r="D147" s="509">
        <v>0</v>
      </c>
      <c r="E147" s="509">
        <f t="shared" si="1"/>
        <v>632.1200000000099</v>
      </c>
      <c r="F147" s="98"/>
      <c r="G147" s="507"/>
      <c r="H147" s="507"/>
      <c r="I147" s="507"/>
      <c r="J147" s="507"/>
      <c r="K147" s="507"/>
      <c r="L147" s="98"/>
      <c r="M147" s="98"/>
      <c r="N147" s="98"/>
      <c r="O147" s="98"/>
      <c r="P147" s="98"/>
      <c r="Q147" s="98"/>
      <c r="R147" s="98"/>
      <c r="S147" s="98"/>
      <c r="T147" s="98"/>
      <c r="U147" s="98"/>
      <c r="V147" s="98"/>
      <c r="W147" s="98"/>
      <c r="X147" s="98"/>
      <c r="Y147" s="98"/>
      <c r="Z147" s="98"/>
    </row>
    <row r="148" spans="1:26" ht="15.75" customHeight="1">
      <c r="A148" s="317">
        <v>44739</v>
      </c>
      <c r="B148" s="510">
        <f t="shared" si="0"/>
        <v>44739</v>
      </c>
      <c r="C148" s="509">
        <v>218.16</v>
      </c>
      <c r="D148" s="509">
        <v>0</v>
      </c>
      <c r="E148" s="509">
        <f t="shared" si="1"/>
        <v>218.16</v>
      </c>
      <c r="F148" s="98"/>
      <c r="G148" s="507"/>
      <c r="H148" s="507"/>
      <c r="I148" s="507"/>
      <c r="J148" s="507"/>
      <c r="K148" s="507"/>
      <c r="L148" s="98"/>
      <c r="M148" s="98"/>
      <c r="N148" s="98"/>
      <c r="O148" s="98"/>
      <c r="P148" s="98"/>
      <c r="Q148" s="98"/>
      <c r="R148" s="98"/>
      <c r="S148" s="98"/>
      <c r="T148" s="98"/>
      <c r="U148" s="98"/>
      <c r="V148" s="98"/>
      <c r="W148" s="98"/>
      <c r="X148" s="98"/>
      <c r="Y148" s="98"/>
      <c r="Z148" s="98"/>
    </row>
    <row r="149" spans="1:26" ht="15.75" customHeight="1">
      <c r="A149" s="317">
        <v>44740</v>
      </c>
      <c r="B149" s="510">
        <f t="shared" si="0"/>
        <v>44740</v>
      </c>
      <c r="C149" s="509">
        <v>618.37</v>
      </c>
      <c r="D149" s="509">
        <v>0</v>
      </c>
      <c r="E149" s="509">
        <f t="shared" si="1"/>
        <v>618.37</v>
      </c>
      <c r="F149" s="98"/>
      <c r="G149" s="507"/>
      <c r="H149" s="507"/>
      <c r="I149" s="507"/>
      <c r="J149" s="507"/>
      <c r="K149" s="507"/>
      <c r="L149" s="98"/>
      <c r="M149" s="98"/>
      <c r="N149" s="98"/>
      <c r="O149" s="98"/>
      <c r="P149" s="98"/>
      <c r="Q149" s="98"/>
      <c r="R149" s="98"/>
      <c r="S149" s="98"/>
      <c r="T149" s="98"/>
      <c r="U149" s="98"/>
      <c r="V149" s="98"/>
      <c r="W149" s="98"/>
      <c r="X149" s="98"/>
      <c r="Y149" s="98"/>
      <c r="Z149" s="98"/>
    </row>
    <row r="150" spans="1:26" ht="15.75" customHeight="1">
      <c r="A150" s="317">
        <v>44741</v>
      </c>
      <c r="B150" s="510">
        <f t="shared" si="0"/>
        <v>44741</v>
      </c>
      <c r="C150" s="509">
        <v>0</v>
      </c>
      <c r="D150" s="509">
        <v>311</v>
      </c>
      <c r="E150" s="509">
        <f t="shared" si="1"/>
        <v>311</v>
      </c>
      <c r="F150" s="98"/>
      <c r="G150" s="507"/>
      <c r="H150" s="507"/>
      <c r="I150" s="507"/>
      <c r="J150" s="507"/>
      <c r="K150" s="507"/>
      <c r="L150" s="98"/>
      <c r="M150" s="98"/>
      <c r="N150" s="98"/>
      <c r="O150" s="98"/>
      <c r="P150" s="98"/>
      <c r="Q150" s="98"/>
      <c r="R150" s="98"/>
      <c r="S150" s="98"/>
      <c r="T150" s="98"/>
      <c r="U150" s="98"/>
      <c r="V150" s="98"/>
      <c r="W150" s="98"/>
      <c r="X150" s="98"/>
      <c r="Y150" s="98"/>
      <c r="Z150" s="98"/>
    </row>
    <row r="151" spans="1:26" ht="15.75" customHeight="1">
      <c r="A151" s="317">
        <v>44743</v>
      </c>
      <c r="B151" s="510">
        <f t="shared" si="0"/>
        <v>44743</v>
      </c>
      <c r="C151" s="511">
        <v>217.37</v>
      </c>
      <c r="D151" s="509">
        <v>0</v>
      </c>
      <c r="E151" s="509">
        <f t="shared" si="1"/>
        <v>217.37</v>
      </c>
      <c r="F151" s="98"/>
      <c r="G151" s="507"/>
      <c r="H151" s="507"/>
      <c r="I151" s="507"/>
      <c r="J151" s="507"/>
      <c r="K151" s="507"/>
      <c r="L151" s="98"/>
      <c r="M151" s="98"/>
      <c r="N151" s="98"/>
      <c r="O151" s="98"/>
      <c r="P151" s="98"/>
      <c r="Q151" s="98"/>
      <c r="R151" s="98"/>
      <c r="S151" s="98"/>
      <c r="T151" s="98"/>
      <c r="U151" s="98"/>
      <c r="V151" s="98"/>
      <c r="W151" s="98"/>
      <c r="X151" s="98"/>
      <c r="Y151" s="98"/>
      <c r="Z151" s="98"/>
    </row>
    <row r="152" spans="1:26" ht="15.75" customHeight="1">
      <c r="A152" s="317">
        <v>44746</v>
      </c>
      <c r="B152" s="510">
        <f t="shared" si="0"/>
        <v>44746</v>
      </c>
      <c r="C152" s="511">
        <v>107.09</v>
      </c>
      <c r="D152" s="509">
        <v>0</v>
      </c>
      <c r="E152" s="509">
        <f t="shared" si="1"/>
        <v>107.09</v>
      </c>
      <c r="F152" s="98"/>
      <c r="G152" s="507"/>
      <c r="H152" s="507"/>
      <c r="I152" s="507"/>
      <c r="J152" s="507"/>
      <c r="K152" s="507"/>
      <c r="L152" s="98"/>
      <c r="M152" s="98"/>
      <c r="N152" s="98"/>
      <c r="O152" s="98"/>
      <c r="P152" s="98"/>
      <c r="Q152" s="98"/>
      <c r="R152" s="98"/>
      <c r="S152" s="98"/>
      <c r="T152" s="98"/>
      <c r="U152" s="98"/>
      <c r="V152" s="98"/>
      <c r="W152" s="98"/>
      <c r="X152" s="98"/>
      <c r="Y152" s="98"/>
      <c r="Z152" s="98"/>
    </row>
    <row r="153" spans="1:26" ht="15.75" customHeight="1">
      <c r="A153" s="317">
        <v>44747</v>
      </c>
      <c r="B153" s="510">
        <f t="shared" si="0"/>
        <v>44747</v>
      </c>
      <c r="C153" s="511">
        <v>408.18</v>
      </c>
      <c r="D153" s="509">
        <v>25.07</v>
      </c>
      <c r="E153" s="509">
        <f t="shared" si="1"/>
        <v>433.25</v>
      </c>
      <c r="F153" s="98"/>
      <c r="G153" s="507"/>
      <c r="H153" s="507"/>
      <c r="I153" s="507"/>
      <c r="J153" s="507"/>
      <c r="K153" s="507"/>
      <c r="L153" s="98"/>
      <c r="M153" s="98"/>
      <c r="N153" s="98"/>
      <c r="O153" s="98"/>
      <c r="P153" s="98"/>
      <c r="Q153" s="98"/>
      <c r="R153" s="98"/>
      <c r="S153" s="98"/>
      <c r="T153" s="98"/>
      <c r="U153" s="98"/>
      <c r="V153" s="98"/>
      <c r="W153" s="98"/>
      <c r="X153" s="98"/>
      <c r="Y153" s="98"/>
      <c r="Z153" s="98"/>
    </row>
    <row r="154" spans="1:26" ht="15.75" customHeight="1">
      <c r="A154" s="317">
        <v>44748</v>
      </c>
      <c r="B154" s="510">
        <f t="shared" si="0"/>
        <v>44748</v>
      </c>
      <c r="C154" s="511">
        <v>98.31</v>
      </c>
      <c r="D154" s="509">
        <v>0</v>
      </c>
      <c r="E154" s="509">
        <f t="shared" si="1"/>
        <v>98.31</v>
      </c>
      <c r="F154" s="98"/>
      <c r="G154" s="507"/>
      <c r="H154" s="507"/>
      <c r="I154" s="507"/>
      <c r="J154" s="507"/>
      <c r="K154" s="507"/>
      <c r="L154" s="98"/>
      <c r="M154" s="98"/>
      <c r="N154" s="98"/>
      <c r="O154" s="98"/>
      <c r="P154" s="98"/>
      <c r="Q154" s="98"/>
      <c r="R154" s="98"/>
      <c r="S154" s="98"/>
      <c r="T154" s="98"/>
      <c r="U154" s="98"/>
      <c r="V154" s="98"/>
      <c r="W154" s="98"/>
      <c r="X154" s="98"/>
      <c r="Y154" s="98"/>
      <c r="Z154" s="98"/>
    </row>
    <row r="155" spans="1:26" ht="15.75" customHeight="1">
      <c r="A155" s="317">
        <v>44749</v>
      </c>
      <c r="B155" s="510">
        <f t="shared" si="0"/>
        <v>44749</v>
      </c>
      <c r="C155" s="511">
        <v>0</v>
      </c>
      <c r="D155" s="509">
        <v>253.06999999999971</v>
      </c>
      <c r="E155" s="509">
        <f t="shared" si="1"/>
        <v>253.06999999999971</v>
      </c>
      <c r="F155" s="98"/>
      <c r="G155" s="507"/>
      <c r="H155" s="507"/>
      <c r="I155" s="507"/>
      <c r="J155" s="507"/>
      <c r="K155" s="507"/>
      <c r="L155" s="98"/>
      <c r="M155" s="98"/>
      <c r="N155" s="98"/>
      <c r="O155" s="98"/>
      <c r="P155" s="98"/>
      <c r="Q155" s="98"/>
      <c r="R155" s="98"/>
      <c r="S155" s="98"/>
      <c r="T155" s="98"/>
      <c r="U155" s="98"/>
      <c r="V155" s="98"/>
      <c r="W155" s="98"/>
      <c r="X155" s="98"/>
      <c r="Y155" s="98"/>
      <c r="Z155" s="98"/>
    </row>
    <row r="156" spans="1:26" ht="15.75" customHeight="1">
      <c r="A156" s="317">
        <v>44750</v>
      </c>
      <c r="B156" s="510">
        <f t="shared" si="0"/>
        <v>44750</v>
      </c>
      <c r="C156" s="511">
        <v>0</v>
      </c>
      <c r="D156" s="509">
        <v>277</v>
      </c>
      <c r="E156" s="509">
        <f t="shared" si="1"/>
        <v>277</v>
      </c>
      <c r="F156" s="98"/>
      <c r="G156" s="507"/>
      <c r="H156" s="507"/>
      <c r="I156" s="507"/>
      <c r="J156" s="507"/>
      <c r="K156" s="507"/>
      <c r="L156" s="98"/>
      <c r="M156" s="98"/>
      <c r="N156" s="98"/>
      <c r="O156" s="98"/>
      <c r="P156" s="98"/>
      <c r="Q156" s="98"/>
      <c r="R156" s="98"/>
      <c r="S156" s="98"/>
      <c r="T156" s="98"/>
      <c r="U156" s="98"/>
      <c r="V156" s="98"/>
      <c r="W156" s="98"/>
      <c r="X156" s="98"/>
      <c r="Y156" s="98"/>
      <c r="Z156" s="98"/>
    </row>
    <row r="157" spans="1:26" ht="15.75" customHeight="1">
      <c r="A157" s="317">
        <v>44753</v>
      </c>
      <c r="B157" s="510">
        <f t="shared" si="0"/>
        <v>44753</v>
      </c>
      <c r="C157" s="511">
        <v>34</v>
      </c>
      <c r="D157" s="509">
        <v>0</v>
      </c>
      <c r="E157" s="509">
        <f t="shared" si="1"/>
        <v>34</v>
      </c>
      <c r="F157" s="98"/>
      <c r="G157" s="507"/>
      <c r="H157" s="507"/>
      <c r="I157" s="507"/>
      <c r="J157" s="507"/>
      <c r="K157" s="507"/>
      <c r="L157" s="98"/>
      <c r="M157" s="98"/>
      <c r="N157" s="98"/>
      <c r="O157" s="98"/>
      <c r="P157" s="98"/>
      <c r="Q157" s="98"/>
      <c r="R157" s="98"/>
      <c r="S157" s="98"/>
      <c r="T157" s="98"/>
      <c r="U157" s="98"/>
      <c r="V157" s="98"/>
      <c r="W157" s="98"/>
      <c r="X157" s="98"/>
      <c r="Y157" s="98"/>
      <c r="Z157" s="98"/>
    </row>
    <row r="158" spans="1:26" ht="15.75" customHeight="1">
      <c r="A158" s="317">
        <v>44754</v>
      </c>
      <c r="B158" s="510">
        <f t="shared" si="0"/>
        <v>44754</v>
      </c>
      <c r="C158" s="511">
        <v>262.45999999999998</v>
      </c>
      <c r="D158" s="509">
        <v>1174.0699999999997</v>
      </c>
      <c r="E158" s="509">
        <f t="shared" si="1"/>
        <v>1436.5299999999997</v>
      </c>
      <c r="F158" s="98"/>
      <c r="G158" s="507"/>
      <c r="H158" s="507"/>
      <c r="I158" s="507"/>
      <c r="J158" s="507"/>
      <c r="K158" s="507"/>
      <c r="L158" s="98"/>
      <c r="M158" s="98"/>
      <c r="N158" s="98"/>
      <c r="O158" s="98"/>
      <c r="P158" s="98"/>
      <c r="Q158" s="98"/>
      <c r="R158" s="98"/>
      <c r="S158" s="98"/>
      <c r="T158" s="98"/>
      <c r="U158" s="98"/>
      <c r="V158" s="98"/>
      <c r="W158" s="98"/>
      <c r="X158" s="98"/>
      <c r="Y158" s="98"/>
      <c r="Z158" s="98"/>
    </row>
    <row r="159" spans="1:26" ht="15.75" customHeight="1">
      <c r="A159" s="317">
        <v>44756</v>
      </c>
      <c r="B159" s="510">
        <f t="shared" si="0"/>
        <v>44756</v>
      </c>
      <c r="C159" s="511">
        <v>638.05999999999995</v>
      </c>
      <c r="D159" s="509">
        <v>0</v>
      </c>
      <c r="E159" s="509">
        <f t="shared" si="1"/>
        <v>638.05999999999995</v>
      </c>
      <c r="F159" s="98"/>
      <c r="G159" s="507"/>
      <c r="H159" s="507"/>
      <c r="I159" s="507"/>
      <c r="J159" s="507"/>
      <c r="K159" s="507"/>
      <c r="L159" s="98"/>
      <c r="M159" s="98"/>
      <c r="N159" s="98"/>
      <c r="O159" s="98"/>
      <c r="P159" s="98"/>
      <c r="Q159" s="98"/>
      <c r="R159" s="98"/>
      <c r="S159" s="98"/>
      <c r="T159" s="98"/>
      <c r="U159" s="98"/>
      <c r="V159" s="98"/>
      <c r="W159" s="98"/>
      <c r="X159" s="98"/>
      <c r="Y159" s="98"/>
      <c r="Z159" s="98"/>
    </row>
    <row r="160" spans="1:26" ht="15.75" customHeight="1">
      <c r="A160" s="317">
        <v>44757</v>
      </c>
      <c r="B160" s="510">
        <f t="shared" si="0"/>
        <v>44757</v>
      </c>
      <c r="C160" s="511">
        <v>584.59</v>
      </c>
      <c r="D160" s="509">
        <v>541</v>
      </c>
      <c r="E160" s="509">
        <f t="shared" si="1"/>
        <v>1125.5900000000001</v>
      </c>
      <c r="F160" s="98"/>
      <c r="G160" s="507"/>
      <c r="H160" s="507"/>
      <c r="I160" s="507"/>
      <c r="J160" s="507"/>
      <c r="K160" s="507"/>
      <c r="L160" s="98"/>
      <c r="M160" s="98"/>
      <c r="N160" s="98"/>
      <c r="O160" s="98"/>
      <c r="P160" s="98"/>
      <c r="Q160" s="98"/>
      <c r="R160" s="98"/>
      <c r="S160" s="98"/>
      <c r="T160" s="98"/>
      <c r="U160" s="98"/>
      <c r="V160" s="98"/>
      <c r="W160" s="98"/>
      <c r="X160" s="98"/>
      <c r="Y160" s="98"/>
      <c r="Z160" s="98"/>
    </row>
    <row r="161" spans="1:26" ht="15.75" customHeight="1">
      <c r="A161" s="317">
        <v>44763</v>
      </c>
      <c r="B161" s="510">
        <f t="shared" si="0"/>
        <v>44763</v>
      </c>
      <c r="C161" s="511">
        <v>690</v>
      </c>
      <c r="D161" s="509">
        <v>486.28</v>
      </c>
      <c r="E161" s="509">
        <f t="shared" si="1"/>
        <v>1176.28</v>
      </c>
      <c r="F161" s="98"/>
      <c r="G161" s="507"/>
      <c r="H161" s="507"/>
      <c r="I161" s="507"/>
      <c r="J161" s="507"/>
      <c r="K161" s="507"/>
      <c r="L161" s="98"/>
      <c r="M161" s="98"/>
      <c r="N161" s="98"/>
      <c r="O161" s="98"/>
      <c r="P161" s="98"/>
      <c r="Q161" s="98"/>
      <c r="R161" s="98"/>
      <c r="S161" s="98"/>
      <c r="T161" s="98"/>
      <c r="U161" s="98"/>
      <c r="V161" s="98"/>
      <c r="W161" s="98"/>
      <c r="X161" s="98"/>
      <c r="Y161" s="98"/>
      <c r="Z161" s="98"/>
    </row>
    <row r="162" spans="1:26" ht="15.75" customHeight="1">
      <c r="A162" s="317">
        <v>44764</v>
      </c>
      <c r="B162" s="510">
        <f t="shared" si="0"/>
        <v>44764</v>
      </c>
      <c r="C162" s="511">
        <v>0</v>
      </c>
      <c r="D162" s="509">
        <v>240.07</v>
      </c>
      <c r="E162" s="509">
        <f t="shared" si="1"/>
        <v>240.07</v>
      </c>
      <c r="F162" s="98"/>
      <c r="G162" s="507"/>
      <c r="H162" s="507"/>
      <c r="I162" s="507"/>
      <c r="J162" s="507"/>
      <c r="K162" s="507"/>
      <c r="L162" s="98"/>
      <c r="M162" s="98"/>
      <c r="N162" s="98"/>
      <c r="O162" s="98"/>
      <c r="P162" s="98"/>
      <c r="Q162" s="98"/>
      <c r="R162" s="98"/>
      <c r="S162" s="98"/>
      <c r="T162" s="98"/>
      <c r="U162" s="98"/>
      <c r="V162" s="98"/>
      <c r="W162" s="98"/>
      <c r="X162" s="98"/>
      <c r="Y162" s="98"/>
      <c r="Z162" s="98"/>
    </row>
    <row r="163" spans="1:26" ht="15.75" customHeight="1">
      <c r="A163" s="317">
        <v>44767</v>
      </c>
      <c r="B163" s="510">
        <f t="shared" si="0"/>
        <v>44767</v>
      </c>
      <c r="C163" s="511">
        <v>74.260000000000005</v>
      </c>
      <c r="D163" s="509">
        <v>0</v>
      </c>
      <c r="E163" s="509">
        <f t="shared" si="1"/>
        <v>74.260000000000005</v>
      </c>
      <c r="F163" s="98"/>
      <c r="G163" s="507"/>
      <c r="H163" s="507"/>
      <c r="I163" s="507"/>
      <c r="J163" s="507"/>
      <c r="K163" s="507"/>
      <c r="L163" s="98"/>
      <c r="M163" s="98"/>
      <c r="N163" s="98"/>
      <c r="O163" s="98"/>
      <c r="P163" s="98"/>
      <c r="Q163" s="98"/>
      <c r="R163" s="98"/>
      <c r="S163" s="98"/>
      <c r="T163" s="98"/>
      <c r="U163" s="98"/>
      <c r="V163" s="98"/>
      <c r="W163" s="98"/>
      <c r="X163" s="98"/>
      <c r="Y163" s="98"/>
      <c r="Z163" s="98"/>
    </row>
    <row r="164" spans="1:26" ht="15.75" customHeight="1">
      <c r="A164" s="317">
        <v>44768</v>
      </c>
      <c r="B164" s="510">
        <f t="shared" si="0"/>
        <v>44768</v>
      </c>
      <c r="C164" s="511">
        <v>204.17</v>
      </c>
      <c r="D164" s="509">
        <v>0</v>
      </c>
      <c r="E164" s="509">
        <f t="shared" si="1"/>
        <v>204.17</v>
      </c>
      <c r="F164" s="98"/>
      <c r="G164" s="507"/>
      <c r="H164" s="507"/>
      <c r="I164" s="507"/>
      <c r="J164" s="507"/>
      <c r="K164" s="507"/>
      <c r="L164" s="98"/>
      <c r="M164" s="98"/>
      <c r="N164" s="98"/>
      <c r="O164" s="98"/>
      <c r="P164" s="98"/>
      <c r="Q164" s="98"/>
      <c r="R164" s="98"/>
      <c r="S164" s="98"/>
      <c r="T164" s="98"/>
      <c r="U164" s="98"/>
      <c r="V164" s="98"/>
      <c r="W164" s="98"/>
      <c r="X164" s="98"/>
      <c r="Y164" s="98"/>
      <c r="Z164" s="98"/>
    </row>
    <row r="165" spans="1:26" ht="15.75" customHeight="1">
      <c r="A165" s="317">
        <v>44771</v>
      </c>
      <c r="B165" s="510">
        <f t="shared" si="0"/>
        <v>44771</v>
      </c>
      <c r="C165" s="511">
        <v>279.76</v>
      </c>
      <c r="D165" s="509">
        <v>610.07000000000005</v>
      </c>
      <c r="E165" s="509">
        <f t="shared" si="1"/>
        <v>889.83</v>
      </c>
      <c r="F165" s="98"/>
      <c r="G165" s="507"/>
      <c r="H165" s="507"/>
      <c r="I165" s="507"/>
      <c r="J165" s="507"/>
      <c r="K165" s="507"/>
      <c r="L165" s="98"/>
      <c r="M165" s="98"/>
      <c r="N165" s="98"/>
      <c r="O165" s="98"/>
      <c r="P165" s="98"/>
      <c r="Q165" s="98"/>
      <c r="R165" s="98"/>
      <c r="S165" s="98"/>
      <c r="T165" s="98"/>
      <c r="U165" s="98"/>
      <c r="V165" s="98"/>
      <c r="W165" s="98"/>
      <c r="X165" s="98"/>
      <c r="Y165" s="98"/>
      <c r="Z165" s="98"/>
    </row>
    <row r="166" spans="1:26" ht="15.75" customHeight="1">
      <c r="A166" s="317">
        <v>44774</v>
      </c>
      <c r="B166" s="510">
        <f t="shared" si="0"/>
        <v>44774</v>
      </c>
      <c r="C166" s="511">
        <v>409.59</v>
      </c>
      <c r="D166" s="509">
        <v>0</v>
      </c>
      <c r="E166" s="509">
        <f t="shared" si="1"/>
        <v>409.59</v>
      </c>
      <c r="F166" s="98"/>
      <c r="G166" s="507"/>
      <c r="H166" s="507"/>
      <c r="I166" s="507"/>
      <c r="J166" s="507"/>
      <c r="K166" s="507"/>
      <c r="L166" s="98"/>
      <c r="M166" s="98"/>
      <c r="N166" s="98"/>
      <c r="O166" s="98"/>
      <c r="P166" s="98"/>
      <c r="Q166" s="98"/>
      <c r="R166" s="98"/>
      <c r="S166" s="98"/>
      <c r="T166" s="98"/>
      <c r="U166" s="98"/>
      <c r="V166" s="98"/>
      <c r="W166" s="98"/>
      <c r="X166" s="98"/>
      <c r="Y166" s="98"/>
      <c r="Z166" s="98"/>
    </row>
    <row r="167" spans="1:26" ht="15.75" customHeight="1">
      <c r="A167" s="317">
        <v>44775</v>
      </c>
      <c r="B167" s="510">
        <f t="shared" si="0"/>
        <v>44775</v>
      </c>
      <c r="C167" s="511">
        <v>1364.9499999999971</v>
      </c>
      <c r="D167" s="509">
        <v>0</v>
      </c>
      <c r="E167" s="509">
        <f t="shared" si="1"/>
        <v>1364.9499999999971</v>
      </c>
      <c r="F167" s="98"/>
      <c r="G167" s="507"/>
      <c r="H167" s="507"/>
      <c r="I167" s="507"/>
      <c r="J167" s="507"/>
      <c r="K167" s="507"/>
      <c r="L167" s="98"/>
      <c r="M167" s="98"/>
      <c r="N167" s="98"/>
      <c r="O167" s="98"/>
      <c r="P167" s="98"/>
      <c r="Q167" s="98"/>
      <c r="R167" s="98"/>
      <c r="S167" s="98"/>
      <c r="T167" s="98"/>
      <c r="U167" s="98"/>
      <c r="V167" s="98"/>
      <c r="W167" s="98"/>
      <c r="X167" s="98"/>
      <c r="Y167" s="98"/>
      <c r="Z167" s="98"/>
    </row>
    <row r="168" spans="1:26" ht="15.75" customHeight="1">
      <c r="A168" s="317">
        <v>44776</v>
      </c>
      <c r="B168" s="510">
        <f t="shared" si="0"/>
        <v>44776</v>
      </c>
      <c r="C168" s="511">
        <v>245.93000000000757</v>
      </c>
      <c r="D168" s="509">
        <v>0</v>
      </c>
      <c r="E168" s="509">
        <f t="shared" si="1"/>
        <v>245.93000000000757</v>
      </c>
      <c r="F168" s="98"/>
      <c r="G168" s="507"/>
      <c r="H168" s="507"/>
      <c r="I168" s="507"/>
      <c r="J168" s="507"/>
      <c r="K168" s="507"/>
      <c r="L168" s="98"/>
      <c r="M168" s="98"/>
      <c r="N168" s="98"/>
      <c r="O168" s="98"/>
      <c r="P168" s="98"/>
      <c r="Q168" s="98"/>
      <c r="R168" s="98"/>
      <c r="S168" s="98"/>
      <c r="T168" s="98"/>
      <c r="U168" s="98"/>
      <c r="V168" s="98"/>
      <c r="W168" s="98"/>
      <c r="X168" s="98"/>
      <c r="Y168" s="98"/>
      <c r="Z168" s="98"/>
    </row>
    <row r="169" spans="1:26" ht="15.75" customHeight="1">
      <c r="A169" s="317">
        <v>44777</v>
      </c>
      <c r="B169" s="510">
        <f t="shared" si="0"/>
        <v>44777</v>
      </c>
      <c r="C169" s="511">
        <v>519.49</v>
      </c>
      <c r="D169" s="509">
        <v>2835</v>
      </c>
      <c r="E169" s="509">
        <f t="shared" si="1"/>
        <v>3354.49</v>
      </c>
      <c r="F169" s="98"/>
      <c r="G169" s="507"/>
      <c r="H169" s="507"/>
      <c r="I169" s="507"/>
      <c r="J169" s="507"/>
      <c r="K169" s="507"/>
      <c r="L169" s="98"/>
      <c r="M169" s="98"/>
      <c r="N169" s="98"/>
      <c r="O169" s="98"/>
      <c r="P169" s="98"/>
      <c r="Q169" s="98"/>
      <c r="R169" s="98"/>
      <c r="S169" s="98"/>
      <c r="T169" s="98"/>
      <c r="U169" s="98"/>
      <c r="V169" s="98"/>
      <c r="W169" s="98"/>
      <c r="X169" s="98"/>
      <c r="Y169" s="98"/>
      <c r="Z169" s="98"/>
    </row>
    <row r="170" spans="1:26" ht="15.75" customHeight="1">
      <c r="A170" s="317">
        <v>44781</v>
      </c>
      <c r="B170" s="510">
        <f t="shared" si="0"/>
        <v>44781</v>
      </c>
      <c r="C170" s="511">
        <v>522.5</v>
      </c>
      <c r="D170" s="509"/>
      <c r="E170" s="509">
        <f t="shared" si="1"/>
        <v>522.5</v>
      </c>
      <c r="F170" s="98"/>
      <c r="G170" s="507"/>
      <c r="H170" s="507"/>
      <c r="I170" s="507"/>
      <c r="J170" s="507"/>
      <c r="K170" s="507"/>
      <c r="L170" s="98"/>
      <c r="M170" s="98"/>
      <c r="N170" s="98"/>
      <c r="O170" s="98"/>
      <c r="P170" s="98"/>
      <c r="Q170" s="98"/>
      <c r="R170" s="98"/>
      <c r="S170" s="98"/>
      <c r="T170" s="98"/>
      <c r="U170" s="98"/>
      <c r="V170" s="98"/>
      <c r="W170" s="98"/>
      <c r="X170" s="98"/>
      <c r="Y170" s="98"/>
      <c r="Z170" s="98"/>
    </row>
    <row r="171" spans="1:26" ht="15.75" customHeight="1">
      <c r="A171" s="317">
        <v>44783</v>
      </c>
      <c r="B171" s="510">
        <f t="shared" si="0"/>
        <v>44783</v>
      </c>
      <c r="C171" s="511">
        <v>0</v>
      </c>
      <c r="D171" s="509">
        <v>903.07</v>
      </c>
      <c r="E171" s="509">
        <f t="shared" si="1"/>
        <v>903.07</v>
      </c>
      <c r="F171" s="98"/>
      <c r="G171" s="507"/>
      <c r="H171" s="507"/>
      <c r="I171" s="507"/>
      <c r="J171" s="507"/>
      <c r="K171" s="507"/>
      <c r="L171" s="98"/>
      <c r="M171" s="98"/>
      <c r="N171" s="98"/>
      <c r="O171" s="98"/>
      <c r="P171" s="98"/>
      <c r="Q171" s="98"/>
      <c r="R171" s="98"/>
      <c r="S171" s="98"/>
      <c r="T171" s="98"/>
      <c r="U171" s="98"/>
      <c r="V171" s="98"/>
      <c r="W171" s="98"/>
      <c r="X171" s="98"/>
      <c r="Y171" s="98"/>
      <c r="Z171" s="98"/>
    </row>
    <row r="172" spans="1:26" ht="15.75" customHeight="1">
      <c r="A172" s="317">
        <v>44785</v>
      </c>
      <c r="B172" s="510">
        <f t="shared" si="0"/>
        <v>44785</v>
      </c>
      <c r="C172" s="511">
        <v>145.22999999999999</v>
      </c>
      <c r="D172" s="509">
        <v>0</v>
      </c>
      <c r="E172" s="509">
        <f t="shared" si="1"/>
        <v>145.22999999999999</v>
      </c>
      <c r="F172" s="98"/>
      <c r="G172" s="507"/>
      <c r="H172" s="507"/>
      <c r="I172" s="507"/>
      <c r="J172" s="507"/>
      <c r="K172" s="507"/>
      <c r="L172" s="98"/>
      <c r="M172" s="98"/>
      <c r="N172" s="98"/>
      <c r="O172" s="98"/>
      <c r="P172" s="98"/>
      <c r="Q172" s="98"/>
      <c r="R172" s="98"/>
      <c r="S172" s="98"/>
      <c r="T172" s="98"/>
      <c r="U172" s="98"/>
      <c r="V172" s="98"/>
      <c r="W172" s="98"/>
      <c r="X172" s="98"/>
      <c r="Y172" s="98"/>
      <c r="Z172" s="98"/>
    </row>
    <row r="173" spans="1:26" ht="15.75" customHeight="1">
      <c r="A173" s="317">
        <v>44795</v>
      </c>
      <c r="B173" s="510">
        <f t="shared" si="0"/>
        <v>44795</v>
      </c>
      <c r="C173" s="511">
        <v>1726.2</v>
      </c>
      <c r="D173" s="509">
        <v>2250.0699999999924</v>
      </c>
      <c r="E173" s="509">
        <f t="shared" si="1"/>
        <v>3976.2699999999923</v>
      </c>
      <c r="F173" s="98"/>
      <c r="G173" s="507"/>
      <c r="H173" s="507"/>
      <c r="I173" s="507"/>
      <c r="J173" s="507"/>
      <c r="K173" s="507"/>
      <c r="L173" s="98"/>
      <c r="M173" s="98"/>
      <c r="N173" s="98"/>
      <c r="O173" s="98"/>
      <c r="P173" s="98"/>
      <c r="Q173" s="98"/>
      <c r="R173" s="98"/>
      <c r="S173" s="98"/>
      <c r="T173" s="98"/>
      <c r="U173" s="98"/>
      <c r="V173" s="98"/>
      <c r="W173" s="98"/>
      <c r="X173" s="98"/>
      <c r="Y173" s="98"/>
      <c r="Z173" s="98"/>
    </row>
    <row r="174" spans="1:26" ht="15.75" customHeight="1">
      <c r="A174" s="317">
        <v>44798</v>
      </c>
      <c r="B174" s="510">
        <f t="shared" si="0"/>
        <v>44798</v>
      </c>
      <c r="C174" s="511">
        <v>1039</v>
      </c>
      <c r="D174" s="509">
        <v>0</v>
      </c>
      <c r="E174" s="509">
        <f t="shared" si="1"/>
        <v>1039</v>
      </c>
      <c r="F174" s="98"/>
      <c r="G174" s="507"/>
      <c r="H174" s="507"/>
      <c r="I174" s="507"/>
      <c r="J174" s="507"/>
      <c r="K174" s="507"/>
      <c r="L174" s="98"/>
      <c r="M174" s="98"/>
      <c r="N174" s="98"/>
      <c r="O174" s="98"/>
      <c r="P174" s="98"/>
      <c r="Q174" s="98"/>
      <c r="R174" s="98"/>
      <c r="S174" s="98"/>
      <c r="T174" s="98"/>
      <c r="U174" s="98"/>
      <c r="V174" s="98"/>
      <c r="W174" s="98"/>
      <c r="X174" s="98"/>
      <c r="Y174" s="98"/>
      <c r="Z174" s="98"/>
    </row>
    <row r="175" spans="1:26" ht="15.75" customHeight="1">
      <c r="A175" s="317">
        <v>44799</v>
      </c>
      <c r="B175" s="510">
        <f t="shared" si="0"/>
        <v>44799</v>
      </c>
      <c r="C175" s="511">
        <v>548.04</v>
      </c>
      <c r="D175" s="509">
        <v>0</v>
      </c>
      <c r="E175" s="509">
        <f t="shared" si="1"/>
        <v>548.04</v>
      </c>
      <c r="F175" s="98"/>
      <c r="G175" s="507"/>
      <c r="H175" s="507"/>
      <c r="I175" s="507"/>
      <c r="J175" s="507"/>
      <c r="K175" s="507"/>
      <c r="L175" s="98"/>
      <c r="M175" s="98"/>
      <c r="N175" s="98"/>
      <c r="O175" s="98"/>
      <c r="P175" s="98"/>
      <c r="Q175" s="98"/>
      <c r="R175" s="98"/>
      <c r="S175" s="98"/>
      <c r="T175" s="98"/>
      <c r="U175" s="98"/>
      <c r="V175" s="98"/>
      <c r="W175" s="98"/>
      <c r="X175" s="98"/>
      <c r="Y175" s="98"/>
      <c r="Z175" s="98"/>
    </row>
    <row r="176" spans="1:26" ht="15.75" customHeight="1">
      <c r="A176" s="317">
        <v>44802</v>
      </c>
      <c r="B176" s="510">
        <f t="shared" si="0"/>
        <v>44802</v>
      </c>
      <c r="C176" s="511">
        <v>278.32</v>
      </c>
      <c r="D176" s="509">
        <v>0</v>
      </c>
      <c r="E176" s="509">
        <f t="shared" si="1"/>
        <v>278.32</v>
      </c>
      <c r="F176" s="98"/>
      <c r="G176" s="507"/>
      <c r="H176" s="507"/>
      <c r="I176" s="507"/>
      <c r="J176" s="507"/>
      <c r="K176" s="507"/>
      <c r="L176" s="98"/>
      <c r="M176" s="98"/>
      <c r="N176" s="98"/>
      <c r="O176" s="98"/>
      <c r="P176" s="98"/>
      <c r="Q176" s="98"/>
      <c r="R176" s="98"/>
      <c r="S176" s="98"/>
      <c r="T176" s="98"/>
      <c r="U176" s="98"/>
      <c r="V176" s="98"/>
      <c r="W176" s="98"/>
      <c r="X176" s="98"/>
      <c r="Y176" s="98"/>
      <c r="Z176" s="98"/>
    </row>
    <row r="177" spans="1:26" ht="15.75" customHeight="1">
      <c r="A177" s="317">
        <v>44803</v>
      </c>
      <c r="B177" s="510">
        <f t="shared" si="0"/>
        <v>44803</v>
      </c>
      <c r="C177" s="511">
        <v>1856.35</v>
      </c>
      <c r="D177" s="509">
        <v>0</v>
      </c>
      <c r="E177" s="509">
        <f t="shared" si="1"/>
        <v>1856.35</v>
      </c>
      <c r="F177" s="98"/>
      <c r="G177" s="507"/>
      <c r="H177" s="507"/>
      <c r="I177" s="507"/>
      <c r="J177" s="507"/>
      <c r="K177" s="507"/>
      <c r="L177" s="98"/>
      <c r="M177" s="98"/>
      <c r="N177" s="98"/>
      <c r="O177" s="98"/>
      <c r="P177" s="98"/>
      <c r="Q177" s="98"/>
      <c r="R177" s="98"/>
      <c r="S177" s="98"/>
      <c r="T177" s="98"/>
      <c r="U177" s="98"/>
      <c r="V177" s="98"/>
      <c r="W177" s="98"/>
      <c r="X177" s="98"/>
      <c r="Y177" s="98"/>
      <c r="Z177" s="98"/>
    </row>
    <row r="178" spans="1:26" ht="15.75" customHeight="1">
      <c r="A178" s="317">
        <v>44805</v>
      </c>
      <c r="B178" s="510">
        <f t="shared" si="0"/>
        <v>44805</v>
      </c>
      <c r="C178" s="511">
        <v>1430.72</v>
      </c>
      <c r="D178" s="509">
        <v>0</v>
      </c>
      <c r="E178" s="509">
        <f t="shared" si="1"/>
        <v>1430.72</v>
      </c>
      <c r="F178" s="98"/>
      <c r="G178" s="507"/>
      <c r="H178" s="507"/>
      <c r="I178" s="507"/>
      <c r="J178" s="507"/>
      <c r="K178" s="507"/>
      <c r="L178" s="98"/>
      <c r="M178" s="98"/>
      <c r="N178" s="98"/>
      <c r="O178" s="98"/>
      <c r="P178" s="98"/>
      <c r="Q178" s="98"/>
      <c r="R178" s="98"/>
      <c r="S178" s="98"/>
      <c r="T178" s="98"/>
      <c r="U178" s="98"/>
      <c r="V178" s="98"/>
      <c r="W178" s="98"/>
      <c r="X178" s="98"/>
      <c r="Y178" s="98"/>
      <c r="Z178" s="98"/>
    </row>
    <row r="179" spans="1:26" ht="15.75" customHeight="1">
      <c r="A179" s="317">
        <v>44809</v>
      </c>
      <c r="B179" s="510">
        <f t="shared" si="0"/>
        <v>44809</v>
      </c>
      <c r="C179" s="511">
        <v>0</v>
      </c>
      <c r="D179" s="509">
        <v>2871.07</v>
      </c>
      <c r="E179" s="509">
        <f t="shared" si="1"/>
        <v>2871.07</v>
      </c>
      <c r="F179" s="98"/>
      <c r="G179" s="507"/>
      <c r="H179" s="507"/>
      <c r="I179" s="507"/>
      <c r="J179" s="507"/>
      <c r="K179" s="507"/>
      <c r="L179" s="98"/>
      <c r="M179" s="98"/>
      <c r="N179" s="98"/>
      <c r="O179" s="98"/>
      <c r="P179" s="98"/>
      <c r="Q179" s="98"/>
      <c r="R179" s="98"/>
      <c r="S179" s="98"/>
      <c r="T179" s="98"/>
      <c r="U179" s="98"/>
      <c r="V179" s="98"/>
      <c r="W179" s="98"/>
      <c r="X179" s="98"/>
      <c r="Y179" s="98"/>
      <c r="Z179" s="98"/>
    </row>
    <row r="180" spans="1:26" ht="15.75" customHeight="1">
      <c r="A180" s="317">
        <v>44810</v>
      </c>
      <c r="B180" s="510">
        <f t="shared" si="0"/>
        <v>44810</v>
      </c>
      <c r="C180" s="511">
        <v>975.93</v>
      </c>
      <c r="D180" s="509">
        <v>0</v>
      </c>
      <c r="E180" s="509">
        <f t="shared" si="1"/>
        <v>975.93</v>
      </c>
      <c r="F180" s="98"/>
      <c r="G180" s="507"/>
      <c r="H180" s="507"/>
      <c r="I180" s="507"/>
      <c r="J180" s="507"/>
      <c r="K180" s="507"/>
      <c r="L180" s="98"/>
      <c r="M180" s="98"/>
      <c r="N180" s="98"/>
      <c r="O180" s="98"/>
      <c r="P180" s="98"/>
      <c r="Q180" s="98"/>
      <c r="R180" s="98"/>
      <c r="S180" s="98"/>
      <c r="T180" s="98"/>
      <c r="U180" s="98"/>
      <c r="V180" s="98"/>
      <c r="W180" s="98"/>
      <c r="X180" s="98"/>
      <c r="Y180" s="98"/>
      <c r="Z180" s="98"/>
    </row>
    <row r="181" spans="1:26" ht="15.75" customHeight="1">
      <c r="A181" s="317">
        <v>44811</v>
      </c>
      <c r="B181" s="510">
        <f t="shared" si="0"/>
        <v>44811</v>
      </c>
      <c r="C181" s="511">
        <v>406.67</v>
      </c>
      <c r="D181" s="509">
        <v>0</v>
      </c>
      <c r="E181" s="509">
        <f t="shared" si="1"/>
        <v>406.67</v>
      </c>
      <c r="F181" s="98"/>
      <c r="G181" s="507"/>
      <c r="H181" s="507"/>
      <c r="I181" s="507"/>
      <c r="J181" s="507"/>
      <c r="K181" s="507"/>
      <c r="L181" s="98"/>
      <c r="M181" s="98"/>
      <c r="N181" s="98"/>
      <c r="O181" s="98"/>
      <c r="P181" s="98"/>
      <c r="Q181" s="98"/>
      <c r="R181" s="98"/>
      <c r="S181" s="98"/>
      <c r="T181" s="98"/>
      <c r="U181" s="98"/>
      <c r="V181" s="98"/>
      <c r="W181" s="98"/>
      <c r="X181" s="98"/>
      <c r="Y181" s="98"/>
      <c r="Z181" s="98"/>
    </row>
    <row r="182" spans="1:26" ht="15.75" customHeight="1">
      <c r="A182" s="317">
        <v>44813</v>
      </c>
      <c r="B182" s="510">
        <f t="shared" si="0"/>
        <v>44813</v>
      </c>
      <c r="C182" s="511">
        <v>2044.14</v>
      </c>
      <c r="D182" s="509">
        <v>0</v>
      </c>
      <c r="E182" s="509">
        <f t="shared" si="1"/>
        <v>2044.14</v>
      </c>
      <c r="F182" s="98"/>
      <c r="G182" s="507"/>
      <c r="H182" s="507"/>
      <c r="I182" s="507"/>
      <c r="J182" s="507"/>
      <c r="K182" s="507"/>
      <c r="L182" s="98"/>
      <c r="M182" s="98"/>
      <c r="N182" s="98"/>
      <c r="O182" s="98"/>
      <c r="P182" s="98"/>
      <c r="Q182" s="98"/>
      <c r="R182" s="98"/>
      <c r="S182" s="98"/>
      <c r="T182" s="98"/>
      <c r="U182" s="98"/>
      <c r="V182" s="98"/>
      <c r="W182" s="98"/>
      <c r="X182" s="98"/>
      <c r="Y182" s="98"/>
      <c r="Z182" s="98"/>
    </row>
    <row r="183" spans="1:26" ht="15.75" customHeight="1">
      <c r="A183" s="317">
        <v>44816</v>
      </c>
      <c r="B183" s="510">
        <f t="shared" si="0"/>
        <v>44816</v>
      </c>
      <c r="C183" s="511">
        <v>501.07</v>
      </c>
      <c r="D183" s="509">
        <v>0</v>
      </c>
      <c r="E183" s="509">
        <f t="shared" si="1"/>
        <v>501.07</v>
      </c>
      <c r="F183" s="98"/>
      <c r="G183" s="507"/>
      <c r="H183" s="507"/>
      <c r="I183" s="507"/>
      <c r="J183" s="507"/>
      <c r="K183" s="507"/>
      <c r="L183" s="98"/>
      <c r="M183" s="98"/>
      <c r="N183" s="98"/>
      <c r="O183" s="98"/>
      <c r="P183" s="98"/>
      <c r="Q183" s="98"/>
      <c r="R183" s="98"/>
      <c r="S183" s="98"/>
      <c r="T183" s="98"/>
      <c r="U183" s="98"/>
      <c r="V183" s="98"/>
      <c r="W183" s="98"/>
      <c r="X183" s="98"/>
      <c r="Y183" s="98"/>
      <c r="Z183" s="98"/>
    </row>
    <row r="184" spans="1:26" ht="15.75" customHeight="1">
      <c r="A184" s="317">
        <v>44817</v>
      </c>
      <c r="B184" s="510">
        <f t="shared" si="0"/>
        <v>44817</v>
      </c>
      <c r="C184" s="511">
        <v>1655.24</v>
      </c>
      <c r="D184" s="509">
        <v>0</v>
      </c>
      <c r="E184" s="509">
        <f t="shared" si="1"/>
        <v>1655.24</v>
      </c>
      <c r="F184" s="98"/>
      <c r="G184" s="507"/>
      <c r="H184" s="507"/>
      <c r="I184" s="507"/>
      <c r="J184" s="507"/>
      <c r="K184" s="507"/>
      <c r="L184" s="98"/>
      <c r="M184" s="98"/>
      <c r="N184" s="98"/>
      <c r="O184" s="98"/>
      <c r="P184" s="98"/>
      <c r="Q184" s="98"/>
      <c r="R184" s="98"/>
      <c r="S184" s="98"/>
      <c r="T184" s="98"/>
      <c r="U184" s="98"/>
      <c r="V184" s="98"/>
      <c r="W184" s="98"/>
      <c r="X184" s="98"/>
      <c r="Y184" s="98"/>
      <c r="Z184" s="98"/>
    </row>
    <row r="185" spans="1:26" ht="15.75" customHeight="1">
      <c r="A185" s="317">
        <v>44818</v>
      </c>
      <c r="B185" s="510">
        <f t="shared" si="0"/>
        <v>44818</v>
      </c>
      <c r="C185" s="511">
        <v>103.54</v>
      </c>
      <c r="D185" s="509">
        <v>2099.1399999999994</v>
      </c>
      <c r="E185" s="509">
        <f t="shared" si="1"/>
        <v>2202.6799999999994</v>
      </c>
      <c r="F185" s="98"/>
      <c r="G185" s="507"/>
      <c r="H185" s="507"/>
      <c r="I185" s="507"/>
      <c r="J185" s="507"/>
      <c r="K185" s="507"/>
      <c r="L185" s="98"/>
      <c r="M185" s="98"/>
      <c r="N185" s="98"/>
      <c r="O185" s="98"/>
      <c r="P185" s="98"/>
      <c r="Q185" s="98"/>
      <c r="R185" s="98"/>
      <c r="S185" s="98"/>
      <c r="T185" s="98"/>
      <c r="U185" s="98"/>
      <c r="V185" s="98"/>
      <c r="W185" s="98"/>
      <c r="X185" s="98"/>
      <c r="Y185" s="98"/>
      <c r="Z185" s="98"/>
    </row>
    <row r="186" spans="1:26" ht="15.75" customHeight="1">
      <c r="A186" s="317">
        <v>44819</v>
      </c>
      <c r="B186" s="510">
        <f t="shared" si="0"/>
        <v>44819</v>
      </c>
      <c r="C186" s="511">
        <v>1102.42</v>
      </c>
      <c r="D186" s="509">
        <v>4554.07</v>
      </c>
      <c r="E186" s="509">
        <f t="shared" si="1"/>
        <v>5656.49</v>
      </c>
      <c r="F186" s="98"/>
      <c r="G186" s="507"/>
      <c r="H186" s="507"/>
      <c r="I186" s="507"/>
      <c r="J186" s="507"/>
      <c r="K186" s="507"/>
      <c r="L186" s="98"/>
      <c r="M186" s="98"/>
      <c r="N186" s="98"/>
      <c r="O186" s="98"/>
      <c r="P186" s="98"/>
      <c r="Q186" s="98"/>
      <c r="R186" s="98"/>
      <c r="S186" s="98"/>
      <c r="T186" s="98"/>
      <c r="U186" s="98"/>
      <c r="V186" s="98"/>
      <c r="W186" s="98"/>
      <c r="X186" s="98"/>
      <c r="Y186" s="98"/>
      <c r="Z186" s="98"/>
    </row>
    <row r="187" spans="1:26" ht="15.75" customHeight="1">
      <c r="A187" s="317">
        <v>44820</v>
      </c>
      <c r="B187" s="510">
        <f t="shared" si="0"/>
        <v>44820</v>
      </c>
      <c r="C187" s="511">
        <v>745.64</v>
      </c>
      <c r="D187" s="509">
        <v>41</v>
      </c>
      <c r="E187" s="509">
        <f t="shared" si="1"/>
        <v>786.64</v>
      </c>
      <c r="F187" s="98"/>
      <c r="G187" s="507"/>
      <c r="H187" s="507"/>
      <c r="I187" s="507"/>
      <c r="J187" s="507"/>
      <c r="K187" s="507"/>
      <c r="L187" s="98"/>
      <c r="M187" s="98"/>
      <c r="N187" s="98"/>
      <c r="O187" s="98"/>
      <c r="P187" s="98"/>
      <c r="Q187" s="98"/>
      <c r="R187" s="98"/>
      <c r="S187" s="98"/>
      <c r="T187" s="98"/>
      <c r="U187" s="98"/>
      <c r="V187" s="98"/>
      <c r="W187" s="98"/>
      <c r="X187" s="98"/>
      <c r="Y187" s="98"/>
      <c r="Z187" s="98"/>
    </row>
    <row r="188" spans="1:26" ht="15.75" customHeight="1">
      <c r="A188" s="317">
        <v>44824</v>
      </c>
      <c r="B188" s="510">
        <f t="shared" si="0"/>
        <v>44824</v>
      </c>
      <c r="C188" s="511">
        <v>0</v>
      </c>
      <c r="D188" s="509">
        <v>966.07</v>
      </c>
      <c r="E188" s="509">
        <f t="shared" si="1"/>
        <v>966.07</v>
      </c>
      <c r="F188" s="98"/>
      <c r="G188" s="507"/>
      <c r="H188" s="507"/>
      <c r="I188" s="507"/>
      <c r="J188" s="507"/>
      <c r="K188" s="507"/>
      <c r="L188" s="98"/>
      <c r="M188" s="98"/>
      <c r="N188" s="98"/>
      <c r="O188" s="98"/>
      <c r="P188" s="98"/>
      <c r="Q188" s="98"/>
      <c r="R188" s="98"/>
      <c r="S188" s="98"/>
      <c r="T188" s="98"/>
      <c r="U188" s="98"/>
      <c r="V188" s="98"/>
      <c r="W188" s="98"/>
      <c r="X188" s="98"/>
      <c r="Y188" s="98"/>
      <c r="Z188" s="98"/>
    </row>
    <row r="189" spans="1:26" ht="15.75" customHeight="1">
      <c r="A189" s="317">
        <v>44830</v>
      </c>
      <c r="B189" s="510">
        <f t="shared" si="0"/>
        <v>44830</v>
      </c>
      <c r="C189" s="511">
        <v>241.54</v>
      </c>
      <c r="D189" s="509">
        <v>0</v>
      </c>
      <c r="E189" s="509">
        <f t="shared" si="1"/>
        <v>241.54</v>
      </c>
      <c r="F189" s="98"/>
      <c r="G189" s="507"/>
      <c r="H189" s="507"/>
      <c r="I189" s="507"/>
      <c r="J189" s="507"/>
      <c r="K189" s="507"/>
      <c r="L189" s="98"/>
      <c r="M189" s="98"/>
      <c r="N189" s="98"/>
      <c r="O189" s="98"/>
      <c r="P189" s="98"/>
      <c r="Q189" s="98"/>
      <c r="R189" s="98"/>
      <c r="S189" s="98"/>
      <c r="T189" s="98"/>
      <c r="U189" s="98"/>
      <c r="V189" s="98"/>
      <c r="W189" s="98"/>
      <c r="X189" s="98"/>
      <c r="Y189" s="98"/>
      <c r="Z189" s="98"/>
    </row>
    <row r="190" spans="1:26" ht="15.75" customHeight="1">
      <c r="A190" s="317">
        <v>44831</v>
      </c>
      <c r="B190" s="510">
        <f t="shared" si="0"/>
        <v>44831</v>
      </c>
      <c r="C190" s="511">
        <v>79.319999999999993</v>
      </c>
      <c r="D190" s="509">
        <v>0</v>
      </c>
      <c r="E190" s="509">
        <f t="shared" si="1"/>
        <v>79.319999999999993</v>
      </c>
      <c r="F190" s="98"/>
      <c r="G190" s="507"/>
      <c r="H190" s="507"/>
      <c r="I190" s="507"/>
      <c r="J190" s="507"/>
      <c r="K190" s="507"/>
      <c r="L190" s="98"/>
      <c r="M190" s="98"/>
      <c r="N190" s="98"/>
      <c r="O190" s="98"/>
      <c r="P190" s="98"/>
      <c r="Q190" s="98"/>
      <c r="R190" s="98"/>
      <c r="S190" s="98"/>
      <c r="T190" s="98"/>
      <c r="U190" s="98"/>
      <c r="V190" s="98"/>
      <c r="W190" s="98"/>
      <c r="X190" s="98"/>
      <c r="Y190" s="98"/>
      <c r="Z190" s="98"/>
    </row>
    <row r="191" spans="1:26" ht="15.75" customHeight="1">
      <c r="A191" s="317">
        <v>44832</v>
      </c>
      <c r="B191" s="510">
        <f t="shared" si="0"/>
        <v>44832</v>
      </c>
      <c r="C191" s="511">
        <v>74.44</v>
      </c>
      <c r="D191" s="509">
        <v>57.07</v>
      </c>
      <c r="E191" s="509">
        <f t="shared" si="1"/>
        <v>131.51</v>
      </c>
      <c r="F191" s="98"/>
      <c r="G191" s="507"/>
      <c r="H191" s="507"/>
      <c r="I191" s="507"/>
      <c r="J191" s="507"/>
      <c r="K191" s="507"/>
      <c r="L191" s="98"/>
      <c r="M191" s="98"/>
      <c r="N191" s="98"/>
      <c r="O191" s="98"/>
      <c r="P191" s="98"/>
      <c r="Q191" s="98"/>
      <c r="R191" s="98"/>
      <c r="S191" s="98"/>
      <c r="T191" s="98"/>
      <c r="U191" s="98"/>
      <c r="V191" s="98"/>
      <c r="W191" s="98"/>
      <c r="X191" s="98"/>
      <c r="Y191" s="98"/>
      <c r="Z191" s="98"/>
    </row>
    <row r="192" spans="1:26" ht="15.75" customHeight="1">
      <c r="A192" s="317">
        <v>44833</v>
      </c>
      <c r="B192" s="510">
        <f t="shared" si="0"/>
        <v>44833</v>
      </c>
      <c r="C192" s="511">
        <v>99.45</v>
      </c>
      <c r="D192" s="509">
        <v>0</v>
      </c>
      <c r="E192" s="509">
        <f t="shared" si="1"/>
        <v>99.45</v>
      </c>
      <c r="F192" s="98"/>
      <c r="G192" s="507"/>
      <c r="H192" s="507"/>
      <c r="I192" s="507"/>
      <c r="J192" s="507"/>
      <c r="K192" s="507"/>
      <c r="L192" s="98"/>
      <c r="M192" s="98"/>
      <c r="N192" s="98"/>
      <c r="O192" s="98"/>
      <c r="P192" s="98"/>
      <c r="Q192" s="98"/>
      <c r="R192" s="98"/>
      <c r="S192" s="98"/>
      <c r="T192" s="98"/>
      <c r="U192" s="98"/>
      <c r="V192" s="98"/>
      <c r="W192" s="98"/>
      <c r="X192" s="98"/>
      <c r="Y192" s="98"/>
      <c r="Z192" s="98"/>
    </row>
    <row r="193" spans="1:26" ht="15.75" customHeight="1">
      <c r="A193" s="317">
        <v>44834</v>
      </c>
      <c r="B193" s="510">
        <f t="shared" si="0"/>
        <v>44834</v>
      </c>
      <c r="C193" s="511">
        <v>307.89</v>
      </c>
      <c r="D193" s="509">
        <v>0</v>
      </c>
      <c r="E193" s="509">
        <f t="shared" si="1"/>
        <v>307.89</v>
      </c>
      <c r="F193" s="98"/>
      <c r="G193" s="507"/>
      <c r="H193" s="507"/>
      <c r="I193" s="507"/>
      <c r="J193" s="507"/>
      <c r="K193" s="507"/>
      <c r="L193" s="98"/>
      <c r="M193" s="98"/>
      <c r="N193" s="98"/>
      <c r="O193" s="98"/>
      <c r="P193" s="98"/>
      <c r="Q193" s="98"/>
      <c r="R193" s="98"/>
      <c r="S193" s="98"/>
      <c r="T193" s="98"/>
      <c r="U193" s="98"/>
      <c r="V193" s="98"/>
      <c r="W193" s="98"/>
      <c r="X193" s="98"/>
      <c r="Y193" s="98"/>
      <c r="Z193" s="98"/>
    </row>
    <row r="194" spans="1:26" ht="15.75" customHeight="1">
      <c r="A194" s="317">
        <v>44837</v>
      </c>
      <c r="B194" s="510">
        <f t="shared" si="0"/>
        <v>44837</v>
      </c>
      <c r="C194" s="511">
        <v>471.7</v>
      </c>
      <c r="D194" s="509">
        <v>0</v>
      </c>
      <c r="E194" s="509">
        <f t="shared" si="1"/>
        <v>471.7</v>
      </c>
      <c r="F194" s="98"/>
      <c r="G194" s="507"/>
      <c r="H194" s="507"/>
      <c r="I194" s="507"/>
      <c r="J194" s="507"/>
      <c r="K194" s="507"/>
      <c r="L194" s="98"/>
      <c r="M194" s="98"/>
      <c r="N194" s="98"/>
      <c r="O194" s="98"/>
      <c r="P194" s="98"/>
      <c r="Q194" s="98"/>
      <c r="R194" s="98"/>
      <c r="S194" s="98"/>
      <c r="T194" s="98"/>
      <c r="U194" s="98"/>
      <c r="V194" s="98"/>
      <c r="W194" s="98"/>
      <c r="X194" s="98"/>
      <c r="Y194" s="98"/>
      <c r="Z194" s="98"/>
    </row>
    <row r="195" spans="1:26" ht="15.75" customHeight="1">
      <c r="A195" s="317">
        <v>44838</v>
      </c>
      <c r="B195" s="510">
        <f t="shared" si="0"/>
        <v>44838</v>
      </c>
      <c r="C195" s="511">
        <v>208.18</v>
      </c>
      <c r="D195" s="509">
        <v>0</v>
      </c>
      <c r="E195" s="509">
        <f t="shared" si="1"/>
        <v>208.18</v>
      </c>
      <c r="F195" s="98"/>
      <c r="G195" s="507"/>
      <c r="H195" s="507"/>
      <c r="I195" s="507"/>
      <c r="J195" s="507"/>
      <c r="K195" s="507"/>
      <c r="L195" s="98"/>
      <c r="M195" s="98"/>
      <c r="N195" s="98"/>
      <c r="O195" s="98"/>
      <c r="P195" s="98"/>
      <c r="Q195" s="98"/>
      <c r="R195" s="98"/>
      <c r="S195" s="98"/>
      <c r="T195" s="98"/>
      <c r="U195" s="98"/>
      <c r="V195" s="98"/>
      <c r="W195" s="98"/>
      <c r="X195" s="98"/>
      <c r="Y195" s="98"/>
      <c r="Z195" s="98"/>
    </row>
    <row r="196" spans="1:26" ht="15.75" customHeight="1">
      <c r="A196" s="317">
        <v>44851</v>
      </c>
      <c r="B196" s="510">
        <f t="shared" si="0"/>
        <v>44851</v>
      </c>
      <c r="C196" s="511">
        <v>165.41</v>
      </c>
      <c r="D196" s="509">
        <v>0</v>
      </c>
      <c r="E196" s="509">
        <f t="shared" si="1"/>
        <v>165.41</v>
      </c>
      <c r="F196" s="98"/>
      <c r="G196" s="507"/>
      <c r="H196" s="507"/>
      <c r="I196" s="507"/>
      <c r="J196" s="507"/>
      <c r="K196" s="507"/>
      <c r="L196" s="98"/>
      <c r="M196" s="98"/>
      <c r="N196" s="98"/>
      <c r="O196" s="98"/>
      <c r="P196" s="98"/>
      <c r="Q196" s="98"/>
      <c r="R196" s="98"/>
      <c r="S196" s="98"/>
      <c r="T196" s="98"/>
      <c r="U196" s="98"/>
      <c r="V196" s="98"/>
      <c r="W196" s="98"/>
      <c r="X196" s="98"/>
      <c r="Y196" s="98"/>
      <c r="Z196" s="98"/>
    </row>
    <row r="197" spans="1:26" ht="15.75" customHeight="1">
      <c r="A197" s="317">
        <v>44852</v>
      </c>
      <c r="B197" s="510">
        <f t="shared" si="0"/>
        <v>44852</v>
      </c>
      <c r="C197" s="511">
        <v>137.04</v>
      </c>
      <c r="D197" s="509">
        <v>5453.07</v>
      </c>
      <c r="E197" s="509">
        <f t="shared" si="1"/>
        <v>5590.11</v>
      </c>
      <c r="F197" s="98"/>
      <c r="G197" s="507"/>
      <c r="H197" s="507"/>
      <c r="I197" s="507"/>
      <c r="J197" s="507"/>
      <c r="K197" s="507"/>
      <c r="L197" s="98"/>
      <c r="M197" s="98"/>
      <c r="N197" s="98"/>
      <c r="O197" s="98"/>
      <c r="P197" s="98"/>
      <c r="Q197" s="98"/>
      <c r="R197" s="98"/>
      <c r="S197" s="98"/>
      <c r="T197" s="98"/>
      <c r="U197" s="98"/>
      <c r="V197" s="98"/>
      <c r="W197" s="98"/>
      <c r="X197" s="98"/>
      <c r="Y197" s="98"/>
      <c r="Z197" s="98"/>
    </row>
    <row r="198" spans="1:26" ht="15.75" customHeight="1">
      <c r="A198" s="317">
        <v>44853</v>
      </c>
      <c r="B198" s="510">
        <f t="shared" si="0"/>
        <v>44853</v>
      </c>
      <c r="C198" s="511">
        <v>380.25</v>
      </c>
      <c r="D198" s="509">
        <v>0</v>
      </c>
      <c r="E198" s="509">
        <f t="shared" si="1"/>
        <v>380.25</v>
      </c>
      <c r="F198" s="98"/>
      <c r="G198" s="507"/>
      <c r="H198" s="507"/>
      <c r="I198" s="507"/>
      <c r="J198" s="507"/>
      <c r="K198" s="507"/>
      <c r="L198" s="98"/>
      <c r="M198" s="98"/>
      <c r="N198" s="98"/>
      <c r="O198" s="98"/>
      <c r="P198" s="98"/>
      <c r="Q198" s="98"/>
      <c r="R198" s="98"/>
      <c r="S198" s="98"/>
      <c r="T198" s="98"/>
      <c r="U198" s="98"/>
      <c r="V198" s="98"/>
      <c r="W198" s="98"/>
      <c r="X198" s="98"/>
      <c r="Y198" s="98"/>
      <c r="Z198" s="98"/>
    </row>
    <row r="199" spans="1:26" ht="15.75" customHeight="1">
      <c r="A199" s="317">
        <v>44854</v>
      </c>
      <c r="B199" s="510">
        <f t="shared" si="0"/>
        <v>44854</v>
      </c>
      <c r="C199" s="511">
        <v>0</v>
      </c>
      <c r="D199" s="509">
        <v>8122.21</v>
      </c>
      <c r="E199" s="509">
        <f t="shared" si="1"/>
        <v>8122.21</v>
      </c>
      <c r="F199" s="98"/>
      <c r="G199" s="507"/>
      <c r="H199" s="507"/>
      <c r="I199" s="507"/>
      <c r="J199" s="507"/>
      <c r="K199" s="507"/>
      <c r="L199" s="98"/>
      <c r="M199" s="98"/>
      <c r="N199" s="98"/>
      <c r="O199" s="98"/>
      <c r="P199" s="98"/>
      <c r="Q199" s="98"/>
      <c r="R199" s="98"/>
      <c r="S199" s="98"/>
      <c r="T199" s="98"/>
      <c r="U199" s="98"/>
      <c r="V199" s="98"/>
      <c r="W199" s="98"/>
      <c r="X199" s="98"/>
      <c r="Y199" s="98"/>
      <c r="Z199" s="98"/>
    </row>
    <row r="200" spans="1:26" ht="15.75" customHeight="1">
      <c r="A200" s="317">
        <v>44855</v>
      </c>
      <c r="B200" s="510">
        <f t="shared" si="0"/>
        <v>44855</v>
      </c>
      <c r="C200" s="511">
        <v>0</v>
      </c>
      <c r="D200" s="509">
        <v>1150.07</v>
      </c>
      <c r="E200" s="509">
        <f t="shared" si="1"/>
        <v>1150.07</v>
      </c>
      <c r="F200" s="98"/>
      <c r="G200" s="507"/>
      <c r="H200" s="507"/>
      <c r="I200" s="507"/>
      <c r="J200" s="507"/>
      <c r="K200" s="507"/>
      <c r="L200" s="98"/>
      <c r="M200" s="98"/>
      <c r="N200" s="98"/>
      <c r="O200" s="98"/>
      <c r="P200" s="98"/>
      <c r="Q200" s="98"/>
      <c r="R200" s="98"/>
      <c r="S200" s="98"/>
      <c r="T200" s="98"/>
      <c r="U200" s="98"/>
      <c r="V200" s="98"/>
      <c r="W200" s="98"/>
      <c r="X200" s="98"/>
      <c r="Y200" s="98"/>
      <c r="Z200" s="98"/>
    </row>
    <row r="201" spans="1:26" ht="15.75" customHeight="1">
      <c r="A201" s="317">
        <v>44858</v>
      </c>
      <c r="B201" s="510">
        <f t="shared" si="0"/>
        <v>44858</v>
      </c>
      <c r="C201" s="511">
        <v>0</v>
      </c>
      <c r="D201" s="509">
        <v>231.07</v>
      </c>
      <c r="E201" s="509">
        <f t="shared" si="1"/>
        <v>231.07</v>
      </c>
      <c r="F201" s="98"/>
      <c r="G201" s="507"/>
      <c r="H201" s="507"/>
      <c r="I201" s="507"/>
      <c r="J201" s="507"/>
      <c r="K201" s="507"/>
      <c r="L201" s="98"/>
      <c r="M201" s="98"/>
      <c r="N201" s="98"/>
      <c r="O201" s="98"/>
      <c r="P201" s="98"/>
      <c r="Q201" s="98"/>
      <c r="R201" s="98"/>
      <c r="S201" s="98"/>
      <c r="T201" s="98"/>
      <c r="U201" s="98"/>
      <c r="V201" s="98"/>
      <c r="W201" s="98"/>
      <c r="X201" s="98"/>
      <c r="Y201" s="98"/>
      <c r="Z201" s="98"/>
    </row>
    <row r="202" spans="1:26" ht="15.75" customHeight="1">
      <c r="A202" s="317">
        <v>44859</v>
      </c>
      <c r="B202" s="510">
        <f t="shared" si="0"/>
        <v>44859</v>
      </c>
      <c r="C202" s="511">
        <v>613.66</v>
      </c>
      <c r="D202" s="509">
        <v>0</v>
      </c>
      <c r="E202" s="509">
        <f t="shared" si="1"/>
        <v>613.66</v>
      </c>
      <c r="F202" s="98"/>
      <c r="G202" s="507"/>
      <c r="H202" s="507"/>
      <c r="I202" s="507"/>
      <c r="J202" s="507"/>
      <c r="K202" s="507"/>
      <c r="L202" s="98"/>
      <c r="M202" s="98"/>
      <c r="N202" s="98"/>
      <c r="O202" s="98"/>
      <c r="P202" s="98"/>
      <c r="Q202" s="98"/>
      <c r="R202" s="98"/>
      <c r="S202" s="98"/>
      <c r="T202" s="98"/>
      <c r="U202" s="98"/>
      <c r="V202" s="98"/>
      <c r="W202" s="98"/>
      <c r="X202" s="98"/>
      <c r="Y202" s="98"/>
      <c r="Z202" s="98"/>
    </row>
    <row r="203" spans="1:26" ht="15.75" customHeight="1">
      <c r="A203" s="317">
        <v>44861</v>
      </c>
      <c r="B203" s="510">
        <f t="shared" si="0"/>
        <v>44861</v>
      </c>
      <c r="C203" s="511">
        <v>382.76</v>
      </c>
      <c r="D203" s="509">
        <v>0</v>
      </c>
      <c r="E203" s="509">
        <f t="shared" si="1"/>
        <v>382.76</v>
      </c>
      <c r="F203" s="98"/>
      <c r="G203" s="507"/>
      <c r="H203" s="507"/>
      <c r="I203" s="507"/>
      <c r="J203" s="507"/>
      <c r="K203" s="507"/>
      <c r="L203" s="98"/>
      <c r="M203" s="98"/>
      <c r="N203" s="98"/>
      <c r="O203" s="98"/>
      <c r="P203" s="98"/>
      <c r="Q203" s="98"/>
      <c r="R203" s="98"/>
      <c r="S203" s="98"/>
      <c r="T203" s="98"/>
      <c r="U203" s="98"/>
      <c r="V203" s="98"/>
      <c r="W203" s="98"/>
      <c r="X203" s="98"/>
      <c r="Y203" s="98"/>
      <c r="Z203" s="98"/>
    </row>
    <row r="204" spans="1:26" ht="15.75" customHeight="1">
      <c r="A204" s="317">
        <v>44862</v>
      </c>
      <c r="B204" s="510">
        <f t="shared" si="0"/>
        <v>44862</v>
      </c>
      <c r="C204" s="511">
        <v>79.37</v>
      </c>
      <c r="D204" s="509">
        <v>0</v>
      </c>
      <c r="E204" s="509">
        <f t="shared" si="1"/>
        <v>79.37</v>
      </c>
      <c r="F204" s="98"/>
      <c r="G204" s="507"/>
      <c r="H204" s="507"/>
      <c r="I204" s="507"/>
      <c r="J204" s="507"/>
      <c r="K204" s="507"/>
      <c r="L204" s="98"/>
      <c r="M204" s="98"/>
      <c r="N204" s="98"/>
      <c r="O204" s="98"/>
      <c r="P204" s="98"/>
      <c r="Q204" s="98"/>
      <c r="R204" s="98"/>
      <c r="S204" s="98"/>
      <c r="T204" s="98"/>
      <c r="U204" s="98"/>
      <c r="V204" s="98"/>
      <c r="W204" s="98"/>
      <c r="X204" s="98"/>
      <c r="Y204" s="98"/>
      <c r="Z204" s="98"/>
    </row>
    <row r="205" spans="1:26" ht="15.75" customHeight="1">
      <c r="A205" s="317">
        <v>44866</v>
      </c>
      <c r="B205" s="510">
        <f t="shared" si="0"/>
        <v>44866</v>
      </c>
      <c r="C205" s="511">
        <v>156.12</v>
      </c>
      <c r="D205" s="509">
        <v>0</v>
      </c>
      <c r="E205" s="509">
        <f t="shared" si="1"/>
        <v>156.12</v>
      </c>
      <c r="F205" s="98"/>
      <c r="G205" s="507"/>
      <c r="H205" s="507"/>
      <c r="I205" s="507"/>
      <c r="J205" s="507"/>
      <c r="K205" s="507"/>
      <c r="L205" s="98"/>
      <c r="M205" s="98"/>
      <c r="N205" s="98"/>
      <c r="O205" s="98"/>
      <c r="P205" s="98"/>
      <c r="Q205" s="98"/>
      <c r="R205" s="98"/>
      <c r="S205" s="98"/>
      <c r="T205" s="98"/>
      <c r="U205" s="98"/>
      <c r="V205" s="98"/>
      <c r="W205" s="98"/>
      <c r="X205" s="98"/>
      <c r="Y205" s="98"/>
      <c r="Z205" s="98"/>
    </row>
    <row r="206" spans="1:26" ht="15.75" customHeight="1">
      <c r="A206" s="317">
        <v>44872</v>
      </c>
      <c r="B206" s="510">
        <f t="shared" si="0"/>
        <v>44872</v>
      </c>
      <c r="C206" s="511">
        <v>107.82</v>
      </c>
      <c r="D206" s="509">
        <v>0</v>
      </c>
      <c r="E206" s="509">
        <f t="shared" si="1"/>
        <v>107.82</v>
      </c>
      <c r="F206" s="98"/>
      <c r="G206" s="507"/>
      <c r="H206" s="507"/>
      <c r="I206" s="507"/>
      <c r="J206" s="507"/>
      <c r="K206" s="507"/>
      <c r="L206" s="98"/>
      <c r="M206" s="98"/>
      <c r="N206" s="98"/>
      <c r="O206" s="98"/>
      <c r="P206" s="98"/>
      <c r="Q206" s="98"/>
      <c r="R206" s="98"/>
      <c r="S206" s="98"/>
      <c r="T206" s="98"/>
      <c r="U206" s="98"/>
      <c r="V206" s="98"/>
      <c r="W206" s="98"/>
      <c r="X206" s="98"/>
      <c r="Y206" s="98"/>
      <c r="Z206" s="98"/>
    </row>
    <row r="207" spans="1:26" ht="15.75" customHeight="1">
      <c r="A207" s="317">
        <v>44874</v>
      </c>
      <c r="B207" s="510">
        <f t="shared" si="0"/>
        <v>44874</v>
      </c>
      <c r="C207" s="511">
        <v>0</v>
      </c>
      <c r="D207" s="509">
        <v>252.07</v>
      </c>
      <c r="E207" s="509">
        <f t="shared" si="1"/>
        <v>252.07</v>
      </c>
      <c r="F207" s="98"/>
      <c r="G207" s="507"/>
      <c r="H207" s="507"/>
      <c r="I207" s="507"/>
      <c r="J207" s="507"/>
      <c r="K207" s="507"/>
      <c r="L207" s="98"/>
      <c r="M207" s="98"/>
      <c r="N207" s="98"/>
      <c r="O207" s="98"/>
      <c r="P207" s="98"/>
      <c r="Q207" s="98"/>
      <c r="R207" s="98"/>
      <c r="S207" s="98"/>
      <c r="T207" s="98"/>
      <c r="U207" s="98"/>
      <c r="V207" s="98"/>
      <c r="W207" s="98"/>
      <c r="X207" s="98"/>
      <c r="Y207" s="98"/>
      <c r="Z207" s="98"/>
    </row>
    <row r="208" spans="1:26" ht="15.75" customHeight="1">
      <c r="A208" s="317">
        <v>44875</v>
      </c>
      <c r="B208" s="510">
        <f t="shared" si="0"/>
        <v>44875</v>
      </c>
      <c r="C208" s="509">
        <v>246.06</v>
      </c>
      <c r="D208" s="509">
        <v>0</v>
      </c>
      <c r="E208" s="509">
        <f t="shared" si="1"/>
        <v>246.06</v>
      </c>
      <c r="F208" s="98"/>
      <c r="G208" s="507"/>
      <c r="H208" s="507"/>
      <c r="I208" s="507"/>
      <c r="J208" s="507"/>
      <c r="K208" s="507"/>
      <c r="L208" s="98"/>
      <c r="M208" s="98"/>
      <c r="N208" s="98"/>
      <c r="O208" s="98"/>
      <c r="P208" s="98"/>
      <c r="Q208" s="98"/>
      <c r="R208" s="98"/>
      <c r="S208" s="98"/>
      <c r="T208" s="98"/>
      <c r="U208" s="98"/>
      <c r="V208" s="98"/>
      <c r="W208" s="98"/>
      <c r="X208" s="98"/>
      <c r="Y208" s="98"/>
      <c r="Z208" s="98"/>
    </row>
    <row r="209" spans="1:26" ht="15.75" customHeight="1">
      <c r="A209" s="317">
        <v>44879</v>
      </c>
      <c r="B209" s="510">
        <f t="shared" si="0"/>
        <v>44879</v>
      </c>
      <c r="C209" s="511">
        <v>339.63</v>
      </c>
      <c r="D209" s="509">
        <v>0</v>
      </c>
      <c r="E209" s="509">
        <f t="shared" si="1"/>
        <v>339.63</v>
      </c>
      <c r="F209" s="98"/>
      <c r="G209" s="507"/>
      <c r="H209" s="507"/>
      <c r="I209" s="507"/>
      <c r="J209" s="507"/>
      <c r="K209" s="507"/>
      <c r="L209" s="98"/>
      <c r="M209" s="98"/>
      <c r="N209" s="98"/>
      <c r="O209" s="98"/>
      <c r="P209" s="98"/>
      <c r="Q209" s="98"/>
      <c r="R209" s="98"/>
      <c r="S209" s="98"/>
      <c r="T209" s="98"/>
      <c r="U209" s="98"/>
      <c r="V209" s="98"/>
      <c r="W209" s="98"/>
      <c r="X209" s="98"/>
      <c r="Y209" s="98"/>
      <c r="Z209" s="98"/>
    </row>
    <row r="210" spans="1:26" ht="15.75" customHeight="1">
      <c r="A210" s="317">
        <v>44881</v>
      </c>
      <c r="B210" s="510">
        <f t="shared" si="0"/>
        <v>44881</v>
      </c>
      <c r="C210" s="511">
        <v>402.73</v>
      </c>
      <c r="D210" s="509">
        <v>0</v>
      </c>
      <c r="E210" s="509">
        <f t="shared" si="1"/>
        <v>402.73</v>
      </c>
      <c r="F210" s="98"/>
      <c r="G210" s="507"/>
      <c r="H210" s="507"/>
      <c r="I210" s="507"/>
      <c r="J210" s="507"/>
      <c r="K210" s="507"/>
      <c r="L210" s="98"/>
      <c r="M210" s="98"/>
      <c r="N210" s="98"/>
      <c r="O210" s="98"/>
      <c r="P210" s="98"/>
      <c r="Q210" s="98"/>
      <c r="R210" s="98"/>
      <c r="S210" s="98"/>
      <c r="T210" s="98"/>
      <c r="U210" s="98"/>
      <c r="V210" s="98"/>
      <c r="W210" s="98"/>
      <c r="X210" s="98"/>
      <c r="Y210" s="98"/>
      <c r="Z210" s="98"/>
    </row>
    <row r="211" spans="1:26" ht="15.75" customHeight="1">
      <c r="A211" s="317">
        <v>44882</v>
      </c>
      <c r="B211" s="510">
        <f t="shared" si="0"/>
        <v>44882</v>
      </c>
      <c r="C211" s="511">
        <v>0</v>
      </c>
      <c r="D211" s="509">
        <v>74.069999999999993</v>
      </c>
      <c r="E211" s="509">
        <f t="shared" si="1"/>
        <v>74.069999999999993</v>
      </c>
      <c r="F211" s="98"/>
      <c r="G211" s="507"/>
      <c r="H211" s="507"/>
      <c r="I211" s="507"/>
      <c r="J211" s="507"/>
      <c r="K211" s="507"/>
      <c r="L211" s="98"/>
      <c r="M211" s="98"/>
      <c r="N211" s="98"/>
      <c r="O211" s="98"/>
      <c r="P211" s="98"/>
      <c r="Q211" s="98"/>
      <c r="R211" s="98"/>
      <c r="S211" s="98"/>
      <c r="T211" s="98"/>
      <c r="U211" s="98"/>
      <c r="V211" s="98"/>
      <c r="W211" s="98"/>
      <c r="X211" s="98"/>
      <c r="Y211" s="98"/>
      <c r="Z211" s="98"/>
    </row>
    <row r="212" spans="1:26" ht="15.75" customHeight="1">
      <c r="A212" s="317">
        <v>44883</v>
      </c>
      <c r="B212" s="510">
        <f t="shared" si="0"/>
        <v>44883</v>
      </c>
      <c r="C212" s="511">
        <v>0</v>
      </c>
      <c r="D212" s="509">
        <v>76.069999999999993</v>
      </c>
      <c r="E212" s="509">
        <f t="shared" si="1"/>
        <v>76.069999999999993</v>
      </c>
      <c r="F212" s="98"/>
      <c r="G212" s="507"/>
      <c r="H212" s="507"/>
      <c r="I212" s="507"/>
      <c r="J212" s="507"/>
      <c r="K212" s="507"/>
      <c r="L212" s="98"/>
      <c r="M212" s="98"/>
      <c r="N212" s="98"/>
      <c r="O212" s="98"/>
      <c r="P212" s="98"/>
      <c r="Q212" s="98"/>
      <c r="R212" s="98"/>
      <c r="S212" s="98"/>
      <c r="T212" s="98"/>
      <c r="U212" s="98"/>
      <c r="V212" s="98"/>
      <c r="W212" s="98"/>
      <c r="X212" s="98"/>
      <c r="Y212" s="98"/>
      <c r="Z212" s="98"/>
    </row>
    <row r="213" spans="1:26" ht="15.75" customHeight="1">
      <c r="A213" s="317">
        <v>44888</v>
      </c>
      <c r="B213" s="510">
        <f t="shared" si="0"/>
        <v>44888</v>
      </c>
      <c r="C213" s="511">
        <v>22.73</v>
      </c>
      <c r="D213" s="509">
        <v>0</v>
      </c>
      <c r="E213" s="509">
        <f t="shared" si="1"/>
        <v>22.73</v>
      </c>
      <c r="F213" s="98"/>
      <c r="G213" s="507"/>
      <c r="H213" s="507"/>
      <c r="I213" s="507"/>
      <c r="J213" s="507"/>
      <c r="K213" s="507"/>
      <c r="L213" s="98"/>
      <c r="M213" s="98"/>
      <c r="N213" s="98"/>
      <c r="O213" s="98"/>
      <c r="P213" s="98"/>
      <c r="Q213" s="98"/>
      <c r="R213" s="98"/>
      <c r="S213" s="98"/>
      <c r="T213" s="98"/>
      <c r="U213" s="98"/>
      <c r="V213" s="98"/>
      <c r="W213" s="98"/>
      <c r="X213" s="98"/>
      <c r="Y213" s="98"/>
      <c r="Z213" s="98"/>
    </row>
    <row r="214" spans="1:26" ht="15.75" customHeight="1">
      <c r="A214" s="317">
        <v>44890</v>
      </c>
      <c r="B214" s="510">
        <f t="shared" si="0"/>
        <v>44890</v>
      </c>
      <c r="C214" s="511">
        <v>0</v>
      </c>
      <c r="D214" s="509">
        <v>28.069999999992433</v>
      </c>
      <c r="E214" s="509">
        <f t="shared" si="1"/>
        <v>28.069999999992433</v>
      </c>
      <c r="F214" s="98"/>
      <c r="G214" s="507"/>
      <c r="H214" s="507"/>
      <c r="I214" s="507"/>
      <c r="J214" s="507"/>
      <c r="K214" s="507"/>
      <c r="L214" s="98"/>
      <c r="M214" s="98"/>
      <c r="N214" s="98"/>
      <c r="O214" s="98"/>
      <c r="P214" s="98"/>
      <c r="Q214" s="98"/>
      <c r="R214" s="98"/>
      <c r="S214" s="98"/>
      <c r="T214" s="98"/>
      <c r="U214" s="98"/>
      <c r="V214" s="98"/>
      <c r="W214" s="98"/>
      <c r="X214" s="98"/>
      <c r="Y214" s="98"/>
      <c r="Z214" s="98"/>
    </row>
    <row r="215" spans="1:26" ht="15.75" customHeight="1">
      <c r="A215" s="317">
        <v>44930</v>
      </c>
      <c r="B215" s="510">
        <f t="shared" si="0"/>
        <v>44930</v>
      </c>
      <c r="C215" s="511">
        <v>0</v>
      </c>
      <c r="D215" s="511">
        <v>142.07</v>
      </c>
      <c r="E215" s="509">
        <f t="shared" si="1"/>
        <v>142.07</v>
      </c>
      <c r="F215" s="98"/>
      <c r="G215" s="507"/>
      <c r="H215" s="507"/>
      <c r="I215" s="507"/>
      <c r="J215" s="507"/>
      <c r="K215" s="507"/>
      <c r="L215" s="98"/>
      <c r="M215" s="98"/>
      <c r="N215" s="98"/>
      <c r="O215" s="98"/>
      <c r="P215" s="98"/>
      <c r="Q215" s="98"/>
      <c r="R215" s="98"/>
      <c r="S215" s="98"/>
      <c r="T215" s="98"/>
      <c r="U215" s="98"/>
      <c r="V215" s="98"/>
      <c r="W215" s="98"/>
      <c r="X215" s="98"/>
      <c r="Y215" s="98"/>
      <c r="Z215" s="98"/>
    </row>
    <row r="216" spans="1:26" ht="15.75" customHeight="1">
      <c r="A216" s="317">
        <v>44931</v>
      </c>
      <c r="B216" s="510">
        <f t="shared" si="0"/>
        <v>44931</v>
      </c>
      <c r="C216" s="511">
        <v>0</v>
      </c>
      <c r="D216" s="511">
        <v>186</v>
      </c>
      <c r="E216" s="509">
        <f t="shared" si="1"/>
        <v>186</v>
      </c>
      <c r="F216" s="98"/>
      <c r="G216" s="507"/>
      <c r="H216" s="507"/>
      <c r="I216" s="507"/>
      <c r="J216" s="507"/>
      <c r="K216" s="507"/>
      <c r="L216" s="98"/>
      <c r="M216" s="98"/>
      <c r="N216" s="98"/>
      <c r="O216" s="98"/>
      <c r="P216" s="98"/>
      <c r="Q216" s="98"/>
      <c r="R216" s="98"/>
      <c r="S216" s="98"/>
      <c r="T216" s="98"/>
      <c r="U216" s="98"/>
      <c r="V216" s="98"/>
      <c r="W216" s="98"/>
      <c r="X216" s="98"/>
      <c r="Y216" s="98"/>
      <c r="Z216" s="98"/>
    </row>
    <row r="217" spans="1:26" ht="15.75" customHeight="1">
      <c r="A217" s="317">
        <v>44946</v>
      </c>
      <c r="B217" s="510">
        <f t="shared" si="0"/>
        <v>44946</v>
      </c>
      <c r="C217" s="511">
        <v>628.17999999999995</v>
      </c>
      <c r="D217" s="511">
        <v>0</v>
      </c>
      <c r="E217" s="509">
        <f t="shared" si="1"/>
        <v>628.17999999999995</v>
      </c>
      <c r="F217" s="98"/>
      <c r="G217" s="507"/>
      <c r="H217" s="507"/>
      <c r="I217" s="507"/>
      <c r="J217" s="507"/>
      <c r="K217" s="507"/>
      <c r="L217" s="98"/>
      <c r="M217" s="98"/>
      <c r="N217" s="98"/>
      <c r="O217" s="98"/>
      <c r="P217" s="98"/>
      <c r="Q217" s="98"/>
      <c r="R217" s="98"/>
      <c r="S217" s="98"/>
      <c r="T217" s="98"/>
      <c r="U217" s="98"/>
      <c r="V217" s="98"/>
      <c r="W217" s="98"/>
      <c r="X217" s="98"/>
      <c r="Y217" s="98"/>
      <c r="Z217" s="98"/>
    </row>
    <row r="218" spans="1:26" ht="15.75" customHeight="1">
      <c r="A218" s="317">
        <v>44950</v>
      </c>
      <c r="B218" s="510">
        <f t="shared" si="0"/>
        <v>44950</v>
      </c>
      <c r="C218" s="511">
        <v>0</v>
      </c>
      <c r="D218" s="511">
        <v>179.06999999999243</v>
      </c>
      <c r="E218" s="509">
        <f t="shared" si="1"/>
        <v>179.06999999999243</v>
      </c>
      <c r="F218" s="98"/>
      <c r="G218" s="507"/>
      <c r="H218" s="507"/>
      <c r="I218" s="507"/>
      <c r="J218" s="507"/>
      <c r="K218" s="507"/>
      <c r="L218" s="98"/>
      <c r="M218" s="98"/>
      <c r="N218" s="98"/>
      <c r="O218" s="98"/>
      <c r="P218" s="98"/>
      <c r="Q218" s="98"/>
      <c r="R218" s="98"/>
      <c r="S218" s="98"/>
      <c r="T218" s="98"/>
      <c r="U218" s="98"/>
      <c r="V218" s="98"/>
      <c r="W218" s="98"/>
      <c r="X218" s="98"/>
      <c r="Y218" s="98"/>
      <c r="Z218" s="98"/>
    </row>
    <row r="219" spans="1:26" ht="15.75" customHeight="1">
      <c r="A219" s="317">
        <v>44959</v>
      </c>
      <c r="B219" s="510">
        <f t="shared" si="0"/>
        <v>44959</v>
      </c>
      <c r="C219" s="511">
        <v>0</v>
      </c>
      <c r="D219" s="511">
        <v>895.07000000000698</v>
      </c>
      <c r="E219" s="509">
        <f t="shared" si="1"/>
        <v>895.07000000000698</v>
      </c>
      <c r="F219" s="98"/>
      <c r="G219" s="507"/>
      <c r="H219" s="507"/>
      <c r="I219" s="507"/>
      <c r="J219" s="507"/>
      <c r="K219" s="507"/>
      <c r="L219" s="98"/>
      <c r="M219" s="98"/>
      <c r="N219" s="98"/>
      <c r="O219" s="98"/>
      <c r="P219" s="98"/>
      <c r="Q219" s="98"/>
      <c r="R219" s="98"/>
      <c r="S219" s="98"/>
      <c r="T219" s="98"/>
      <c r="U219" s="98"/>
      <c r="V219" s="98"/>
      <c r="W219" s="98"/>
      <c r="X219" s="98"/>
      <c r="Y219" s="98"/>
      <c r="Z219" s="98"/>
    </row>
    <row r="220" spans="1:26" ht="15.75" customHeight="1">
      <c r="A220" s="317">
        <v>44965</v>
      </c>
      <c r="B220" s="510">
        <f t="shared" si="0"/>
        <v>44965</v>
      </c>
      <c r="C220" s="511">
        <v>63.09</v>
      </c>
      <c r="D220" s="511">
        <v>0</v>
      </c>
      <c r="E220" s="509">
        <f t="shared" si="1"/>
        <v>63.09</v>
      </c>
      <c r="F220" s="98"/>
      <c r="G220" s="507"/>
      <c r="H220" s="507"/>
      <c r="I220" s="507"/>
      <c r="J220" s="507"/>
      <c r="K220" s="507"/>
      <c r="L220" s="98"/>
      <c r="M220" s="98"/>
      <c r="N220" s="98"/>
      <c r="O220" s="98"/>
      <c r="P220" s="98"/>
      <c r="Q220" s="98"/>
      <c r="R220" s="98"/>
      <c r="S220" s="98"/>
      <c r="T220" s="98"/>
      <c r="U220" s="98"/>
      <c r="V220" s="98"/>
      <c r="W220" s="98"/>
      <c r="X220" s="98"/>
      <c r="Y220" s="98"/>
      <c r="Z220" s="98"/>
    </row>
    <row r="221" spans="1:26" ht="15.75" customHeight="1">
      <c r="A221" s="317">
        <v>44970</v>
      </c>
      <c r="B221" s="510">
        <f t="shared" si="0"/>
        <v>44970</v>
      </c>
      <c r="C221" s="511">
        <v>141.19999999999999</v>
      </c>
      <c r="D221" s="511">
        <v>0</v>
      </c>
      <c r="E221" s="509">
        <f t="shared" si="1"/>
        <v>141.19999999999999</v>
      </c>
      <c r="F221" s="98"/>
      <c r="G221" s="507"/>
      <c r="H221" s="507"/>
      <c r="I221" s="507"/>
      <c r="J221" s="507"/>
      <c r="K221" s="507"/>
      <c r="L221" s="98"/>
      <c r="M221" s="98"/>
      <c r="N221" s="98"/>
      <c r="O221" s="98"/>
      <c r="P221" s="98"/>
      <c r="Q221" s="98"/>
      <c r="R221" s="98"/>
      <c r="S221" s="98"/>
      <c r="T221" s="98"/>
      <c r="U221" s="98"/>
      <c r="V221" s="98"/>
      <c r="W221" s="98"/>
      <c r="X221" s="98"/>
      <c r="Y221" s="98"/>
      <c r="Z221" s="98"/>
    </row>
    <row r="222" spans="1:26" ht="15.75" customHeight="1">
      <c r="A222" s="317">
        <v>44971</v>
      </c>
      <c r="B222" s="510">
        <f t="shared" si="0"/>
        <v>44971</v>
      </c>
      <c r="C222" s="511">
        <v>127.44</v>
      </c>
      <c r="D222" s="511">
        <v>0</v>
      </c>
      <c r="E222" s="509">
        <f t="shared" si="1"/>
        <v>127.44</v>
      </c>
      <c r="F222" s="98"/>
      <c r="G222" s="507"/>
      <c r="H222" s="507"/>
      <c r="I222" s="507"/>
      <c r="J222" s="507"/>
      <c r="K222" s="507"/>
      <c r="L222" s="98"/>
      <c r="M222" s="98"/>
      <c r="N222" s="98"/>
      <c r="O222" s="98"/>
      <c r="P222" s="98"/>
      <c r="Q222" s="98"/>
      <c r="R222" s="98"/>
      <c r="S222" s="98"/>
      <c r="T222" s="98"/>
      <c r="U222" s="98"/>
      <c r="V222" s="98"/>
      <c r="W222" s="98"/>
      <c r="X222" s="98"/>
      <c r="Y222" s="98"/>
      <c r="Z222" s="98"/>
    </row>
    <row r="223" spans="1:26" ht="15.75" customHeight="1">
      <c r="A223" s="317">
        <v>44973</v>
      </c>
      <c r="B223" s="510">
        <f t="shared" si="0"/>
        <v>44973</v>
      </c>
      <c r="C223" s="511">
        <v>81.05</v>
      </c>
      <c r="D223" s="511">
        <v>146.07</v>
      </c>
      <c r="E223" s="509">
        <f t="shared" si="1"/>
        <v>227.12</v>
      </c>
      <c r="F223" s="98"/>
      <c r="G223" s="507"/>
      <c r="H223" s="507"/>
      <c r="I223" s="507"/>
      <c r="J223" s="507"/>
      <c r="K223" s="507"/>
      <c r="L223" s="98"/>
      <c r="M223" s="98"/>
      <c r="N223" s="98"/>
      <c r="O223" s="98"/>
      <c r="P223" s="98"/>
      <c r="Q223" s="98"/>
      <c r="R223" s="98"/>
      <c r="S223" s="98"/>
      <c r="T223" s="98"/>
      <c r="U223" s="98"/>
      <c r="V223" s="98"/>
      <c r="W223" s="98"/>
      <c r="X223" s="98"/>
      <c r="Y223" s="98"/>
      <c r="Z223" s="98"/>
    </row>
    <row r="224" spans="1:26" ht="15.75" customHeight="1">
      <c r="A224" s="317">
        <v>44979</v>
      </c>
      <c r="B224" s="510">
        <f t="shared" si="0"/>
        <v>44979</v>
      </c>
      <c r="C224" s="511">
        <v>0</v>
      </c>
      <c r="D224" s="511">
        <v>46.14</v>
      </c>
      <c r="E224" s="509">
        <f t="shared" si="1"/>
        <v>46.14</v>
      </c>
      <c r="F224" s="98"/>
      <c r="G224" s="507"/>
      <c r="H224" s="507"/>
      <c r="I224" s="507"/>
      <c r="J224" s="507"/>
      <c r="K224" s="507"/>
      <c r="L224" s="98"/>
      <c r="M224" s="98"/>
      <c r="N224" s="98"/>
      <c r="O224" s="98"/>
      <c r="P224" s="98"/>
      <c r="Q224" s="98"/>
      <c r="R224" s="98"/>
      <c r="S224" s="98"/>
      <c r="T224" s="98"/>
      <c r="U224" s="98"/>
      <c r="V224" s="98"/>
      <c r="W224" s="98"/>
      <c r="X224" s="98"/>
      <c r="Y224" s="98"/>
      <c r="Z224" s="98"/>
    </row>
    <row r="225" spans="1:26" ht="15.75" customHeight="1">
      <c r="A225" s="317">
        <v>44993</v>
      </c>
      <c r="B225" s="510">
        <f t="shared" si="0"/>
        <v>44993</v>
      </c>
      <c r="C225" s="511">
        <v>222.67</v>
      </c>
      <c r="D225" s="511">
        <v>0</v>
      </c>
      <c r="E225" s="509">
        <f t="shared" si="1"/>
        <v>222.67</v>
      </c>
      <c r="F225" s="98"/>
      <c r="G225" s="507"/>
      <c r="H225" s="507"/>
      <c r="I225" s="507"/>
      <c r="J225" s="507"/>
      <c r="K225" s="507"/>
      <c r="L225" s="98"/>
      <c r="M225" s="98"/>
      <c r="N225" s="98"/>
      <c r="O225" s="98"/>
      <c r="P225" s="98"/>
      <c r="Q225" s="98"/>
      <c r="R225" s="98"/>
      <c r="S225" s="98"/>
      <c r="T225" s="98"/>
      <c r="U225" s="98"/>
      <c r="V225" s="98"/>
      <c r="W225" s="98"/>
      <c r="X225" s="98"/>
      <c r="Y225" s="98"/>
      <c r="Z225" s="98"/>
    </row>
    <row r="226" spans="1:26" ht="15.75" customHeight="1">
      <c r="A226" s="317">
        <v>45019</v>
      </c>
      <c r="B226" s="510">
        <f t="shared" si="0"/>
        <v>45019</v>
      </c>
      <c r="C226" s="511">
        <v>0</v>
      </c>
      <c r="D226" s="511">
        <v>0</v>
      </c>
      <c r="E226" s="509">
        <f t="shared" si="1"/>
        <v>0</v>
      </c>
      <c r="F226" s="98"/>
      <c r="G226" s="507"/>
      <c r="H226" s="507"/>
      <c r="I226" s="507"/>
      <c r="J226" s="507"/>
      <c r="K226" s="507"/>
      <c r="L226" s="98"/>
      <c r="M226" s="98"/>
      <c r="N226" s="98"/>
      <c r="O226" s="98"/>
      <c r="P226" s="98"/>
      <c r="Q226" s="98"/>
      <c r="R226" s="98"/>
      <c r="S226" s="98"/>
      <c r="T226" s="98"/>
      <c r="U226" s="98"/>
      <c r="V226" s="98"/>
      <c r="W226" s="98"/>
      <c r="X226" s="98"/>
      <c r="Y226" s="98"/>
      <c r="Z226" s="98"/>
    </row>
    <row r="227" spans="1:26" ht="15.75" customHeight="1">
      <c r="A227" s="317">
        <v>45021</v>
      </c>
      <c r="B227" s="510">
        <f t="shared" si="0"/>
        <v>45021</v>
      </c>
      <c r="C227" s="511">
        <v>0</v>
      </c>
      <c r="D227" s="511">
        <v>0</v>
      </c>
      <c r="E227" s="509">
        <f t="shared" si="1"/>
        <v>0</v>
      </c>
      <c r="F227" s="98"/>
      <c r="G227" s="507"/>
      <c r="H227" s="507"/>
      <c r="I227" s="507"/>
      <c r="J227" s="507"/>
      <c r="K227" s="507"/>
      <c r="L227" s="98"/>
      <c r="M227" s="98"/>
      <c r="N227" s="98"/>
      <c r="O227" s="98"/>
      <c r="P227" s="98"/>
      <c r="Q227" s="98"/>
      <c r="R227" s="98"/>
      <c r="S227" s="98"/>
      <c r="T227" s="98"/>
      <c r="U227" s="98"/>
      <c r="V227" s="98"/>
      <c r="W227" s="98"/>
      <c r="X227" s="98"/>
      <c r="Y227" s="98"/>
      <c r="Z227" s="98"/>
    </row>
    <row r="228" spans="1:26" ht="15.75" customHeight="1">
      <c r="A228" s="317">
        <v>45022</v>
      </c>
      <c r="B228" s="510">
        <f t="shared" si="0"/>
        <v>45022</v>
      </c>
      <c r="C228" s="511">
        <v>0</v>
      </c>
      <c r="D228" s="511">
        <v>0</v>
      </c>
      <c r="E228" s="509">
        <f t="shared" si="1"/>
        <v>0</v>
      </c>
      <c r="F228" s="98"/>
      <c r="G228" s="507"/>
      <c r="H228" s="507"/>
      <c r="I228" s="507"/>
      <c r="J228" s="507"/>
      <c r="K228" s="507"/>
      <c r="L228" s="98"/>
      <c r="M228" s="98"/>
      <c r="N228" s="98"/>
      <c r="O228" s="98"/>
      <c r="P228" s="98"/>
      <c r="Q228" s="98"/>
      <c r="R228" s="98"/>
      <c r="S228" s="98"/>
      <c r="T228" s="98"/>
      <c r="U228" s="98"/>
      <c r="V228" s="98"/>
      <c r="W228" s="98"/>
      <c r="X228" s="98"/>
      <c r="Y228" s="98"/>
      <c r="Z228" s="98"/>
    </row>
    <row r="229" spans="1:26" ht="15.75" customHeight="1">
      <c r="A229" s="317">
        <v>45026</v>
      </c>
      <c r="B229" s="510">
        <f t="shared" si="0"/>
        <v>45026</v>
      </c>
      <c r="C229" s="511">
        <v>358.79</v>
      </c>
      <c r="D229" s="511">
        <v>0</v>
      </c>
      <c r="E229" s="509">
        <f t="shared" si="1"/>
        <v>358.79</v>
      </c>
      <c r="F229" s="98"/>
      <c r="G229" s="507"/>
      <c r="H229" s="507"/>
      <c r="I229" s="507"/>
      <c r="J229" s="507"/>
      <c r="K229" s="507"/>
      <c r="L229" s="98"/>
      <c r="M229" s="98"/>
      <c r="N229" s="98"/>
      <c r="O229" s="98"/>
      <c r="P229" s="98"/>
      <c r="Q229" s="98"/>
      <c r="R229" s="98"/>
      <c r="S229" s="98"/>
      <c r="T229" s="98"/>
      <c r="U229" s="98"/>
      <c r="V229" s="98"/>
      <c r="W229" s="98"/>
      <c r="X229" s="98"/>
      <c r="Y229" s="98"/>
      <c r="Z229" s="98"/>
    </row>
    <row r="230" spans="1:26" ht="15.75" customHeight="1">
      <c r="A230" s="317">
        <v>45027</v>
      </c>
      <c r="B230" s="510">
        <f t="shared" si="0"/>
        <v>45027</v>
      </c>
      <c r="C230" s="511">
        <v>0</v>
      </c>
      <c r="D230" s="511">
        <v>0</v>
      </c>
      <c r="E230" s="509">
        <f t="shared" si="1"/>
        <v>0</v>
      </c>
      <c r="F230" s="98"/>
      <c r="G230" s="507"/>
      <c r="H230" s="507"/>
      <c r="I230" s="507"/>
      <c r="J230" s="507"/>
      <c r="K230" s="507"/>
      <c r="L230" s="98"/>
      <c r="M230" s="98"/>
      <c r="N230" s="98"/>
      <c r="O230" s="98"/>
      <c r="P230" s="98"/>
      <c r="Q230" s="98"/>
      <c r="R230" s="98"/>
      <c r="S230" s="98"/>
      <c r="T230" s="98"/>
      <c r="U230" s="98"/>
      <c r="V230" s="98"/>
      <c r="W230" s="98"/>
      <c r="X230" s="98"/>
      <c r="Y230" s="98"/>
      <c r="Z230" s="98"/>
    </row>
    <row r="231" spans="1:26" ht="15.75" customHeight="1">
      <c r="A231" s="317">
        <v>45028</v>
      </c>
      <c r="B231" s="510">
        <f t="shared" si="0"/>
        <v>45028</v>
      </c>
      <c r="C231" s="511">
        <v>0</v>
      </c>
      <c r="D231" s="511">
        <v>0</v>
      </c>
      <c r="E231" s="509">
        <f t="shared" si="1"/>
        <v>0</v>
      </c>
      <c r="F231" s="98"/>
      <c r="G231" s="507"/>
      <c r="H231" s="507"/>
      <c r="I231" s="507"/>
      <c r="J231" s="507"/>
      <c r="K231" s="507"/>
      <c r="L231" s="98"/>
      <c r="M231" s="98"/>
      <c r="N231" s="98"/>
      <c r="O231" s="98"/>
      <c r="P231" s="98"/>
      <c r="Q231" s="98"/>
      <c r="R231" s="98"/>
      <c r="S231" s="98"/>
      <c r="T231" s="98"/>
      <c r="U231" s="98"/>
      <c r="V231" s="98"/>
      <c r="W231" s="98"/>
      <c r="X231" s="98"/>
      <c r="Y231" s="98"/>
      <c r="Z231" s="98"/>
    </row>
    <row r="232" spans="1:26" ht="15.75" customHeight="1">
      <c r="A232" s="317">
        <v>45029</v>
      </c>
      <c r="B232" s="510">
        <f t="shared" si="0"/>
        <v>45029</v>
      </c>
      <c r="C232" s="511">
        <v>0</v>
      </c>
      <c r="D232" s="511">
        <v>0</v>
      </c>
      <c r="E232" s="509">
        <f t="shared" si="1"/>
        <v>0</v>
      </c>
      <c r="F232" s="98"/>
      <c r="G232" s="507"/>
      <c r="H232" s="507"/>
      <c r="I232" s="507"/>
      <c r="J232" s="507"/>
      <c r="K232" s="507"/>
      <c r="L232" s="98"/>
      <c r="M232" s="98"/>
      <c r="N232" s="98"/>
      <c r="O232" s="98"/>
      <c r="P232" s="98"/>
      <c r="Q232" s="98"/>
      <c r="R232" s="98"/>
      <c r="S232" s="98"/>
      <c r="T232" s="98"/>
      <c r="U232" s="98"/>
      <c r="V232" s="98"/>
      <c r="W232" s="98"/>
      <c r="X232" s="98"/>
      <c r="Y232" s="98"/>
      <c r="Z232" s="98"/>
    </row>
    <row r="233" spans="1:26" ht="15.75" customHeight="1">
      <c r="A233" s="317">
        <v>45033</v>
      </c>
      <c r="B233" s="510">
        <f t="shared" si="0"/>
        <v>45033</v>
      </c>
      <c r="C233" s="511">
        <v>0</v>
      </c>
      <c r="D233" s="511">
        <v>0</v>
      </c>
      <c r="E233" s="509">
        <f t="shared" si="1"/>
        <v>0</v>
      </c>
      <c r="F233" s="98"/>
      <c r="G233" s="507"/>
      <c r="H233" s="507"/>
      <c r="I233" s="507"/>
      <c r="J233" s="507"/>
      <c r="K233" s="507"/>
      <c r="L233" s="98"/>
      <c r="M233" s="98"/>
      <c r="N233" s="98"/>
      <c r="O233" s="98"/>
      <c r="P233" s="98"/>
      <c r="Q233" s="98"/>
      <c r="R233" s="98"/>
      <c r="S233" s="98"/>
      <c r="T233" s="98"/>
      <c r="U233" s="98"/>
      <c r="V233" s="98"/>
      <c r="W233" s="98"/>
      <c r="X233" s="98"/>
      <c r="Y233" s="98"/>
      <c r="Z233" s="98"/>
    </row>
    <row r="234" spans="1:26" ht="15.75" customHeight="1">
      <c r="A234" s="317">
        <v>45034</v>
      </c>
      <c r="B234" s="510">
        <f t="shared" si="0"/>
        <v>45034</v>
      </c>
      <c r="C234" s="511">
        <v>0</v>
      </c>
      <c r="D234" s="511">
        <v>0</v>
      </c>
      <c r="E234" s="509">
        <f t="shared" si="1"/>
        <v>0</v>
      </c>
      <c r="F234" s="98"/>
      <c r="G234" s="507"/>
      <c r="H234" s="507"/>
      <c r="I234" s="507"/>
      <c r="J234" s="507"/>
      <c r="K234" s="507"/>
      <c r="L234" s="98"/>
      <c r="M234" s="98"/>
      <c r="N234" s="98"/>
      <c r="O234" s="98"/>
      <c r="P234" s="98"/>
      <c r="Q234" s="98"/>
      <c r="R234" s="98"/>
      <c r="S234" s="98"/>
      <c r="T234" s="98"/>
      <c r="U234" s="98"/>
      <c r="V234" s="98"/>
      <c r="W234" s="98"/>
      <c r="X234" s="98"/>
      <c r="Y234" s="98"/>
      <c r="Z234" s="98"/>
    </row>
    <row r="235" spans="1:26" ht="15.75" customHeight="1">
      <c r="A235" s="317">
        <v>45035</v>
      </c>
      <c r="B235" s="510">
        <f t="shared" si="0"/>
        <v>45035</v>
      </c>
      <c r="C235" s="511">
        <v>0</v>
      </c>
      <c r="D235" s="511">
        <v>0</v>
      </c>
      <c r="E235" s="509">
        <f t="shared" si="1"/>
        <v>0</v>
      </c>
      <c r="F235" s="98"/>
      <c r="G235" s="507"/>
      <c r="H235" s="507"/>
      <c r="I235" s="507"/>
      <c r="J235" s="507"/>
      <c r="K235" s="507"/>
      <c r="L235" s="98"/>
      <c r="M235" s="98"/>
      <c r="N235" s="98"/>
      <c r="O235" s="98"/>
      <c r="P235" s="98"/>
      <c r="Q235" s="98"/>
      <c r="R235" s="98"/>
      <c r="S235" s="98"/>
      <c r="T235" s="98"/>
      <c r="U235" s="98"/>
      <c r="V235" s="98"/>
      <c r="W235" s="98"/>
      <c r="X235" s="98"/>
      <c r="Y235" s="98"/>
      <c r="Z235" s="98"/>
    </row>
    <row r="236" spans="1:26" ht="15.75" customHeight="1">
      <c r="A236" s="317">
        <v>45036</v>
      </c>
      <c r="B236" s="510">
        <f t="shared" si="0"/>
        <v>45036</v>
      </c>
      <c r="C236" s="511">
        <v>0</v>
      </c>
      <c r="D236" s="511">
        <v>0</v>
      </c>
      <c r="E236" s="509">
        <f t="shared" si="1"/>
        <v>0</v>
      </c>
      <c r="F236" s="98"/>
      <c r="G236" s="507"/>
      <c r="H236" s="507"/>
      <c r="I236" s="507"/>
      <c r="J236" s="507"/>
      <c r="K236" s="507"/>
      <c r="L236" s="98"/>
      <c r="M236" s="98"/>
      <c r="N236" s="98"/>
      <c r="O236" s="98"/>
      <c r="P236" s="98"/>
      <c r="Q236" s="98"/>
      <c r="R236" s="98"/>
      <c r="S236" s="98"/>
      <c r="T236" s="98"/>
      <c r="U236" s="98"/>
      <c r="V236" s="98"/>
      <c r="W236" s="98"/>
      <c r="X236" s="98"/>
      <c r="Y236" s="98"/>
      <c r="Z236" s="98"/>
    </row>
    <row r="237" spans="1:26" ht="15.75" customHeight="1">
      <c r="A237" s="317">
        <v>45037</v>
      </c>
      <c r="B237" s="510">
        <f t="shared" si="0"/>
        <v>45037</v>
      </c>
      <c r="C237" s="511">
        <v>358.97</v>
      </c>
      <c r="D237" s="511">
        <v>0</v>
      </c>
      <c r="E237" s="509">
        <f t="shared" si="1"/>
        <v>358.97</v>
      </c>
      <c r="F237" s="98"/>
      <c r="G237" s="507"/>
      <c r="H237" s="507"/>
      <c r="I237" s="507"/>
      <c r="J237" s="507"/>
      <c r="K237" s="507"/>
      <c r="L237" s="98"/>
      <c r="M237" s="98"/>
      <c r="N237" s="98"/>
      <c r="O237" s="98"/>
      <c r="P237" s="98"/>
      <c r="Q237" s="98"/>
      <c r="R237" s="98"/>
      <c r="S237" s="98"/>
      <c r="T237" s="98"/>
      <c r="U237" s="98"/>
      <c r="V237" s="98"/>
      <c r="W237" s="98"/>
      <c r="X237" s="98"/>
      <c r="Y237" s="98"/>
      <c r="Z237" s="98"/>
    </row>
    <row r="238" spans="1:26" ht="15.75" customHeight="1">
      <c r="A238" s="317">
        <v>45040</v>
      </c>
      <c r="B238" s="510">
        <f t="shared" si="0"/>
        <v>45040</v>
      </c>
      <c r="C238" s="511">
        <v>0</v>
      </c>
      <c r="D238" s="511">
        <v>0</v>
      </c>
      <c r="E238" s="509">
        <f t="shared" si="1"/>
        <v>0</v>
      </c>
      <c r="F238" s="98"/>
      <c r="G238" s="507"/>
      <c r="H238" s="507"/>
      <c r="I238" s="507"/>
      <c r="J238" s="507"/>
      <c r="K238" s="507"/>
      <c r="L238" s="98"/>
      <c r="M238" s="98"/>
      <c r="N238" s="98"/>
      <c r="O238" s="98"/>
      <c r="P238" s="98"/>
      <c r="Q238" s="98"/>
      <c r="R238" s="98"/>
      <c r="S238" s="98"/>
      <c r="T238" s="98"/>
      <c r="U238" s="98"/>
      <c r="V238" s="98"/>
      <c r="W238" s="98"/>
      <c r="X238" s="98"/>
      <c r="Y238" s="98"/>
      <c r="Z238" s="98"/>
    </row>
    <row r="239" spans="1:26" ht="15.75" customHeight="1">
      <c r="A239" s="317">
        <v>45041</v>
      </c>
      <c r="B239" s="510">
        <f t="shared" si="0"/>
        <v>45041</v>
      </c>
      <c r="C239" s="511">
        <v>0</v>
      </c>
      <c r="D239" s="511">
        <v>0</v>
      </c>
      <c r="E239" s="509">
        <f t="shared" si="1"/>
        <v>0</v>
      </c>
      <c r="F239" s="98"/>
      <c r="G239" s="507"/>
      <c r="H239" s="507"/>
      <c r="I239" s="507"/>
      <c r="J239" s="507"/>
      <c r="K239" s="507"/>
      <c r="L239" s="98"/>
      <c r="M239" s="98"/>
      <c r="N239" s="98"/>
      <c r="O239" s="98"/>
      <c r="P239" s="98"/>
      <c r="Q239" s="98"/>
      <c r="R239" s="98"/>
      <c r="S239" s="98"/>
      <c r="T239" s="98"/>
      <c r="U239" s="98"/>
      <c r="V239" s="98"/>
      <c r="W239" s="98"/>
      <c r="X239" s="98"/>
      <c r="Y239" s="98"/>
      <c r="Z239" s="98"/>
    </row>
    <row r="240" spans="1:26" ht="15.75" customHeight="1">
      <c r="A240" s="317">
        <v>45042</v>
      </c>
      <c r="B240" s="510">
        <f t="shared" si="0"/>
        <v>45042</v>
      </c>
      <c r="C240" s="511">
        <v>0</v>
      </c>
      <c r="D240" s="511">
        <v>0</v>
      </c>
      <c r="E240" s="509">
        <f t="shared" si="1"/>
        <v>0</v>
      </c>
      <c r="F240" s="98"/>
      <c r="G240" s="507"/>
      <c r="H240" s="507"/>
      <c r="I240" s="507"/>
      <c r="J240" s="507"/>
      <c r="K240" s="507"/>
      <c r="L240" s="98"/>
      <c r="M240" s="98"/>
      <c r="N240" s="98"/>
      <c r="O240" s="98"/>
      <c r="P240" s="98"/>
      <c r="Q240" s="98"/>
      <c r="R240" s="98"/>
      <c r="S240" s="98"/>
      <c r="T240" s="98"/>
      <c r="U240" s="98"/>
      <c r="V240" s="98"/>
      <c r="W240" s="98"/>
      <c r="X240" s="98"/>
      <c r="Y240" s="98"/>
      <c r="Z240" s="98"/>
    </row>
    <row r="241" spans="1:26" ht="15.75" customHeight="1">
      <c r="A241" s="317">
        <v>45043</v>
      </c>
      <c r="B241" s="510">
        <f t="shared" si="0"/>
        <v>45043</v>
      </c>
      <c r="C241" s="511">
        <v>0</v>
      </c>
      <c r="D241" s="511">
        <v>0</v>
      </c>
      <c r="E241" s="509">
        <f t="shared" si="1"/>
        <v>0</v>
      </c>
      <c r="F241" s="98"/>
      <c r="G241" s="507"/>
      <c r="H241" s="507"/>
      <c r="I241" s="507"/>
      <c r="J241" s="507"/>
      <c r="K241" s="507"/>
      <c r="L241" s="98"/>
      <c r="M241" s="98"/>
      <c r="N241" s="98"/>
      <c r="O241" s="98"/>
      <c r="P241" s="98"/>
      <c r="Q241" s="98"/>
      <c r="R241" s="98"/>
      <c r="S241" s="98"/>
      <c r="T241" s="98"/>
      <c r="U241" s="98"/>
      <c r="V241" s="98"/>
      <c r="W241" s="98"/>
      <c r="X241" s="98"/>
      <c r="Y241" s="98"/>
      <c r="Z241" s="98"/>
    </row>
    <row r="242" spans="1:26" ht="15.75" customHeight="1">
      <c r="A242" s="317">
        <v>45044</v>
      </c>
      <c r="B242" s="510">
        <f t="shared" si="0"/>
        <v>45044</v>
      </c>
      <c r="C242" s="511">
        <v>0</v>
      </c>
      <c r="D242" s="511">
        <v>0</v>
      </c>
      <c r="E242" s="509">
        <f t="shared" si="1"/>
        <v>0</v>
      </c>
      <c r="F242" s="98"/>
      <c r="G242" s="507"/>
      <c r="H242" s="507"/>
      <c r="I242" s="507"/>
      <c r="J242" s="507"/>
      <c r="K242" s="507"/>
      <c r="L242" s="98"/>
      <c r="M242" s="98"/>
      <c r="N242" s="98"/>
      <c r="O242" s="98"/>
      <c r="P242" s="98"/>
      <c r="Q242" s="98"/>
      <c r="R242" s="98"/>
      <c r="S242" s="98"/>
      <c r="T242" s="98"/>
      <c r="U242" s="98"/>
      <c r="V242" s="98"/>
      <c r="W242" s="98"/>
      <c r="X242" s="98"/>
      <c r="Y242" s="98"/>
      <c r="Z242" s="98"/>
    </row>
    <row r="243" spans="1:26" ht="15.75" customHeight="1">
      <c r="A243" s="317">
        <v>45048</v>
      </c>
      <c r="B243" s="510">
        <f t="shared" si="0"/>
        <v>45048</v>
      </c>
      <c r="C243" s="511">
        <v>0</v>
      </c>
      <c r="D243" s="511">
        <v>0</v>
      </c>
      <c r="E243" s="509"/>
      <c r="F243" s="98"/>
      <c r="G243" s="507"/>
      <c r="H243" s="507"/>
      <c r="I243" s="507"/>
      <c r="J243" s="507"/>
      <c r="K243" s="507"/>
      <c r="L243" s="98"/>
      <c r="M243" s="98"/>
      <c r="N243" s="98"/>
      <c r="O243" s="98"/>
      <c r="P243" s="98"/>
      <c r="Q243" s="98"/>
      <c r="R243" s="98"/>
      <c r="S243" s="98"/>
      <c r="T243" s="98"/>
      <c r="U243" s="98"/>
      <c r="V243" s="98"/>
      <c r="W243" s="98"/>
      <c r="X243" s="98"/>
      <c r="Y243" s="98"/>
      <c r="Z243" s="98"/>
    </row>
    <row r="244" spans="1:26" ht="15.75" customHeight="1">
      <c r="A244" s="317">
        <v>45049</v>
      </c>
      <c r="B244" s="510">
        <f t="shared" si="0"/>
        <v>45049</v>
      </c>
      <c r="C244" s="511"/>
      <c r="D244" s="511"/>
      <c r="E244" s="509"/>
      <c r="F244" s="98"/>
      <c r="G244" s="507"/>
      <c r="H244" s="507"/>
      <c r="I244" s="507"/>
      <c r="J244" s="507"/>
      <c r="K244" s="507"/>
      <c r="L244" s="98"/>
      <c r="M244" s="98"/>
      <c r="N244" s="98"/>
      <c r="O244" s="98"/>
      <c r="P244" s="98"/>
      <c r="Q244" s="98"/>
      <c r="R244" s="98"/>
      <c r="S244" s="98"/>
      <c r="T244" s="98"/>
      <c r="U244" s="98"/>
      <c r="V244" s="98"/>
      <c r="W244" s="98"/>
      <c r="X244" s="98"/>
      <c r="Y244" s="98"/>
      <c r="Z244" s="98"/>
    </row>
    <row r="245" spans="1:26" ht="15.75" customHeight="1">
      <c r="A245" s="317">
        <v>45050</v>
      </c>
      <c r="B245" s="510">
        <f t="shared" si="0"/>
        <v>45050</v>
      </c>
      <c r="C245" s="511"/>
      <c r="D245" s="511"/>
      <c r="E245" s="509"/>
      <c r="F245" s="98"/>
      <c r="G245" s="507"/>
      <c r="H245" s="507"/>
      <c r="I245" s="507"/>
      <c r="J245" s="507"/>
      <c r="K245" s="507"/>
      <c r="L245" s="98"/>
      <c r="M245" s="98"/>
      <c r="N245" s="98"/>
      <c r="O245" s="98"/>
      <c r="P245" s="98"/>
      <c r="Q245" s="98"/>
      <c r="R245" s="98"/>
      <c r="S245" s="98"/>
      <c r="T245" s="98"/>
      <c r="U245" s="98"/>
      <c r="V245" s="98"/>
      <c r="W245" s="98"/>
      <c r="X245" s="98"/>
      <c r="Y245" s="98"/>
      <c r="Z245" s="98"/>
    </row>
    <row r="246" spans="1:26" ht="15.75" customHeight="1">
      <c r="A246" s="317">
        <v>45051</v>
      </c>
      <c r="B246" s="510">
        <f t="shared" si="0"/>
        <v>45051</v>
      </c>
      <c r="C246" s="511"/>
      <c r="D246" s="511"/>
      <c r="E246" s="509"/>
      <c r="F246" s="98"/>
      <c r="G246" s="507"/>
      <c r="H246" s="507"/>
      <c r="I246" s="507"/>
      <c r="J246" s="507"/>
      <c r="K246" s="507"/>
      <c r="L246" s="98"/>
      <c r="M246" s="98"/>
      <c r="N246" s="98"/>
      <c r="O246" s="98"/>
      <c r="P246" s="98"/>
      <c r="Q246" s="98"/>
      <c r="R246" s="98"/>
      <c r="S246" s="98"/>
      <c r="T246" s="98"/>
      <c r="U246" s="98"/>
      <c r="V246" s="98"/>
      <c r="W246" s="98"/>
      <c r="X246" s="98"/>
      <c r="Y246" s="98"/>
      <c r="Z246" s="98"/>
    </row>
    <row r="247" spans="1:26" ht="15.75" customHeight="1">
      <c r="A247" s="317">
        <v>45054</v>
      </c>
      <c r="B247" s="510">
        <f t="shared" si="0"/>
        <v>45054</v>
      </c>
      <c r="C247" s="511"/>
      <c r="D247" s="511"/>
      <c r="E247" s="509"/>
      <c r="F247" s="98"/>
      <c r="G247" s="507"/>
      <c r="H247" s="507"/>
      <c r="I247" s="507"/>
      <c r="J247" s="507"/>
      <c r="K247" s="507"/>
      <c r="L247" s="98"/>
      <c r="M247" s="98"/>
      <c r="N247" s="98"/>
      <c r="O247" s="98"/>
      <c r="P247" s="98"/>
      <c r="Q247" s="98"/>
      <c r="R247" s="98"/>
      <c r="S247" s="98"/>
      <c r="T247" s="98"/>
      <c r="U247" s="98"/>
      <c r="V247" s="98"/>
      <c r="W247" s="98"/>
      <c r="X247" s="98"/>
      <c r="Y247" s="98"/>
      <c r="Z247" s="98"/>
    </row>
    <row r="248" spans="1:26" ht="15.75" customHeight="1">
      <c r="A248" s="317">
        <v>45055</v>
      </c>
      <c r="B248" s="510">
        <f t="shared" si="0"/>
        <v>45055</v>
      </c>
      <c r="C248" s="511"/>
      <c r="D248" s="511"/>
      <c r="E248" s="509"/>
      <c r="F248" s="98"/>
      <c r="G248" s="507"/>
      <c r="H248" s="507"/>
      <c r="I248" s="507"/>
      <c r="J248" s="507"/>
      <c r="K248" s="507"/>
      <c r="L248" s="98"/>
      <c r="M248" s="98"/>
      <c r="N248" s="98"/>
      <c r="O248" s="98"/>
      <c r="P248" s="98"/>
      <c r="Q248" s="98"/>
      <c r="R248" s="98"/>
      <c r="S248" s="98"/>
      <c r="T248" s="98"/>
      <c r="U248" s="98"/>
      <c r="V248" s="98"/>
      <c r="W248" s="98"/>
      <c r="X248" s="98"/>
      <c r="Y248" s="98"/>
      <c r="Z248" s="98"/>
    </row>
    <row r="249" spans="1:26" ht="15.75" customHeight="1">
      <c r="A249" s="317">
        <v>45056</v>
      </c>
      <c r="B249" s="510">
        <f t="shared" si="0"/>
        <v>45056</v>
      </c>
      <c r="C249" s="511"/>
      <c r="D249" s="511"/>
      <c r="E249" s="509"/>
      <c r="F249" s="98"/>
      <c r="G249" s="507"/>
      <c r="H249" s="507"/>
      <c r="I249" s="507"/>
      <c r="J249" s="507"/>
      <c r="K249" s="507"/>
      <c r="L249" s="98"/>
      <c r="M249" s="98"/>
      <c r="N249" s="98"/>
      <c r="O249" s="98"/>
      <c r="P249" s="98"/>
      <c r="Q249" s="98"/>
      <c r="R249" s="98"/>
      <c r="S249" s="98"/>
      <c r="T249" s="98"/>
      <c r="U249" s="98"/>
      <c r="V249" s="98"/>
      <c r="W249" s="98"/>
      <c r="X249" s="98"/>
      <c r="Y249" s="98"/>
      <c r="Z249" s="98"/>
    </row>
    <row r="250" spans="1:26" ht="15.75" customHeight="1">
      <c r="A250" s="317">
        <v>45057</v>
      </c>
      <c r="B250" s="510">
        <f t="shared" si="0"/>
        <v>45057</v>
      </c>
      <c r="C250" s="511"/>
      <c r="D250" s="511"/>
      <c r="E250" s="509"/>
      <c r="F250" s="98"/>
      <c r="G250" s="507"/>
      <c r="H250" s="507"/>
      <c r="I250" s="507"/>
      <c r="J250" s="507"/>
      <c r="K250" s="507"/>
      <c r="L250" s="98"/>
      <c r="M250" s="98"/>
      <c r="N250" s="98"/>
      <c r="O250" s="98"/>
      <c r="P250" s="98"/>
      <c r="Q250" s="98"/>
      <c r="R250" s="98"/>
      <c r="S250" s="98"/>
      <c r="T250" s="98"/>
      <c r="U250" s="98"/>
      <c r="V250" s="98"/>
      <c r="W250" s="98"/>
      <c r="X250" s="98"/>
      <c r="Y250" s="98"/>
      <c r="Z250" s="98"/>
    </row>
    <row r="251" spans="1:26" ht="15.75" customHeight="1">
      <c r="A251" s="317">
        <v>45058</v>
      </c>
      <c r="B251" s="510">
        <f t="shared" si="0"/>
        <v>45058</v>
      </c>
      <c r="C251" s="511"/>
      <c r="D251" s="511"/>
      <c r="E251" s="509"/>
      <c r="F251" s="98"/>
      <c r="G251" s="507"/>
      <c r="H251" s="507"/>
      <c r="I251" s="507"/>
      <c r="J251" s="507"/>
      <c r="K251" s="507"/>
      <c r="L251" s="98"/>
      <c r="M251" s="98"/>
      <c r="N251" s="98"/>
      <c r="O251" s="98"/>
      <c r="P251" s="98"/>
      <c r="Q251" s="98"/>
      <c r="R251" s="98"/>
      <c r="S251" s="98"/>
      <c r="T251" s="98"/>
      <c r="U251" s="98"/>
      <c r="V251" s="98"/>
      <c r="W251" s="98"/>
      <c r="X251" s="98"/>
      <c r="Y251" s="98"/>
      <c r="Z251" s="98"/>
    </row>
    <row r="252" spans="1:26" ht="15.75" customHeight="1">
      <c r="A252" s="317">
        <v>45061</v>
      </c>
      <c r="B252" s="510">
        <f t="shared" si="0"/>
        <v>45061</v>
      </c>
      <c r="C252" s="511"/>
      <c r="D252" s="511"/>
      <c r="E252" s="509"/>
      <c r="F252" s="98"/>
      <c r="G252" s="507"/>
      <c r="H252" s="507"/>
      <c r="I252" s="507"/>
      <c r="J252" s="507"/>
      <c r="K252" s="507"/>
      <c r="L252" s="98"/>
      <c r="M252" s="98"/>
      <c r="N252" s="98"/>
      <c r="O252" s="98"/>
      <c r="P252" s="98"/>
      <c r="Q252" s="98"/>
      <c r="R252" s="98"/>
      <c r="S252" s="98"/>
      <c r="T252" s="98"/>
      <c r="U252" s="98"/>
      <c r="V252" s="98"/>
      <c r="W252" s="98"/>
      <c r="X252" s="98"/>
      <c r="Y252" s="98"/>
      <c r="Z252" s="98"/>
    </row>
    <row r="253" spans="1:26" ht="15.75" customHeight="1">
      <c r="A253" s="317">
        <v>45062</v>
      </c>
      <c r="B253" s="510">
        <f t="shared" si="0"/>
        <v>45062</v>
      </c>
      <c r="C253" s="511"/>
      <c r="D253" s="511"/>
      <c r="E253" s="509"/>
      <c r="F253" s="98"/>
      <c r="G253" s="507"/>
      <c r="H253" s="507"/>
      <c r="I253" s="507"/>
      <c r="J253" s="507"/>
      <c r="K253" s="507"/>
      <c r="L253" s="98"/>
      <c r="M253" s="98"/>
      <c r="N253" s="98"/>
      <c r="O253" s="98"/>
      <c r="P253" s="98"/>
      <c r="Q253" s="98"/>
      <c r="R253" s="98"/>
      <c r="S253" s="98"/>
      <c r="T253" s="98"/>
      <c r="U253" s="98"/>
      <c r="V253" s="98"/>
      <c r="W253" s="98"/>
      <c r="X253" s="98"/>
      <c r="Y253" s="98"/>
      <c r="Z253" s="98"/>
    </row>
    <row r="254" spans="1:26" ht="15.75" customHeight="1">
      <c r="A254" s="317">
        <v>45063</v>
      </c>
      <c r="B254" s="510">
        <f t="shared" si="0"/>
        <v>45063</v>
      </c>
      <c r="C254" s="511"/>
      <c r="D254" s="511"/>
      <c r="E254" s="509"/>
      <c r="F254" s="98"/>
      <c r="G254" s="507"/>
      <c r="H254" s="507"/>
      <c r="I254" s="507"/>
      <c r="J254" s="507"/>
      <c r="K254" s="507"/>
      <c r="L254" s="98"/>
      <c r="M254" s="98"/>
      <c r="N254" s="98"/>
      <c r="O254" s="98"/>
      <c r="P254" s="98"/>
      <c r="Q254" s="98"/>
      <c r="R254" s="98"/>
      <c r="S254" s="98"/>
      <c r="T254" s="98"/>
      <c r="U254" s="98"/>
      <c r="V254" s="98"/>
      <c r="W254" s="98"/>
      <c r="X254" s="98"/>
      <c r="Y254" s="98"/>
      <c r="Z254" s="98"/>
    </row>
    <row r="255" spans="1:26" ht="15.75" customHeight="1">
      <c r="A255" s="317">
        <v>45064</v>
      </c>
      <c r="B255" s="510">
        <f t="shared" si="0"/>
        <v>45064</v>
      </c>
      <c r="C255" s="511"/>
      <c r="D255" s="511"/>
      <c r="E255" s="509"/>
      <c r="F255" s="98"/>
      <c r="G255" s="507"/>
      <c r="H255" s="507"/>
      <c r="I255" s="507"/>
      <c r="J255" s="507"/>
      <c r="K255" s="507"/>
      <c r="L255" s="98"/>
      <c r="M255" s="98"/>
      <c r="N255" s="98"/>
      <c r="O255" s="98"/>
      <c r="P255" s="98"/>
      <c r="Q255" s="98"/>
      <c r="R255" s="98"/>
      <c r="S255" s="98"/>
      <c r="T255" s="98"/>
      <c r="U255" s="98"/>
      <c r="V255" s="98"/>
      <c r="W255" s="98"/>
      <c r="X255" s="98"/>
      <c r="Y255" s="98"/>
      <c r="Z255" s="98"/>
    </row>
    <row r="256" spans="1:26" ht="15.75" customHeight="1">
      <c r="A256" s="317">
        <v>45065</v>
      </c>
      <c r="B256" s="510">
        <f t="shared" si="0"/>
        <v>45065</v>
      </c>
      <c r="C256" s="511"/>
      <c r="D256" s="511"/>
      <c r="E256" s="509"/>
      <c r="F256" s="98"/>
      <c r="G256" s="507"/>
      <c r="H256" s="507"/>
      <c r="I256" s="507"/>
      <c r="J256" s="507"/>
      <c r="K256" s="507"/>
      <c r="L256" s="98"/>
      <c r="M256" s="98"/>
      <c r="N256" s="98"/>
      <c r="O256" s="98"/>
      <c r="P256" s="98"/>
      <c r="Q256" s="98"/>
      <c r="R256" s="98"/>
      <c r="S256" s="98"/>
      <c r="T256" s="98"/>
      <c r="U256" s="98"/>
      <c r="V256" s="98"/>
      <c r="W256" s="98"/>
      <c r="X256" s="98"/>
      <c r="Y256" s="98"/>
      <c r="Z256" s="98"/>
    </row>
    <row r="257" spans="1:26" ht="15.75" customHeight="1">
      <c r="A257" s="317">
        <v>45068</v>
      </c>
      <c r="B257" s="510">
        <f t="shared" si="0"/>
        <v>45068</v>
      </c>
      <c r="C257" s="511"/>
      <c r="D257" s="511"/>
      <c r="E257" s="509"/>
      <c r="F257" s="98"/>
      <c r="G257" s="507"/>
      <c r="H257" s="507"/>
      <c r="I257" s="507"/>
      <c r="J257" s="507"/>
      <c r="K257" s="507"/>
      <c r="L257" s="98"/>
      <c r="M257" s="98"/>
      <c r="N257" s="98"/>
      <c r="O257" s="98"/>
      <c r="P257" s="98"/>
      <c r="Q257" s="98"/>
      <c r="R257" s="98"/>
      <c r="S257" s="98"/>
      <c r="T257" s="98"/>
      <c r="U257" s="98"/>
      <c r="V257" s="98"/>
      <c r="W257" s="98"/>
      <c r="X257" s="98"/>
      <c r="Y257" s="98"/>
      <c r="Z257" s="98"/>
    </row>
    <row r="258" spans="1:26" ht="15.75" customHeight="1">
      <c r="A258" s="317">
        <v>45069</v>
      </c>
      <c r="B258" s="510">
        <f t="shared" si="0"/>
        <v>45069</v>
      </c>
      <c r="C258" s="511"/>
      <c r="D258" s="511"/>
      <c r="E258" s="509"/>
      <c r="F258" s="98"/>
      <c r="G258" s="507"/>
      <c r="H258" s="507"/>
      <c r="I258" s="507"/>
      <c r="J258" s="507"/>
      <c r="K258" s="507"/>
      <c r="L258" s="98"/>
      <c r="M258" s="98"/>
      <c r="N258" s="98"/>
      <c r="O258" s="98"/>
      <c r="P258" s="98"/>
      <c r="Q258" s="98"/>
      <c r="R258" s="98"/>
      <c r="S258" s="98"/>
      <c r="T258" s="98"/>
      <c r="U258" s="98"/>
      <c r="V258" s="98"/>
      <c r="W258" s="98"/>
      <c r="X258" s="98"/>
      <c r="Y258" s="98"/>
      <c r="Z258" s="98"/>
    </row>
    <row r="259" spans="1:26" ht="15.75" customHeight="1">
      <c r="A259" s="317">
        <v>45070</v>
      </c>
      <c r="B259" s="510">
        <f t="shared" si="0"/>
        <v>45070</v>
      </c>
      <c r="C259" s="511"/>
      <c r="D259" s="511"/>
      <c r="E259" s="509"/>
      <c r="F259" s="98"/>
      <c r="G259" s="507"/>
      <c r="H259" s="507"/>
      <c r="I259" s="507"/>
      <c r="J259" s="507"/>
      <c r="K259" s="507"/>
      <c r="L259" s="98"/>
      <c r="M259" s="98"/>
      <c r="N259" s="98"/>
      <c r="O259" s="98"/>
      <c r="P259" s="98"/>
      <c r="Q259" s="98"/>
      <c r="R259" s="98"/>
      <c r="S259" s="98"/>
      <c r="T259" s="98"/>
      <c r="U259" s="98"/>
      <c r="V259" s="98"/>
      <c r="W259" s="98"/>
      <c r="X259" s="98"/>
      <c r="Y259" s="98"/>
      <c r="Z259" s="98"/>
    </row>
    <row r="260" spans="1:26" ht="15.75" customHeight="1">
      <c r="A260" s="317">
        <v>45071</v>
      </c>
      <c r="B260" s="510">
        <f t="shared" si="0"/>
        <v>45071</v>
      </c>
      <c r="C260" s="511"/>
      <c r="D260" s="511"/>
      <c r="E260" s="509"/>
      <c r="F260" s="98"/>
      <c r="G260" s="507"/>
      <c r="H260" s="507"/>
      <c r="I260" s="507"/>
      <c r="J260" s="507"/>
      <c r="K260" s="507"/>
      <c r="L260" s="98"/>
      <c r="M260" s="98"/>
      <c r="N260" s="98"/>
      <c r="O260" s="98"/>
      <c r="P260" s="98"/>
      <c r="Q260" s="98"/>
      <c r="R260" s="98"/>
      <c r="S260" s="98"/>
      <c r="T260" s="98"/>
      <c r="U260" s="98"/>
      <c r="V260" s="98"/>
      <c r="W260" s="98"/>
      <c r="X260" s="98"/>
      <c r="Y260" s="98"/>
      <c r="Z260" s="98"/>
    </row>
    <row r="261" spans="1:26" ht="15.75" customHeight="1">
      <c r="A261" s="317">
        <v>45072</v>
      </c>
      <c r="B261" s="510">
        <f t="shared" si="0"/>
        <v>45072</v>
      </c>
      <c r="C261" s="511"/>
      <c r="D261" s="511"/>
      <c r="E261" s="509"/>
      <c r="F261" s="98"/>
      <c r="G261" s="507"/>
      <c r="H261" s="507"/>
      <c r="I261" s="507"/>
      <c r="J261" s="507"/>
      <c r="K261" s="507"/>
      <c r="L261" s="98"/>
      <c r="M261" s="98"/>
      <c r="N261" s="98"/>
      <c r="O261" s="98"/>
      <c r="P261" s="98"/>
      <c r="Q261" s="98"/>
      <c r="R261" s="98"/>
      <c r="S261" s="98"/>
      <c r="T261" s="98"/>
      <c r="U261" s="98"/>
      <c r="V261" s="98"/>
      <c r="W261" s="98"/>
      <c r="X261" s="98"/>
      <c r="Y261" s="98"/>
      <c r="Z261" s="98"/>
    </row>
    <row r="262" spans="1:26" ht="15.75" customHeight="1">
      <c r="A262" s="317">
        <v>45075</v>
      </c>
      <c r="B262" s="510">
        <f t="shared" si="0"/>
        <v>45075</v>
      </c>
      <c r="C262" s="511"/>
      <c r="D262" s="511"/>
      <c r="E262" s="509"/>
      <c r="F262" s="98"/>
      <c r="G262" s="507"/>
      <c r="H262" s="507"/>
      <c r="I262" s="507"/>
      <c r="J262" s="507"/>
      <c r="K262" s="507"/>
      <c r="L262" s="98"/>
      <c r="M262" s="98"/>
      <c r="N262" s="98"/>
      <c r="O262" s="98"/>
      <c r="P262" s="98"/>
      <c r="Q262" s="98"/>
      <c r="R262" s="98"/>
      <c r="S262" s="98"/>
      <c r="T262" s="98"/>
      <c r="U262" s="98"/>
      <c r="V262" s="98"/>
      <c r="W262" s="98"/>
      <c r="X262" s="98"/>
      <c r="Y262" s="98"/>
      <c r="Z262" s="98"/>
    </row>
    <row r="263" spans="1:26" ht="15.75" customHeight="1">
      <c r="A263" s="317">
        <v>45076</v>
      </c>
      <c r="B263" s="510">
        <f t="shared" si="0"/>
        <v>45076</v>
      </c>
      <c r="C263" s="511"/>
      <c r="D263" s="511"/>
      <c r="E263" s="509"/>
      <c r="F263" s="98"/>
      <c r="G263" s="507"/>
      <c r="H263" s="507"/>
      <c r="I263" s="507"/>
      <c r="J263" s="507"/>
      <c r="K263" s="507"/>
      <c r="L263" s="98"/>
      <c r="M263" s="98"/>
      <c r="N263" s="98"/>
      <c r="O263" s="98"/>
      <c r="P263" s="98"/>
      <c r="Q263" s="98"/>
      <c r="R263" s="98"/>
      <c r="S263" s="98"/>
      <c r="T263" s="98"/>
      <c r="U263" s="98"/>
      <c r="V263" s="98"/>
      <c r="W263" s="98"/>
      <c r="X263" s="98"/>
      <c r="Y263" s="98"/>
      <c r="Z263" s="98"/>
    </row>
    <row r="264" spans="1:26" ht="15.75" customHeight="1">
      <c r="A264" s="317">
        <v>45077</v>
      </c>
      <c r="B264" s="510">
        <f t="shared" si="0"/>
        <v>45077</v>
      </c>
      <c r="C264" s="511"/>
      <c r="D264" s="511"/>
      <c r="E264" s="509"/>
      <c r="F264" s="98"/>
      <c r="G264" s="507"/>
      <c r="H264" s="507"/>
      <c r="I264" s="507"/>
      <c r="J264" s="507"/>
      <c r="K264" s="507"/>
      <c r="L264" s="98"/>
      <c r="M264" s="98"/>
      <c r="N264" s="98"/>
      <c r="O264" s="98"/>
      <c r="P264" s="98"/>
      <c r="Q264" s="98"/>
      <c r="R264" s="98"/>
      <c r="S264" s="98"/>
      <c r="T264" s="98"/>
      <c r="U264" s="98"/>
      <c r="V264" s="98"/>
      <c r="W264" s="98"/>
      <c r="X264" s="98"/>
      <c r="Y264" s="98"/>
      <c r="Z264" s="98"/>
    </row>
    <row r="265" spans="1:26" ht="15.75" customHeight="1">
      <c r="A265" s="512" t="s">
        <v>498</v>
      </c>
      <c r="B265" s="513"/>
      <c r="C265" s="511"/>
      <c r="D265" s="509">
        <f>-249.93-47.93</f>
        <v>-297.86</v>
      </c>
      <c r="E265" s="509">
        <f t="shared" ref="E265:E268" si="2">SUM(C265:D265)</f>
        <v>-297.86</v>
      </c>
      <c r="F265" s="98"/>
      <c r="G265" s="507"/>
      <c r="H265" s="507"/>
      <c r="I265" s="507"/>
      <c r="J265" s="507"/>
      <c r="K265" s="507"/>
      <c r="L265" s="98"/>
      <c r="M265" s="98"/>
      <c r="N265" s="98"/>
      <c r="O265" s="98"/>
      <c r="P265" s="98"/>
      <c r="Q265" s="98"/>
      <c r="R265" s="98"/>
      <c r="S265" s="98"/>
      <c r="T265" s="98"/>
      <c r="U265" s="98"/>
      <c r="V265" s="98"/>
      <c r="W265" s="98"/>
      <c r="X265" s="98"/>
      <c r="Y265" s="98"/>
      <c r="Z265" s="98"/>
    </row>
    <row r="266" spans="1:26" ht="15.75" hidden="1" customHeight="1">
      <c r="A266" s="514" t="s">
        <v>1440</v>
      </c>
      <c r="B266" s="513"/>
      <c r="C266" s="511"/>
      <c r="D266" s="509"/>
      <c r="E266" s="509">
        <f t="shared" si="2"/>
        <v>0</v>
      </c>
      <c r="F266" s="98"/>
      <c r="G266" s="507"/>
      <c r="H266" s="507"/>
      <c r="I266" s="507"/>
      <c r="J266" s="507"/>
      <c r="K266" s="507"/>
      <c r="L266" s="98"/>
      <c r="M266" s="98"/>
      <c r="N266" s="98"/>
      <c r="O266" s="98"/>
      <c r="P266" s="98"/>
      <c r="Q266" s="98"/>
      <c r="R266" s="98"/>
      <c r="S266" s="98"/>
      <c r="T266" s="98"/>
      <c r="U266" s="98"/>
      <c r="V266" s="98"/>
      <c r="W266" s="98"/>
      <c r="X266" s="98"/>
      <c r="Y266" s="98"/>
      <c r="Z266" s="98"/>
    </row>
    <row r="267" spans="1:26" ht="15.75" hidden="1" customHeight="1">
      <c r="A267" s="512" t="s">
        <v>268</v>
      </c>
      <c r="B267" s="513"/>
      <c r="C267" s="511">
        <v>0</v>
      </c>
      <c r="D267" s="509">
        <v>0</v>
      </c>
      <c r="E267" s="509">
        <f t="shared" si="2"/>
        <v>0</v>
      </c>
      <c r="F267" s="98"/>
      <c r="G267" s="507"/>
      <c r="H267" s="507"/>
      <c r="I267" s="507"/>
      <c r="J267" s="507"/>
      <c r="K267" s="507"/>
      <c r="L267" s="98"/>
      <c r="M267" s="98"/>
      <c r="N267" s="98"/>
      <c r="O267" s="98"/>
      <c r="P267" s="98"/>
      <c r="Q267" s="98"/>
      <c r="R267" s="98"/>
      <c r="S267" s="98"/>
      <c r="T267" s="98"/>
      <c r="U267" s="98"/>
      <c r="V267" s="98"/>
      <c r="W267" s="98"/>
      <c r="X267" s="98"/>
      <c r="Y267" s="98"/>
      <c r="Z267" s="98"/>
    </row>
    <row r="268" spans="1:26" ht="15.75" hidden="1" customHeight="1">
      <c r="A268" s="512" t="s">
        <v>1441</v>
      </c>
      <c r="B268" s="513"/>
      <c r="C268" s="511">
        <v>0</v>
      </c>
      <c r="D268" s="509">
        <v>0</v>
      </c>
      <c r="E268" s="509">
        <f t="shared" si="2"/>
        <v>0</v>
      </c>
      <c r="F268" s="98"/>
      <c r="G268" s="507"/>
      <c r="H268" s="507"/>
      <c r="I268" s="507"/>
      <c r="J268" s="507"/>
      <c r="K268" s="507"/>
      <c r="L268" s="98"/>
      <c r="M268" s="98"/>
      <c r="N268" s="98"/>
      <c r="O268" s="98"/>
      <c r="P268" s="98"/>
      <c r="Q268" s="98"/>
      <c r="R268" s="98"/>
      <c r="S268" s="98"/>
      <c r="T268" s="98"/>
      <c r="U268" s="98"/>
      <c r="V268" s="98"/>
      <c r="W268" s="98"/>
      <c r="X268" s="98"/>
      <c r="Y268" s="98"/>
      <c r="Z268" s="98"/>
    </row>
    <row r="269" spans="1:26" ht="15.75" customHeight="1">
      <c r="A269" s="515" t="s">
        <v>18</v>
      </c>
      <c r="B269" s="509"/>
      <c r="C269" s="509">
        <f>IF(SUM(C2:C268)=Trade!AA1794,SUM(C2:C268),"Error")</f>
        <v>152155.26000000021</v>
      </c>
      <c r="D269" s="509">
        <f>IF(SUM(D2:D268)=Holding!O569,SUM(D2:D268),"Error")</f>
        <v>100329.16000000008</v>
      </c>
      <c r="E269" s="509">
        <f>SUM(E2:E268)</f>
        <v>252484.4200000001</v>
      </c>
      <c r="F269" s="98"/>
      <c r="G269" s="507"/>
      <c r="H269" s="507"/>
      <c r="I269" s="507"/>
      <c r="J269" s="507"/>
      <c r="K269" s="507"/>
      <c r="L269" s="98"/>
      <c r="M269" s="98"/>
      <c r="N269" s="98"/>
      <c r="O269" s="98"/>
      <c r="P269" s="98"/>
      <c r="Q269" s="98"/>
      <c r="R269" s="98"/>
      <c r="S269" s="98"/>
      <c r="T269" s="98"/>
      <c r="U269" s="98"/>
      <c r="V269" s="98"/>
      <c r="W269" s="98"/>
      <c r="X269" s="98"/>
      <c r="Y269" s="98"/>
      <c r="Z269" s="98"/>
    </row>
    <row r="270" spans="1:26" ht="7.5" customHeight="1">
      <c r="A270" s="516"/>
      <c r="B270" s="507"/>
      <c r="C270" s="517"/>
      <c r="D270" s="517"/>
      <c r="E270" s="507"/>
      <c r="F270" s="517"/>
      <c r="G270" s="507"/>
      <c r="H270" s="507"/>
      <c r="I270" s="507"/>
      <c r="J270" s="507"/>
      <c r="K270" s="507"/>
      <c r="L270" s="98"/>
      <c r="M270" s="98"/>
      <c r="N270" s="98"/>
      <c r="O270" s="98"/>
      <c r="P270" s="98"/>
      <c r="Q270" s="98"/>
      <c r="R270" s="98"/>
      <c r="S270" s="98"/>
      <c r="T270" s="98"/>
      <c r="U270" s="98"/>
      <c r="V270" s="98"/>
      <c r="W270" s="98"/>
      <c r="X270" s="98"/>
      <c r="Y270" s="98"/>
      <c r="Z270" s="98"/>
    </row>
    <row r="271" spans="1:26" ht="15.75" customHeight="1">
      <c r="A271" s="41" t="s">
        <v>23</v>
      </c>
      <c r="B271" s="507" t="s">
        <v>1442</v>
      </c>
      <c r="C271" s="518" t="s">
        <v>1443</v>
      </c>
      <c r="D271" s="518" t="s">
        <v>1444</v>
      </c>
      <c r="E271" s="519" t="s">
        <v>1445</v>
      </c>
      <c r="F271" s="519" t="s">
        <v>1446</v>
      </c>
      <c r="G271" s="507" t="s">
        <v>1447</v>
      </c>
      <c r="H271" s="507" t="s">
        <v>1448</v>
      </c>
      <c r="I271" s="507" t="s">
        <v>1449</v>
      </c>
      <c r="J271" s="507" t="s">
        <v>1450</v>
      </c>
      <c r="K271" s="507"/>
      <c r="L271" s="98"/>
      <c r="M271" s="98"/>
      <c r="N271" s="98"/>
      <c r="O271" s="98"/>
      <c r="P271" s="98"/>
      <c r="Q271" s="98"/>
      <c r="R271" s="98"/>
      <c r="S271" s="98"/>
      <c r="T271" s="98"/>
      <c r="U271" s="98"/>
      <c r="V271" s="98"/>
      <c r="W271" s="98"/>
      <c r="X271" s="98"/>
      <c r="Y271" s="98"/>
      <c r="Z271" s="98"/>
    </row>
    <row r="272" spans="1:26" ht="15.75" customHeight="1">
      <c r="A272" s="520">
        <v>44470</v>
      </c>
      <c r="B272" s="521">
        <v>20</v>
      </c>
      <c r="C272" s="509">
        <v>1318.59</v>
      </c>
      <c r="D272" s="509">
        <v>15823.05</v>
      </c>
      <c r="E272" s="521">
        <v>12</v>
      </c>
      <c r="F272" s="521">
        <f t="shared" ref="F272:F279" si="3">IF(E272="","",B272-E272)</f>
        <v>8</v>
      </c>
      <c r="G272" s="522">
        <f t="shared" ref="G272:G291" si="4">IF(D272="","",RANK(D272,D$272:D$292))</f>
        <v>6</v>
      </c>
      <c r="H272" s="522">
        <f t="shared" ref="H272:H291" si="5">IF(C272="","",RANK(C272,C$272:C$292))</f>
        <v>4</v>
      </c>
      <c r="I272" s="523">
        <v>28</v>
      </c>
      <c r="J272" s="523">
        <v>1</v>
      </c>
      <c r="K272" s="507"/>
      <c r="L272" s="98"/>
      <c r="M272" s="98"/>
      <c r="N272" s="98"/>
      <c r="O272" s="98"/>
      <c r="P272" s="98"/>
      <c r="Q272" s="98"/>
      <c r="R272" s="98"/>
      <c r="S272" s="98"/>
      <c r="T272" s="98"/>
      <c r="U272" s="98"/>
      <c r="V272" s="98"/>
      <c r="W272" s="98"/>
      <c r="X272" s="98"/>
      <c r="Y272" s="98"/>
      <c r="Z272" s="98"/>
    </row>
    <row r="273" spans="1:26" ht="15.75" customHeight="1">
      <c r="A273" s="520">
        <v>44501</v>
      </c>
      <c r="B273" s="521">
        <v>19</v>
      </c>
      <c r="C273" s="509">
        <v>910.85</v>
      </c>
      <c r="D273" s="509">
        <v>6375.9500000000007</v>
      </c>
      <c r="E273" s="521">
        <v>7</v>
      </c>
      <c r="F273" s="521">
        <f t="shared" si="3"/>
        <v>12</v>
      </c>
      <c r="G273" s="522">
        <f t="shared" si="4"/>
        <v>13</v>
      </c>
      <c r="H273" s="522">
        <f t="shared" si="5"/>
        <v>9</v>
      </c>
      <c r="I273" s="523">
        <v>30</v>
      </c>
      <c r="J273" s="523">
        <v>2</v>
      </c>
      <c r="K273" s="507"/>
      <c r="L273" s="98"/>
      <c r="M273" s="98"/>
      <c r="N273" s="98"/>
      <c r="O273" s="98"/>
      <c r="P273" s="98"/>
      <c r="Q273" s="98"/>
      <c r="R273" s="98"/>
      <c r="S273" s="98"/>
      <c r="T273" s="98"/>
      <c r="U273" s="98"/>
      <c r="V273" s="98"/>
      <c r="W273" s="98"/>
      <c r="X273" s="98"/>
      <c r="Y273" s="98"/>
      <c r="Z273" s="98"/>
    </row>
    <row r="274" spans="1:26" ht="15.75" customHeight="1">
      <c r="A274" s="520">
        <v>44531</v>
      </c>
      <c r="B274" s="521">
        <v>23</v>
      </c>
      <c r="C274" s="509">
        <v>1028.47</v>
      </c>
      <c r="D274" s="509">
        <v>15426.99</v>
      </c>
      <c r="E274" s="521">
        <v>15</v>
      </c>
      <c r="F274" s="521">
        <f t="shared" si="3"/>
        <v>8</v>
      </c>
      <c r="G274" s="522">
        <f t="shared" si="4"/>
        <v>7</v>
      </c>
      <c r="H274" s="522">
        <f t="shared" si="5"/>
        <v>8</v>
      </c>
      <c r="I274" s="523">
        <v>31</v>
      </c>
      <c r="J274" s="523">
        <v>3</v>
      </c>
      <c r="K274" s="507"/>
      <c r="L274" s="98"/>
      <c r="M274" s="98"/>
      <c r="N274" s="98"/>
      <c r="O274" s="98"/>
      <c r="P274" s="98"/>
      <c r="Q274" s="98"/>
      <c r="R274" s="98"/>
      <c r="S274" s="98"/>
      <c r="T274" s="98"/>
      <c r="U274" s="98"/>
      <c r="V274" s="98"/>
      <c r="W274" s="98"/>
      <c r="X274" s="98"/>
      <c r="Y274" s="98"/>
      <c r="Z274" s="98"/>
    </row>
    <row r="275" spans="1:26" ht="15.75" customHeight="1">
      <c r="A275" s="520">
        <v>44562</v>
      </c>
      <c r="B275" s="521">
        <v>20</v>
      </c>
      <c r="C275" s="509">
        <v>1223.67</v>
      </c>
      <c r="D275" s="509">
        <v>24473.4</v>
      </c>
      <c r="E275" s="521">
        <v>20</v>
      </c>
      <c r="F275" s="521">
        <f t="shared" si="3"/>
        <v>0</v>
      </c>
      <c r="G275" s="522">
        <f t="shared" si="4"/>
        <v>3</v>
      </c>
      <c r="H275" s="522">
        <f t="shared" si="5"/>
        <v>6</v>
      </c>
      <c r="I275" s="523">
        <v>31</v>
      </c>
      <c r="J275" s="523">
        <v>4</v>
      </c>
      <c r="K275" s="507"/>
      <c r="L275" s="98"/>
      <c r="M275" s="98"/>
      <c r="N275" s="98"/>
      <c r="O275" s="98"/>
      <c r="P275" s="98"/>
      <c r="Q275" s="98"/>
      <c r="R275" s="98"/>
      <c r="S275" s="98"/>
      <c r="T275" s="98"/>
      <c r="U275" s="98"/>
      <c r="V275" s="98"/>
      <c r="W275" s="98"/>
      <c r="X275" s="98"/>
      <c r="Y275" s="98"/>
      <c r="Z275" s="98"/>
    </row>
    <row r="276" spans="1:26" ht="15.75" customHeight="1">
      <c r="A276" s="520">
        <v>44593</v>
      </c>
      <c r="B276" s="521">
        <v>20</v>
      </c>
      <c r="C276" s="509">
        <v>749.14</v>
      </c>
      <c r="D276" s="509">
        <v>11986.199999999993</v>
      </c>
      <c r="E276" s="521">
        <v>16</v>
      </c>
      <c r="F276" s="521">
        <f t="shared" si="3"/>
        <v>4</v>
      </c>
      <c r="G276" s="522">
        <f t="shared" si="4"/>
        <v>9</v>
      </c>
      <c r="H276" s="522">
        <f t="shared" si="5"/>
        <v>10</v>
      </c>
      <c r="I276" s="523">
        <v>28</v>
      </c>
      <c r="J276" s="523">
        <v>5</v>
      </c>
      <c r="K276" s="507"/>
      <c r="L276" s="98"/>
      <c r="M276" s="98"/>
      <c r="N276" s="98"/>
      <c r="O276" s="98"/>
      <c r="P276" s="98"/>
      <c r="Q276" s="98"/>
      <c r="R276" s="98"/>
      <c r="S276" s="98"/>
      <c r="T276" s="98"/>
      <c r="U276" s="98"/>
      <c r="V276" s="98"/>
      <c r="W276" s="98"/>
      <c r="X276" s="98"/>
      <c r="Y276" s="98"/>
      <c r="Z276" s="98"/>
    </row>
    <row r="277" spans="1:26" ht="15.75" customHeight="1">
      <c r="A277" s="520">
        <v>44621</v>
      </c>
      <c r="B277" s="521">
        <v>21</v>
      </c>
      <c r="C277" s="509">
        <v>443</v>
      </c>
      <c r="D277" s="509">
        <v>8860.07</v>
      </c>
      <c r="E277" s="521">
        <v>20</v>
      </c>
      <c r="F277" s="521">
        <f t="shared" si="3"/>
        <v>1</v>
      </c>
      <c r="G277" s="522">
        <f t="shared" si="4"/>
        <v>11</v>
      </c>
      <c r="H277" s="522">
        <f t="shared" si="5"/>
        <v>13</v>
      </c>
      <c r="I277" s="523">
        <v>31</v>
      </c>
      <c r="J277" s="523">
        <v>6</v>
      </c>
      <c r="K277" s="507"/>
      <c r="L277" s="98"/>
      <c r="M277" s="98"/>
      <c r="N277" s="98"/>
      <c r="O277" s="98"/>
      <c r="P277" s="98"/>
      <c r="Q277" s="98"/>
      <c r="R277" s="98"/>
      <c r="S277" s="98"/>
      <c r="T277" s="98"/>
      <c r="U277" s="98"/>
      <c r="V277" s="98"/>
      <c r="W277" s="98"/>
      <c r="X277" s="98"/>
      <c r="Y277" s="98"/>
      <c r="Z277" s="98"/>
    </row>
    <row r="278" spans="1:26" ht="15.75" customHeight="1">
      <c r="A278" s="520">
        <v>44652</v>
      </c>
      <c r="B278" s="521">
        <v>19</v>
      </c>
      <c r="C278" s="509">
        <v>2613.29</v>
      </c>
      <c r="D278" s="509">
        <v>47039.24</v>
      </c>
      <c r="E278" s="521">
        <v>18</v>
      </c>
      <c r="F278" s="521">
        <f t="shared" si="3"/>
        <v>1</v>
      </c>
      <c r="G278" s="522">
        <f t="shared" si="4"/>
        <v>1</v>
      </c>
      <c r="H278" s="522">
        <f t="shared" si="5"/>
        <v>1</v>
      </c>
      <c r="I278" s="523">
        <v>30</v>
      </c>
      <c r="J278" s="523">
        <v>7</v>
      </c>
      <c r="K278" s="507"/>
      <c r="L278" s="98"/>
      <c r="M278" s="98"/>
      <c r="N278" s="98"/>
      <c r="O278" s="98"/>
      <c r="P278" s="98"/>
      <c r="Q278" s="98"/>
      <c r="R278" s="98"/>
      <c r="S278" s="98"/>
      <c r="T278" s="98"/>
      <c r="U278" s="98"/>
      <c r="V278" s="98"/>
      <c r="W278" s="98"/>
      <c r="X278" s="98"/>
      <c r="Y278" s="98"/>
      <c r="Z278" s="98"/>
    </row>
    <row r="279" spans="1:26" ht="15.75" customHeight="1">
      <c r="A279" s="520">
        <v>44682</v>
      </c>
      <c r="B279" s="521">
        <v>21</v>
      </c>
      <c r="C279" s="509">
        <v>2224.3200000000002</v>
      </c>
      <c r="D279" s="509">
        <v>46710.74</v>
      </c>
      <c r="E279" s="521">
        <v>21</v>
      </c>
      <c r="F279" s="521">
        <f t="shared" si="3"/>
        <v>0</v>
      </c>
      <c r="G279" s="522">
        <f t="shared" si="4"/>
        <v>2</v>
      </c>
      <c r="H279" s="522">
        <f t="shared" si="5"/>
        <v>2</v>
      </c>
      <c r="I279" s="523">
        <v>31</v>
      </c>
      <c r="J279" s="523">
        <v>8</v>
      </c>
      <c r="K279" s="507"/>
      <c r="L279" s="98"/>
      <c r="M279" s="98"/>
      <c r="N279" s="98"/>
      <c r="O279" s="98"/>
      <c r="P279" s="98"/>
      <c r="Q279" s="98"/>
      <c r="R279" s="98"/>
      <c r="S279" s="98"/>
      <c r="T279" s="98"/>
      <c r="U279" s="98"/>
      <c r="V279" s="98"/>
      <c r="W279" s="98"/>
      <c r="X279" s="98"/>
      <c r="Y279" s="98"/>
      <c r="Z279" s="98"/>
    </row>
    <row r="280" spans="1:26" ht="15.75" customHeight="1">
      <c r="A280" s="520">
        <v>44713</v>
      </c>
      <c r="B280" s="521">
        <v>22</v>
      </c>
      <c r="C280" s="509">
        <v>560.28</v>
      </c>
      <c r="D280" s="509">
        <v>11205.620000000019</v>
      </c>
      <c r="E280" s="521">
        <v>20</v>
      </c>
      <c r="F280" s="521">
        <v>2</v>
      </c>
      <c r="G280" s="522">
        <f t="shared" si="4"/>
        <v>10</v>
      </c>
      <c r="H280" s="522">
        <f t="shared" si="5"/>
        <v>11</v>
      </c>
      <c r="I280" s="523">
        <v>30</v>
      </c>
      <c r="J280" s="523">
        <v>9</v>
      </c>
      <c r="K280" s="507"/>
      <c r="L280" s="98"/>
      <c r="M280" s="98"/>
      <c r="N280" s="98"/>
      <c r="O280" s="98"/>
      <c r="P280" s="98"/>
      <c r="Q280" s="98"/>
      <c r="R280" s="98"/>
      <c r="S280" s="98"/>
      <c r="T280" s="98"/>
      <c r="U280" s="98"/>
      <c r="V280" s="98"/>
      <c r="W280" s="98"/>
      <c r="X280" s="98"/>
      <c r="Y280" s="98"/>
      <c r="Z280" s="98"/>
    </row>
    <row r="281" spans="1:26" ht="15.75" customHeight="1">
      <c r="A281" s="520">
        <v>44743</v>
      </c>
      <c r="B281" s="521">
        <v>21</v>
      </c>
      <c r="C281" s="509">
        <v>480.33</v>
      </c>
      <c r="D281" s="509">
        <v>7204.8799999999992</v>
      </c>
      <c r="E281" s="521">
        <v>15</v>
      </c>
      <c r="F281" s="521">
        <v>6</v>
      </c>
      <c r="G281" s="522">
        <f t="shared" si="4"/>
        <v>12</v>
      </c>
      <c r="H281" s="522">
        <f t="shared" si="5"/>
        <v>12</v>
      </c>
      <c r="I281" s="523">
        <v>31</v>
      </c>
      <c r="J281" s="523">
        <v>10</v>
      </c>
      <c r="K281" s="507"/>
      <c r="L281" s="98"/>
      <c r="M281" s="98"/>
      <c r="N281" s="98"/>
      <c r="O281" s="98"/>
      <c r="P281" s="98"/>
      <c r="Q281" s="98"/>
      <c r="R281" s="98"/>
      <c r="S281" s="98"/>
      <c r="T281" s="98"/>
      <c r="U281" s="98"/>
      <c r="V281" s="98"/>
      <c r="W281" s="98"/>
      <c r="X281" s="98"/>
      <c r="Y281" s="98"/>
      <c r="Z281" s="98"/>
    </row>
    <row r="282" spans="1:26" ht="15.75" customHeight="1">
      <c r="A282" s="520">
        <v>44774</v>
      </c>
      <c r="B282" s="521">
        <v>20</v>
      </c>
      <c r="C282" s="509">
        <v>1220.31</v>
      </c>
      <c r="D282" s="509">
        <v>14643.739999999996</v>
      </c>
      <c r="E282" s="521">
        <v>12</v>
      </c>
      <c r="F282" s="521">
        <v>8</v>
      </c>
      <c r="G282" s="522">
        <f t="shared" si="4"/>
        <v>8</v>
      </c>
      <c r="H282" s="522">
        <f t="shared" si="5"/>
        <v>7</v>
      </c>
      <c r="I282" s="523">
        <v>31</v>
      </c>
      <c r="J282" s="523">
        <v>11</v>
      </c>
      <c r="K282" s="507"/>
      <c r="L282" s="98"/>
      <c r="M282" s="98"/>
      <c r="N282" s="98"/>
      <c r="O282" s="98"/>
      <c r="P282" s="98"/>
      <c r="Q282" s="98"/>
      <c r="R282" s="98"/>
      <c r="S282" s="98"/>
      <c r="T282" s="98"/>
      <c r="U282" s="98"/>
      <c r="V282" s="98"/>
      <c r="W282" s="98"/>
      <c r="X282" s="98"/>
      <c r="Y282" s="98"/>
      <c r="Z282" s="98"/>
    </row>
    <row r="283" spans="1:26" ht="15.75" customHeight="1">
      <c r="A283" s="520">
        <v>44805</v>
      </c>
      <c r="B283" s="521">
        <v>22</v>
      </c>
      <c r="C283" s="509">
        <v>1272.28</v>
      </c>
      <c r="D283" s="509">
        <v>20356.13</v>
      </c>
      <c r="E283" s="521">
        <v>16</v>
      </c>
      <c r="F283" s="521">
        <v>6</v>
      </c>
      <c r="G283" s="522">
        <f t="shared" si="4"/>
        <v>4</v>
      </c>
      <c r="H283" s="522">
        <f t="shared" si="5"/>
        <v>5</v>
      </c>
      <c r="I283" s="523">
        <v>30</v>
      </c>
      <c r="J283" s="523">
        <v>12</v>
      </c>
      <c r="K283" s="507"/>
      <c r="L283" s="98"/>
      <c r="M283" s="98"/>
      <c r="N283" s="98"/>
      <c r="O283" s="98"/>
      <c r="P283" s="98"/>
      <c r="Q283" s="98"/>
      <c r="R283" s="98"/>
      <c r="S283" s="98"/>
      <c r="T283" s="98"/>
      <c r="U283" s="98"/>
      <c r="V283" s="98"/>
      <c r="W283" s="98"/>
      <c r="X283" s="98"/>
      <c r="Y283" s="98"/>
      <c r="Z283" s="98"/>
    </row>
    <row r="284" spans="1:26" ht="15.75" customHeight="1">
      <c r="A284" s="520">
        <v>44835</v>
      </c>
      <c r="B284" s="521">
        <f>18+1</f>
        <v>19</v>
      </c>
      <c r="C284" s="509">
        <v>1581.37</v>
      </c>
      <c r="D284" s="509">
        <v>17395.089999999997</v>
      </c>
      <c r="E284" s="521">
        <v>11</v>
      </c>
      <c r="F284" s="521">
        <v>8</v>
      </c>
      <c r="G284" s="522">
        <f t="shared" si="4"/>
        <v>5</v>
      </c>
      <c r="H284" s="522">
        <f t="shared" si="5"/>
        <v>3</v>
      </c>
      <c r="I284" s="523">
        <v>31</v>
      </c>
      <c r="J284" s="523">
        <v>13</v>
      </c>
      <c r="K284" s="507"/>
      <c r="L284" s="98"/>
      <c r="M284" s="98"/>
      <c r="N284" s="98"/>
      <c r="O284" s="98"/>
      <c r="P284" s="98"/>
      <c r="Q284" s="98"/>
      <c r="R284" s="98"/>
      <c r="S284" s="98"/>
      <c r="T284" s="98"/>
      <c r="U284" s="98"/>
      <c r="V284" s="98"/>
      <c r="W284" s="98"/>
      <c r="X284" s="98"/>
      <c r="Y284" s="98"/>
      <c r="Z284" s="98"/>
    </row>
    <row r="285" spans="1:26" ht="15.75" customHeight="1">
      <c r="A285" s="520">
        <v>44866</v>
      </c>
      <c r="B285" s="521">
        <v>21</v>
      </c>
      <c r="C285" s="509">
        <v>170.54</v>
      </c>
      <c r="D285" s="509">
        <v>1705.37</v>
      </c>
      <c r="E285" s="521">
        <v>10</v>
      </c>
      <c r="F285" s="521">
        <v>11</v>
      </c>
      <c r="G285" s="522">
        <f t="shared" si="4"/>
        <v>14</v>
      </c>
      <c r="H285" s="522">
        <f t="shared" si="5"/>
        <v>18</v>
      </c>
      <c r="I285" s="523">
        <v>30</v>
      </c>
      <c r="J285" s="523">
        <v>14</v>
      </c>
      <c r="K285" s="507"/>
      <c r="L285" s="98"/>
      <c r="M285" s="98"/>
      <c r="N285" s="98"/>
      <c r="O285" s="98"/>
      <c r="P285" s="98"/>
      <c r="Q285" s="98"/>
      <c r="R285" s="98"/>
      <c r="S285" s="98"/>
      <c r="T285" s="98"/>
      <c r="U285" s="98"/>
      <c r="V285" s="98"/>
      <c r="W285" s="98"/>
      <c r="X285" s="98"/>
      <c r="Y285" s="98"/>
      <c r="Z285" s="98"/>
    </row>
    <row r="286" spans="1:26" ht="15.75" customHeight="1">
      <c r="A286" s="520">
        <v>44896</v>
      </c>
      <c r="B286" s="521">
        <v>23</v>
      </c>
      <c r="C286" s="509">
        <v>0</v>
      </c>
      <c r="D286" s="509">
        <v>0</v>
      </c>
      <c r="E286" s="521">
        <v>0</v>
      </c>
      <c r="F286" s="521">
        <v>23</v>
      </c>
      <c r="G286" s="522">
        <f t="shared" si="4"/>
        <v>19</v>
      </c>
      <c r="H286" s="522">
        <f t="shared" si="5"/>
        <v>19</v>
      </c>
      <c r="I286" s="523">
        <v>31</v>
      </c>
      <c r="J286" s="523">
        <v>15</v>
      </c>
      <c r="K286" s="507"/>
      <c r="L286" s="98"/>
      <c r="M286" s="98"/>
      <c r="N286" s="98"/>
      <c r="O286" s="98"/>
      <c r="P286" s="98"/>
      <c r="Q286" s="98"/>
      <c r="R286" s="98"/>
      <c r="S286" s="98"/>
      <c r="T286" s="98"/>
      <c r="U286" s="98"/>
      <c r="V286" s="98"/>
      <c r="W286" s="98"/>
      <c r="X286" s="98"/>
      <c r="Y286" s="98"/>
      <c r="Z286" s="98"/>
    </row>
    <row r="287" spans="1:26" ht="15.75" customHeight="1">
      <c r="A287" s="520">
        <v>44927</v>
      </c>
      <c r="B287" s="521">
        <v>21</v>
      </c>
      <c r="C287" s="509">
        <v>283.83</v>
      </c>
      <c r="D287" s="509">
        <v>1135.3199999999924</v>
      </c>
      <c r="E287" s="521">
        <v>4</v>
      </c>
      <c r="F287" s="521">
        <v>17</v>
      </c>
      <c r="G287" s="522">
        <f t="shared" si="4"/>
        <v>16</v>
      </c>
      <c r="H287" s="522">
        <f t="shared" si="5"/>
        <v>15</v>
      </c>
      <c r="I287" s="523">
        <v>31</v>
      </c>
      <c r="J287" s="523">
        <v>16</v>
      </c>
      <c r="K287" s="507"/>
      <c r="L287" s="98"/>
      <c r="M287" s="98"/>
      <c r="N287" s="98"/>
      <c r="O287" s="98"/>
      <c r="P287" s="98"/>
      <c r="Q287" s="98"/>
      <c r="R287" s="98"/>
      <c r="S287" s="98"/>
      <c r="T287" s="98"/>
      <c r="U287" s="98"/>
      <c r="V287" s="98"/>
      <c r="W287" s="98"/>
      <c r="X287" s="98"/>
      <c r="Y287" s="98"/>
      <c r="Z287" s="98"/>
    </row>
    <row r="288" spans="1:26" ht="15.75" customHeight="1">
      <c r="A288" s="520">
        <v>44958</v>
      </c>
      <c r="B288" s="521">
        <v>20</v>
      </c>
      <c r="C288" s="509">
        <v>250.01</v>
      </c>
      <c r="D288" s="509">
        <v>1500.060000000007</v>
      </c>
      <c r="E288" s="521">
        <v>6</v>
      </c>
      <c r="F288" s="521">
        <v>14</v>
      </c>
      <c r="G288" s="522">
        <f t="shared" si="4"/>
        <v>15</v>
      </c>
      <c r="H288" s="522">
        <f t="shared" si="5"/>
        <v>16</v>
      </c>
      <c r="I288" s="523">
        <v>28</v>
      </c>
      <c r="J288" s="523">
        <v>17</v>
      </c>
      <c r="K288" s="507"/>
      <c r="L288" s="98"/>
      <c r="M288" s="98"/>
      <c r="N288" s="98"/>
      <c r="O288" s="98"/>
      <c r="P288" s="98"/>
      <c r="Q288" s="98"/>
      <c r="R288" s="98"/>
      <c r="S288" s="98"/>
      <c r="T288" s="98"/>
      <c r="U288" s="98"/>
      <c r="V288" s="98"/>
      <c r="W288" s="98"/>
      <c r="X288" s="98"/>
      <c r="Y288" s="98"/>
      <c r="Z288" s="98"/>
    </row>
    <row r="289" spans="1:26" ht="15.75" customHeight="1">
      <c r="A289" s="520">
        <v>44986</v>
      </c>
      <c r="B289" s="521">
        <v>21</v>
      </c>
      <c r="C289" s="509">
        <v>222.67</v>
      </c>
      <c r="D289" s="509">
        <v>222.67</v>
      </c>
      <c r="E289" s="521">
        <v>1</v>
      </c>
      <c r="F289" s="521">
        <v>20</v>
      </c>
      <c r="G289" s="522">
        <f t="shared" si="4"/>
        <v>18</v>
      </c>
      <c r="H289" s="522">
        <f t="shared" si="5"/>
        <v>17</v>
      </c>
      <c r="I289" s="523">
        <v>31</v>
      </c>
      <c r="J289" s="523">
        <v>18</v>
      </c>
      <c r="K289" s="507"/>
      <c r="L289" s="98"/>
      <c r="M289" s="98"/>
      <c r="N289" s="98"/>
      <c r="O289" s="98"/>
      <c r="P289" s="98"/>
      <c r="Q289" s="98"/>
      <c r="R289" s="98"/>
      <c r="S289" s="98"/>
      <c r="T289" s="98"/>
      <c r="U289" s="98"/>
      <c r="V289" s="98"/>
      <c r="W289" s="98"/>
      <c r="X289" s="98"/>
      <c r="Y289" s="98"/>
      <c r="Z289" s="98"/>
    </row>
    <row r="290" spans="1:26" ht="15.75" customHeight="1">
      <c r="A290" s="520">
        <v>45017</v>
      </c>
      <c r="B290" s="521">
        <v>17</v>
      </c>
      <c r="C290" s="509">
        <v>358.88</v>
      </c>
      <c r="D290" s="509">
        <v>717.76</v>
      </c>
      <c r="E290" s="521">
        <v>2</v>
      </c>
      <c r="F290" s="521">
        <v>15</v>
      </c>
      <c r="G290" s="522">
        <f t="shared" si="4"/>
        <v>17</v>
      </c>
      <c r="H290" s="522">
        <f t="shared" si="5"/>
        <v>14</v>
      </c>
      <c r="I290" s="523">
        <v>30</v>
      </c>
      <c r="J290" s="523">
        <v>19</v>
      </c>
      <c r="K290" s="507"/>
      <c r="L290" s="98"/>
      <c r="M290" s="98"/>
      <c r="N290" s="98"/>
      <c r="O290" s="98"/>
      <c r="P290" s="98"/>
      <c r="Q290" s="98"/>
      <c r="R290" s="98"/>
      <c r="S290" s="98"/>
      <c r="T290" s="98"/>
      <c r="U290" s="98"/>
      <c r="V290" s="98"/>
      <c r="W290" s="98"/>
      <c r="X290" s="98"/>
      <c r="Y290" s="98"/>
      <c r="Z290" s="98"/>
    </row>
    <row r="291" spans="1:26" ht="15.75" customHeight="1">
      <c r="A291" s="520">
        <v>45047</v>
      </c>
      <c r="B291" s="521">
        <f>COUNTIFS(A$2:A$268,"&gt;="&amp;C$294,A$2:A$268,"&lt;="&amp;D$294)</f>
        <v>22</v>
      </c>
      <c r="C291" s="509">
        <f>IFERROR(ROUND(D291/E291,2),0)</f>
        <v>0</v>
      </c>
      <c r="D291" s="509">
        <f>SUMIFS(E$2:E$268,A$2:A$268,"&gt;="&amp;C$294,A$2:A$268,"&lt;="&amp;D$294)</f>
        <v>0</v>
      </c>
      <c r="E291" s="521">
        <f>COUNTIFS(A$2:A$268,"&gt;="&amp;C$294,A$2:A$268,"&lt;="&amp;D$294,E$2:E$268,"&lt;&gt;0")</f>
        <v>22</v>
      </c>
      <c r="F291" s="521">
        <f ca="1">IF(E291="","",B291-E291)-A$295</f>
        <v>-20</v>
      </c>
      <c r="G291" s="522">
        <f t="shared" si="4"/>
        <v>19</v>
      </c>
      <c r="H291" s="522">
        <f t="shared" si="5"/>
        <v>19</v>
      </c>
      <c r="I291" s="523">
        <v>31</v>
      </c>
      <c r="J291" s="523">
        <v>20</v>
      </c>
      <c r="K291" s="507"/>
      <c r="L291" s="98"/>
      <c r="M291" s="98"/>
      <c r="N291" s="98"/>
      <c r="O291" s="98"/>
      <c r="P291" s="98"/>
      <c r="Q291" s="98"/>
      <c r="R291" s="98"/>
      <c r="S291" s="98"/>
      <c r="T291" s="98"/>
      <c r="U291" s="98"/>
      <c r="V291" s="98"/>
      <c r="W291" s="98"/>
      <c r="X291" s="98"/>
      <c r="Y291" s="98"/>
      <c r="Z291" s="98"/>
    </row>
    <row r="292" spans="1:26" ht="15.75" customHeight="1">
      <c r="A292" s="520"/>
      <c r="B292" s="521"/>
      <c r="C292" s="509"/>
      <c r="D292" s="509"/>
      <c r="E292" s="521"/>
      <c r="F292" s="521"/>
      <c r="G292" s="522"/>
      <c r="H292" s="522"/>
      <c r="I292" s="523"/>
      <c r="J292" s="523"/>
      <c r="K292" s="507"/>
      <c r="L292" s="98"/>
      <c r="M292" s="98"/>
      <c r="N292" s="98"/>
      <c r="O292" s="98"/>
      <c r="P292" s="98"/>
      <c r="Q292" s="98"/>
      <c r="R292" s="98"/>
      <c r="S292" s="98"/>
      <c r="T292" s="98"/>
      <c r="U292" s="98"/>
      <c r="V292" s="98"/>
      <c r="W292" s="98"/>
      <c r="X292" s="98"/>
      <c r="Y292" s="98"/>
      <c r="Z292" s="98"/>
    </row>
    <row r="293" spans="1:26" ht="7.5" customHeight="1">
      <c r="A293" s="516"/>
      <c r="B293" s="507"/>
      <c r="C293" s="507"/>
      <c r="D293" s="98"/>
      <c r="E293" s="507"/>
      <c r="F293" s="507"/>
      <c r="G293" s="507"/>
      <c r="H293" s="507"/>
      <c r="I293" s="507"/>
      <c r="J293" s="98"/>
      <c r="K293" s="507"/>
      <c r="L293" s="98"/>
      <c r="M293" s="98"/>
      <c r="N293" s="98"/>
      <c r="O293" s="98"/>
      <c r="P293" s="98"/>
      <c r="Q293" s="98"/>
      <c r="R293" s="98"/>
      <c r="S293" s="98"/>
      <c r="T293" s="98"/>
      <c r="U293" s="98"/>
      <c r="V293" s="98"/>
      <c r="W293" s="98"/>
      <c r="X293" s="98"/>
      <c r="Y293" s="98"/>
      <c r="Z293" s="98"/>
    </row>
    <row r="294" spans="1:26" ht="15.75" customHeight="1">
      <c r="A294" s="521">
        <f ca="1">COUNTIFS(A$2:A$268,"&lt;="&amp;C$295,A$2:A$268,"&gt;="&amp;C$294)</f>
        <v>2</v>
      </c>
      <c r="B294" s="98"/>
      <c r="C294" s="524">
        <v>45047</v>
      </c>
      <c r="D294" s="524">
        <v>45077</v>
      </c>
      <c r="E294" s="521">
        <f>SUM(E272:E293)</f>
        <v>248</v>
      </c>
      <c r="F294" s="521">
        <f ca="1">IF(SUM(F272:F293)=I295-E294,I295-E294,"Error")</f>
        <v>144</v>
      </c>
      <c r="G294" s="41">
        <v>8000</v>
      </c>
      <c r="H294" s="525">
        <f>COUNTIF(E2:E268,"&gt;="&amp;G294)</f>
        <v>3</v>
      </c>
      <c r="I294" s="521">
        <f>SUM(I272:I293)</f>
        <v>605</v>
      </c>
      <c r="J294" s="98"/>
      <c r="K294" s="507"/>
      <c r="L294" s="98"/>
      <c r="M294" s="98"/>
      <c r="N294" s="98"/>
      <c r="O294" s="98"/>
      <c r="P294" s="98"/>
      <c r="Q294" s="98"/>
      <c r="R294" s="98"/>
      <c r="S294" s="98"/>
      <c r="T294" s="98"/>
      <c r="U294" s="98"/>
      <c r="V294" s="98"/>
      <c r="W294" s="98"/>
      <c r="X294" s="98"/>
      <c r="Y294" s="98"/>
      <c r="Z294" s="98"/>
    </row>
    <row r="295" spans="1:26" ht="15.75" customHeight="1">
      <c r="A295" s="521">
        <f ca="1">COUNTIFS(A$2:A$268,"&gt;"&amp;C$295,A$2:A$268,"&lt;="&amp;D$294)</f>
        <v>20</v>
      </c>
      <c r="C295" s="722">
        <f ca="1">TODAY()</f>
        <v>45049</v>
      </c>
      <c r="D295" s="676"/>
      <c r="E295" s="511">
        <f>E269/E294</f>
        <v>1018.0823387096779</v>
      </c>
      <c r="F295" s="98"/>
      <c r="G295" s="507"/>
      <c r="H295" s="98"/>
      <c r="I295" s="521">
        <f ca="1">SUM(B272:B293)-A295</f>
        <v>392</v>
      </c>
      <c r="J295" s="98"/>
      <c r="K295" s="507"/>
      <c r="L295" s="98"/>
      <c r="M295" s="98"/>
      <c r="N295" s="98"/>
      <c r="O295" s="98"/>
      <c r="P295" s="98"/>
      <c r="Q295" s="98"/>
      <c r="R295" s="98"/>
      <c r="S295" s="98"/>
      <c r="T295" s="98"/>
      <c r="U295" s="98"/>
      <c r="V295" s="98"/>
      <c r="W295" s="98"/>
      <c r="X295" s="98"/>
      <c r="Y295" s="98"/>
      <c r="Z295" s="98"/>
    </row>
    <row r="296" spans="1:26" ht="15.75" customHeight="1">
      <c r="A296" s="98"/>
      <c r="B296" s="98"/>
      <c r="C296" s="507"/>
      <c r="D296" s="507"/>
      <c r="E296" s="98"/>
      <c r="F296" s="98"/>
      <c r="G296" s="98"/>
      <c r="H296" s="507"/>
      <c r="I296" s="507"/>
      <c r="J296" s="507"/>
      <c r="K296" s="507"/>
      <c r="L296" s="98"/>
      <c r="M296" s="98"/>
      <c r="N296" s="98"/>
      <c r="O296" s="98"/>
      <c r="P296" s="98"/>
      <c r="Q296" s="98"/>
      <c r="R296" s="98"/>
      <c r="S296" s="98"/>
      <c r="T296" s="98"/>
      <c r="U296" s="98"/>
      <c r="V296" s="98"/>
      <c r="W296" s="98"/>
      <c r="X296" s="98"/>
      <c r="Y296" s="98"/>
      <c r="Z296" s="98"/>
    </row>
    <row r="297" spans="1:26" ht="15.75" customHeight="1">
      <c r="A297" s="43" t="s">
        <v>1451</v>
      </c>
      <c r="B297" s="43"/>
      <c r="C297" s="517"/>
      <c r="D297" s="526">
        <f>E269</f>
        <v>252484.4200000001</v>
      </c>
      <c r="G297" s="98"/>
      <c r="H297" s="507"/>
      <c r="I297" s="507"/>
      <c r="J297" s="507"/>
      <c r="K297" s="507"/>
      <c r="L297" s="98"/>
      <c r="M297" s="98"/>
      <c r="N297" s="98"/>
      <c r="O297" s="98"/>
      <c r="P297" s="98"/>
      <c r="Q297" s="98"/>
      <c r="R297" s="98"/>
      <c r="S297" s="98"/>
      <c r="T297" s="98"/>
      <c r="U297" s="98"/>
      <c r="V297" s="98"/>
      <c r="W297" s="98"/>
      <c r="X297" s="98"/>
      <c r="Y297" s="98"/>
      <c r="Z297" s="98"/>
    </row>
    <row r="298" spans="1:26" ht="15.75" customHeight="1">
      <c r="A298" s="43" t="s">
        <v>1452</v>
      </c>
      <c r="B298" s="43"/>
      <c r="C298" s="517"/>
      <c r="D298" s="526">
        <v>120816</v>
      </c>
      <c r="G298" s="98"/>
      <c r="H298" s="507"/>
      <c r="I298" s="507"/>
      <c r="J298" s="507"/>
      <c r="K298" s="507"/>
      <c r="L298" s="98"/>
      <c r="M298" s="98"/>
      <c r="N298" s="98"/>
      <c r="O298" s="98"/>
      <c r="P298" s="98"/>
      <c r="Q298" s="98"/>
      <c r="R298" s="98"/>
      <c r="S298" s="98"/>
      <c r="T298" s="98"/>
      <c r="U298" s="98"/>
      <c r="V298" s="98"/>
      <c r="W298" s="98"/>
      <c r="X298" s="98"/>
      <c r="Y298" s="98"/>
      <c r="Z298" s="98"/>
    </row>
    <row r="299" spans="1:26" ht="15.75" customHeight="1">
      <c r="A299" s="43" t="s">
        <v>1453</v>
      </c>
      <c r="B299" s="43"/>
      <c r="C299" s="517"/>
      <c r="D299" s="526">
        <f>C316+C331</f>
        <v>9700</v>
      </c>
      <c r="G299" s="98"/>
      <c r="H299" s="507"/>
      <c r="I299" s="507"/>
      <c r="J299" s="507"/>
      <c r="K299" s="507"/>
      <c r="L299" s="98"/>
      <c r="M299" s="98"/>
      <c r="N299" s="98"/>
      <c r="O299" s="98"/>
      <c r="P299" s="98"/>
      <c r="Q299" s="98"/>
      <c r="R299" s="98"/>
      <c r="S299" s="98"/>
      <c r="T299" s="98"/>
      <c r="U299" s="98"/>
      <c r="V299" s="98"/>
      <c r="W299" s="98"/>
      <c r="X299" s="98"/>
      <c r="Y299" s="98"/>
      <c r="Z299" s="98"/>
    </row>
    <row r="300" spans="1:26" ht="15.75" customHeight="1">
      <c r="A300" s="527" t="s">
        <v>1454</v>
      </c>
      <c r="B300" s="43"/>
      <c r="C300" s="517"/>
      <c r="D300" s="526">
        <f>-SUMIF(F312:F340,"sunita",D312:D340)+SUMIF(F312:F340,"sunita",C312:C340)</f>
        <v>-14845.510000000009</v>
      </c>
      <c r="G300" s="98"/>
      <c r="H300" s="507"/>
      <c r="I300" s="507"/>
      <c r="J300" s="507"/>
      <c r="K300" s="507"/>
      <c r="L300" s="98"/>
      <c r="M300" s="98"/>
      <c r="N300" s="98"/>
      <c r="O300" s="98"/>
      <c r="P300" s="98"/>
      <c r="Q300" s="98"/>
      <c r="R300" s="98"/>
      <c r="S300" s="98"/>
      <c r="T300" s="98"/>
      <c r="U300" s="98"/>
      <c r="V300" s="98"/>
      <c r="W300" s="98"/>
      <c r="X300" s="98"/>
      <c r="Y300" s="98"/>
      <c r="Z300" s="98"/>
    </row>
    <row r="301" spans="1:26" ht="15.75" customHeight="1">
      <c r="A301" s="527" t="s">
        <v>1455</v>
      </c>
      <c r="B301" s="43"/>
      <c r="C301" s="517"/>
      <c r="D301" s="528">
        <f>SUMIF(F312:F340,"spg",C312:C340)</f>
        <v>331000</v>
      </c>
      <c r="G301" s="98"/>
      <c r="H301" s="507"/>
      <c r="I301" s="507"/>
      <c r="J301" s="507"/>
      <c r="K301" s="507"/>
      <c r="L301" s="98"/>
      <c r="M301" s="98"/>
      <c r="N301" s="98"/>
      <c r="O301" s="98"/>
      <c r="P301" s="98"/>
      <c r="Q301" s="98"/>
      <c r="R301" s="98"/>
      <c r="S301" s="98"/>
      <c r="T301" s="98"/>
      <c r="U301" s="98"/>
      <c r="V301" s="98"/>
      <c r="W301" s="98"/>
      <c r="X301" s="98"/>
      <c r="Y301" s="98"/>
      <c r="Z301" s="98"/>
    </row>
    <row r="302" spans="1:26" ht="15.75" customHeight="1">
      <c r="A302" s="517" t="s">
        <v>1456</v>
      </c>
      <c r="B302" s="43"/>
      <c r="D302" s="529">
        <f>SUM(D297:D301)</f>
        <v>699154.91000000015</v>
      </c>
      <c r="G302" s="98"/>
      <c r="H302" s="507"/>
      <c r="I302" s="507"/>
      <c r="J302" s="507"/>
      <c r="K302" s="507"/>
      <c r="L302" s="98"/>
      <c r="M302" s="98"/>
      <c r="N302" s="98"/>
      <c r="O302" s="98"/>
      <c r="P302" s="98"/>
      <c r="Q302" s="98"/>
      <c r="R302" s="98"/>
      <c r="S302" s="98"/>
      <c r="T302" s="98"/>
      <c r="U302" s="98"/>
      <c r="V302" s="98"/>
      <c r="W302" s="98"/>
      <c r="X302" s="98"/>
      <c r="Y302" s="98"/>
      <c r="Z302" s="98"/>
    </row>
    <row r="303" spans="1:26" ht="15.75" customHeight="1">
      <c r="A303" s="43" t="s">
        <v>1457</v>
      </c>
      <c r="B303" s="43"/>
      <c r="C303" s="517"/>
      <c r="D303" s="530">
        <f>SUM(Holding!K4:K15)-SUM(Holding!O4:O15)</f>
        <v>657619</v>
      </c>
      <c r="E303" s="521">
        <f>SUM(Holding!I4:I15)</f>
        <v>1540</v>
      </c>
      <c r="G303" s="98"/>
      <c r="H303" s="507"/>
      <c r="I303" s="507"/>
      <c r="J303" s="507"/>
      <c r="K303" s="507"/>
      <c r="L303" s="98"/>
      <c r="M303" s="98"/>
      <c r="N303" s="98"/>
      <c r="O303" s="98"/>
      <c r="P303" s="98"/>
      <c r="Q303" s="98"/>
      <c r="R303" s="98"/>
      <c r="S303" s="98"/>
      <c r="T303" s="98"/>
      <c r="U303" s="98"/>
      <c r="V303" s="98"/>
      <c r="W303" s="98"/>
      <c r="X303" s="98"/>
      <c r="Y303" s="98"/>
      <c r="Z303" s="98"/>
    </row>
    <row r="304" spans="1:26" ht="15.75" customHeight="1">
      <c r="A304" s="43" t="s">
        <v>1458</v>
      </c>
      <c r="B304" s="43"/>
      <c r="C304" s="517"/>
      <c r="D304" s="531">
        <v>40611.08</v>
      </c>
      <c r="G304" s="98"/>
      <c r="H304" s="507"/>
      <c r="I304" s="507"/>
      <c r="J304" s="507"/>
      <c r="K304" s="507"/>
      <c r="L304" s="98"/>
      <c r="M304" s="98"/>
      <c r="N304" s="98"/>
      <c r="O304" s="98"/>
      <c r="P304" s="98"/>
      <c r="Q304" s="98"/>
      <c r="R304" s="98"/>
      <c r="S304" s="98"/>
      <c r="T304" s="98"/>
      <c r="U304" s="98"/>
      <c r="V304" s="98"/>
      <c r="W304" s="98"/>
      <c r="X304" s="98"/>
      <c r="Y304" s="98"/>
      <c r="Z304" s="98"/>
    </row>
    <row r="305" spans="1:26" ht="15.75" customHeight="1">
      <c r="A305" s="43" t="s">
        <v>1459</v>
      </c>
      <c r="B305" s="43"/>
      <c r="C305" s="517"/>
      <c r="D305" s="531">
        <f>35.4+472+(10.62*4)+(88.5*7)</f>
        <v>1169.3800000000001</v>
      </c>
      <c r="G305" s="98"/>
      <c r="H305" s="507"/>
      <c r="I305" s="507"/>
      <c r="J305" s="507"/>
      <c r="K305" s="507"/>
      <c r="L305" s="98"/>
      <c r="M305" s="98"/>
      <c r="N305" s="98"/>
      <c r="O305" s="98"/>
      <c r="P305" s="98"/>
      <c r="Q305" s="98"/>
      <c r="R305" s="98"/>
      <c r="S305" s="98"/>
      <c r="T305" s="98"/>
      <c r="U305" s="98"/>
      <c r="V305" s="98"/>
      <c r="W305" s="98"/>
      <c r="X305" s="98"/>
      <c r="Y305" s="98"/>
      <c r="Z305" s="98"/>
    </row>
    <row r="306" spans="1:26" ht="15.75" customHeight="1">
      <c r="A306" s="43" t="s">
        <v>1460</v>
      </c>
      <c r="B306" s="43"/>
      <c r="C306" s="517"/>
      <c r="D306" s="531">
        <f>-245.9+(0.64+0.34+0.01+0.22+0.97+0.01)-(0.41+0.01+0.1+0.01+0.31)</f>
        <v>-244.55</v>
      </c>
      <c r="G306" s="98"/>
      <c r="H306" s="507"/>
      <c r="I306" s="507"/>
      <c r="J306" s="507"/>
      <c r="K306" s="507"/>
      <c r="L306" s="98"/>
      <c r="M306" s="98"/>
      <c r="N306" s="98"/>
      <c r="O306" s="98"/>
      <c r="P306" s="98"/>
      <c r="Q306" s="98"/>
      <c r="R306" s="98"/>
      <c r="S306" s="98"/>
      <c r="T306" s="98"/>
      <c r="U306" s="98"/>
      <c r="V306" s="98"/>
      <c r="W306" s="98"/>
      <c r="X306" s="98"/>
      <c r="Y306" s="98"/>
      <c r="Z306" s="98"/>
    </row>
    <row r="307" spans="1:26" ht="15.75" customHeight="1">
      <c r="A307" s="517" t="s">
        <v>1456</v>
      </c>
      <c r="B307" s="43"/>
      <c r="C307" s="517"/>
      <c r="D307" s="529">
        <f>SUM(D303:D306)</f>
        <v>699154.90999999992</v>
      </c>
      <c r="G307" s="98"/>
      <c r="H307" s="507"/>
      <c r="I307" s="507"/>
      <c r="J307" s="507"/>
      <c r="K307" s="507"/>
      <c r="L307" s="98"/>
      <c r="M307" s="98"/>
      <c r="N307" s="98"/>
      <c r="O307" s="98"/>
      <c r="P307" s="98"/>
      <c r="Q307" s="98"/>
      <c r="R307" s="98"/>
      <c r="S307" s="98"/>
      <c r="T307" s="98"/>
      <c r="U307" s="98"/>
      <c r="V307" s="98"/>
      <c r="W307" s="98"/>
      <c r="X307" s="98"/>
      <c r="Y307" s="98"/>
      <c r="Z307" s="98"/>
    </row>
    <row r="308" spans="1:26" ht="15.75" customHeight="1">
      <c r="A308" s="517" t="s">
        <v>1461</v>
      </c>
      <c r="B308" s="43"/>
      <c r="C308" s="517"/>
      <c r="D308" s="507">
        <f>E308-D309</f>
        <v>-31.86</v>
      </c>
      <c r="E308" s="532">
        <f>D302-D307</f>
        <v>0</v>
      </c>
      <c r="G308" s="98"/>
      <c r="H308" s="507"/>
      <c r="I308" s="507"/>
      <c r="J308" s="507"/>
      <c r="K308" s="507"/>
      <c r="L308" s="98"/>
      <c r="M308" s="98"/>
      <c r="N308" s="98"/>
      <c r="O308" s="98"/>
      <c r="P308" s="98"/>
      <c r="Q308" s="98"/>
      <c r="R308" s="98"/>
      <c r="S308" s="98"/>
      <c r="T308" s="98"/>
      <c r="U308" s="98"/>
      <c r="V308" s="98"/>
      <c r="W308" s="98"/>
      <c r="X308" s="98"/>
      <c r="Y308" s="98"/>
      <c r="Z308" s="98"/>
    </row>
    <row r="309" spans="1:26" ht="15.75" customHeight="1">
      <c r="A309" s="98" t="s">
        <v>1462</v>
      </c>
      <c r="B309" s="98"/>
      <c r="D309" s="507">
        <f>15.93*2</f>
        <v>31.86</v>
      </c>
      <c r="F309" s="98"/>
      <c r="G309" s="98"/>
      <c r="H309" s="507"/>
      <c r="I309" s="507"/>
      <c r="J309" s="507"/>
      <c r="K309" s="507"/>
      <c r="L309" s="98"/>
      <c r="M309" s="98"/>
      <c r="N309" s="98"/>
      <c r="O309" s="98"/>
      <c r="P309" s="98"/>
      <c r="Q309" s="98"/>
      <c r="R309" s="98"/>
      <c r="S309" s="98"/>
      <c r="T309" s="98"/>
      <c r="U309" s="98"/>
      <c r="V309" s="98"/>
      <c r="W309" s="98"/>
      <c r="X309" s="98"/>
      <c r="Y309" s="98"/>
      <c r="Z309" s="98"/>
    </row>
    <row r="310" spans="1:26" ht="15.75" customHeight="1">
      <c r="B310" s="98"/>
      <c r="C310" s="507"/>
      <c r="D310" s="507"/>
      <c r="F310" s="98"/>
      <c r="G310" s="98"/>
      <c r="H310" s="507"/>
      <c r="I310" s="507"/>
      <c r="J310" s="507"/>
      <c r="K310" s="507"/>
      <c r="L310" s="98"/>
      <c r="M310" s="98"/>
      <c r="N310" s="98"/>
      <c r="O310" s="98"/>
      <c r="P310" s="98"/>
      <c r="Q310" s="98"/>
      <c r="R310" s="98"/>
      <c r="S310" s="98"/>
      <c r="T310" s="98"/>
      <c r="U310" s="98"/>
      <c r="V310" s="98"/>
      <c r="W310" s="98"/>
      <c r="X310" s="98"/>
      <c r="Y310" s="98"/>
      <c r="Z310" s="98"/>
    </row>
    <row r="311" spans="1:26" ht="15.75" customHeight="1">
      <c r="A311" s="41" t="s">
        <v>0</v>
      </c>
      <c r="B311" s="98"/>
      <c r="C311" s="518" t="s">
        <v>1463</v>
      </c>
      <c r="D311" s="518" t="s">
        <v>1464</v>
      </c>
      <c r="E311" s="98"/>
      <c r="F311" s="98"/>
      <c r="G311" s="98"/>
      <c r="H311" s="507"/>
      <c r="I311" s="507"/>
      <c r="J311" s="507"/>
      <c r="K311" s="507"/>
      <c r="L311" s="98"/>
      <c r="M311" s="98"/>
      <c r="N311" s="98"/>
      <c r="O311" s="98"/>
      <c r="P311" s="98"/>
      <c r="Q311" s="98"/>
      <c r="R311" s="98"/>
      <c r="S311" s="98"/>
      <c r="T311" s="98"/>
      <c r="U311" s="98"/>
      <c r="V311" s="98"/>
      <c r="W311" s="98"/>
      <c r="X311" s="98"/>
      <c r="Y311" s="98"/>
      <c r="Z311" s="98"/>
    </row>
    <row r="312" spans="1:26" ht="15.75" hidden="1" customHeight="1">
      <c r="A312" s="180">
        <v>44473</v>
      </c>
      <c r="B312" s="98"/>
      <c r="C312" s="533">
        <v>25000</v>
      </c>
      <c r="D312" s="533">
        <v>0</v>
      </c>
      <c r="E312" s="534">
        <v>28000</v>
      </c>
      <c r="F312" s="535" t="s">
        <v>1465</v>
      </c>
      <c r="G312" s="98"/>
      <c r="H312" s="507"/>
      <c r="I312" s="507"/>
      <c r="J312" s="507"/>
      <c r="K312" s="507"/>
      <c r="L312" s="98"/>
      <c r="M312" s="98"/>
      <c r="N312" s="98"/>
      <c r="O312" s="98"/>
      <c r="P312" s="98"/>
      <c r="Q312" s="98"/>
      <c r="R312" s="98"/>
      <c r="S312" s="98"/>
      <c r="T312" s="98"/>
      <c r="U312" s="98"/>
      <c r="V312" s="98"/>
      <c r="W312" s="98"/>
      <c r="X312" s="98"/>
      <c r="Y312" s="98"/>
      <c r="Z312" s="98"/>
    </row>
    <row r="313" spans="1:26" ht="15.75" hidden="1" customHeight="1">
      <c r="A313" s="180">
        <v>44482</v>
      </c>
      <c r="B313" s="98"/>
      <c r="C313" s="533">
        <v>0</v>
      </c>
      <c r="D313" s="533">
        <v>10000</v>
      </c>
      <c r="E313" s="536"/>
      <c r="F313" s="98" t="s">
        <v>460</v>
      </c>
      <c r="G313" s="98"/>
      <c r="H313" s="507"/>
      <c r="I313" s="507"/>
      <c r="J313" s="507"/>
      <c r="K313" s="507"/>
      <c r="L313" s="98"/>
      <c r="M313" s="98"/>
      <c r="N313" s="98"/>
      <c r="O313" s="98"/>
      <c r="P313" s="98"/>
      <c r="Q313" s="98"/>
      <c r="R313" s="98"/>
      <c r="S313" s="98"/>
      <c r="T313" s="98"/>
      <c r="U313" s="98"/>
      <c r="V313" s="98"/>
      <c r="W313" s="98"/>
      <c r="X313" s="98"/>
      <c r="Y313" s="98"/>
      <c r="Z313" s="98"/>
    </row>
    <row r="314" spans="1:26" ht="15.75" hidden="1" customHeight="1">
      <c r="A314" s="180">
        <v>44488</v>
      </c>
      <c r="B314" s="98"/>
      <c r="C314" s="533">
        <v>0</v>
      </c>
      <c r="D314" s="533">
        <v>13929</v>
      </c>
      <c r="E314" s="536"/>
      <c r="F314" s="98" t="s">
        <v>1466</v>
      </c>
      <c r="G314" s="98"/>
      <c r="H314" s="507"/>
      <c r="I314" s="507"/>
      <c r="J314" s="507"/>
      <c r="K314" s="507"/>
      <c r="L314" s="98"/>
      <c r="M314" s="98"/>
      <c r="N314" s="98"/>
      <c r="O314" s="98"/>
      <c r="P314" s="98"/>
      <c r="Q314" s="98"/>
      <c r="R314" s="98"/>
      <c r="S314" s="98"/>
      <c r="T314" s="98"/>
      <c r="U314" s="98"/>
      <c r="V314" s="98"/>
      <c r="W314" s="98"/>
      <c r="X314" s="98"/>
      <c r="Y314" s="98"/>
      <c r="Z314" s="98"/>
    </row>
    <row r="315" spans="1:26" ht="15.75" hidden="1" customHeight="1">
      <c r="A315" s="180">
        <v>44568</v>
      </c>
      <c r="B315" s="98"/>
      <c r="C315" s="533">
        <v>0</v>
      </c>
      <c r="D315" s="533">
        <v>15000</v>
      </c>
      <c r="E315" s="536"/>
      <c r="F315" s="98" t="s">
        <v>460</v>
      </c>
      <c r="G315" s="98"/>
      <c r="H315" s="507"/>
      <c r="I315" s="507"/>
      <c r="J315" s="507"/>
      <c r="K315" s="507"/>
      <c r="L315" s="98"/>
      <c r="M315" s="98"/>
      <c r="N315" s="98"/>
      <c r="O315" s="98"/>
      <c r="P315" s="98"/>
      <c r="Q315" s="98"/>
      <c r="R315" s="98"/>
      <c r="S315" s="98"/>
      <c r="T315" s="98"/>
      <c r="U315" s="98"/>
      <c r="V315" s="98"/>
      <c r="W315" s="98"/>
      <c r="X315" s="98"/>
      <c r="Y315" s="98"/>
      <c r="Z315" s="98"/>
    </row>
    <row r="316" spans="1:26" ht="15.75" hidden="1" customHeight="1">
      <c r="A316" s="180">
        <v>44606</v>
      </c>
      <c r="B316" s="98"/>
      <c r="C316" s="533">
        <v>3500</v>
      </c>
      <c r="D316" s="533">
        <v>0</v>
      </c>
      <c r="E316" s="534">
        <v>3541</v>
      </c>
      <c r="F316" s="535" t="s">
        <v>1467</v>
      </c>
      <c r="G316" s="98"/>
      <c r="H316" s="507"/>
      <c r="I316" s="507"/>
      <c r="J316" s="507"/>
      <c r="K316" s="507"/>
      <c r="L316" s="98"/>
      <c r="M316" s="98"/>
      <c r="N316" s="98"/>
      <c r="O316" s="98"/>
      <c r="P316" s="98"/>
      <c r="Q316" s="98"/>
      <c r="R316" s="98"/>
      <c r="S316" s="98"/>
      <c r="T316" s="98"/>
      <c r="U316" s="98"/>
      <c r="V316" s="98"/>
      <c r="W316" s="98"/>
      <c r="X316" s="98"/>
      <c r="Y316" s="98"/>
      <c r="Z316" s="98"/>
    </row>
    <row r="317" spans="1:26" ht="15.75" hidden="1" customHeight="1">
      <c r="A317" s="180">
        <v>44613</v>
      </c>
      <c r="B317" s="98"/>
      <c r="C317" s="533">
        <v>60000</v>
      </c>
      <c r="D317" s="533">
        <v>0</v>
      </c>
      <c r="E317" s="534">
        <v>60000</v>
      </c>
      <c r="F317" s="535" t="s">
        <v>1465</v>
      </c>
      <c r="G317" s="98"/>
      <c r="H317" s="507"/>
      <c r="I317" s="507"/>
      <c r="J317" s="507"/>
      <c r="K317" s="507"/>
      <c r="L317" s="98"/>
      <c r="M317" s="98"/>
      <c r="N317" s="98"/>
      <c r="O317" s="98"/>
      <c r="P317" s="98"/>
      <c r="Q317" s="98"/>
      <c r="R317" s="98"/>
      <c r="S317" s="98"/>
      <c r="T317" s="98"/>
      <c r="U317" s="98"/>
      <c r="V317" s="98"/>
      <c r="W317" s="98"/>
      <c r="X317" s="98"/>
      <c r="Y317" s="98"/>
      <c r="Z317" s="98"/>
    </row>
    <row r="318" spans="1:26" ht="15.75" hidden="1" customHeight="1">
      <c r="A318" s="180">
        <v>44614</v>
      </c>
      <c r="B318" s="98"/>
      <c r="C318" s="533">
        <v>60000</v>
      </c>
      <c r="D318" s="533">
        <v>0</v>
      </c>
      <c r="E318" s="534">
        <v>60000</v>
      </c>
      <c r="F318" s="535" t="s">
        <v>1465</v>
      </c>
      <c r="G318" s="98"/>
      <c r="H318" s="507"/>
      <c r="I318" s="507"/>
      <c r="J318" s="507"/>
      <c r="K318" s="507"/>
      <c r="L318" s="98"/>
      <c r="M318" s="98"/>
      <c r="N318" s="98"/>
      <c r="O318" s="98"/>
      <c r="P318" s="98"/>
      <c r="Q318" s="98"/>
      <c r="R318" s="98"/>
      <c r="S318" s="98"/>
      <c r="T318" s="98"/>
      <c r="U318" s="98"/>
      <c r="V318" s="98"/>
      <c r="W318" s="98"/>
      <c r="X318" s="98"/>
      <c r="Y318" s="98"/>
      <c r="Z318" s="98"/>
    </row>
    <row r="319" spans="1:26" ht="15.75" hidden="1" customHeight="1">
      <c r="A319" s="180">
        <v>44614</v>
      </c>
      <c r="B319" s="98"/>
      <c r="C319" s="533">
        <v>30000</v>
      </c>
      <c r="D319" s="533">
        <v>0</v>
      </c>
      <c r="E319" s="537"/>
      <c r="F319" s="535" t="s">
        <v>1468</v>
      </c>
      <c r="G319" s="98"/>
      <c r="H319" s="507"/>
      <c r="I319" s="507"/>
      <c r="J319" s="507"/>
      <c r="K319" s="507"/>
      <c r="L319" s="98"/>
      <c r="M319" s="98"/>
      <c r="N319" s="98"/>
      <c r="O319" s="98"/>
      <c r="P319" s="98"/>
      <c r="Q319" s="98"/>
      <c r="R319" s="98"/>
      <c r="S319" s="98"/>
      <c r="T319" s="98"/>
      <c r="U319" s="98"/>
      <c r="V319" s="98"/>
      <c r="W319" s="98"/>
      <c r="X319" s="98"/>
      <c r="Y319" s="98"/>
      <c r="Z319" s="98"/>
    </row>
    <row r="320" spans="1:26" ht="15.75" hidden="1" customHeight="1">
      <c r="A320" s="180">
        <v>44683</v>
      </c>
      <c r="B320" s="98"/>
      <c r="C320" s="533">
        <v>0</v>
      </c>
      <c r="D320" s="533">
        <v>30000</v>
      </c>
      <c r="E320" s="537"/>
      <c r="F320" s="535" t="s">
        <v>1468</v>
      </c>
      <c r="G320" s="98"/>
      <c r="H320" s="507"/>
      <c r="I320" s="507"/>
      <c r="J320" s="507"/>
      <c r="K320" s="507"/>
      <c r="L320" s="98"/>
      <c r="M320" s="98"/>
      <c r="N320" s="98"/>
      <c r="O320" s="98"/>
      <c r="P320" s="98"/>
      <c r="Q320" s="98"/>
      <c r="R320" s="98"/>
      <c r="S320" s="98"/>
      <c r="T320" s="98"/>
      <c r="U320" s="98"/>
      <c r="V320" s="98"/>
      <c r="W320" s="98"/>
      <c r="X320" s="98"/>
      <c r="Y320" s="98"/>
      <c r="Z320" s="98"/>
    </row>
    <row r="321" spans="1:26" ht="15.75" hidden="1" customHeight="1">
      <c r="A321" s="180">
        <v>44684</v>
      </c>
      <c r="B321" s="98"/>
      <c r="C321" s="533">
        <v>30000</v>
      </c>
      <c r="D321" s="533">
        <v>0</v>
      </c>
      <c r="E321" s="534">
        <v>30000</v>
      </c>
      <c r="F321" s="535" t="s">
        <v>1465</v>
      </c>
      <c r="G321" s="98"/>
      <c r="H321" s="507"/>
      <c r="I321" s="507"/>
      <c r="J321" s="507"/>
      <c r="K321" s="507"/>
      <c r="L321" s="98"/>
      <c r="M321" s="98"/>
      <c r="N321" s="98"/>
      <c r="O321" s="98"/>
      <c r="P321" s="98"/>
      <c r="Q321" s="98"/>
      <c r="R321" s="98"/>
      <c r="S321" s="98"/>
      <c r="T321" s="98"/>
      <c r="U321" s="98"/>
      <c r="V321" s="98"/>
      <c r="W321" s="98"/>
      <c r="X321" s="98"/>
      <c r="Y321" s="98"/>
      <c r="Z321" s="98"/>
    </row>
    <row r="322" spans="1:26" ht="15.75" hidden="1" customHeight="1">
      <c r="A322" s="180">
        <v>44690</v>
      </c>
      <c r="B322" s="98"/>
      <c r="C322" s="533">
        <v>20000</v>
      </c>
      <c r="D322" s="533">
        <v>0</v>
      </c>
      <c r="E322" s="534">
        <v>20000</v>
      </c>
      <c r="F322" s="535" t="s">
        <v>1465</v>
      </c>
      <c r="G322" s="98"/>
      <c r="H322" s="507"/>
      <c r="I322" s="507"/>
      <c r="J322" s="507"/>
      <c r="K322" s="507"/>
      <c r="L322" s="98"/>
      <c r="M322" s="98"/>
      <c r="N322" s="98"/>
      <c r="O322" s="98"/>
      <c r="P322" s="98"/>
      <c r="Q322" s="98"/>
      <c r="R322" s="98"/>
      <c r="S322" s="98"/>
      <c r="T322" s="98"/>
      <c r="U322" s="98"/>
      <c r="V322" s="98"/>
      <c r="W322" s="98"/>
      <c r="X322" s="98"/>
      <c r="Y322" s="98"/>
      <c r="Z322" s="98"/>
    </row>
    <row r="323" spans="1:26" ht="15.75" hidden="1" customHeight="1">
      <c r="A323" s="180">
        <v>44697</v>
      </c>
      <c r="B323" s="98"/>
      <c r="C323" s="533">
        <v>50000</v>
      </c>
      <c r="D323" s="533">
        <v>0</v>
      </c>
      <c r="E323" s="723">
        <v>60000</v>
      </c>
      <c r="F323" s="538" t="s">
        <v>1465</v>
      </c>
      <c r="G323" s="538"/>
      <c r="H323" s="507"/>
      <c r="I323" s="507"/>
      <c r="J323" s="507"/>
      <c r="K323" s="507"/>
      <c r="L323" s="98"/>
      <c r="M323" s="98"/>
      <c r="N323" s="98"/>
      <c r="O323" s="98"/>
      <c r="P323" s="98"/>
      <c r="Q323" s="98"/>
      <c r="R323" s="98"/>
      <c r="S323" s="98"/>
      <c r="T323" s="98"/>
      <c r="U323" s="98"/>
      <c r="V323" s="98"/>
      <c r="W323" s="98"/>
      <c r="X323" s="98"/>
      <c r="Y323" s="98"/>
      <c r="Z323" s="98"/>
    </row>
    <row r="324" spans="1:26" ht="15.75" hidden="1" customHeight="1">
      <c r="A324" s="180">
        <v>44698</v>
      </c>
      <c r="B324" s="98"/>
      <c r="C324" s="533">
        <v>10000</v>
      </c>
      <c r="D324" s="533">
        <v>0</v>
      </c>
      <c r="E324" s="689"/>
      <c r="F324" s="538" t="s">
        <v>1465</v>
      </c>
      <c r="G324" s="538"/>
      <c r="H324" s="507"/>
      <c r="I324" s="507"/>
      <c r="J324" s="507"/>
      <c r="K324" s="507"/>
      <c r="L324" s="98"/>
      <c r="M324" s="98"/>
      <c r="N324" s="98"/>
      <c r="O324" s="98"/>
      <c r="P324" s="98"/>
      <c r="Q324" s="98"/>
      <c r="R324" s="98"/>
      <c r="S324" s="98"/>
      <c r="T324" s="98"/>
      <c r="U324" s="98"/>
      <c r="V324" s="98"/>
      <c r="W324" s="98"/>
      <c r="X324" s="98"/>
      <c r="Y324" s="98"/>
      <c r="Z324" s="98"/>
    </row>
    <row r="325" spans="1:26" ht="15.75" hidden="1" customHeight="1">
      <c r="A325" s="180">
        <v>44706</v>
      </c>
      <c r="B325" s="98"/>
      <c r="C325" s="533">
        <v>5000</v>
      </c>
      <c r="D325" s="533">
        <v>0</v>
      </c>
      <c r="E325" s="534">
        <v>5000</v>
      </c>
      <c r="F325" s="535" t="s">
        <v>1465</v>
      </c>
      <c r="G325" s="98"/>
      <c r="H325" s="507"/>
      <c r="I325" s="507"/>
      <c r="J325" s="507"/>
      <c r="K325" s="507"/>
      <c r="L325" s="98"/>
      <c r="M325" s="98"/>
      <c r="N325" s="98"/>
      <c r="O325" s="98"/>
      <c r="P325" s="98"/>
      <c r="Q325" s="98"/>
      <c r="R325" s="98"/>
      <c r="S325" s="98"/>
      <c r="T325" s="98"/>
      <c r="U325" s="98"/>
      <c r="V325" s="98"/>
      <c r="W325" s="98"/>
      <c r="X325" s="98"/>
      <c r="Y325" s="98"/>
      <c r="Z325" s="98"/>
    </row>
    <row r="326" spans="1:26" ht="15.75" hidden="1" customHeight="1">
      <c r="A326" s="180">
        <v>44723</v>
      </c>
      <c r="B326" s="98"/>
      <c r="C326" s="533">
        <v>40000</v>
      </c>
      <c r="D326" s="533">
        <v>0</v>
      </c>
      <c r="E326" s="534">
        <v>40000</v>
      </c>
      <c r="F326" s="535" t="s">
        <v>1465</v>
      </c>
      <c r="G326" s="98"/>
      <c r="H326" s="507"/>
      <c r="I326" s="507"/>
      <c r="J326" s="507"/>
      <c r="K326" s="507"/>
      <c r="L326" s="98"/>
      <c r="M326" s="98"/>
      <c r="N326" s="98"/>
      <c r="O326" s="98"/>
      <c r="P326" s="98"/>
      <c r="Q326" s="98"/>
      <c r="R326" s="98"/>
      <c r="S326" s="98"/>
      <c r="T326" s="98"/>
      <c r="U326" s="98"/>
      <c r="V326" s="98"/>
      <c r="W326" s="98"/>
      <c r="X326" s="98"/>
      <c r="Y326" s="98"/>
      <c r="Z326" s="98"/>
    </row>
    <row r="327" spans="1:26" ht="15.75" hidden="1" customHeight="1">
      <c r="A327" s="180">
        <v>44723</v>
      </c>
      <c r="B327" s="98"/>
      <c r="C327" s="533">
        <v>25000</v>
      </c>
      <c r="D327" s="533">
        <v>0</v>
      </c>
      <c r="E327" s="534">
        <v>20000</v>
      </c>
      <c r="F327" s="535" t="s">
        <v>1465</v>
      </c>
      <c r="G327" s="98"/>
      <c r="H327" s="507"/>
      <c r="I327" s="507"/>
      <c r="J327" s="507"/>
      <c r="K327" s="507"/>
      <c r="L327" s="98"/>
      <c r="M327" s="98"/>
      <c r="N327" s="98"/>
      <c r="O327" s="98"/>
      <c r="P327" s="98"/>
      <c r="Q327" s="98"/>
      <c r="R327" s="98"/>
      <c r="S327" s="98"/>
      <c r="T327" s="98"/>
      <c r="U327" s="98"/>
      <c r="V327" s="98"/>
      <c r="W327" s="98"/>
      <c r="X327" s="98"/>
      <c r="Y327" s="98"/>
      <c r="Z327" s="98"/>
    </row>
    <row r="328" spans="1:26" ht="15.75" hidden="1" customHeight="1">
      <c r="A328" s="180">
        <v>44724</v>
      </c>
      <c r="B328" s="98"/>
      <c r="C328" s="533">
        <v>6000</v>
      </c>
      <c r="D328" s="533">
        <v>0</v>
      </c>
      <c r="E328" s="534">
        <v>8000</v>
      </c>
      <c r="F328" s="535" t="s">
        <v>1465</v>
      </c>
      <c r="G328" s="98"/>
      <c r="H328" s="507"/>
      <c r="I328" s="507"/>
      <c r="J328" s="507"/>
      <c r="K328" s="507"/>
      <c r="L328" s="98"/>
      <c r="M328" s="98"/>
      <c r="N328" s="98"/>
      <c r="O328" s="98"/>
      <c r="P328" s="98"/>
      <c r="Q328" s="98"/>
      <c r="R328" s="98"/>
      <c r="S328" s="98"/>
      <c r="T328" s="98"/>
      <c r="U328" s="98"/>
      <c r="V328" s="98"/>
      <c r="W328" s="98"/>
      <c r="X328" s="98"/>
      <c r="Y328" s="98"/>
      <c r="Z328" s="98"/>
    </row>
    <row r="329" spans="1:26" ht="15.75" hidden="1" customHeight="1">
      <c r="A329" s="180">
        <v>44841</v>
      </c>
      <c r="B329" s="98"/>
      <c r="C329" s="533"/>
      <c r="D329" s="533">
        <v>39482.879999999997</v>
      </c>
      <c r="E329" s="534"/>
      <c r="F329" s="535" t="s">
        <v>1469</v>
      </c>
      <c r="G329" s="98"/>
      <c r="H329" s="507"/>
      <c r="I329" s="507"/>
      <c r="J329" s="507"/>
      <c r="K329" s="507"/>
      <c r="L329" s="98"/>
      <c r="M329" s="98"/>
      <c r="N329" s="98"/>
      <c r="O329" s="98"/>
      <c r="P329" s="98"/>
      <c r="Q329" s="98"/>
      <c r="R329" s="98"/>
      <c r="S329" s="98"/>
      <c r="T329" s="98"/>
      <c r="U329" s="98"/>
      <c r="V329" s="98"/>
      <c r="W329" s="98"/>
      <c r="X329" s="98"/>
      <c r="Y329" s="98"/>
      <c r="Z329" s="98"/>
    </row>
    <row r="330" spans="1:26" ht="15.75" hidden="1" customHeight="1">
      <c r="A330" s="180">
        <v>44851</v>
      </c>
      <c r="B330" s="98"/>
      <c r="C330" s="533">
        <v>39483</v>
      </c>
      <c r="D330" s="533"/>
      <c r="E330" s="534"/>
      <c r="F330" s="535" t="s">
        <v>1469</v>
      </c>
      <c r="G330" s="98"/>
      <c r="H330" s="507"/>
      <c r="I330" s="507"/>
      <c r="J330" s="507"/>
      <c r="K330" s="507"/>
      <c r="L330" s="98"/>
      <c r="M330" s="98"/>
      <c r="N330" s="98"/>
      <c r="O330" s="98"/>
      <c r="P330" s="98"/>
      <c r="Q330" s="98"/>
      <c r="R330" s="98"/>
      <c r="S330" s="98"/>
      <c r="T330" s="98"/>
      <c r="U330" s="98"/>
      <c r="V330" s="98"/>
      <c r="W330" s="98"/>
      <c r="X330" s="98"/>
      <c r="Y330" s="98"/>
      <c r="Z330" s="98"/>
    </row>
    <row r="331" spans="1:26" ht="15.75" hidden="1" customHeight="1">
      <c r="A331" s="180">
        <v>44880</v>
      </c>
      <c r="B331" s="98"/>
      <c r="C331" s="533">
        <v>6200</v>
      </c>
      <c r="D331" s="533"/>
      <c r="E331" s="534"/>
      <c r="F331" s="535" t="s">
        <v>1467</v>
      </c>
      <c r="G331" s="98"/>
      <c r="H331" s="507"/>
      <c r="I331" s="507"/>
      <c r="J331" s="507"/>
      <c r="K331" s="507"/>
      <c r="L331" s="98"/>
      <c r="M331" s="98"/>
      <c r="N331" s="98"/>
      <c r="O331" s="98"/>
      <c r="P331" s="98"/>
      <c r="Q331" s="98"/>
      <c r="R331" s="98"/>
      <c r="S331" s="98"/>
      <c r="T331" s="98"/>
      <c r="U331" s="98"/>
      <c r="V331" s="98"/>
      <c r="W331" s="98"/>
      <c r="X331" s="98"/>
      <c r="Y331" s="98"/>
      <c r="Z331" s="98"/>
    </row>
    <row r="332" spans="1:26" ht="15.75" hidden="1" customHeight="1">
      <c r="A332" s="180">
        <v>44881</v>
      </c>
      <c r="B332" s="98"/>
      <c r="C332" s="533">
        <v>10000</v>
      </c>
      <c r="D332" s="533"/>
      <c r="E332" s="536"/>
      <c r="F332" s="535" t="s">
        <v>1469</v>
      </c>
      <c r="G332" s="98"/>
      <c r="H332" s="507"/>
      <c r="I332" s="507"/>
      <c r="J332" s="507"/>
      <c r="K332" s="507"/>
      <c r="L332" s="98"/>
      <c r="M332" s="98"/>
      <c r="N332" s="98"/>
      <c r="O332" s="98"/>
      <c r="P332" s="98"/>
      <c r="Q332" s="98"/>
      <c r="R332" s="98"/>
      <c r="S332" s="98"/>
      <c r="T332" s="98"/>
      <c r="U332" s="98"/>
      <c r="V332" s="98"/>
      <c r="W332" s="98"/>
      <c r="X332" s="98"/>
      <c r="Y332" s="98"/>
      <c r="Z332" s="98"/>
    </row>
    <row r="333" spans="1:26" ht="15.75" hidden="1" customHeight="1">
      <c r="A333" s="180">
        <v>44924</v>
      </c>
      <c r="B333" s="98"/>
      <c r="C333" s="533"/>
      <c r="D333" s="533">
        <v>3845.03</v>
      </c>
      <c r="E333" s="536"/>
      <c r="F333" s="535" t="s">
        <v>1469</v>
      </c>
      <c r="G333" s="98"/>
      <c r="H333" s="507"/>
      <c r="I333" s="507"/>
      <c r="J333" s="507"/>
      <c r="K333" s="507"/>
      <c r="L333" s="98"/>
      <c r="M333" s="98"/>
      <c r="N333" s="98"/>
      <c r="O333" s="98"/>
      <c r="P333" s="98"/>
      <c r="Q333" s="98"/>
      <c r="R333" s="98"/>
      <c r="S333" s="98"/>
      <c r="T333" s="98"/>
      <c r="U333" s="98"/>
      <c r="V333" s="98"/>
      <c r="W333" s="98"/>
      <c r="X333" s="98"/>
      <c r="Y333" s="98"/>
      <c r="Z333" s="98"/>
    </row>
    <row r="334" spans="1:26" ht="15.75" hidden="1" customHeight="1">
      <c r="A334" s="180">
        <v>44928</v>
      </c>
      <c r="B334" s="98"/>
      <c r="C334" s="533">
        <v>4000</v>
      </c>
      <c r="D334" s="533"/>
      <c r="E334" s="536"/>
      <c r="F334" s="535" t="s">
        <v>1469</v>
      </c>
      <c r="G334" s="98"/>
      <c r="H334" s="507"/>
      <c r="I334" s="507"/>
      <c r="J334" s="507"/>
      <c r="K334" s="507"/>
      <c r="L334" s="98"/>
      <c r="M334" s="98"/>
      <c r="N334" s="98"/>
      <c r="O334" s="98"/>
      <c r="P334" s="98"/>
      <c r="Q334" s="98"/>
      <c r="R334" s="98"/>
      <c r="S334" s="98"/>
      <c r="T334" s="98"/>
      <c r="U334" s="98"/>
      <c r="V334" s="98"/>
      <c r="W334" s="98"/>
      <c r="X334" s="98"/>
      <c r="Y334" s="98"/>
      <c r="Z334" s="98"/>
    </row>
    <row r="335" spans="1:26" ht="15.75" customHeight="1">
      <c r="A335" s="180">
        <v>44932</v>
      </c>
      <c r="B335" s="98"/>
      <c r="C335" s="533"/>
      <c r="D335" s="533">
        <v>4327.03</v>
      </c>
      <c r="E335" s="536"/>
      <c r="F335" s="535" t="s">
        <v>1469</v>
      </c>
      <c r="G335" s="98"/>
      <c r="H335" s="507"/>
      <c r="I335" s="507"/>
      <c r="J335" s="507"/>
      <c r="K335" s="507"/>
      <c r="L335" s="98"/>
      <c r="M335" s="98"/>
      <c r="N335" s="98"/>
      <c r="O335" s="98"/>
      <c r="P335" s="98"/>
      <c r="Q335" s="98"/>
      <c r="R335" s="98"/>
      <c r="S335" s="98"/>
      <c r="T335" s="98"/>
      <c r="U335" s="98"/>
      <c r="V335" s="98"/>
      <c r="W335" s="98"/>
      <c r="X335" s="98"/>
      <c r="Y335" s="98"/>
      <c r="Z335" s="98"/>
    </row>
    <row r="336" spans="1:26" ht="15.75" customHeight="1">
      <c r="A336" s="180">
        <v>44933</v>
      </c>
      <c r="B336" s="98"/>
      <c r="C336" s="533">
        <v>4327</v>
      </c>
      <c r="D336" s="533"/>
      <c r="E336" s="536"/>
      <c r="F336" s="535" t="s">
        <v>1469</v>
      </c>
      <c r="G336" s="98"/>
      <c r="H336" s="507"/>
      <c r="I336" s="507"/>
      <c r="J336" s="507"/>
      <c r="K336" s="507"/>
      <c r="L336" s="98"/>
      <c r="M336" s="98"/>
      <c r="N336" s="98"/>
      <c r="O336" s="98"/>
      <c r="P336" s="98"/>
      <c r="Q336" s="98"/>
      <c r="R336" s="98"/>
      <c r="S336" s="98"/>
      <c r="T336" s="98"/>
      <c r="U336" s="98"/>
      <c r="V336" s="98"/>
      <c r="W336" s="98"/>
      <c r="X336" s="98"/>
      <c r="Y336" s="98"/>
      <c r="Z336" s="98"/>
    </row>
    <row r="337" spans="1:26" ht="15.75" customHeight="1">
      <c r="A337" s="180">
        <v>45022</v>
      </c>
      <c r="B337" s="98"/>
      <c r="C337" s="533"/>
      <c r="D337" s="533">
        <v>56438.57</v>
      </c>
      <c r="E337" s="536"/>
      <c r="F337" s="535" t="s">
        <v>1469</v>
      </c>
      <c r="G337" s="98"/>
      <c r="H337" s="507"/>
      <c r="I337" s="507"/>
      <c r="J337" s="507"/>
      <c r="K337" s="507"/>
      <c r="L337" s="98"/>
      <c r="M337" s="98"/>
      <c r="N337" s="98"/>
      <c r="O337" s="98"/>
      <c r="P337" s="98"/>
      <c r="Q337" s="98"/>
      <c r="R337" s="98"/>
      <c r="S337" s="98"/>
      <c r="T337" s="98"/>
      <c r="U337" s="98"/>
      <c r="V337" s="98"/>
      <c r="W337" s="98"/>
      <c r="X337" s="98"/>
      <c r="Y337" s="98"/>
      <c r="Z337" s="98"/>
    </row>
    <row r="338" spans="1:26" ht="15.75" customHeight="1">
      <c r="A338" s="180">
        <v>45023</v>
      </c>
      <c r="B338" s="98"/>
      <c r="C338" s="533">
        <v>56438</v>
      </c>
      <c r="D338" s="533"/>
      <c r="E338" s="536"/>
      <c r="F338" s="535" t="s">
        <v>1469</v>
      </c>
      <c r="G338" s="98"/>
      <c r="H338" s="507"/>
      <c r="I338" s="507"/>
      <c r="J338" s="507"/>
      <c r="K338" s="507"/>
      <c r="L338" s="98"/>
      <c r="M338" s="98"/>
      <c r="N338" s="98"/>
      <c r="O338" s="98"/>
      <c r="P338" s="98"/>
      <c r="Q338" s="98"/>
      <c r="R338" s="98"/>
      <c r="S338" s="98"/>
      <c r="T338" s="98"/>
      <c r="U338" s="98"/>
      <c r="V338" s="98"/>
      <c r="W338" s="98"/>
      <c r="X338" s="98"/>
      <c r="Y338" s="98"/>
      <c r="Z338" s="98"/>
    </row>
    <row r="339" spans="1:26" ht="15.75" customHeight="1">
      <c r="A339" s="180"/>
      <c r="B339" s="98"/>
      <c r="C339" s="507"/>
      <c r="D339" s="507"/>
      <c r="E339" s="536"/>
      <c r="F339" s="98"/>
      <c r="G339" s="98"/>
      <c r="H339" s="507"/>
      <c r="I339" s="507"/>
      <c r="J339" s="507"/>
      <c r="K339" s="507"/>
      <c r="L339" s="98"/>
      <c r="M339" s="98"/>
      <c r="N339" s="98"/>
      <c r="O339" s="98"/>
      <c r="P339" s="98"/>
      <c r="Q339" s="98"/>
      <c r="R339" s="98"/>
      <c r="S339" s="98"/>
      <c r="T339" s="98"/>
      <c r="U339" s="98"/>
      <c r="V339" s="98"/>
      <c r="W339" s="98"/>
      <c r="X339" s="98"/>
      <c r="Y339" s="98"/>
      <c r="Z339" s="98"/>
    </row>
    <row r="340" spans="1:26" ht="15.75" customHeight="1">
      <c r="A340" s="507" t="s">
        <v>1470</v>
      </c>
      <c r="B340" s="98"/>
      <c r="D340" s="507"/>
      <c r="F340" s="98"/>
      <c r="G340" s="98"/>
      <c r="H340" s="507"/>
      <c r="I340" s="507"/>
      <c r="J340" s="507"/>
      <c r="K340" s="507"/>
      <c r="L340" s="98"/>
      <c r="M340" s="98"/>
      <c r="N340" s="98"/>
      <c r="O340" s="98"/>
      <c r="P340" s="98"/>
      <c r="Q340" s="98"/>
      <c r="R340" s="98"/>
      <c r="S340" s="98"/>
      <c r="T340" s="98"/>
      <c r="U340" s="98"/>
      <c r="V340" s="98"/>
      <c r="W340" s="98"/>
      <c r="X340" s="98"/>
      <c r="Y340" s="98"/>
      <c r="Z340" s="98"/>
    </row>
    <row r="341" spans="1:26" ht="15.75" hidden="1" customHeight="1">
      <c r="A341" s="98" t="s">
        <v>1056</v>
      </c>
      <c r="B341" s="98"/>
      <c r="C341" s="180">
        <v>44113</v>
      </c>
      <c r="D341" s="98">
        <v>77813</v>
      </c>
      <c r="F341" s="98"/>
      <c r="G341" s="98"/>
      <c r="H341" s="98"/>
      <c r="I341" s="98"/>
      <c r="J341" s="98"/>
      <c r="K341" s="98"/>
      <c r="L341" s="98"/>
      <c r="M341" s="98"/>
      <c r="N341" s="98"/>
      <c r="O341" s="98"/>
      <c r="P341" s="98"/>
      <c r="Q341" s="98"/>
      <c r="R341" s="98"/>
      <c r="S341" s="98"/>
      <c r="T341" s="98"/>
      <c r="U341" s="98"/>
      <c r="V341" s="98"/>
      <c r="W341" s="98"/>
      <c r="X341" s="98"/>
      <c r="Y341" s="98"/>
      <c r="Z341" s="98"/>
    </row>
    <row r="342" spans="1:26" ht="15.75" hidden="1" customHeight="1">
      <c r="A342" s="98" t="s">
        <v>1471</v>
      </c>
      <c r="B342" s="98"/>
      <c r="C342" s="180">
        <v>44248</v>
      </c>
      <c r="D342" s="98">
        <v>20000</v>
      </c>
      <c r="F342" s="98"/>
      <c r="G342" s="98"/>
      <c r="H342" s="98"/>
      <c r="I342" s="98"/>
      <c r="J342" s="98"/>
      <c r="K342" s="98"/>
      <c r="L342" s="98"/>
      <c r="M342" s="98"/>
      <c r="N342" s="98"/>
      <c r="O342" s="98"/>
      <c r="P342" s="98"/>
      <c r="Q342" s="98"/>
      <c r="R342" s="98"/>
      <c r="S342" s="98"/>
      <c r="T342" s="98"/>
      <c r="U342" s="98"/>
      <c r="V342" s="98"/>
      <c r="W342" s="98"/>
      <c r="X342" s="98"/>
      <c r="Y342" s="98"/>
      <c r="Z342" s="98"/>
    </row>
    <row r="343" spans="1:26" ht="15.75" hidden="1" customHeight="1">
      <c r="A343" s="98" t="s">
        <v>1472</v>
      </c>
      <c r="B343" s="98"/>
      <c r="C343" s="180">
        <v>44621</v>
      </c>
      <c r="D343" s="98">
        <v>4984</v>
      </c>
      <c r="F343" s="98"/>
      <c r="G343" s="98"/>
      <c r="H343" s="98"/>
      <c r="I343" s="98"/>
      <c r="J343" s="98"/>
      <c r="K343" s="98"/>
      <c r="L343" s="98"/>
      <c r="M343" s="98"/>
      <c r="N343" s="98"/>
      <c r="O343" s="98"/>
      <c r="P343" s="98"/>
      <c r="Q343" s="98"/>
      <c r="R343" s="98"/>
      <c r="S343" s="98"/>
      <c r="T343" s="98"/>
      <c r="U343" s="98"/>
      <c r="V343" s="98"/>
      <c r="W343" s="98"/>
      <c r="X343" s="98"/>
      <c r="Y343" s="98"/>
      <c r="Z343" s="98"/>
    </row>
    <row r="344" spans="1:26" ht="15.75" hidden="1" customHeight="1">
      <c r="A344" s="98" t="s">
        <v>1056</v>
      </c>
      <c r="B344" s="98"/>
      <c r="C344" s="180">
        <v>44629</v>
      </c>
      <c r="D344" s="98">
        <v>35369</v>
      </c>
      <c r="F344" s="98"/>
      <c r="G344" s="98"/>
      <c r="H344" s="98"/>
      <c r="I344" s="98"/>
      <c r="J344" s="98"/>
      <c r="K344" s="98"/>
      <c r="L344" s="98"/>
      <c r="M344" s="98"/>
      <c r="N344" s="98"/>
      <c r="O344" s="98"/>
      <c r="P344" s="98"/>
      <c r="Q344" s="98"/>
      <c r="R344" s="98"/>
      <c r="S344" s="98"/>
      <c r="T344" s="98"/>
      <c r="U344" s="98"/>
      <c r="V344" s="98"/>
      <c r="W344" s="98"/>
      <c r="X344" s="98"/>
      <c r="Y344" s="98"/>
      <c r="Z344" s="98"/>
    </row>
    <row r="345" spans="1:26" ht="15.75" hidden="1" customHeight="1">
      <c r="A345" s="98" t="s">
        <v>1471</v>
      </c>
      <c r="B345" s="98"/>
      <c r="C345" s="180">
        <v>44641</v>
      </c>
      <c r="D345" s="98">
        <f>11515*4</f>
        <v>46060</v>
      </c>
      <c r="F345" s="98"/>
      <c r="G345" s="98"/>
      <c r="H345" s="98"/>
      <c r="I345" s="98"/>
      <c r="J345" s="98"/>
      <c r="K345" s="98"/>
      <c r="L345" s="98"/>
      <c r="M345" s="98"/>
      <c r="N345" s="98"/>
      <c r="O345" s="98"/>
      <c r="P345" s="98"/>
      <c r="Q345" s="98"/>
      <c r="R345" s="98"/>
      <c r="S345" s="98"/>
      <c r="T345" s="98"/>
      <c r="U345" s="98"/>
      <c r="V345" s="98"/>
      <c r="W345" s="98"/>
      <c r="X345" s="98"/>
      <c r="Y345" s="98"/>
      <c r="Z345" s="98"/>
    </row>
    <row r="346" spans="1:26" ht="15.75" hidden="1" customHeight="1">
      <c r="A346" s="98" t="s">
        <v>1473</v>
      </c>
      <c r="B346" s="98"/>
      <c r="C346" s="180">
        <v>44650</v>
      </c>
      <c r="D346" s="98">
        <v>281960</v>
      </c>
      <c r="F346" s="98"/>
      <c r="G346" s="98"/>
      <c r="H346" s="98"/>
      <c r="I346" s="98"/>
      <c r="J346" s="98"/>
      <c r="K346" s="98"/>
      <c r="L346" s="98"/>
      <c r="M346" s="98"/>
      <c r="N346" s="98"/>
      <c r="O346" s="98"/>
      <c r="P346" s="98"/>
      <c r="Q346" s="98"/>
      <c r="R346" s="98"/>
      <c r="S346" s="98"/>
      <c r="T346" s="98"/>
      <c r="U346" s="98"/>
      <c r="V346" s="98"/>
      <c r="W346" s="98"/>
      <c r="X346" s="98"/>
      <c r="Y346" s="98"/>
      <c r="Z346" s="98"/>
    </row>
    <row r="347" spans="1:26" ht="15.75" hidden="1" customHeight="1">
      <c r="A347" s="98" t="s">
        <v>1473</v>
      </c>
      <c r="B347" s="98"/>
      <c r="C347" s="180">
        <v>44650</v>
      </c>
      <c r="D347" s="98">
        <v>281960</v>
      </c>
      <c r="F347" s="98"/>
      <c r="G347" s="98"/>
      <c r="H347" s="98"/>
      <c r="I347" s="98"/>
      <c r="J347" s="98"/>
      <c r="K347" s="98"/>
      <c r="L347" s="98"/>
      <c r="M347" s="98"/>
      <c r="N347" s="98"/>
      <c r="O347" s="98"/>
      <c r="P347" s="98"/>
      <c r="Q347" s="98"/>
      <c r="R347" s="98"/>
      <c r="S347" s="98"/>
      <c r="T347" s="98"/>
      <c r="U347" s="98"/>
      <c r="V347" s="98"/>
      <c r="W347" s="98"/>
      <c r="X347" s="98"/>
      <c r="Y347" s="98"/>
      <c r="Z347" s="98"/>
    </row>
    <row r="348" spans="1:26" ht="15.75" hidden="1" customHeight="1">
      <c r="A348" s="98" t="s">
        <v>1474</v>
      </c>
      <c r="B348" s="98"/>
      <c r="C348" s="180">
        <v>44655</v>
      </c>
      <c r="D348" s="98">
        <v>385469</v>
      </c>
      <c r="F348" s="98"/>
      <c r="G348" s="98"/>
      <c r="H348" s="98"/>
      <c r="I348" s="98"/>
      <c r="J348" s="98"/>
      <c r="K348" s="98"/>
      <c r="L348" s="98"/>
      <c r="M348" s="98"/>
      <c r="N348" s="98"/>
      <c r="O348" s="98"/>
      <c r="P348" s="98"/>
      <c r="Q348" s="98"/>
      <c r="R348" s="98"/>
      <c r="S348" s="98"/>
      <c r="T348" s="98"/>
      <c r="U348" s="98"/>
      <c r="V348" s="98"/>
      <c r="W348" s="98"/>
      <c r="X348" s="98"/>
      <c r="Y348" s="98"/>
      <c r="Z348" s="98"/>
    </row>
    <row r="349" spans="1:26" ht="15.75" hidden="1" customHeight="1">
      <c r="A349" s="98" t="s">
        <v>1475</v>
      </c>
      <c r="B349" s="98"/>
      <c r="C349" s="180">
        <v>44742</v>
      </c>
      <c r="D349" s="98">
        <v>103900</v>
      </c>
      <c r="F349" s="98"/>
      <c r="G349" s="98"/>
      <c r="H349" s="98"/>
      <c r="I349" s="98"/>
      <c r="J349" s="98"/>
      <c r="K349" s="98"/>
      <c r="L349" s="98"/>
      <c r="M349" s="98"/>
      <c r="N349" s="98"/>
      <c r="O349" s="98"/>
      <c r="P349" s="98"/>
      <c r="Q349" s="98"/>
      <c r="R349" s="98"/>
      <c r="S349" s="98"/>
      <c r="T349" s="98"/>
      <c r="U349" s="98"/>
      <c r="V349" s="98"/>
      <c r="W349" s="98"/>
      <c r="X349" s="98"/>
      <c r="Y349" s="98"/>
      <c r="Z349" s="98"/>
    </row>
    <row r="350" spans="1:26" ht="15.75" hidden="1" customHeight="1">
      <c r="A350" s="98" t="s">
        <v>1476</v>
      </c>
      <c r="B350" s="98"/>
      <c r="C350" s="180"/>
      <c r="D350" s="98">
        <v>180000</v>
      </c>
      <c r="F350" s="98"/>
      <c r="G350" s="98"/>
      <c r="H350" s="98"/>
      <c r="I350" s="98"/>
      <c r="J350" s="98"/>
      <c r="K350" s="98"/>
      <c r="L350" s="98"/>
      <c r="M350" s="98"/>
      <c r="N350" s="98"/>
      <c r="O350" s="98"/>
      <c r="P350" s="98"/>
      <c r="Q350" s="98"/>
      <c r="R350" s="98"/>
      <c r="S350" s="98"/>
      <c r="T350" s="98"/>
      <c r="U350" s="98"/>
      <c r="V350" s="98"/>
      <c r="W350" s="98"/>
      <c r="X350" s="98"/>
      <c r="Y350" s="98"/>
      <c r="Z350" s="98"/>
    </row>
    <row r="351" spans="1:26" ht="15.75" hidden="1" customHeight="1">
      <c r="A351" s="98" t="s">
        <v>1477</v>
      </c>
      <c r="B351" s="98"/>
      <c r="C351" s="180"/>
      <c r="D351" s="98">
        <v>125000</v>
      </c>
      <c r="F351" s="98"/>
      <c r="G351" s="98"/>
      <c r="H351" s="98"/>
      <c r="I351" s="98"/>
      <c r="J351" s="98"/>
      <c r="K351" s="98"/>
      <c r="L351" s="98"/>
      <c r="M351" s="98"/>
      <c r="N351" s="98"/>
      <c r="O351" s="98"/>
      <c r="P351" s="98"/>
      <c r="Q351" s="98"/>
      <c r="R351" s="98"/>
      <c r="S351" s="98"/>
      <c r="T351" s="98"/>
      <c r="U351" s="98"/>
      <c r="V351" s="98"/>
      <c r="W351" s="98"/>
      <c r="X351" s="98"/>
      <c r="Y351" s="98"/>
      <c r="Z351" s="98"/>
    </row>
    <row r="352" spans="1:26" ht="15.75" hidden="1" customHeight="1">
      <c r="A352" s="98" t="s">
        <v>18</v>
      </c>
      <c r="B352" s="98"/>
      <c r="C352" s="180"/>
      <c r="D352" s="539">
        <f>SUM(D341:D351)</f>
        <v>1542515</v>
      </c>
      <c r="F352" s="98"/>
      <c r="G352" s="98"/>
      <c r="H352" s="98"/>
      <c r="I352" s="98"/>
      <c r="J352" s="98"/>
      <c r="K352" s="98"/>
      <c r="L352" s="98"/>
      <c r="M352" s="98"/>
      <c r="N352" s="98"/>
      <c r="O352" s="98"/>
      <c r="P352" s="98"/>
      <c r="Q352" s="98"/>
      <c r="R352" s="98"/>
      <c r="S352" s="98"/>
      <c r="T352" s="98"/>
      <c r="U352" s="98"/>
      <c r="V352" s="98"/>
      <c r="W352" s="98"/>
      <c r="X352" s="98"/>
      <c r="Y352" s="98"/>
      <c r="Z352" s="98"/>
    </row>
    <row r="353" spans="1:26" ht="15.75" hidden="1" customHeight="1">
      <c r="A353" s="98"/>
      <c r="B353" s="98"/>
      <c r="C353" s="180"/>
      <c r="D353" s="98"/>
      <c r="F353" s="98"/>
      <c r="G353" s="98"/>
      <c r="H353" s="98"/>
      <c r="I353" s="98"/>
      <c r="J353" s="98"/>
      <c r="K353" s="98"/>
      <c r="L353" s="98"/>
      <c r="M353" s="98"/>
      <c r="N353" s="98"/>
      <c r="O353" s="98"/>
      <c r="P353" s="98"/>
      <c r="Q353" s="98"/>
      <c r="R353" s="98"/>
      <c r="S353" s="98"/>
      <c r="T353" s="98"/>
      <c r="U353" s="98"/>
      <c r="V353" s="98"/>
      <c r="W353" s="98"/>
      <c r="X353" s="98"/>
      <c r="Y353" s="98"/>
      <c r="Z353" s="98"/>
    </row>
    <row r="354" spans="1:26" ht="15.75" hidden="1" customHeight="1">
      <c r="A354" s="98" t="s">
        <v>589</v>
      </c>
      <c r="B354" s="98"/>
      <c r="C354" s="180"/>
      <c r="D354" s="98">
        <v>331000</v>
      </c>
      <c r="F354" s="98"/>
      <c r="G354" s="98"/>
      <c r="H354" s="98"/>
      <c r="I354" s="98"/>
      <c r="J354" s="98"/>
      <c r="K354" s="98"/>
      <c r="L354" s="98"/>
      <c r="M354" s="98"/>
      <c r="N354" s="98"/>
      <c r="O354" s="98"/>
      <c r="P354" s="98"/>
      <c r="Q354" s="98"/>
      <c r="R354" s="98"/>
      <c r="S354" s="98"/>
      <c r="T354" s="98"/>
      <c r="U354" s="98"/>
      <c r="V354" s="98"/>
      <c r="W354" s="98"/>
      <c r="X354" s="98"/>
      <c r="Y354" s="98"/>
      <c r="Z354" s="98"/>
    </row>
    <row r="355" spans="1:26" ht="15.75" hidden="1" customHeight="1">
      <c r="A355" s="98" t="s">
        <v>1478</v>
      </c>
      <c r="B355" s="98"/>
      <c r="C355" s="180"/>
      <c r="D355" s="98">
        <v>419979</v>
      </c>
      <c r="F355" s="98"/>
      <c r="G355" s="98"/>
      <c r="H355" s="98"/>
      <c r="I355" s="98"/>
      <c r="J355" s="98"/>
      <c r="K355" s="98"/>
      <c r="L355" s="98"/>
      <c r="M355" s="98"/>
      <c r="N355" s="98"/>
      <c r="O355" s="98"/>
      <c r="P355" s="98"/>
      <c r="Q355" s="98"/>
      <c r="R355" s="98"/>
      <c r="S355" s="98"/>
      <c r="T355" s="98"/>
      <c r="U355" s="98"/>
      <c r="V355" s="98"/>
      <c r="W355" s="98"/>
      <c r="X355" s="98"/>
      <c r="Y355" s="98"/>
      <c r="Z355" s="98"/>
    </row>
    <row r="356" spans="1:26" ht="15.75" hidden="1" customHeight="1">
      <c r="A356" s="98" t="s">
        <v>1479</v>
      </c>
      <c r="B356" s="98"/>
      <c r="C356" s="180"/>
      <c r="D356" s="98">
        <v>824106</v>
      </c>
      <c r="F356" s="98"/>
      <c r="G356" s="98"/>
      <c r="H356" s="98"/>
      <c r="I356" s="98"/>
      <c r="J356" s="98"/>
      <c r="K356" s="98"/>
      <c r="L356" s="98"/>
      <c r="M356" s="98"/>
      <c r="N356" s="98"/>
      <c r="O356" s="98"/>
      <c r="P356" s="98"/>
      <c r="Q356" s="98"/>
      <c r="R356" s="98"/>
      <c r="S356" s="98"/>
      <c r="T356" s="98"/>
      <c r="U356" s="98"/>
      <c r="V356" s="98"/>
      <c r="W356" s="98"/>
      <c r="X356" s="98"/>
      <c r="Y356" s="98"/>
      <c r="Z356" s="98"/>
    </row>
    <row r="357" spans="1:26" ht="15.75" hidden="1" customHeight="1">
      <c r="A357" s="98" t="s">
        <v>18</v>
      </c>
      <c r="B357" s="98"/>
      <c r="C357" s="180"/>
      <c r="D357" s="539">
        <f>SUM(D354:D356)</f>
        <v>1575085</v>
      </c>
      <c r="F357" s="98"/>
      <c r="G357" s="98"/>
      <c r="H357" s="98"/>
      <c r="I357" s="98"/>
      <c r="J357" s="98"/>
      <c r="K357" s="98"/>
      <c r="L357" s="98"/>
      <c r="M357" s="98"/>
      <c r="N357" s="98"/>
      <c r="O357" s="98"/>
      <c r="P357" s="98"/>
      <c r="Q357" s="98"/>
      <c r="R357" s="98"/>
      <c r="S357" s="98"/>
      <c r="T357" s="98"/>
      <c r="U357" s="98"/>
      <c r="V357" s="98"/>
      <c r="W357" s="98"/>
      <c r="X357" s="98"/>
      <c r="Y357" s="98"/>
      <c r="Z357" s="98"/>
    </row>
    <row r="358" spans="1:26" ht="15.75" customHeight="1">
      <c r="A358" s="98" t="s">
        <v>30</v>
      </c>
      <c r="B358" s="98"/>
      <c r="C358" s="180"/>
      <c r="D358" s="98">
        <f>D357-D352</f>
        <v>32570</v>
      </c>
      <c r="F358" s="98"/>
      <c r="G358" s="98"/>
      <c r="H358" s="98"/>
      <c r="I358" s="98"/>
      <c r="J358" s="98"/>
      <c r="K358" s="98"/>
      <c r="L358" s="98"/>
      <c r="M358" s="98"/>
      <c r="N358" s="98"/>
      <c r="O358" s="98"/>
      <c r="P358" s="98"/>
      <c r="Q358" s="98"/>
      <c r="R358" s="98"/>
      <c r="S358" s="98"/>
      <c r="T358" s="98"/>
      <c r="U358" s="98"/>
      <c r="V358" s="98"/>
      <c r="W358" s="98"/>
      <c r="X358" s="98"/>
      <c r="Y358" s="98"/>
      <c r="Z358" s="98"/>
    </row>
    <row r="359" spans="1:26" ht="15.75" customHeight="1">
      <c r="A359" s="98"/>
      <c r="B359" s="98"/>
      <c r="C359" s="180"/>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spans="1:26" ht="15.75" customHeight="1">
      <c r="A360" s="540" t="s">
        <v>1480</v>
      </c>
      <c r="C360" s="517"/>
      <c r="D360" s="517"/>
      <c r="E360" s="517"/>
      <c r="F360" s="517"/>
      <c r="G360" s="507"/>
      <c r="H360" s="507"/>
      <c r="I360" s="507"/>
      <c r="J360" s="507"/>
      <c r="K360" s="507"/>
      <c r="L360" s="98"/>
      <c r="M360" s="98"/>
      <c r="N360" s="98"/>
      <c r="O360" s="98"/>
      <c r="P360" s="98"/>
      <c r="Q360" s="98"/>
      <c r="R360" s="98"/>
      <c r="S360" s="98"/>
      <c r="T360" s="98"/>
      <c r="U360" s="98"/>
      <c r="V360" s="98"/>
      <c r="W360" s="98"/>
      <c r="X360" s="98"/>
      <c r="Y360" s="98"/>
      <c r="Z360" s="98"/>
    </row>
    <row r="361" spans="1:26" ht="15.75" customHeight="1">
      <c r="A361" s="541" t="s">
        <v>1481</v>
      </c>
      <c r="B361" s="541" t="s">
        <v>1438</v>
      </c>
      <c r="C361" s="542" t="s">
        <v>0</v>
      </c>
      <c r="D361" s="543" t="s">
        <v>1482</v>
      </c>
      <c r="F361" s="517"/>
      <c r="G361" s="507"/>
      <c r="H361" s="507"/>
      <c r="I361" s="507"/>
      <c r="J361" s="507"/>
      <c r="K361" s="507"/>
      <c r="L361" s="98"/>
      <c r="M361" s="98"/>
      <c r="N361" s="98"/>
      <c r="O361" s="98"/>
      <c r="P361" s="98"/>
      <c r="Q361" s="98"/>
      <c r="R361" s="98"/>
      <c r="S361" s="98"/>
      <c r="T361" s="98"/>
      <c r="U361" s="98"/>
      <c r="V361" s="98"/>
      <c r="W361" s="98"/>
      <c r="X361" s="98"/>
      <c r="Y361" s="98"/>
      <c r="Z361" s="98"/>
    </row>
    <row r="362" spans="1:26" ht="15.75" customHeight="1">
      <c r="A362" s="544" t="s">
        <v>1483</v>
      </c>
      <c r="B362" s="545">
        <f t="shared" ref="B362:B376" si="6">C362</f>
        <v>44952</v>
      </c>
      <c r="C362" s="207">
        <v>44952</v>
      </c>
      <c r="D362" s="546">
        <v>1</v>
      </c>
      <c r="F362" s="517"/>
      <c r="G362" s="507"/>
      <c r="H362" s="507"/>
      <c r="I362" s="507"/>
      <c r="J362" s="507"/>
      <c r="K362" s="507"/>
      <c r="L362" s="98"/>
      <c r="M362" s="98"/>
      <c r="N362" s="98"/>
      <c r="O362" s="98"/>
      <c r="P362" s="98"/>
      <c r="Q362" s="98"/>
      <c r="R362" s="98"/>
      <c r="S362" s="98"/>
      <c r="T362" s="98"/>
      <c r="U362" s="98"/>
      <c r="V362" s="98"/>
      <c r="W362" s="98"/>
      <c r="X362" s="98"/>
      <c r="Y362" s="98"/>
      <c r="Z362" s="98"/>
    </row>
    <row r="363" spans="1:26" ht="15.75" customHeight="1">
      <c r="A363" s="547" t="s">
        <v>1484</v>
      </c>
      <c r="B363" s="548">
        <f t="shared" si="6"/>
        <v>44993</v>
      </c>
      <c r="C363" s="549">
        <v>44993</v>
      </c>
      <c r="D363" s="547">
        <v>2</v>
      </c>
      <c r="F363" s="517"/>
      <c r="G363" s="507"/>
      <c r="H363" s="507"/>
      <c r="I363" s="507"/>
      <c r="J363" s="507"/>
      <c r="K363" s="507"/>
      <c r="L363" s="98"/>
      <c r="M363" s="98"/>
      <c r="N363" s="98"/>
      <c r="O363" s="98"/>
      <c r="P363" s="98"/>
      <c r="Q363" s="98"/>
      <c r="R363" s="98"/>
      <c r="S363" s="98"/>
      <c r="T363" s="98"/>
      <c r="U363" s="98"/>
      <c r="V363" s="98"/>
      <c r="W363" s="98"/>
      <c r="X363" s="98"/>
      <c r="Y363" s="98"/>
      <c r="Z363" s="98"/>
    </row>
    <row r="364" spans="1:26" ht="15.75" customHeight="1">
      <c r="A364" s="544" t="s">
        <v>1485</v>
      </c>
      <c r="B364" s="545">
        <f t="shared" si="6"/>
        <v>45015</v>
      </c>
      <c r="C364" s="207">
        <v>45015</v>
      </c>
      <c r="D364" s="546">
        <v>3</v>
      </c>
      <c r="F364" s="517"/>
      <c r="G364" s="507"/>
      <c r="H364" s="507"/>
      <c r="I364" s="507"/>
      <c r="J364" s="507"/>
      <c r="K364" s="507"/>
      <c r="L364" s="98"/>
      <c r="M364" s="98"/>
      <c r="N364" s="98"/>
      <c r="O364" s="98"/>
      <c r="P364" s="98"/>
      <c r="Q364" s="98"/>
      <c r="R364" s="98"/>
      <c r="S364" s="98"/>
      <c r="T364" s="98"/>
      <c r="U364" s="98"/>
      <c r="V364" s="98"/>
      <c r="W364" s="98"/>
      <c r="X364" s="98"/>
      <c r="Y364" s="98"/>
      <c r="Z364" s="98"/>
    </row>
    <row r="365" spans="1:26" ht="15.75" customHeight="1">
      <c r="A365" s="547" t="s">
        <v>1486</v>
      </c>
      <c r="B365" s="548">
        <f t="shared" si="6"/>
        <v>45020</v>
      </c>
      <c r="C365" s="549">
        <v>45020</v>
      </c>
      <c r="D365" s="547">
        <v>4</v>
      </c>
      <c r="F365" s="517"/>
      <c r="G365" s="507"/>
      <c r="H365" s="507"/>
      <c r="I365" s="507"/>
      <c r="J365" s="507"/>
      <c r="K365" s="507"/>
      <c r="L365" s="98"/>
      <c r="M365" s="98"/>
      <c r="N365" s="98"/>
      <c r="O365" s="98"/>
      <c r="P365" s="98"/>
      <c r="Q365" s="98"/>
      <c r="R365" s="98"/>
      <c r="S365" s="98"/>
      <c r="T365" s="98"/>
      <c r="U365" s="98"/>
      <c r="V365" s="98"/>
      <c r="W365" s="98"/>
      <c r="X365" s="98"/>
      <c r="Y365" s="98"/>
      <c r="Z365" s="98"/>
    </row>
    <row r="366" spans="1:26" ht="15.75" customHeight="1">
      <c r="A366" s="544" t="s">
        <v>1487</v>
      </c>
      <c r="B366" s="545">
        <f t="shared" si="6"/>
        <v>45023</v>
      </c>
      <c r="C366" s="207">
        <v>45023</v>
      </c>
      <c r="D366" s="546">
        <v>5</v>
      </c>
      <c r="F366" s="517"/>
      <c r="G366" s="507"/>
      <c r="H366" s="507"/>
      <c r="I366" s="507"/>
      <c r="J366" s="507"/>
      <c r="K366" s="507"/>
      <c r="L366" s="98"/>
      <c r="M366" s="98"/>
      <c r="N366" s="98"/>
      <c r="O366" s="98"/>
      <c r="P366" s="98"/>
      <c r="Q366" s="98"/>
      <c r="R366" s="98"/>
      <c r="S366" s="98"/>
      <c r="T366" s="98"/>
      <c r="U366" s="98"/>
      <c r="V366" s="98"/>
      <c r="W366" s="98"/>
      <c r="X366" s="98"/>
      <c r="Y366" s="98"/>
      <c r="Z366" s="98"/>
    </row>
    <row r="367" spans="1:26" ht="15.75" customHeight="1">
      <c r="A367" s="547" t="s">
        <v>1488</v>
      </c>
      <c r="B367" s="548">
        <f t="shared" si="6"/>
        <v>45030</v>
      </c>
      <c r="C367" s="549">
        <v>45030</v>
      </c>
      <c r="D367" s="547">
        <v>6</v>
      </c>
      <c r="F367" s="517"/>
      <c r="G367" s="507"/>
      <c r="H367" s="507"/>
      <c r="I367" s="507"/>
      <c r="J367" s="507"/>
      <c r="K367" s="507"/>
      <c r="L367" s="98"/>
      <c r="M367" s="98"/>
      <c r="N367" s="98"/>
      <c r="O367" s="98"/>
      <c r="P367" s="98"/>
      <c r="Q367" s="98"/>
      <c r="R367" s="98"/>
      <c r="S367" s="98"/>
      <c r="T367" s="98"/>
      <c r="U367" s="98"/>
      <c r="V367" s="98"/>
      <c r="W367" s="98"/>
      <c r="X367" s="98"/>
      <c r="Y367" s="98"/>
      <c r="Z367" s="98"/>
    </row>
    <row r="368" spans="1:26" ht="15.75" customHeight="1">
      <c r="A368" s="544" t="s">
        <v>1489</v>
      </c>
      <c r="B368" s="545">
        <f t="shared" si="6"/>
        <v>45047</v>
      </c>
      <c r="C368" s="207">
        <v>45047</v>
      </c>
      <c r="D368" s="546">
        <v>7</v>
      </c>
      <c r="F368" s="517"/>
      <c r="G368" s="507"/>
      <c r="H368" s="507"/>
      <c r="I368" s="507"/>
      <c r="J368" s="507"/>
      <c r="K368" s="507"/>
      <c r="L368" s="98"/>
      <c r="M368" s="98"/>
      <c r="N368" s="98"/>
      <c r="O368" s="98"/>
      <c r="P368" s="98"/>
      <c r="Q368" s="98"/>
      <c r="R368" s="98"/>
      <c r="S368" s="98"/>
      <c r="T368" s="98"/>
      <c r="U368" s="98"/>
      <c r="V368" s="98"/>
      <c r="W368" s="98"/>
      <c r="X368" s="98"/>
      <c r="Y368" s="98"/>
      <c r="Z368" s="98"/>
    </row>
    <row r="369" spans="1:26" ht="15.75" customHeight="1">
      <c r="A369" s="547" t="s">
        <v>1490</v>
      </c>
      <c r="B369" s="548">
        <f t="shared" si="6"/>
        <v>45105</v>
      </c>
      <c r="C369" s="549">
        <v>45105</v>
      </c>
      <c r="D369" s="547">
        <v>8</v>
      </c>
      <c r="F369" s="517"/>
      <c r="G369" s="507"/>
      <c r="H369" s="507"/>
      <c r="I369" s="507"/>
      <c r="J369" s="507"/>
      <c r="K369" s="507"/>
      <c r="L369" s="98"/>
      <c r="M369" s="98"/>
      <c r="N369" s="98"/>
      <c r="O369" s="98"/>
      <c r="P369" s="98"/>
      <c r="Q369" s="98"/>
      <c r="R369" s="98"/>
      <c r="S369" s="98"/>
      <c r="T369" s="98"/>
      <c r="U369" s="98"/>
      <c r="V369" s="98"/>
      <c r="W369" s="98"/>
      <c r="X369" s="98"/>
      <c r="Y369" s="98"/>
      <c r="Z369" s="98"/>
    </row>
    <row r="370" spans="1:26" ht="15.75" customHeight="1">
      <c r="A370" s="544" t="s">
        <v>1491</v>
      </c>
      <c r="B370" s="545">
        <f t="shared" si="6"/>
        <v>45153</v>
      </c>
      <c r="C370" s="207">
        <v>45153</v>
      </c>
      <c r="D370" s="546">
        <v>9</v>
      </c>
      <c r="F370" s="517"/>
      <c r="G370" s="507"/>
      <c r="H370" s="507"/>
      <c r="I370" s="507"/>
      <c r="J370" s="507"/>
      <c r="K370" s="507"/>
      <c r="L370" s="98"/>
      <c r="M370" s="98"/>
      <c r="N370" s="98"/>
      <c r="O370" s="98"/>
      <c r="P370" s="98"/>
      <c r="Q370" s="98"/>
      <c r="R370" s="98"/>
      <c r="S370" s="98"/>
      <c r="T370" s="98"/>
      <c r="U370" s="98"/>
      <c r="V370" s="98"/>
      <c r="W370" s="98"/>
      <c r="X370" s="98"/>
      <c r="Y370" s="98"/>
      <c r="Z370" s="98"/>
    </row>
    <row r="371" spans="1:26" ht="15.75" customHeight="1">
      <c r="A371" s="547" t="s">
        <v>1492</v>
      </c>
      <c r="B371" s="548">
        <f t="shared" si="6"/>
        <v>45188</v>
      </c>
      <c r="C371" s="549">
        <v>45188</v>
      </c>
      <c r="D371" s="547">
        <v>10</v>
      </c>
      <c r="F371" s="517"/>
      <c r="G371" s="507"/>
      <c r="H371" s="507"/>
      <c r="I371" s="507"/>
      <c r="J371" s="507"/>
      <c r="K371" s="507"/>
      <c r="L371" s="98"/>
      <c r="M371" s="98"/>
      <c r="N371" s="98"/>
      <c r="O371" s="98"/>
      <c r="P371" s="98"/>
      <c r="Q371" s="98"/>
      <c r="R371" s="98"/>
      <c r="S371" s="98"/>
      <c r="T371" s="98"/>
      <c r="U371" s="98"/>
      <c r="V371" s="98"/>
      <c r="W371" s="98"/>
      <c r="X371" s="98"/>
      <c r="Y371" s="98"/>
      <c r="Z371" s="98"/>
    </row>
    <row r="372" spans="1:26" ht="15.75" customHeight="1">
      <c r="A372" s="544" t="s">
        <v>1493</v>
      </c>
      <c r="B372" s="545">
        <f t="shared" si="6"/>
        <v>45201</v>
      </c>
      <c r="C372" s="207">
        <v>45201</v>
      </c>
      <c r="D372" s="546">
        <v>11</v>
      </c>
      <c r="F372" s="517"/>
      <c r="G372" s="507"/>
      <c r="H372" s="507"/>
      <c r="I372" s="507"/>
      <c r="J372" s="507"/>
      <c r="K372" s="507"/>
      <c r="L372" s="98"/>
      <c r="M372" s="98"/>
      <c r="N372" s="98"/>
      <c r="O372" s="98"/>
      <c r="P372" s="98"/>
      <c r="Q372" s="98"/>
      <c r="R372" s="98"/>
      <c r="S372" s="98"/>
      <c r="T372" s="98"/>
      <c r="U372" s="98"/>
      <c r="V372" s="98"/>
      <c r="W372" s="98"/>
      <c r="X372" s="98"/>
      <c r="Y372" s="98"/>
      <c r="Z372" s="98"/>
    </row>
    <row r="373" spans="1:26" ht="15.75" customHeight="1">
      <c r="A373" s="547" t="s">
        <v>1494</v>
      </c>
      <c r="B373" s="548">
        <f t="shared" si="6"/>
        <v>45223</v>
      </c>
      <c r="C373" s="549">
        <v>45223</v>
      </c>
      <c r="D373" s="547">
        <v>12</v>
      </c>
      <c r="F373" s="517"/>
      <c r="G373" s="507"/>
      <c r="H373" s="507"/>
      <c r="I373" s="507"/>
      <c r="J373" s="507"/>
      <c r="K373" s="507"/>
      <c r="L373" s="98"/>
      <c r="M373" s="98"/>
      <c r="N373" s="98"/>
      <c r="O373" s="98"/>
      <c r="P373" s="98"/>
      <c r="Q373" s="98"/>
      <c r="R373" s="98"/>
      <c r="S373" s="98"/>
      <c r="T373" s="98"/>
      <c r="U373" s="98"/>
      <c r="V373" s="98"/>
      <c r="W373" s="98"/>
      <c r="X373" s="98"/>
      <c r="Y373" s="98"/>
      <c r="Z373" s="98"/>
    </row>
    <row r="374" spans="1:26" ht="15.75" customHeight="1">
      <c r="A374" s="544" t="s">
        <v>1495</v>
      </c>
      <c r="B374" s="545">
        <f t="shared" si="6"/>
        <v>45244</v>
      </c>
      <c r="C374" s="207">
        <v>45244</v>
      </c>
      <c r="D374" s="546">
        <v>13</v>
      </c>
      <c r="F374" s="517"/>
      <c r="G374" s="507"/>
      <c r="H374" s="507"/>
      <c r="I374" s="507"/>
      <c r="J374" s="507"/>
      <c r="K374" s="507"/>
      <c r="L374" s="98"/>
      <c r="M374" s="98"/>
      <c r="N374" s="98"/>
      <c r="O374" s="98"/>
      <c r="P374" s="98"/>
      <c r="Q374" s="98"/>
      <c r="R374" s="98"/>
      <c r="S374" s="98"/>
      <c r="T374" s="98"/>
      <c r="U374" s="98"/>
      <c r="V374" s="98"/>
      <c r="W374" s="98"/>
      <c r="X374" s="98"/>
      <c r="Y374" s="98"/>
      <c r="Z374" s="98"/>
    </row>
    <row r="375" spans="1:26" ht="15.75" customHeight="1">
      <c r="A375" s="547" t="s">
        <v>1496</v>
      </c>
      <c r="B375" s="548">
        <f t="shared" si="6"/>
        <v>45257</v>
      </c>
      <c r="C375" s="549">
        <v>45257</v>
      </c>
      <c r="D375" s="547">
        <v>14</v>
      </c>
      <c r="F375" s="517"/>
      <c r="G375" s="507"/>
      <c r="H375" s="507"/>
      <c r="I375" s="507"/>
      <c r="J375" s="507"/>
      <c r="K375" s="507"/>
      <c r="L375" s="98"/>
      <c r="M375" s="98"/>
      <c r="N375" s="98"/>
      <c r="O375" s="98"/>
      <c r="P375" s="98"/>
      <c r="Q375" s="98"/>
      <c r="R375" s="98"/>
      <c r="S375" s="98"/>
      <c r="T375" s="98"/>
      <c r="U375" s="98"/>
      <c r="V375" s="98"/>
      <c r="W375" s="98"/>
      <c r="X375" s="98"/>
      <c r="Y375" s="98"/>
      <c r="Z375" s="98"/>
    </row>
    <row r="376" spans="1:26" ht="15.75" customHeight="1">
      <c r="A376" s="544" t="s">
        <v>1497</v>
      </c>
      <c r="B376" s="545">
        <f t="shared" si="6"/>
        <v>45285</v>
      </c>
      <c r="C376" s="207">
        <v>45285</v>
      </c>
      <c r="D376" s="546">
        <v>15</v>
      </c>
      <c r="F376" s="517"/>
      <c r="G376" s="507"/>
      <c r="H376" s="507"/>
      <c r="I376" s="507"/>
      <c r="J376" s="507"/>
      <c r="K376" s="507"/>
      <c r="L376" s="98"/>
      <c r="M376" s="98"/>
      <c r="N376" s="98"/>
      <c r="O376" s="98"/>
      <c r="P376" s="98"/>
      <c r="Q376" s="98"/>
      <c r="R376" s="98"/>
      <c r="S376" s="98"/>
      <c r="T376" s="98"/>
      <c r="U376" s="98"/>
      <c r="V376" s="98"/>
      <c r="W376" s="98"/>
      <c r="X376" s="98"/>
      <c r="Y376" s="98"/>
      <c r="Z376" s="98"/>
    </row>
    <row r="377" spans="1:26" ht="15.75" customHeight="1">
      <c r="A377" s="550" t="s">
        <v>1498</v>
      </c>
      <c r="B377" s="551"/>
      <c r="C377" s="552"/>
      <c r="D377" s="552"/>
      <c r="F377" s="517"/>
      <c r="G377" s="507"/>
      <c r="H377" s="507"/>
      <c r="I377" s="507"/>
      <c r="J377" s="507"/>
      <c r="K377" s="507"/>
      <c r="L377" s="98"/>
      <c r="M377" s="98"/>
      <c r="N377" s="98"/>
      <c r="O377" s="98"/>
      <c r="P377" s="98"/>
      <c r="Q377" s="98"/>
      <c r="R377" s="98"/>
      <c r="S377" s="98"/>
      <c r="T377" s="98"/>
      <c r="U377" s="98"/>
      <c r="V377" s="98"/>
      <c r="W377" s="98"/>
      <c r="X377" s="98"/>
      <c r="Y377" s="98"/>
      <c r="Z377" s="98"/>
    </row>
    <row r="378" spans="1:26" ht="15.75" customHeight="1">
      <c r="A378" s="541" t="s">
        <v>1481</v>
      </c>
      <c r="B378" s="541" t="s">
        <v>1438</v>
      </c>
      <c r="C378" s="542" t="s">
        <v>0</v>
      </c>
      <c r="D378" s="543" t="s">
        <v>1482</v>
      </c>
      <c r="F378" s="43"/>
      <c r="G378" s="507"/>
      <c r="H378" s="507"/>
      <c r="I378" s="507"/>
      <c r="J378" s="507"/>
      <c r="K378" s="507"/>
      <c r="L378" s="98"/>
      <c r="M378" s="98"/>
      <c r="N378" s="98"/>
      <c r="O378" s="98"/>
      <c r="P378" s="98"/>
      <c r="Q378" s="98"/>
      <c r="R378" s="98"/>
      <c r="S378" s="98"/>
      <c r="T378" s="98"/>
      <c r="U378" s="98"/>
      <c r="V378" s="98"/>
      <c r="W378" s="98"/>
      <c r="X378" s="98"/>
      <c r="Y378" s="98"/>
      <c r="Z378" s="98"/>
    </row>
    <row r="379" spans="1:26" ht="15.75" customHeight="1">
      <c r="A379" s="544" t="s">
        <v>1499</v>
      </c>
      <c r="B379" s="545">
        <f t="shared" ref="B379:B382" si="7">C379</f>
        <v>44975</v>
      </c>
      <c r="C379" s="207">
        <v>44975</v>
      </c>
      <c r="D379" s="546">
        <v>1</v>
      </c>
      <c r="F379" s="517"/>
      <c r="G379" s="507"/>
      <c r="H379" s="507"/>
      <c r="I379" s="507"/>
      <c r="J379" s="507"/>
      <c r="K379" s="507"/>
      <c r="L379" s="98"/>
      <c r="M379" s="98"/>
      <c r="N379" s="98"/>
      <c r="O379" s="98"/>
      <c r="P379" s="98"/>
      <c r="Q379" s="98"/>
      <c r="R379" s="98"/>
      <c r="S379" s="98"/>
      <c r="T379" s="98"/>
      <c r="U379" s="98"/>
      <c r="V379" s="98"/>
      <c r="W379" s="98"/>
      <c r="X379" s="98"/>
      <c r="Y379" s="98"/>
      <c r="Z379" s="98"/>
    </row>
    <row r="380" spans="1:26" ht="15.75" customHeight="1">
      <c r="A380" s="547" t="s">
        <v>1500</v>
      </c>
      <c r="B380" s="548">
        <f t="shared" si="7"/>
        <v>45038</v>
      </c>
      <c r="C380" s="549">
        <v>45038</v>
      </c>
      <c r="D380" s="547">
        <v>2</v>
      </c>
      <c r="F380" s="517"/>
      <c r="G380" s="507"/>
      <c r="H380" s="507"/>
      <c r="I380" s="507"/>
      <c r="J380" s="507"/>
      <c r="K380" s="507"/>
      <c r="L380" s="98"/>
      <c r="M380" s="98"/>
      <c r="N380" s="98"/>
      <c r="O380" s="98"/>
      <c r="P380" s="98"/>
      <c r="Q380" s="98"/>
      <c r="R380" s="98"/>
      <c r="S380" s="98"/>
      <c r="T380" s="98"/>
      <c r="U380" s="98"/>
      <c r="V380" s="98"/>
      <c r="W380" s="98"/>
      <c r="X380" s="98"/>
      <c r="Y380" s="98"/>
      <c r="Z380" s="98"/>
    </row>
    <row r="381" spans="1:26" ht="15.75" customHeight="1">
      <c r="A381" s="544" t="s">
        <v>1501</v>
      </c>
      <c r="B381" s="545">
        <f t="shared" si="7"/>
        <v>45136</v>
      </c>
      <c r="C381" s="207">
        <v>45136</v>
      </c>
      <c r="D381" s="546">
        <v>3</v>
      </c>
      <c r="F381" s="517"/>
      <c r="G381" s="507"/>
      <c r="H381" s="507"/>
      <c r="I381" s="507"/>
      <c r="J381" s="507"/>
      <c r="K381" s="507"/>
      <c r="L381" s="98"/>
      <c r="M381" s="98"/>
      <c r="N381" s="98"/>
      <c r="O381" s="98"/>
      <c r="P381" s="98"/>
      <c r="Q381" s="98"/>
      <c r="R381" s="98"/>
      <c r="S381" s="98"/>
      <c r="T381" s="98"/>
      <c r="U381" s="98"/>
      <c r="V381" s="98"/>
      <c r="W381" s="98"/>
      <c r="X381" s="98"/>
      <c r="Y381" s="98"/>
      <c r="Z381" s="98"/>
    </row>
    <row r="382" spans="1:26" ht="15.75" customHeight="1">
      <c r="A382" s="547" t="s">
        <v>1502</v>
      </c>
      <c r="B382" s="548">
        <f t="shared" si="7"/>
        <v>45242</v>
      </c>
      <c r="C382" s="549">
        <v>45242</v>
      </c>
      <c r="D382" s="547">
        <v>4</v>
      </c>
      <c r="F382" s="517"/>
      <c r="G382" s="507"/>
      <c r="H382" s="507"/>
      <c r="I382" s="507"/>
      <c r="J382" s="507"/>
      <c r="K382" s="507"/>
      <c r="L382" s="98"/>
      <c r="M382" s="98"/>
      <c r="N382" s="98"/>
      <c r="O382" s="98"/>
      <c r="P382" s="98"/>
      <c r="Q382" s="98"/>
      <c r="R382" s="98"/>
      <c r="S382" s="98"/>
      <c r="T382" s="98"/>
      <c r="U382" s="98"/>
      <c r="V382" s="98"/>
      <c r="W382" s="98"/>
      <c r="X382" s="98"/>
      <c r="Y382" s="98"/>
      <c r="Z382" s="98"/>
    </row>
    <row r="383" spans="1:26" ht="15.75" customHeight="1"/>
    <row r="384" spans="1:26" ht="15.75" customHeight="1">
      <c r="A384" s="516"/>
      <c r="B384" s="546"/>
      <c r="C384" s="553"/>
      <c r="D384" s="546"/>
      <c r="E384" s="546"/>
      <c r="F384" s="517"/>
      <c r="G384" s="507"/>
      <c r="H384" s="507"/>
      <c r="I384" s="507"/>
      <c r="J384" s="507"/>
      <c r="K384" s="507"/>
      <c r="L384" s="98"/>
      <c r="M384" s="98"/>
      <c r="N384" s="98"/>
      <c r="O384" s="98"/>
      <c r="P384" s="98"/>
      <c r="Q384" s="98"/>
      <c r="R384" s="98"/>
      <c r="S384" s="98"/>
      <c r="T384" s="98"/>
      <c r="U384" s="98"/>
      <c r="V384" s="98"/>
      <c r="W384" s="98"/>
      <c r="X384" s="98"/>
      <c r="Y384" s="98"/>
      <c r="Z384" s="98"/>
    </row>
    <row r="385" spans="1:26" ht="15.75" customHeight="1">
      <c r="A385" s="540" t="s">
        <v>1503</v>
      </c>
      <c r="C385" s="552"/>
      <c r="D385" s="551"/>
      <c r="E385" s="552"/>
      <c r="F385" s="517"/>
      <c r="G385" s="507"/>
      <c r="H385" s="507"/>
      <c r="I385" s="507"/>
      <c r="J385" s="507"/>
      <c r="K385" s="507"/>
      <c r="L385" s="98"/>
      <c r="M385" s="98"/>
      <c r="N385" s="98"/>
      <c r="O385" s="98"/>
      <c r="P385" s="98"/>
      <c r="Q385" s="98"/>
      <c r="R385" s="98"/>
      <c r="S385" s="98"/>
      <c r="T385" s="98"/>
      <c r="U385" s="98"/>
      <c r="V385" s="98"/>
      <c r="W385" s="98"/>
      <c r="X385" s="98"/>
      <c r="Y385" s="98"/>
      <c r="Z385" s="98"/>
    </row>
    <row r="386" spans="1:26" ht="15.75" hidden="1" customHeight="1">
      <c r="A386" s="541" t="s">
        <v>1481</v>
      </c>
      <c r="B386" s="541" t="s">
        <v>1438</v>
      </c>
      <c r="C386" s="542" t="s">
        <v>0</v>
      </c>
      <c r="D386" s="543" t="s">
        <v>1482</v>
      </c>
      <c r="F386" s="517"/>
      <c r="G386" s="507"/>
      <c r="H386" s="507"/>
      <c r="I386" s="507"/>
      <c r="J386" s="507"/>
      <c r="K386" s="507"/>
      <c r="L386" s="98"/>
      <c r="M386" s="98"/>
      <c r="N386" s="98"/>
      <c r="O386" s="98"/>
      <c r="P386" s="98"/>
      <c r="Q386" s="98"/>
      <c r="R386" s="98"/>
      <c r="S386" s="98"/>
      <c r="T386" s="98"/>
      <c r="U386" s="98"/>
      <c r="V386" s="98"/>
      <c r="W386" s="98"/>
      <c r="X386" s="98"/>
      <c r="Y386" s="98"/>
      <c r="Z386" s="98"/>
    </row>
    <row r="387" spans="1:26" ht="15.75" hidden="1" customHeight="1">
      <c r="A387" s="544" t="s">
        <v>1483</v>
      </c>
      <c r="B387" s="545">
        <f t="shared" ref="B387:B399" si="8">C387</f>
        <v>44587</v>
      </c>
      <c r="C387" s="207">
        <v>44587</v>
      </c>
      <c r="D387" s="546">
        <v>1</v>
      </c>
      <c r="F387" s="517"/>
      <c r="G387" s="507"/>
      <c r="H387" s="507"/>
      <c r="I387" s="507"/>
      <c r="J387" s="507"/>
      <c r="K387" s="507"/>
      <c r="L387" s="98"/>
      <c r="M387" s="98"/>
      <c r="N387" s="98"/>
      <c r="O387" s="98"/>
      <c r="P387" s="98"/>
      <c r="Q387" s="98"/>
      <c r="R387" s="98"/>
      <c r="S387" s="98"/>
      <c r="T387" s="98"/>
      <c r="U387" s="98"/>
      <c r="V387" s="98"/>
      <c r="W387" s="98"/>
      <c r="X387" s="98"/>
      <c r="Y387" s="98"/>
      <c r="Z387" s="98"/>
    </row>
    <row r="388" spans="1:26" ht="15.75" hidden="1" customHeight="1">
      <c r="A388" s="547" t="s">
        <v>1499</v>
      </c>
      <c r="B388" s="548">
        <f t="shared" si="8"/>
        <v>44621</v>
      </c>
      <c r="C388" s="549">
        <v>44621</v>
      </c>
      <c r="D388" s="547">
        <v>2</v>
      </c>
      <c r="F388" s="517"/>
      <c r="G388" s="507"/>
      <c r="H388" s="507"/>
      <c r="I388" s="507"/>
      <c r="J388" s="507"/>
      <c r="K388" s="507"/>
      <c r="L388" s="98"/>
      <c r="M388" s="98"/>
      <c r="N388" s="98"/>
      <c r="O388" s="98"/>
      <c r="P388" s="98"/>
      <c r="Q388" s="98"/>
      <c r="R388" s="98"/>
      <c r="S388" s="98"/>
      <c r="T388" s="98"/>
      <c r="U388" s="98"/>
      <c r="V388" s="98"/>
      <c r="W388" s="98"/>
      <c r="X388" s="98"/>
      <c r="Y388" s="98"/>
      <c r="Z388" s="98"/>
    </row>
    <row r="389" spans="1:26" ht="15.75" hidden="1" customHeight="1">
      <c r="A389" s="544" t="s">
        <v>1484</v>
      </c>
      <c r="B389" s="545">
        <f t="shared" si="8"/>
        <v>44638</v>
      </c>
      <c r="C389" s="207">
        <v>44638</v>
      </c>
      <c r="D389" s="546">
        <v>3</v>
      </c>
      <c r="F389" s="517"/>
      <c r="G389" s="507"/>
      <c r="H389" s="507"/>
      <c r="I389" s="507"/>
      <c r="J389" s="507"/>
      <c r="K389" s="507"/>
      <c r="L389" s="98"/>
      <c r="M389" s="98"/>
      <c r="N389" s="98"/>
      <c r="O389" s="98"/>
      <c r="P389" s="98"/>
      <c r="Q389" s="98"/>
      <c r="R389" s="98"/>
      <c r="S389" s="98"/>
      <c r="T389" s="98"/>
      <c r="U389" s="98"/>
      <c r="V389" s="98"/>
      <c r="W389" s="98"/>
      <c r="X389" s="98"/>
      <c r="Y389" s="98"/>
      <c r="Z389" s="98"/>
    </row>
    <row r="390" spans="1:26" ht="15.75" hidden="1" customHeight="1">
      <c r="A390" s="547" t="s">
        <v>1504</v>
      </c>
      <c r="B390" s="548">
        <f t="shared" si="8"/>
        <v>44665</v>
      </c>
      <c r="C390" s="549">
        <v>44665</v>
      </c>
      <c r="D390" s="547">
        <v>4</v>
      </c>
      <c r="F390" s="517"/>
      <c r="G390" s="507"/>
      <c r="H390" s="507"/>
      <c r="I390" s="507"/>
      <c r="J390" s="507"/>
      <c r="K390" s="507"/>
      <c r="L390" s="98"/>
      <c r="M390" s="98"/>
      <c r="N390" s="98"/>
      <c r="O390" s="98"/>
      <c r="P390" s="98"/>
      <c r="Q390" s="98"/>
      <c r="R390" s="98"/>
      <c r="S390" s="98"/>
      <c r="T390" s="98"/>
      <c r="U390" s="98"/>
      <c r="V390" s="98"/>
      <c r="W390" s="98"/>
      <c r="X390" s="98"/>
      <c r="Y390" s="98"/>
      <c r="Z390" s="98"/>
    </row>
    <row r="391" spans="1:26" ht="15.75" hidden="1" customHeight="1">
      <c r="A391" s="544" t="s">
        <v>1487</v>
      </c>
      <c r="B391" s="545">
        <f t="shared" si="8"/>
        <v>44666</v>
      </c>
      <c r="C391" s="207">
        <v>44666</v>
      </c>
      <c r="D391" s="546">
        <v>5</v>
      </c>
      <c r="F391" s="517"/>
      <c r="G391" s="507"/>
      <c r="H391" s="507"/>
      <c r="I391" s="507"/>
      <c r="J391" s="507"/>
      <c r="K391" s="507"/>
      <c r="L391" s="98"/>
      <c r="M391" s="98"/>
      <c r="N391" s="98"/>
      <c r="O391" s="98"/>
      <c r="P391" s="98"/>
      <c r="Q391" s="98"/>
      <c r="R391" s="98"/>
      <c r="S391" s="98"/>
      <c r="T391" s="98"/>
      <c r="U391" s="98"/>
      <c r="V391" s="98"/>
      <c r="W391" s="98"/>
      <c r="X391" s="98"/>
      <c r="Y391" s="98"/>
      <c r="Z391" s="98"/>
    </row>
    <row r="392" spans="1:26" ht="15.75" hidden="1" customHeight="1">
      <c r="A392" s="547" t="s">
        <v>1505</v>
      </c>
      <c r="B392" s="548">
        <f t="shared" si="8"/>
        <v>44684</v>
      </c>
      <c r="C392" s="549">
        <v>44684</v>
      </c>
      <c r="D392" s="547">
        <v>6</v>
      </c>
      <c r="F392" s="517"/>
      <c r="G392" s="507"/>
      <c r="H392" s="507"/>
      <c r="I392" s="507"/>
      <c r="J392" s="507"/>
      <c r="K392" s="507"/>
      <c r="L392" s="98"/>
      <c r="M392" s="98"/>
      <c r="N392" s="98"/>
      <c r="O392" s="98"/>
      <c r="P392" s="98"/>
      <c r="Q392" s="98"/>
      <c r="R392" s="98"/>
      <c r="S392" s="98"/>
      <c r="T392" s="98"/>
      <c r="U392" s="98"/>
      <c r="V392" s="98"/>
      <c r="W392" s="98"/>
      <c r="X392" s="98"/>
      <c r="Y392" s="98"/>
      <c r="Z392" s="98"/>
    </row>
    <row r="393" spans="1:26" ht="15.75" hidden="1" customHeight="1">
      <c r="A393" s="544" t="s">
        <v>1506</v>
      </c>
      <c r="B393" s="545">
        <f t="shared" si="8"/>
        <v>44782</v>
      </c>
      <c r="C393" s="207">
        <v>44782</v>
      </c>
      <c r="D393" s="546">
        <v>7</v>
      </c>
      <c r="F393" s="517"/>
      <c r="G393" s="507"/>
      <c r="H393" s="507"/>
      <c r="I393" s="507"/>
      <c r="J393" s="507"/>
      <c r="K393" s="507"/>
      <c r="L393" s="98"/>
      <c r="M393" s="98"/>
      <c r="N393" s="98"/>
      <c r="O393" s="98"/>
      <c r="P393" s="98"/>
      <c r="Q393" s="98"/>
      <c r="R393" s="98"/>
      <c r="S393" s="98"/>
      <c r="T393" s="98"/>
      <c r="U393" s="98"/>
      <c r="V393" s="98"/>
      <c r="W393" s="98"/>
      <c r="X393" s="98"/>
      <c r="Y393" s="98"/>
      <c r="Z393" s="98"/>
    </row>
    <row r="394" spans="1:26" ht="15.75" hidden="1" customHeight="1">
      <c r="A394" s="547" t="s">
        <v>1491</v>
      </c>
      <c r="B394" s="548">
        <f t="shared" si="8"/>
        <v>44788</v>
      </c>
      <c r="C394" s="549">
        <v>44788</v>
      </c>
      <c r="D394" s="547">
        <v>8</v>
      </c>
      <c r="F394" s="517"/>
      <c r="G394" s="507"/>
      <c r="H394" s="507"/>
      <c r="I394" s="507"/>
      <c r="J394" s="507"/>
      <c r="K394" s="507"/>
      <c r="L394" s="98"/>
      <c r="M394" s="98"/>
      <c r="N394" s="98"/>
      <c r="O394" s="98"/>
      <c r="P394" s="98"/>
      <c r="Q394" s="98"/>
      <c r="R394" s="98"/>
      <c r="S394" s="98"/>
      <c r="T394" s="98"/>
      <c r="U394" s="98"/>
      <c r="V394" s="98"/>
      <c r="W394" s="98"/>
      <c r="X394" s="98"/>
      <c r="Y394" s="98"/>
      <c r="Z394" s="98"/>
    </row>
    <row r="395" spans="1:26" ht="15.75" hidden="1" customHeight="1">
      <c r="A395" s="544" t="s">
        <v>1492</v>
      </c>
      <c r="B395" s="545">
        <f t="shared" si="8"/>
        <v>44804</v>
      </c>
      <c r="C395" s="207">
        <v>44804</v>
      </c>
      <c r="D395" s="546">
        <v>9</v>
      </c>
      <c r="F395" s="517"/>
      <c r="G395" s="507"/>
      <c r="H395" s="507"/>
      <c r="I395" s="507"/>
      <c r="J395" s="507"/>
      <c r="K395" s="507"/>
      <c r="L395" s="98"/>
      <c r="M395" s="98"/>
      <c r="N395" s="98"/>
      <c r="O395" s="98"/>
      <c r="P395" s="98"/>
      <c r="Q395" s="98"/>
      <c r="R395" s="98"/>
      <c r="S395" s="98"/>
      <c r="T395" s="98"/>
      <c r="U395" s="98"/>
      <c r="V395" s="98"/>
      <c r="W395" s="98"/>
      <c r="X395" s="98"/>
      <c r="Y395" s="98"/>
      <c r="Z395" s="98"/>
    </row>
    <row r="396" spans="1:26" ht="15.75" hidden="1" customHeight="1">
      <c r="A396" s="547" t="s">
        <v>1494</v>
      </c>
      <c r="B396" s="548">
        <f t="shared" si="8"/>
        <v>44839</v>
      </c>
      <c r="C396" s="549">
        <v>44839</v>
      </c>
      <c r="D396" s="547">
        <v>10</v>
      </c>
      <c r="F396" s="517"/>
      <c r="G396" s="507"/>
      <c r="H396" s="507"/>
      <c r="I396" s="507"/>
      <c r="J396" s="507"/>
      <c r="K396" s="507"/>
      <c r="L396" s="98"/>
      <c r="M396" s="98"/>
      <c r="N396" s="98"/>
      <c r="O396" s="98"/>
      <c r="P396" s="98"/>
      <c r="Q396" s="98"/>
      <c r="R396" s="98"/>
      <c r="S396" s="98"/>
      <c r="T396" s="98"/>
      <c r="U396" s="98"/>
      <c r="V396" s="98"/>
      <c r="W396" s="98"/>
      <c r="X396" s="98"/>
      <c r="Y396" s="98"/>
      <c r="Z396" s="98"/>
    </row>
    <row r="397" spans="1:26" ht="15.75" hidden="1" customHeight="1">
      <c r="A397" s="544" t="s">
        <v>1502</v>
      </c>
      <c r="B397" s="545">
        <f t="shared" si="8"/>
        <v>44858</v>
      </c>
      <c r="C397" s="207">
        <v>44858</v>
      </c>
      <c r="D397" s="546">
        <v>11</v>
      </c>
      <c r="F397" s="517"/>
      <c r="G397" s="507"/>
      <c r="H397" s="507"/>
      <c r="I397" s="507"/>
      <c r="J397" s="507"/>
      <c r="K397" s="507"/>
      <c r="L397" s="98"/>
      <c r="M397" s="98"/>
      <c r="N397" s="98"/>
      <c r="O397" s="98"/>
      <c r="P397" s="98"/>
      <c r="Q397" s="98"/>
      <c r="R397" s="98"/>
      <c r="S397" s="98"/>
      <c r="T397" s="98"/>
      <c r="U397" s="98"/>
      <c r="V397" s="98"/>
      <c r="W397" s="98"/>
      <c r="X397" s="98"/>
      <c r="Y397" s="98"/>
      <c r="Z397" s="98"/>
    </row>
    <row r="398" spans="1:26" ht="15.75" hidden="1" customHeight="1">
      <c r="A398" s="547" t="s">
        <v>1495</v>
      </c>
      <c r="B398" s="548">
        <f t="shared" si="8"/>
        <v>44860</v>
      </c>
      <c r="C398" s="549">
        <v>44860</v>
      </c>
      <c r="D398" s="547">
        <v>12</v>
      </c>
      <c r="F398" s="517"/>
      <c r="G398" s="507"/>
      <c r="H398" s="507"/>
      <c r="I398" s="507"/>
      <c r="J398" s="507"/>
      <c r="K398" s="507"/>
      <c r="L398" s="98"/>
      <c r="M398" s="98"/>
      <c r="N398" s="98"/>
      <c r="O398" s="98"/>
      <c r="P398" s="98"/>
      <c r="Q398" s="98"/>
      <c r="R398" s="98"/>
      <c r="S398" s="98"/>
      <c r="T398" s="98"/>
      <c r="U398" s="98"/>
      <c r="V398" s="98"/>
      <c r="W398" s="98"/>
      <c r="X398" s="98"/>
      <c r="Y398" s="98"/>
      <c r="Z398" s="98"/>
    </row>
    <row r="399" spans="1:26" ht="15.75" hidden="1" customHeight="1">
      <c r="A399" s="544" t="s">
        <v>1496</v>
      </c>
      <c r="B399" s="545">
        <f t="shared" si="8"/>
        <v>44873</v>
      </c>
      <c r="C399" s="207">
        <v>44873</v>
      </c>
      <c r="D399" s="546">
        <v>13</v>
      </c>
      <c r="F399" s="517"/>
      <c r="G399" s="507"/>
      <c r="H399" s="507"/>
      <c r="I399" s="507"/>
      <c r="J399" s="507"/>
      <c r="K399" s="507"/>
      <c r="L399" s="98"/>
      <c r="M399" s="98"/>
      <c r="N399" s="98"/>
      <c r="O399" s="98"/>
      <c r="P399" s="98"/>
      <c r="Q399" s="98"/>
      <c r="R399" s="98"/>
      <c r="S399" s="98"/>
      <c r="T399" s="98"/>
      <c r="U399" s="98"/>
      <c r="V399" s="98"/>
      <c r="W399" s="98"/>
      <c r="X399" s="98"/>
      <c r="Y399" s="98"/>
      <c r="Z399" s="98"/>
    </row>
    <row r="400" spans="1:26" ht="15.75" hidden="1" customHeight="1">
      <c r="A400" s="554" t="s">
        <v>1498</v>
      </c>
      <c r="B400" s="551"/>
      <c r="C400" s="552"/>
      <c r="F400" s="517"/>
      <c r="G400" s="507"/>
      <c r="H400" s="507"/>
      <c r="I400" s="507"/>
      <c r="J400" s="507"/>
      <c r="K400" s="507"/>
      <c r="L400" s="98"/>
      <c r="M400" s="98"/>
      <c r="N400" s="98"/>
      <c r="O400" s="98"/>
      <c r="P400" s="98"/>
      <c r="Q400" s="98"/>
      <c r="R400" s="98"/>
      <c r="S400" s="98"/>
      <c r="T400" s="98"/>
      <c r="U400" s="98"/>
      <c r="V400" s="98"/>
      <c r="W400" s="98"/>
      <c r="X400" s="98"/>
      <c r="Y400" s="98"/>
      <c r="Z400" s="98"/>
    </row>
    <row r="401" spans="1:26" ht="15.75" hidden="1" customHeight="1">
      <c r="A401" s="541" t="s">
        <v>1481</v>
      </c>
      <c r="B401" s="541" t="s">
        <v>1438</v>
      </c>
      <c r="C401" s="542" t="s">
        <v>0</v>
      </c>
      <c r="D401" s="543" t="s">
        <v>1482</v>
      </c>
      <c r="F401" s="517"/>
      <c r="G401" s="507"/>
      <c r="H401" s="507"/>
      <c r="I401" s="507"/>
      <c r="J401" s="507"/>
      <c r="K401" s="507"/>
      <c r="L401" s="98"/>
      <c r="M401" s="98"/>
      <c r="N401" s="98"/>
      <c r="O401" s="98"/>
      <c r="P401" s="98"/>
      <c r="Q401" s="98"/>
      <c r="R401" s="98"/>
      <c r="S401" s="98"/>
      <c r="T401" s="98"/>
      <c r="U401" s="98"/>
      <c r="V401" s="98"/>
      <c r="W401" s="98"/>
      <c r="X401" s="98"/>
      <c r="Y401" s="98"/>
      <c r="Z401" s="98"/>
    </row>
    <row r="402" spans="1:26" ht="15.75" hidden="1" customHeight="1">
      <c r="A402" s="544" t="s">
        <v>1485</v>
      </c>
      <c r="B402" s="545">
        <f t="shared" ref="B402:B406" si="9">C402</f>
        <v>44661</v>
      </c>
      <c r="C402" s="207">
        <v>44661</v>
      </c>
      <c r="D402" s="546">
        <v>1</v>
      </c>
      <c r="F402" s="517"/>
      <c r="G402" s="507"/>
      <c r="H402" s="507"/>
      <c r="I402" s="507"/>
      <c r="J402" s="507"/>
      <c r="K402" s="507"/>
      <c r="L402" s="98"/>
      <c r="M402" s="98"/>
      <c r="N402" s="98"/>
      <c r="O402" s="98"/>
      <c r="P402" s="98"/>
      <c r="Q402" s="98"/>
      <c r="R402" s="98"/>
      <c r="S402" s="98"/>
      <c r="T402" s="98"/>
      <c r="U402" s="98"/>
      <c r="V402" s="98"/>
      <c r="W402" s="98"/>
      <c r="X402" s="98"/>
      <c r="Y402" s="98"/>
      <c r="Z402" s="98"/>
    </row>
    <row r="403" spans="1:26" ht="15.75" hidden="1" customHeight="1">
      <c r="A403" s="547" t="s">
        <v>1489</v>
      </c>
      <c r="B403" s="548">
        <f t="shared" si="9"/>
        <v>44682</v>
      </c>
      <c r="C403" s="549">
        <v>44682</v>
      </c>
      <c r="D403" s="547">
        <v>2</v>
      </c>
      <c r="F403" s="517"/>
      <c r="G403" s="507"/>
      <c r="H403" s="507"/>
      <c r="I403" s="507"/>
      <c r="J403" s="507"/>
      <c r="K403" s="507"/>
      <c r="L403" s="98"/>
      <c r="M403" s="98"/>
      <c r="N403" s="98"/>
      <c r="O403" s="98"/>
      <c r="P403" s="98"/>
      <c r="Q403" s="98"/>
      <c r="R403" s="98"/>
      <c r="S403" s="98"/>
      <c r="T403" s="98"/>
      <c r="U403" s="98"/>
      <c r="V403" s="98"/>
      <c r="W403" s="98"/>
      <c r="X403" s="98"/>
      <c r="Y403" s="98"/>
      <c r="Z403" s="98"/>
    </row>
    <row r="404" spans="1:26" ht="15.75" hidden="1" customHeight="1">
      <c r="A404" s="544" t="s">
        <v>1490</v>
      </c>
      <c r="B404" s="545">
        <f t="shared" si="9"/>
        <v>44752</v>
      </c>
      <c r="C404" s="207">
        <v>44752</v>
      </c>
      <c r="D404" s="546">
        <v>3</v>
      </c>
      <c r="F404" s="517"/>
      <c r="G404" s="507"/>
      <c r="H404" s="507"/>
      <c r="I404" s="507"/>
      <c r="J404" s="507"/>
      <c r="K404" s="507"/>
      <c r="L404" s="98"/>
      <c r="M404" s="98"/>
      <c r="N404" s="98"/>
      <c r="O404" s="98"/>
      <c r="P404" s="98"/>
      <c r="Q404" s="98"/>
      <c r="R404" s="98"/>
      <c r="S404" s="98"/>
      <c r="T404" s="98"/>
      <c r="U404" s="98"/>
      <c r="V404" s="98"/>
      <c r="W404" s="98"/>
      <c r="X404" s="98"/>
      <c r="Y404" s="98"/>
      <c r="Z404" s="98"/>
    </row>
    <row r="405" spans="1:26" ht="15.75" hidden="1" customHeight="1">
      <c r="A405" s="547" t="s">
        <v>1493</v>
      </c>
      <c r="B405" s="548">
        <f t="shared" si="9"/>
        <v>44836</v>
      </c>
      <c r="C405" s="549">
        <v>44836</v>
      </c>
      <c r="D405" s="547">
        <v>4</v>
      </c>
      <c r="F405" s="517"/>
      <c r="G405" s="507"/>
      <c r="H405" s="507"/>
      <c r="I405" s="507"/>
      <c r="J405" s="507"/>
      <c r="K405" s="507"/>
      <c r="L405" s="98"/>
      <c r="M405" s="98"/>
      <c r="N405" s="98"/>
      <c r="O405" s="98"/>
      <c r="P405" s="98"/>
      <c r="Q405" s="98"/>
      <c r="R405" s="98"/>
      <c r="S405" s="98"/>
      <c r="T405" s="98"/>
      <c r="U405" s="98"/>
      <c r="V405" s="98"/>
      <c r="W405" s="98"/>
      <c r="X405" s="98"/>
      <c r="Y405" s="98"/>
      <c r="Z405" s="98"/>
    </row>
    <row r="406" spans="1:26" ht="15.75" hidden="1" customHeight="1">
      <c r="A406" s="544" t="s">
        <v>1497</v>
      </c>
      <c r="B406" s="545">
        <f t="shared" si="9"/>
        <v>44920</v>
      </c>
      <c r="C406" s="207">
        <v>44920</v>
      </c>
      <c r="D406" s="546">
        <v>5</v>
      </c>
      <c r="F406" s="517"/>
      <c r="G406" s="507"/>
      <c r="H406" s="507"/>
      <c r="I406" s="507"/>
      <c r="J406" s="507"/>
      <c r="K406" s="507"/>
      <c r="L406" s="98"/>
      <c r="M406" s="98"/>
      <c r="N406" s="98"/>
      <c r="O406" s="98"/>
      <c r="P406" s="98"/>
      <c r="Q406" s="98"/>
      <c r="R406" s="98"/>
      <c r="S406" s="98"/>
      <c r="T406" s="98"/>
      <c r="U406" s="98"/>
      <c r="V406" s="98"/>
      <c r="W406" s="98"/>
      <c r="X406" s="98"/>
      <c r="Y406" s="98"/>
      <c r="Z406" s="98"/>
    </row>
    <row r="407" spans="1:26" ht="15.75" hidden="1" customHeight="1">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spans="1:26" ht="15.75" customHeight="1">
      <c r="A408" s="540" t="s">
        <v>1507</v>
      </c>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spans="1:26" ht="15.75" hidden="1" customHeight="1">
      <c r="A409" s="541" t="s">
        <v>1481</v>
      </c>
      <c r="B409" s="541" t="s">
        <v>1438</v>
      </c>
      <c r="C409" s="542" t="s">
        <v>0</v>
      </c>
      <c r="D409" s="543" t="s">
        <v>1482</v>
      </c>
      <c r="F409" s="517"/>
      <c r="G409" s="507"/>
      <c r="H409" s="507"/>
      <c r="I409" s="507"/>
      <c r="J409" s="507"/>
      <c r="K409" s="507"/>
      <c r="L409" s="98"/>
      <c r="M409" s="98"/>
      <c r="N409" s="98"/>
      <c r="O409" s="98"/>
      <c r="P409" s="98"/>
      <c r="Q409" s="98"/>
      <c r="R409" s="98"/>
      <c r="S409" s="98"/>
      <c r="T409" s="98"/>
      <c r="U409" s="98"/>
      <c r="V409" s="98"/>
      <c r="W409" s="98"/>
      <c r="X409" s="98"/>
      <c r="Y409" s="98"/>
      <c r="Z409" s="98"/>
    </row>
    <row r="410" spans="1:26" ht="15.75" hidden="1" customHeight="1">
      <c r="A410" s="544" t="s">
        <v>1483</v>
      </c>
      <c r="B410" s="545">
        <f t="shared" ref="B410:B423" si="10">C410</f>
        <v>44222</v>
      </c>
      <c r="C410" s="207">
        <v>44222</v>
      </c>
      <c r="D410" s="546">
        <v>1</v>
      </c>
      <c r="F410" s="517"/>
      <c r="G410" s="507"/>
      <c r="H410" s="507"/>
      <c r="I410" s="507"/>
      <c r="J410" s="507"/>
      <c r="K410" s="507"/>
      <c r="L410" s="98"/>
      <c r="M410" s="98"/>
      <c r="N410" s="98"/>
      <c r="O410" s="98"/>
      <c r="P410" s="98"/>
      <c r="Q410" s="98"/>
      <c r="R410" s="98"/>
      <c r="S410" s="98"/>
      <c r="T410" s="98"/>
      <c r="U410" s="98"/>
      <c r="V410" s="98"/>
      <c r="W410" s="98"/>
      <c r="X410" s="98"/>
      <c r="Y410" s="98"/>
      <c r="Z410" s="98"/>
    </row>
    <row r="411" spans="1:26" ht="15.75" hidden="1" customHeight="1">
      <c r="A411" s="547" t="s">
        <v>1499</v>
      </c>
      <c r="B411" s="548">
        <f t="shared" si="10"/>
        <v>44266</v>
      </c>
      <c r="C411" s="549">
        <v>44266</v>
      </c>
      <c r="D411" s="547">
        <v>2</v>
      </c>
      <c r="F411" s="517"/>
      <c r="G411" s="507"/>
      <c r="H411" s="507"/>
      <c r="I411" s="507"/>
      <c r="J411" s="507"/>
      <c r="K411" s="507"/>
      <c r="L411" s="98"/>
      <c r="M411" s="98"/>
      <c r="N411" s="98"/>
      <c r="O411" s="98"/>
      <c r="P411" s="98"/>
      <c r="Q411" s="98"/>
      <c r="R411" s="98"/>
      <c r="S411" s="98"/>
      <c r="T411" s="98"/>
      <c r="U411" s="98"/>
      <c r="V411" s="98"/>
      <c r="W411" s="98"/>
      <c r="X411" s="98"/>
      <c r="Y411" s="98"/>
      <c r="Z411" s="98"/>
    </row>
    <row r="412" spans="1:26" ht="15.75" hidden="1" customHeight="1">
      <c r="A412" s="544" t="s">
        <v>1484</v>
      </c>
      <c r="B412" s="545">
        <f t="shared" si="10"/>
        <v>44284</v>
      </c>
      <c r="C412" s="207">
        <v>44284</v>
      </c>
      <c r="D412" s="546">
        <v>3</v>
      </c>
      <c r="F412" s="517"/>
      <c r="G412" s="507"/>
      <c r="H412" s="507"/>
      <c r="I412" s="507"/>
      <c r="J412" s="507"/>
      <c r="K412" s="507"/>
      <c r="L412" s="98"/>
      <c r="M412" s="98"/>
      <c r="N412" s="98"/>
      <c r="O412" s="98"/>
      <c r="P412" s="98"/>
      <c r="Q412" s="98"/>
      <c r="R412" s="98"/>
      <c r="S412" s="98"/>
      <c r="T412" s="98"/>
      <c r="U412" s="98"/>
      <c r="V412" s="98"/>
      <c r="W412" s="98"/>
      <c r="X412" s="98"/>
      <c r="Y412" s="98"/>
      <c r="Z412" s="98"/>
    </row>
    <row r="413" spans="1:26" ht="15.75" hidden="1" customHeight="1">
      <c r="A413" s="547" t="s">
        <v>1487</v>
      </c>
      <c r="B413" s="548">
        <f t="shared" si="10"/>
        <v>44288</v>
      </c>
      <c r="C413" s="549">
        <v>44288</v>
      </c>
      <c r="D413" s="547">
        <v>4</v>
      </c>
      <c r="F413" s="517"/>
      <c r="G413" s="507"/>
      <c r="H413" s="507"/>
      <c r="I413" s="507"/>
      <c r="J413" s="507"/>
      <c r="K413" s="507"/>
      <c r="L413" s="98"/>
      <c r="M413" s="98"/>
      <c r="N413" s="98"/>
      <c r="O413" s="98"/>
      <c r="P413" s="98"/>
      <c r="Q413" s="98"/>
      <c r="R413" s="98"/>
      <c r="S413" s="98"/>
      <c r="T413" s="98"/>
      <c r="U413" s="98"/>
      <c r="V413" s="98"/>
      <c r="W413" s="98"/>
      <c r="X413" s="98"/>
      <c r="Y413" s="98"/>
      <c r="Z413" s="98"/>
    </row>
    <row r="414" spans="1:26" ht="15.75" hidden="1" customHeight="1">
      <c r="A414" s="544" t="s">
        <v>1508</v>
      </c>
      <c r="B414" s="545">
        <f t="shared" si="10"/>
        <v>44300</v>
      </c>
      <c r="C414" s="207">
        <v>44300</v>
      </c>
      <c r="D414" s="546">
        <v>5</v>
      </c>
      <c r="F414" s="517"/>
      <c r="G414" s="507"/>
      <c r="H414" s="507"/>
      <c r="I414" s="507"/>
      <c r="J414" s="507"/>
      <c r="K414" s="507"/>
      <c r="L414" s="98"/>
      <c r="M414" s="98"/>
      <c r="N414" s="98"/>
      <c r="O414" s="98"/>
      <c r="P414" s="98"/>
      <c r="Q414" s="98"/>
      <c r="R414" s="98"/>
      <c r="S414" s="98"/>
      <c r="T414" s="98"/>
      <c r="U414" s="98"/>
      <c r="V414" s="98"/>
      <c r="W414" s="98"/>
      <c r="X414" s="98"/>
      <c r="Y414" s="98"/>
      <c r="Z414" s="98"/>
    </row>
    <row r="415" spans="1:26" ht="15.75" hidden="1" customHeight="1">
      <c r="A415" s="547" t="s">
        <v>1485</v>
      </c>
      <c r="B415" s="548">
        <f t="shared" si="10"/>
        <v>44307</v>
      </c>
      <c r="C415" s="549">
        <v>44307</v>
      </c>
      <c r="D415" s="547">
        <v>6</v>
      </c>
      <c r="F415" s="517"/>
      <c r="G415" s="507"/>
      <c r="H415" s="507"/>
      <c r="I415" s="507"/>
      <c r="J415" s="507"/>
      <c r="K415" s="507"/>
      <c r="L415" s="98"/>
      <c r="M415" s="98"/>
      <c r="N415" s="98"/>
      <c r="O415" s="98"/>
      <c r="P415" s="98"/>
      <c r="Q415" s="98"/>
      <c r="R415" s="98"/>
      <c r="S415" s="98"/>
      <c r="T415" s="98"/>
      <c r="U415" s="98"/>
      <c r="V415" s="98"/>
      <c r="W415" s="98"/>
      <c r="X415" s="98"/>
      <c r="Y415" s="98"/>
      <c r="Z415" s="98"/>
    </row>
    <row r="416" spans="1:26" ht="15.75" hidden="1" customHeight="1">
      <c r="A416" s="544" t="s">
        <v>1509</v>
      </c>
      <c r="B416" s="545">
        <f t="shared" si="10"/>
        <v>44329</v>
      </c>
      <c r="C416" s="207">
        <v>44329</v>
      </c>
      <c r="D416" s="546">
        <v>7</v>
      </c>
      <c r="F416" s="517"/>
      <c r="G416" s="507"/>
      <c r="H416" s="507"/>
      <c r="I416" s="507"/>
      <c r="J416" s="507"/>
      <c r="K416" s="507"/>
      <c r="L416" s="98"/>
      <c r="M416" s="98"/>
      <c r="N416" s="98"/>
      <c r="O416" s="98"/>
      <c r="P416" s="98"/>
      <c r="Q416" s="98"/>
      <c r="R416" s="98"/>
      <c r="S416" s="98"/>
      <c r="T416" s="98"/>
      <c r="U416" s="98"/>
      <c r="V416" s="98"/>
      <c r="W416" s="98"/>
      <c r="X416" s="98"/>
      <c r="Y416" s="98"/>
      <c r="Z416" s="98"/>
    </row>
    <row r="417" spans="1:26" ht="15.75" hidden="1" customHeight="1">
      <c r="A417" s="547" t="s">
        <v>1490</v>
      </c>
      <c r="B417" s="548">
        <f t="shared" si="10"/>
        <v>44398</v>
      </c>
      <c r="C417" s="549">
        <v>44398</v>
      </c>
      <c r="D417" s="547">
        <v>8</v>
      </c>
      <c r="F417" s="517"/>
      <c r="G417" s="507"/>
      <c r="H417" s="507"/>
      <c r="I417" s="507"/>
      <c r="J417" s="507"/>
      <c r="K417" s="507"/>
      <c r="L417" s="98"/>
      <c r="M417" s="98"/>
      <c r="N417" s="98"/>
      <c r="O417" s="98"/>
      <c r="P417" s="98"/>
      <c r="Q417" s="98"/>
      <c r="R417" s="98"/>
      <c r="S417" s="98"/>
      <c r="T417" s="98"/>
      <c r="U417" s="98"/>
      <c r="V417" s="98"/>
      <c r="W417" s="98"/>
      <c r="X417" s="98"/>
      <c r="Y417" s="98"/>
      <c r="Z417" s="98"/>
    </row>
    <row r="418" spans="1:26" ht="15.75" hidden="1" customHeight="1">
      <c r="A418" s="544" t="s">
        <v>1501</v>
      </c>
      <c r="B418" s="545">
        <f t="shared" si="10"/>
        <v>44427</v>
      </c>
      <c r="C418" s="207">
        <v>44427</v>
      </c>
      <c r="D418" s="546">
        <v>9</v>
      </c>
      <c r="F418" s="517"/>
      <c r="G418" s="507"/>
      <c r="H418" s="507"/>
      <c r="I418" s="507"/>
      <c r="J418" s="507"/>
      <c r="K418" s="507"/>
      <c r="L418" s="98"/>
      <c r="M418" s="98"/>
      <c r="N418" s="98"/>
      <c r="O418" s="98"/>
      <c r="P418" s="98"/>
      <c r="Q418" s="98"/>
      <c r="R418" s="98"/>
      <c r="S418" s="98"/>
      <c r="T418" s="98"/>
      <c r="U418" s="98"/>
      <c r="V418" s="98"/>
      <c r="W418" s="98"/>
      <c r="X418" s="98"/>
      <c r="Y418" s="98"/>
      <c r="Z418" s="98"/>
    </row>
    <row r="419" spans="1:26" ht="15.75" hidden="1" customHeight="1">
      <c r="A419" s="547" t="s">
        <v>1492</v>
      </c>
      <c r="B419" s="548">
        <f t="shared" si="10"/>
        <v>44449</v>
      </c>
      <c r="C419" s="549">
        <v>44449</v>
      </c>
      <c r="D419" s="547">
        <v>10</v>
      </c>
      <c r="F419" s="517"/>
      <c r="G419" s="507"/>
      <c r="H419" s="507"/>
      <c r="I419" s="507"/>
      <c r="J419" s="507"/>
      <c r="K419" s="507"/>
      <c r="L419" s="98"/>
      <c r="M419" s="98"/>
      <c r="N419" s="98"/>
      <c r="O419" s="98"/>
      <c r="P419" s="98"/>
      <c r="Q419" s="98"/>
      <c r="R419" s="98"/>
      <c r="S419" s="98"/>
      <c r="T419" s="98"/>
      <c r="U419" s="98"/>
      <c r="V419" s="98"/>
      <c r="W419" s="98"/>
      <c r="X419" s="98"/>
      <c r="Y419" s="98"/>
      <c r="Z419" s="98"/>
    </row>
    <row r="420" spans="1:26" ht="15.75" hidden="1" customHeight="1">
      <c r="A420" s="544" t="s">
        <v>1494</v>
      </c>
      <c r="B420" s="545">
        <f t="shared" si="10"/>
        <v>44484</v>
      </c>
      <c r="C420" s="207">
        <v>44484</v>
      </c>
      <c r="D420" s="546">
        <v>11</v>
      </c>
      <c r="F420" s="517"/>
      <c r="G420" s="507"/>
      <c r="H420" s="507"/>
      <c r="I420" s="507"/>
      <c r="J420" s="507"/>
      <c r="K420" s="507"/>
      <c r="L420" s="98"/>
      <c r="M420" s="98"/>
      <c r="N420" s="98"/>
      <c r="O420" s="98"/>
      <c r="P420" s="98"/>
      <c r="Q420" s="98"/>
      <c r="R420" s="98"/>
      <c r="S420" s="98"/>
      <c r="T420" s="98"/>
      <c r="U420" s="98"/>
      <c r="V420" s="98"/>
      <c r="W420" s="98"/>
      <c r="X420" s="98"/>
      <c r="Y420" s="98"/>
      <c r="Z420" s="98"/>
    </row>
    <row r="421" spans="1:26" hidden="1">
      <c r="A421" s="547" t="s">
        <v>1510</v>
      </c>
      <c r="B421" s="548">
        <f t="shared" si="10"/>
        <v>44504</v>
      </c>
      <c r="C421" s="549">
        <v>44504</v>
      </c>
      <c r="D421" s="547">
        <v>12</v>
      </c>
      <c r="F421" s="517"/>
      <c r="G421" s="507"/>
      <c r="H421" s="507"/>
      <c r="I421" s="507"/>
      <c r="J421" s="507"/>
      <c r="K421" s="507"/>
      <c r="L421" s="98"/>
      <c r="M421" s="98"/>
      <c r="N421" s="98"/>
      <c r="O421" s="98"/>
      <c r="P421" s="98"/>
      <c r="Q421" s="98"/>
      <c r="R421" s="98"/>
      <c r="S421" s="98"/>
      <c r="T421" s="98"/>
      <c r="U421" s="98"/>
      <c r="V421" s="98"/>
      <c r="W421" s="98"/>
      <c r="X421" s="98"/>
      <c r="Y421" s="98"/>
      <c r="Z421" s="98"/>
    </row>
    <row r="422" spans="1:26" hidden="1">
      <c r="A422" s="544" t="s">
        <v>1511</v>
      </c>
      <c r="B422" s="545">
        <f t="shared" si="10"/>
        <v>44505</v>
      </c>
      <c r="C422" s="207">
        <v>44505</v>
      </c>
      <c r="D422" s="546">
        <v>13</v>
      </c>
      <c r="F422" s="517"/>
      <c r="G422" s="507"/>
      <c r="H422" s="507"/>
      <c r="I422" s="507"/>
      <c r="J422" s="507"/>
      <c r="K422" s="507"/>
      <c r="L422" s="98"/>
      <c r="M422" s="98"/>
      <c r="N422" s="98"/>
      <c r="O422" s="98"/>
      <c r="P422" s="98"/>
      <c r="Q422" s="98"/>
      <c r="R422" s="98"/>
      <c r="S422" s="98"/>
      <c r="T422" s="98"/>
      <c r="U422" s="98"/>
      <c r="V422" s="98"/>
      <c r="W422" s="98"/>
      <c r="X422" s="98"/>
      <c r="Y422" s="98"/>
      <c r="Z422" s="98"/>
    </row>
    <row r="423" spans="1:26" hidden="1">
      <c r="A423" s="547" t="s">
        <v>1496</v>
      </c>
      <c r="B423" s="548">
        <f t="shared" si="10"/>
        <v>44519</v>
      </c>
      <c r="C423" s="549">
        <v>44519</v>
      </c>
      <c r="D423" s="547">
        <v>14</v>
      </c>
      <c r="F423" s="517"/>
      <c r="G423" s="507"/>
      <c r="H423" s="507"/>
      <c r="I423" s="507"/>
      <c r="J423" s="507"/>
      <c r="K423" s="507"/>
      <c r="L423" s="98"/>
      <c r="M423" s="98"/>
      <c r="N423" s="98"/>
      <c r="O423" s="98"/>
      <c r="P423" s="98"/>
      <c r="Q423" s="98"/>
      <c r="R423" s="98"/>
      <c r="S423" s="98"/>
      <c r="T423" s="98"/>
      <c r="U423" s="98"/>
      <c r="V423" s="98"/>
      <c r="W423" s="98"/>
      <c r="X423" s="98"/>
      <c r="Y423" s="98"/>
      <c r="Z423" s="98"/>
    </row>
    <row r="424" spans="1:26" hidden="1">
      <c r="A424" s="554" t="s">
        <v>1498</v>
      </c>
      <c r="B424" s="555"/>
      <c r="C424" s="556"/>
      <c r="D424" s="555"/>
    </row>
    <row r="425" spans="1:26" hidden="1">
      <c r="A425" s="541" t="s">
        <v>1481</v>
      </c>
      <c r="B425" s="541" t="s">
        <v>1438</v>
      </c>
      <c r="C425" s="542" t="s">
        <v>0</v>
      </c>
      <c r="D425" s="543" t="s">
        <v>1482</v>
      </c>
      <c r="F425" s="517"/>
      <c r="G425" s="507"/>
      <c r="H425" s="507"/>
      <c r="I425" s="507"/>
      <c r="J425" s="507"/>
      <c r="K425" s="507"/>
      <c r="L425" s="98"/>
      <c r="M425" s="98"/>
      <c r="N425" s="98"/>
      <c r="O425" s="98"/>
      <c r="P425" s="98"/>
      <c r="Q425" s="98"/>
      <c r="R425" s="98"/>
      <c r="S425" s="98"/>
      <c r="T425" s="98"/>
      <c r="U425" s="98"/>
      <c r="V425" s="98"/>
      <c r="W425" s="98"/>
      <c r="X425" s="98"/>
      <c r="Y425" s="98"/>
      <c r="Z425" s="98"/>
    </row>
    <row r="426" spans="1:26" hidden="1">
      <c r="A426" s="544" t="s">
        <v>1486</v>
      </c>
      <c r="B426" s="545">
        <f t="shared" ref="B426:B430" si="11">C426</f>
        <v>44311</v>
      </c>
      <c r="C426" s="207">
        <v>44311</v>
      </c>
      <c r="D426" s="546">
        <v>1</v>
      </c>
      <c r="F426" s="517"/>
      <c r="G426" s="507"/>
      <c r="H426" s="507"/>
      <c r="I426" s="507"/>
      <c r="J426" s="507"/>
      <c r="K426" s="507"/>
      <c r="L426" s="98"/>
      <c r="M426" s="98"/>
      <c r="N426" s="98"/>
      <c r="O426" s="98"/>
      <c r="P426" s="98"/>
      <c r="Q426" s="98"/>
      <c r="R426" s="98"/>
      <c r="S426" s="98"/>
      <c r="T426" s="98"/>
      <c r="U426" s="98"/>
      <c r="V426" s="98"/>
      <c r="W426" s="98"/>
      <c r="X426" s="98"/>
      <c r="Y426" s="98"/>
      <c r="Z426" s="98"/>
    </row>
    <row r="427" spans="1:26" hidden="1">
      <c r="A427" s="547" t="s">
        <v>1489</v>
      </c>
      <c r="B427" s="548">
        <f t="shared" si="11"/>
        <v>44317</v>
      </c>
      <c r="C427" s="549">
        <v>44317</v>
      </c>
      <c r="D427" s="547">
        <v>2</v>
      </c>
      <c r="F427" s="517"/>
      <c r="G427" s="507"/>
      <c r="H427" s="507"/>
      <c r="I427" s="507"/>
      <c r="J427" s="507"/>
      <c r="K427" s="507"/>
      <c r="L427" s="98"/>
      <c r="M427" s="98"/>
      <c r="N427" s="98"/>
      <c r="O427" s="98"/>
      <c r="P427" s="98"/>
      <c r="Q427" s="98"/>
      <c r="R427" s="98"/>
      <c r="S427" s="98"/>
      <c r="T427" s="98"/>
      <c r="U427" s="98"/>
      <c r="V427" s="98"/>
      <c r="W427" s="98"/>
      <c r="X427" s="98"/>
      <c r="Y427" s="98"/>
      <c r="Z427" s="98"/>
    </row>
    <row r="428" spans="1:26" hidden="1">
      <c r="A428" s="544" t="s">
        <v>1491</v>
      </c>
      <c r="B428" s="545">
        <f t="shared" si="11"/>
        <v>44423</v>
      </c>
      <c r="C428" s="207">
        <v>44423</v>
      </c>
      <c r="D428" s="546">
        <v>3</v>
      </c>
      <c r="F428" s="517"/>
      <c r="G428" s="507"/>
      <c r="H428" s="507"/>
      <c r="I428" s="507"/>
      <c r="J428" s="507"/>
      <c r="K428" s="507"/>
      <c r="L428" s="98"/>
      <c r="M428" s="98"/>
      <c r="N428" s="98"/>
      <c r="O428" s="98"/>
      <c r="P428" s="98"/>
      <c r="Q428" s="98"/>
      <c r="R428" s="98"/>
      <c r="S428" s="98"/>
      <c r="T428" s="98"/>
      <c r="U428" s="98"/>
      <c r="V428" s="98"/>
      <c r="W428" s="98"/>
      <c r="X428" s="98"/>
      <c r="Y428" s="98"/>
      <c r="Z428" s="98"/>
    </row>
    <row r="429" spans="1:26" hidden="1">
      <c r="A429" s="547" t="s">
        <v>1512</v>
      </c>
      <c r="B429" s="548">
        <f t="shared" si="11"/>
        <v>44471</v>
      </c>
      <c r="C429" s="549">
        <v>44471</v>
      </c>
      <c r="D429" s="547">
        <v>4</v>
      </c>
      <c r="F429" s="517"/>
      <c r="G429" s="507"/>
      <c r="H429" s="507"/>
      <c r="I429" s="507"/>
      <c r="J429" s="507"/>
      <c r="K429" s="507"/>
      <c r="L429" s="98"/>
      <c r="M429" s="98"/>
      <c r="N429" s="98"/>
      <c r="O429" s="98"/>
      <c r="P429" s="98"/>
      <c r="Q429" s="98"/>
      <c r="R429" s="98"/>
      <c r="S429" s="98"/>
      <c r="T429" s="98"/>
      <c r="U429" s="98"/>
      <c r="V429" s="98"/>
      <c r="W429" s="98"/>
      <c r="X429" s="98"/>
      <c r="Y429" s="98"/>
      <c r="Z429" s="98"/>
    </row>
    <row r="430" spans="1:26" hidden="1">
      <c r="A430" s="544" t="s">
        <v>1497</v>
      </c>
      <c r="B430" s="545">
        <f t="shared" si="11"/>
        <v>44555</v>
      </c>
      <c r="C430" s="207">
        <v>44555</v>
      </c>
      <c r="D430" s="546">
        <v>5</v>
      </c>
      <c r="F430" s="517"/>
      <c r="G430" s="507"/>
      <c r="H430" s="507"/>
      <c r="I430" s="507"/>
      <c r="J430" s="507"/>
      <c r="K430" s="507"/>
      <c r="L430" s="98"/>
      <c r="M430" s="98"/>
      <c r="N430" s="98"/>
      <c r="O430" s="98"/>
      <c r="P430" s="98"/>
      <c r="Q430" s="98"/>
      <c r="R430" s="98"/>
      <c r="S430" s="98"/>
      <c r="T430" s="98"/>
      <c r="U430" s="98"/>
      <c r="V430" s="98"/>
      <c r="W430" s="98"/>
      <c r="X430" s="98"/>
      <c r="Y430" s="98"/>
      <c r="Z430" s="98"/>
    </row>
    <row r="431" spans="1:26">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spans="1:26">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spans="1:26">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spans="1:26">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spans="1:26">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spans="1:26">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spans="1:26">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spans="1:26">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sheetData>
  <mergeCells count="2">
    <mergeCell ref="C295:D295"/>
    <mergeCell ref="E323:E324"/>
  </mergeCells>
  <hyperlinks>
    <hyperlink ref="D361" r:id="rId1"/>
    <hyperlink ref="D378" r:id="rId2"/>
    <hyperlink ref="D386" r:id="rId3"/>
    <hyperlink ref="D401" r:id="rId4"/>
    <hyperlink ref="D409" r:id="rId5"/>
    <hyperlink ref="D425" r:id="rId6"/>
  </hyperlinks>
  <pageMargins left="0.7" right="0.7" top="0.75" bottom="0.75" header="0" footer="0"/>
  <pageSetup orientation="landscape"/>
  <legacy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rgb="FFFFD965"/>
  </sheetPr>
  <dimension ref="A1:BH79"/>
  <sheetViews>
    <sheetView workbookViewId="0">
      <selection sqref="A1:B1"/>
    </sheetView>
  </sheetViews>
  <sheetFormatPr baseColWidth="10" defaultColWidth="14.42578125" defaultRowHeight="15" customHeight="1" outlineLevelRow="1"/>
  <cols>
    <col min="1" max="1" width="5.140625" customWidth="1"/>
    <col min="2" max="2" width="9.7109375" customWidth="1"/>
    <col min="3" max="3" width="11.42578125" customWidth="1"/>
    <col min="4" max="4" width="5.140625" customWidth="1"/>
    <col min="5" max="5" width="9.7109375" customWidth="1"/>
    <col min="6" max="6" width="11.42578125" customWidth="1"/>
    <col min="7" max="7" width="0.85546875" customWidth="1"/>
    <col min="8" max="8" width="5.140625" customWidth="1"/>
    <col min="9" max="9" width="9.7109375" customWidth="1"/>
    <col min="10" max="10" width="11.42578125" customWidth="1"/>
    <col min="11" max="11" width="5.140625" customWidth="1"/>
    <col min="12" max="12" width="9.7109375" customWidth="1"/>
    <col min="13" max="13" width="11.42578125" customWidth="1"/>
    <col min="14" max="14" width="0.85546875" customWidth="1"/>
    <col min="15" max="15" width="5.140625" customWidth="1"/>
    <col min="16" max="16" width="9.7109375" customWidth="1"/>
    <col min="17" max="17" width="11.42578125" customWidth="1"/>
    <col min="18" max="18" width="5.140625" customWidth="1"/>
    <col min="19" max="19" width="9.7109375" customWidth="1"/>
    <col min="20" max="20" width="11.42578125" customWidth="1"/>
    <col min="21" max="21" width="0.85546875" customWidth="1"/>
    <col min="22" max="22" width="5.140625" customWidth="1"/>
    <col min="23" max="23" width="9.7109375" customWidth="1"/>
    <col min="24" max="24" width="11.42578125" customWidth="1"/>
    <col min="25" max="25" width="5.140625" customWidth="1"/>
    <col min="26" max="26" width="9.7109375" customWidth="1"/>
    <col min="27" max="27" width="11.42578125" customWidth="1"/>
    <col min="28" max="28" width="0.85546875" customWidth="1"/>
    <col min="29" max="29" width="5.140625" customWidth="1"/>
    <col min="30" max="30" width="9.7109375" customWidth="1"/>
    <col min="31" max="31" width="11.42578125" customWidth="1"/>
    <col min="32" max="32" width="5.140625" customWidth="1"/>
    <col min="33" max="33" width="9.7109375" customWidth="1"/>
    <col min="34" max="34" width="11.42578125" customWidth="1"/>
    <col min="35" max="35" width="0.85546875" customWidth="1"/>
    <col min="36" max="36" width="5.140625" customWidth="1"/>
    <col min="37" max="38" width="11.42578125" customWidth="1"/>
    <col min="39" max="39" width="5.140625" customWidth="1"/>
    <col min="40" max="41" width="11.42578125" customWidth="1"/>
    <col min="42" max="42" width="0.85546875" customWidth="1"/>
    <col min="43" max="44" width="8.42578125" customWidth="1"/>
    <col min="45" max="45" width="0.85546875" customWidth="1"/>
    <col min="46" max="47" width="8.42578125" customWidth="1"/>
    <col min="48" max="48" width="0.85546875" customWidth="1"/>
    <col min="49" max="50" width="8.42578125" customWidth="1"/>
    <col min="51" max="51" width="0.85546875" customWidth="1"/>
    <col min="52" max="53" width="8.42578125" customWidth="1"/>
    <col min="54" max="54" width="0.85546875" customWidth="1"/>
    <col min="55" max="56" width="8.42578125" customWidth="1"/>
    <col min="57" max="57" width="0.85546875" customWidth="1"/>
    <col min="58" max="59" width="8.42578125" customWidth="1"/>
    <col min="60" max="60" width="0.85546875" customWidth="1"/>
  </cols>
  <sheetData>
    <row r="1" spans="1:60" ht="14.25" customHeight="1">
      <c r="A1" s="743" t="s">
        <v>1513</v>
      </c>
      <c r="B1" s="681"/>
      <c r="C1" s="742" t="s">
        <v>1514</v>
      </c>
      <c r="D1" s="680"/>
      <c r="E1" s="680"/>
      <c r="F1" s="681"/>
      <c r="G1" s="557"/>
      <c r="H1" s="743" t="s">
        <v>1513</v>
      </c>
      <c r="I1" s="681"/>
      <c r="J1" s="742" t="s">
        <v>1515</v>
      </c>
      <c r="K1" s="680"/>
      <c r="L1" s="680"/>
      <c r="M1" s="681"/>
      <c r="N1" s="557"/>
      <c r="O1" s="743" t="s">
        <v>1513</v>
      </c>
      <c r="P1" s="681"/>
      <c r="Q1" s="742" t="s">
        <v>1516</v>
      </c>
      <c r="R1" s="680"/>
      <c r="S1" s="680"/>
      <c r="T1" s="681"/>
      <c r="U1" s="557"/>
      <c r="V1" s="743" t="s">
        <v>1513</v>
      </c>
      <c r="W1" s="681"/>
      <c r="X1" s="742" t="s">
        <v>1517</v>
      </c>
      <c r="Y1" s="680"/>
      <c r="Z1" s="680"/>
      <c r="AA1" s="681"/>
      <c r="AB1" s="557"/>
      <c r="AC1" s="743" t="s">
        <v>1513</v>
      </c>
      <c r="AD1" s="681"/>
      <c r="AE1" s="742" t="s">
        <v>1518</v>
      </c>
      <c r="AF1" s="680"/>
      <c r="AG1" s="680"/>
      <c r="AH1" s="681"/>
      <c r="AI1" s="557"/>
      <c r="AJ1" s="743" t="s">
        <v>1513</v>
      </c>
      <c r="AK1" s="681"/>
      <c r="AL1" s="742" t="s">
        <v>1519</v>
      </c>
      <c r="AM1" s="680"/>
      <c r="AN1" s="680"/>
      <c r="AO1" s="681"/>
      <c r="AP1" s="557"/>
      <c r="AQ1" s="733" t="str">
        <f>C1</f>
        <v>banknifty</v>
      </c>
      <c r="AR1" s="689"/>
      <c r="AS1" s="557"/>
      <c r="AT1" s="733" t="str">
        <f>J1</f>
        <v>b</v>
      </c>
      <c r="AU1" s="689"/>
      <c r="AV1" s="557"/>
      <c r="AW1" s="733" t="str">
        <f>Q1</f>
        <v>c</v>
      </c>
      <c r="AX1" s="689"/>
      <c r="AY1" s="557"/>
      <c r="AZ1" s="733" t="str">
        <f>X1</f>
        <v>d</v>
      </c>
      <c r="BA1" s="689"/>
      <c r="BB1" s="557"/>
      <c r="BC1" s="733" t="str">
        <f>AE1</f>
        <v>e</v>
      </c>
      <c r="BD1" s="689"/>
      <c r="BE1" s="557"/>
      <c r="BF1" s="733" t="str">
        <f>AL1</f>
        <v>f</v>
      </c>
      <c r="BG1" s="689"/>
      <c r="BH1" s="557"/>
    </row>
    <row r="2" spans="1:60" ht="14.25" customHeight="1">
      <c r="A2" s="726" t="s">
        <v>1520</v>
      </c>
      <c r="B2" s="678"/>
      <c r="C2" s="676"/>
      <c r="D2" s="727" t="s">
        <v>1521</v>
      </c>
      <c r="E2" s="678"/>
      <c r="F2" s="676"/>
      <c r="G2" s="557"/>
      <c r="H2" s="726" t="s">
        <v>1520</v>
      </c>
      <c r="I2" s="678"/>
      <c r="J2" s="676"/>
      <c r="K2" s="727" t="s">
        <v>1521</v>
      </c>
      <c r="L2" s="678"/>
      <c r="M2" s="676"/>
      <c r="N2" s="557"/>
      <c r="O2" s="726" t="s">
        <v>1520</v>
      </c>
      <c r="P2" s="678"/>
      <c r="Q2" s="676"/>
      <c r="R2" s="727" t="s">
        <v>1521</v>
      </c>
      <c r="S2" s="678"/>
      <c r="T2" s="676"/>
      <c r="U2" s="557"/>
      <c r="V2" s="726" t="s">
        <v>1520</v>
      </c>
      <c r="W2" s="678"/>
      <c r="X2" s="676"/>
      <c r="Y2" s="727" t="s">
        <v>1521</v>
      </c>
      <c r="Z2" s="678"/>
      <c r="AA2" s="676"/>
      <c r="AB2" s="557"/>
      <c r="AC2" s="726" t="s">
        <v>1520</v>
      </c>
      <c r="AD2" s="678"/>
      <c r="AE2" s="676"/>
      <c r="AF2" s="727" t="s">
        <v>1521</v>
      </c>
      <c r="AG2" s="678"/>
      <c r="AH2" s="676"/>
      <c r="AI2" s="557"/>
      <c r="AJ2" s="726" t="s">
        <v>1520</v>
      </c>
      <c r="AK2" s="678"/>
      <c r="AL2" s="676"/>
      <c r="AM2" s="727" t="s">
        <v>1521</v>
      </c>
      <c r="AN2" s="678"/>
      <c r="AO2" s="676"/>
      <c r="AP2" s="557"/>
      <c r="AQ2" s="41" t="s">
        <v>467</v>
      </c>
      <c r="AR2" s="41" t="s">
        <v>461</v>
      </c>
      <c r="AS2" s="557"/>
      <c r="AT2" s="41" t="s">
        <v>467</v>
      </c>
      <c r="AU2" s="41" t="s">
        <v>461</v>
      </c>
      <c r="AV2" s="557"/>
      <c r="AW2" s="41" t="s">
        <v>467</v>
      </c>
      <c r="AX2" s="41" t="s">
        <v>461</v>
      </c>
      <c r="AY2" s="557"/>
      <c r="AZ2" s="41" t="s">
        <v>467</v>
      </c>
      <c r="BA2" s="41" t="s">
        <v>461</v>
      </c>
      <c r="BB2" s="557"/>
      <c r="BC2" s="41" t="s">
        <v>467</v>
      </c>
      <c r="BD2" s="41" t="s">
        <v>461</v>
      </c>
      <c r="BE2" s="557"/>
      <c r="BF2" s="41" t="s">
        <v>467</v>
      </c>
      <c r="BG2" s="41" t="s">
        <v>461</v>
      </c>
      <c r="BH2" s="557"/>
    </row>
    <row r="3" spans="1:60" ht="14.25" customHeight="1">
      <c r="A3" s="558"/>
      <c r="B3" s="559"/>
      <c r="C3" s="560">
        <f t="shared" ref="C3:C13" si="0">ROUND(A3*B3,2)</f>
        <v>0</v>
      </c>
      <c r="D3" s="561"/>
      <c r="E3" s="562"/>
      <c r="F3" s="563">
        <f t="shared" ref="F3:F13" si="1">ROUND(D3*E3,2)</f>
        <v>0</v>
      </c>
      <c r="G3" s="564"/>
      <c r="H3" s="558"/>
      <c r="I3" s="565"/>
      <c r="J3" s="566">
        <f t="shared" ref="J3:J13" si="2">ROUND(H3*I3,4)</f>
        <v>0</v>
      </c>
      <c r="K3" s="567"/>
      <c r="L3" s="562"/>
      <c r="M3" s="568">
        <f t="shared" ref="M3:M13" si="3">ROUND(K3*L3,4)</f>
        <v>0</v>
      </c>
      <c r="N3" s="564"/>
      <c r="O3" s="569"/>
      <c r="P3" s="570"/>
      <c r="Q3" s="566">
        <f t="shared" ref="Q3:Q13" si="4">ROUND(O3*P3,2)</f>
        <v>0</v>
      </c>
      <c r="R3" s="561"/>
      <c r="S3" s="571"/>
      <c r="T3" s="568">
        <f t="shared" ref="T3:T13" si="5">ROUND(R3*S3,4)</f>
        <v>0</v>
      </c>
      <c r="U3" s="564"/>
      <c r="V3" s="572"/>
      <c r="W3" s="559"/>
      <c r="X3" s="566">
        <f t="shared" ref="X3:X13" si="6">ROUND(V3*W3,4)</f>
        <v>0</v>
      </c>
      <c r="Y3" s="561"/>
      <c r="Z3" s="571"/>
      <c r="AA3" s="568">
        <f t="shared" ref="AA3:AA13" si="7">ROUND(Y3*Z3,4)</f>
        <v>0</v>
      </c>
      <c r="AB3" s="564"/>
      <c r="AC3" s="572"/>
      <c r="AD3" s="559"/>
      <c r="AE3" s="566">
        <f t="shared" ref="AE3:AE13" si="8">ROUND(AC3*AD3,4)</f>
        <v>0</v>
      </c>
      <c r="AF3" s="561"/>
      <c r="AG3" s="571"/>
      <c r="AH3" s="568">
        <f t="shared" ref="AH3:AH13" si="9">ROUND(AF3*AG3,4)</f>
        <v>0</v>
      </c>
      <c r="AI3" s="564"/>
      <c r="AJ3" s="572"/>
      <c r="AK3" s="559"/>
      <c r="AL3" s="566">
        <f t="shared" ref="AL3:AL13" si="10">ROUND(AJ3*AK3,4)</f>
        <v>0</v>
      </c>
      <c r="AM3" s="561"/>
      <c r="AN3" s="571"/>
      <c r="AO3" s="568">
        <f t="shared" ref="AO3:AO13" si="11">ROUND(AM3*AN3,4)</f>
        <v>0</v>
      </c>
      <c r="AP3" s="564"/>
      <c r="AQ3" s="573">
        <f t="shared" ref="AQ3:AQ13" si="12">IF(C3*$E$47&lt;20,ROUND(C3*$E$47,2),20)</f>
        <v>0</v>
      </c>
      <c r="AR3" s="573">
        <f t="shared" ref="AR3:AR13" si="13">IF(F3*$E$47&lt;20,ROUND(F3*$E$47,2),20)</f>
        <v>0</v>
      </c>
      <c r="AS3" s="564"/>
      <c r="AT3" s="573">
        <f t="shared" ref="AT3:AT13" si="14">IF(J3*$E$47&lt;20,ROUND(J3*$E$47,2),20)</f>
        <v>0</v>
      </c>
      <c r="AU3" s="573">
        <f t="shared" ref="AU3:AU13" si="15">IF(M3*$E$47&lt;20,ROUND(M3*$E$47,2),20)</f>
        <v>0</v>
      </c>
      <c r="AV3" s="564"/>
      <c r="AW3" s="573">
        <f t="shared" ref="AW3:AW13" si="16">IF(Q3*$E$47&lt;20,ROUND(Q3*$E$47,2),20)</f>
        <v>0</v>
      </c>
      <c r="AX3" s="573">
        <f t="shared" ref="AX3:AX13" si="17">IF(T3*$E$47&lt;20,ROUND(T3*$E$47,2),20)</f>
        <v>0</v>
      </c>
      <c r="AY3" s="564"/>
      <c r="AZ3" s="573">
        <f t="shared" ref="AZ3:AZ13" si="18">IF(X3*$E$47&lt;20,ROUND(X3*$E$47,2),20)</f>
        <v>0</v>
      </c>
      <c r="BA3" s="573">
        <f t="shared" ref="BA3:BA13" si="19">IF(AA3*$E$47&lt;20,ROUND(AA3*$E$47,2),20)</f>
        <v>0</v>
      </c>
      <c r="BB3" s="564"/>
      <c r="BC3" s="573">
        <f t="shared" ref="BC3:BC13" si="20">IF(AE3*$E$47&lt;20,ROUND(AE3*$E$47,2),20)</f>
        <v>0</v>
      </c>
      <c r="BD3" s="573">
        <f t="shared" ref="BD3:BD13" si="21">IF(AH3*$E$47&lt;20,ROUND(AH3*$E$47,2),20)</f>
        <v>0</v>
      </c>
      <c r="BE3" s="564"/>
      <c r="BF3" s="573">
        <f t="shared" ref="BF3:BF13" si="22">IF(AL3*$E$47&lt;20,ROUND(AL3*$E$47,2),20)</f>
        <v>0</v>
      </c>
      <c r="BG3" s="573">
        <f t="shared" ref="BG3:BG13" si="23">IF(AO3*$E$47&lt;20,ROUND(AO3*$E$47,2),20)</f>
        <v>0</v>
      </c>
      <c r="BH3" s="564"/>
    </row>
    <row r="4" spans="1:60" ht="14.25" customHeight="1">
      <c r="A4" s="572"/>
      <c r="B4" s="559"/>
      <c r="C4" s="560">
        <f t="shared" si="0"/>
        <v>0</v>
      </c>
      <c r="D4" s="567"/>
      <c r="E4" s="562"/>
      <c r="F4" s="563">
        <f t="shared" si="1"/>
        <v>0</v>
      </c>
      <c r="G4" s="564"/>
      <c r="H4" s="558"/>
      <c r="I4" s="574"/>
      <c r="J4" s="560">
        <f t="shared" si="2"/>
        <v>0</v>
      </c>
      <c r="K4" s="567"/>
      <c r="L4" s="571"/>
      <c r="M4" s="563">
        <f t="shared" si="3"/>
        <v>0</v>
      </c>
      <c r="N4" s="564"/>
      <c r="O4" s="575"/>
      <c r="P4" s="576"/>
      <c r="Q4" s="560">
        <f t="shared" si="4"/>
        <v>0</v>
      </c>
      <c r="R4" s="567"/>
      <c r="S4" s="562"/>
      <c r="T4" s="563">
        <f t="shared" si="5"/>
        <v>0</v>
      </c>
      <c r="U4" s="564"/>
      <c r="V4" s="558"/>
      <c r="W4" s="565"/>
      <c r="X4" s="560">
        <f t="shared" si="6"/>
        <v>0</v>
      </c>
      <c r="Y4" s="567"/>
      <c r="Z4" s="562"/>
      <c r="AA4" s="563">
        <f t="shared" si="7"/>
        <v>0</v>
      </c>
      <c r="AB4" s="564"/>
      <c r="AC4" s="558"/>
      <c r="AD4" s="565"/>
      <c r="AE4" s="560">
        <f t="shared" si="8"/>
        <v>0</v>
      </c>
      <c r="AF4" s="567"/>
      <c r="AG4" s="562"/>
      <c r="AH4" s="563">
        <f t="shared" si="9"/>
        <v>0</v>
      </c>
      <c r="AI4" s="564"/>
      <c r="AJ4" s="558"/>
      <c r="AK4" s="565"/>
      <c r="AL4" s="560">
        <f t="shared" si="10"/>
        <v>0</v>
      </c>
      <c r="AM4" s="567"/>
      <c r="AN4" s="562"/>
      <c r="AO4" s="563">
        <f t="shared" si="11"/>
        <v>0</v>
      </c>
      <c r="AP4" s="564"/>
      <c r="AQ4" s="573">
        <f t="shared" si="12"/>
        <v>0</v>
      </c>
      <c r="AR4" s="573">
        <f t="shared" si="13"/>
        <v>0</v>
      </c>
      <c r="AS4" s="564"/>
      <c r="AT4" s="573">
        <f t="shared" si="14"/>
        <v>0</v>
      </c>
      <c r="AU4" s="573">
        <f t="shared" si="15"/>
        <v>0</v>
      </c>
      <c r="AV4" s="564"/>
      <c r="AW4" s="573">
        <f t="shared" si="16"/>
        <v>0</v>
      </c>
      <c r="AX4" s="573">
        <f t="shared" si="17"/>
        <v>0</v>
      </c>
      <c r="AY4" s="564"/>
      <c r="AZ4" s="573">
        <f t="shared" si="18"/>
        <v>0</v>
      </c>
      <c r="BA4" s="573">
        <f t="shared" si="19"/>
        <v>0</v>
      </c>
      <c r="BB4" s="564"/>
      <c r="BC4" s="573">
        <f t="shared" si="20"/>
        <v>0</v>
      </c>
      <c r="BD4" s="573">
        <f t="shared" si="21"/>
        <v>0</v>
      </c>
      <c r="BE4" s="564"/>
      <c r="BF4" s="573">
        <f t="shared" si="22"/>
        <v>0</v>
      </c>
      <c r="BG4" s="573">
        <f t="shared" si="23"/>
        <v>0</v>
      </c>
      <c r="BH4" s="564"/>
    </row>
    <row r="5" spans="1:60" ht="14.25" customHeight="1">
      <c r="A5" s="572"/>
      <c r="B5" s="559"/>
      <c r="C5" s="560">
        <f t="shared" si="0"/>
        <v>0</v>
      </c>
      <c r="D5" s="561"/>
      <c r="E5" s="562"/>
      <c r="F5" s="563">
        <f t="shared" si="1"/>
        <v>0</v>
      </c>
      <c r="G5" s="564"/>
      <c r="H5" s="572"/>
      <c r="I5" s="577"/>
      <c r="J5" s="560">
        <f t="shared" si="2"/>
        <v>0</v>
      </c>
      <c r="K5" s="567"/>
      <c r="L5" s="562"/>
      <c r="M5" s="563">
        <f t="shared" si="3"/>
        <v>0</v>
      </c>
      <c r="N5" s="564"/>
      <c r="O5" s="575"/>
      <c r="P5" s="576"/>
      <c r="Q5" s="560">
        <f t="shared" si="4"/>
        <v>0</v>
      </c>
      <c r="R5" s="567"/>
      <c r="S5" s="562"/>
      <c r="T5" s="563">
        <f t="shared" si="5"/>
        <v>0</v>
      </c>
      <c r="U5" s="564"/>
      <c r="V5" s="558"/>
      <c r="W5" s="565"/>
      <c r="X5" s="560">
        <f t="shared" si="6"/>
        <v>0</v>
      </c>
      <c r="Y5" s="567"/>
      <c r="Z5" s="562"/>
      <c r="AA5" s="563">
        <f t="shared" si="7"/>
        <v>0</v>
      </c>
      <c r="AB5" s="564"/>
      <c r="AC5" s="558"/>
      <c r="AD5" s="565"/>
      <c r="AE5" s="560">
        <f t="shared" si="8"/>
        <v>0</v>
      </c>
      <c r="AF5" s="567"/>
      <c r="AG5" s="562"/>
      <c r="AH5" s="563">
        <f t="shared" si="9"/>
        <v>0</v>
      </c>
      <c r="AI5" s="564"/>
      <c r="AJ5" s="558"/>
      <c r="AK5" s="565"/>
      <c r="AL5" s="560">
        <f t="shared" si="10"/>
        <v>0</v>
      </c>
      <c r="AM5" s="567"/>
      <c r="AN5" s="562"/>
      <c r="AO5" s="563">
        <f t="shared" si="11"/>
        <v>0</v>
      </c>
      <c r="AP5" s="564"/>
      <c r="AQ5" s="573">
        <f t="shared" si="12"/>
        <v>0</v>
      </c>
      <c r="AR5" s="573">
        <f t="shared" si="13"/>
        <v>0</v>
      </c>
      <c r="AS5" s="564"/>
      <c r="AT5" s="573">
        <f t="shared" si="14"/>
        <v>0</v>
      </c>
      <c r="AU5" s="573">
        <f t="shared" si="15"/>
        <v>0</v>
      </c>
      <c r="AV5" s="564"/>
      <c r="AW5" s="573">
        <f t="shared" si="16"/>
        <v>0</v>
      </c>
      <c r="AX5" s="573">
        <f t="shared" si="17"/>
        <v>0</v>
      </c>
      <c r="AY5" s="564"/>
      <c r="AZ5" s="573">
        <f t="shared" si="18"/>
        <v>0</v>
      </c>
      <c r="BA5" s="573">
        <f t="shared" si="19"/>
        <v>0</v>
      </c>
      <c r="BB5" s="564"/>
      <c r="BC5" s="573">
        <f t="shared" si="20"/>
        <v>0</v>
      </c>
      <c r="BD5" s="573">
        <f t="shared" si="21"/>
        <v>0</v>
      </c>
      <c r="BE5" s="564"/>
      <c r="BF5" s="573">
        <f t="shared" si="22"/>
        <v>0</v>
      </c>
      <c r="BG5" s="573">
        <f t="shared" si="23"/>
        <v>0</v>
      </c>
      <c r="BH5" s="564"/>
    </row>
    <row r="6" spans="1:60" ht="14.25" customHeight="1">
      <c r="A6" s="558"/>
      <c r="B6" s="577"/>
      <c r="C6" s="560">
        <f t="shared" si="0"/>
        <v>0</v>
      </c>
      <c r="D6" s="567"/>
      <c r="E6" s="562"/>
      <c r="F6" s="563">
        <f t="shared" si="1"/>
        <v>0</v>
      </c>
      <c r="G6" s="564"/>
      <c r="H6" s="558"/>
      <c r="I6" s="574"/>
      <c r="J6" s="560">
        <f t="shared" si="2"/>
        <v>0</v>
      </c>
      <c r="K6" s="567"/>
      <c r="L6" s="562"/>
      <c r="M6" s="563">
        <f t="shared" si="3"/>
        <v>0</v>
      </c>
      <c r="N6" s="564"/>
      <c r="O6" s="575"/>
      <c r="P6" s="576"/>
      <c r="Q6" s="560">
        <f t="shared" si="4"/>
        <v>0</v>
      </c>
      <c r="R6" s="567"/>
      <c r="S6" s="562"/>
      <c r="T6" s="563">
        <f t="shared" si="5"/>
        <v>0</v>
      </c>
      <c r="U6" s="564"/>
      <c r="V6" s="558"/>
      <c r="W6" s="565"/>
      <c r="X6" s="560">
        <f t="shared" si="6"/>
        <v>0</v>
      </c>
      <c r="Y6" s="567"/>
      <c r="Z6" s="562"/>
      <c r="AA6" s="563">
        <f t="shared" si="7"/>
        <v>0</v>
      </c>
      <c r="AB6" s="564"/>
      <c r="AC6" s="558"/>
      <c r="AD6" s="565"/>
      <c r="AE6" s="560">
        <f t="shared" si="8"/>
        <v>0</v>
      </c>
      <c r="AF6" s="567"/>
      <c r="AG6" s="562"/>
      <c r="AH6" s="563">
        <f t="shared" si="9"/>
        <v>0</v>
      </c>
      <c r="AI6" s="564"/>
      <c r="AJ6" s="558"/>
      <c r="AK6" s="565"/>
      <c r="AL6" s="560">
        <f t="shared" si="10"/>
        <v>0</v>
      </c>
      <c r="AM6" s="567"/>
      <c r="AN6" s="562"/>
      <c r="AO6" s="563">
        <f t="shared" si="11"/>
        <v>0</v>
      </c>
      <c r="AP6" s="564"/>
      <c r="AQ6" s="573">
        <f t="shared" si="12"/>
        <v>0</v>
      </c>
      <c r="AR6" s="573">
        <f t="shared" si="13"/>
        <v>0</v>
      </c>
      <c r="AS6" s="564"/>
      <c r="AT6" s="573">
        <f t="shared" si="14"/>
        <v>0</v>
      </c>
      <c r="AU6" s="573">
        <f t="shared" si="15"/>
        <v>0</v>
      </c>
      <c r="AV6" s="564"/>
      <c r="AW6" s="573">
        <f t="shared" si="16"/>
        <v>0</v>
      </c>
      <c r="AX6" s="573">
        <f t="shared" si="17"/>
        <v>0</v>
      </c>
      <c r="AY6" s="564"/>
      <c r="AZ6" s="573">
        <f t="shared" si="18"/>
        <v>0</v>
      </c>
      <c r="BA6" s="573">
        <f t="shared" si="19"/>
        <v>0</v>
      </c>
      <c r="BB6" s="564"/>
      <c r="BC6" s="573">
        <f t="shared" si="20"/>
        <v>0</v>
      </c>
      <c r="BD6" s="573">
        <f t="shared" si="21"/>
        <v>0</v>
      </c>
      <c r="BE6" s="564"/>
      <c r="BF6" s="573">
        <f t="shared" si="22"/>
        <v>0</v>
      </c>
      <c r="BG6" s="573">
        <f t="shared" si="23"/>
        <v>0</v>
      </c>
      <c r="BH6" s="564"/>
    </row>
    <row r="7" spans="1:60" ht="14.25" customHeight="1">
      <c r="A7" s="572"/>
      <c r="B7" s="559"/>
      <c r="C7" s="560">
        <f t="shared" si="0"/>
        <v>0</v>
      </c>
      <c r="D7" s="567"/>
      <c r="E7" s="562"/>
      <c r="F7" s="563">
        <f t="shared" si="1"/>
        <v>0</v>
      </c>
      <c r="G7" s="564"/>
      <c r="H7" s="558"/>
      <c r="I7" s="565"/>
      <c r="J7" s="560">
        <f t="shared" si="2"/>
        <v>0</v>
      </c>
      <c r="K7" s="567"/>
      <c r="L7" s="562"/>
      <c r="M7" s="563">
        <f t="shared" si="3"/>
        <v>0</v>
      </c>
      <c r="N7" s="564"/>
      <c r="O7" s="572"/>
      <c r="P7" s="559"/>
      <c r="Q7" s="560">
        <f t="shared" si="4"/>
        <v>0</v>
      </c>
      <c r="R7" s="567"/>
      <c r="S7" s="562"/>
      <c r="T7" s="563">
        <f t="shared" si="5"/>
        <v>0</v>
      </c>
      <c r="U7" s="564"/>
      <c r="V7" s="558"/>
      <c r="W7" s="565"/>
      <c r="X7" s="560">
        <f t="shared" si="6"/>
        <v>0</v>
      </c>
      <c r="Y7" s="567"/>
      <c r="Z7" s="562"/>
      <c r="AA7" s="563">
        <f t="shared" si="7"/>
        <v>0</v>
      </c>
      <c r="AB7" s="564"/>
      <c r="AC7" s="558"/>
      <c r="AD7" s="565"/>
      <c r="AE7" s="560">
        <f t="shared" si="8"/>
        <v>0</v>
      </c>
      <c r="AF7" s="567"/>
      <c r="AG7" s="562"/>
      <c r="AH7" s="563">
        <f t="shared" si="9"/>
        <v>0</v>
      </c>
      <c r="AI7" s="564"/>
      <c r="AJ7" s="558"/>
      <c r="AK7" s="565"/>
      <c r="AL7" s="560">
        <f t="shared" si="10"/>
        <v>0</v>
      </c>
      <c r="AM7" s="567"/>
      <c r="AN7" s="562"/>
      <c r="AO7" s="563">
        <f t="shared" si="11"/>
        <v>0</v>
      </c>
      <c r="AP7" s="564"/>
      <c r="AQ7" s="573">
        <f t="shared" si="12"/>
        <v>0</v>
      </c>
      <c r="AR7" s="573">
        <f t="shared" si="13"/>
        <v>0</v>
      </c>
      <c r="AS7" s="564"/>
      <c r="AT7" s="573">
        <f t="shared" si="14"/>
        <v>0</v>
      </c>
      <c r="AU7" s="573">
        <f t="shared" si="15"/>
        <v>0</v>
      </c>
      <c r="AV7" s="564"/>
      <c r="AW7" s="573">
        <f t="shared" si="16"/>
        <v>0</v>
      </c>
      <c r="AX7" s="573">
        <f t="shared" si="17"/>
        <v>0</v>
      </c>
      <c r="AY7" s="564"/>
      <c r="AZ7" s="573">
        <f t="shared" si="18"/>
        <v>0</v>
      </c>
      <c r="BA7" s="573">
        <f t="shared" si="19"/>
        <v>0</v>
      </c>
      <c r="BB7" s="564"/>
      <c r="BC7" s="573">
        <f t="shared" si="20"/>
        <v>0</v>
      </c>
      <c r="BD7" s="573">
        <f t="shared" si="21"/>
        <v>0</v>
      </c>
      <c r="BE7" s="564"/>
      <c r="BF7" s="573">
        <f t="shared" si="22"/>
        <v>0</v>
      </c>
      <c r="BG7" s="573">
        <f t="shared" si="23"/>
        <v>0</v>
      </c>
      <c r="BH7" s="564"/>
    </row>
    <row r="8" spans="1:60" ht="14.25" customHeight="1">
      <c r="A8" s="572"/>
      <c r="B8" s="577"/>
      <c r="C8" s="560">
        <f t="shared" si="0"/>
        <v>0</v>
      </c>
      <c r="D8" s="567"/>
      <c r="E8" s="562"/>
      <c r="F8" s="563">
        <f t="shared" si="1"/>
        <v>0</v>
      </c>
      <c r="G8" s="564"/>
      <c r="H8" s="558"/>
      <c r="I8" s="565"/>
      <c r="J8" s="560">
        <f t="shared" si="2"/>
        <v>0</v>
      </c>
      <c r="K8" s="567"/>
      <c r="L8" s="562"/>
      <c r="M8" s="563">
        <f t="shared" si="3"/>
        <v>0</v>
      </c>
      <c r="N8" s="564"/>
      <c r="O8" s="558"/>
      <c r="P8" s="574"/>
      <c r="Q8" s="560">
        <f t="shared" si="4"/>
        <v>0</v>
      </c>
      <c r="R8" s="567"/>
      <c r="S8" s="562"/>
      <c r="T8" s="563">
        <f t="shared" si="5"/>
        <v>0</v>
      </c>
      <c r="U8" s="564"/>
      <c r="V8" s="558"/>
      <c r="W8" s="565"/>
      <c r="X8" s="560">
        <f t="shared" si="6"/>
        <v>0</v>
      </c>
      <c r="Y8" s="567"/>
      <c r="Z8" s="562"/>
      <c r="AA8" s="563">
        <f t="shared" si="7"/>
        <v>0</v>
      </c>
      <c r="AB8" s="564"/>
      <c r="AC8" s="558"/>
      <c r="AD8" s="565"/>
      <c r="AE8" s="560">
        <f t="shared" si="8"/>
        <v>0</v>
      </c>
      <c r="AF8" s="567"/>
      <c r="AG8" s="562"/>
      <c r="AH8" s="563">
        <f t="shared" si="9"/>
        <v>0</v>
      </c>
      <c r="AI8" s="564"/>
      <c r="AJ8" s="558"/>
      <c r="AK8" s="565"/>
      <c r="AL8" s="560">
        <f t="shared" si="10"/>
        <v>0</v>
      </c>
      <c r="AM8" s="567"/>
      <c r="AN8" s="562"/>
      <c r="AO8" s="563">
        <f t="shared" si="11"/>
        <v>0</v>
      </c>
      <c r="AP8" s="564"/>
      <c r="AQ8" s="573">
        <f t="shared" si="12"/>
        <v>0</v>
      </c>
      <c r="AR8" s="573">
        <f t="shared" si="13"/>
        <v>0</v>
      </c>
      <c r="AS8" s="564"/>
      <c r="AT8" s="573">
        <f t="shared" si="14"/>
        <v>0</v>
      </c>
      <c r="AU8" s="573">
        <f t="shared" si="15"/>
        <v>0</v>
      </c>
      <c r="AV8" s="564"/>
      <c r="AW8" s="573">
        <f t="shared" si="16"/>
        <v>0</v>
      </c>
      <c r="AX8" s="573">
        <f t="shared" si="17"/>
        <v>0</v>
      </c>
      <c r="AY8" s="564"/>
      <c r="AZ8" s="573">
        <f t="shared" si="18"/>
        <v>0</v>
      </c>
      <c r="BA8" s="573">
        <f t="shared" si="19"/>
        <v>0</v>
      </c>
      <c r="BB8" s="564"/>
      <c r="BC8" s="573">
        <f t="shared" si="20"/>
        <v>0</v>
      </c>
      <c r="BD8" s="573">
        <f t="shared" si="21"/>
        <v>0</v>
      </c>
      <c r="BE8" s="564"/>
      <c r="BF8" s="573">
        <f t="shared" si="22"/>
        <v>0</v>
      </c>
      <c r="BG8" s="573">
        <f t="shared" si="23"/>
        <v>0</v>
      </c>
      <c r="BH8" s="564"/>
    </row>
    <row r="9" spans="1:60" ht="14.25" customHeight="1">
      <c r="A9" s="558"/>
      <c r="B9" s="565"/>
      <c r="C9" s="560">
        <f t="shared" si="0"/>
        <v>0</v>
      </c>
      <c r="D9" s="561"/>
      <c r="E9" s="562"/>
      <c r="F9" s="563">
        <f t="shared" si="1"/>
        <v>0</v>
      </c>
      <c r="G9" s="564"/>
      <c r="H9" s="558"/>
      <c r="I9" s="565"/>
      <c r="J9" s="560">
        <f t="shared" si="2"/>
        <v>0</v>
      </c>
      <c r="K9" s="567"/>
      <c r="L9" s="562"/>
      <c r="M9" s="563">
        <f t="shared" si="3"/>
        <v>0</v>
      </c>
      <c r="N9" s="564"/>
      <c r="O9" s="572"/>
      <c r="P9" s="577"/>
      <c r="Q9" s="560">
        <f t="shared" si="4"/>
        <v>0</v>
      </c>
      <c r="R9" s="567"/>
      <c r="S9" s="562"/>
      <c r="T9" s="563">
        <f t="shared" si="5"/>
        <v>0</v>
      </c>
      <c r="U9" s="564"/>
      <c r="V9" s="558"/>
      <c r="W9" s="565"/>
      <c r="X9" s="560">
        <f t="shared" si="6"/>
        <v>0</v>
      </c>
      <c r="Y9" s="567"/>
      <c r="Z9" s="562"/>
      <c r="AA9" s="563">
        <f t="shared" si="7"/>
        <v>0</v>
      </c>
      <c r="AB9" s="564"/>
      <c r="AC9" s="558"/>
      <c r="AD9" s="565"/>
      <c r="AE9" s="560">
        <f t="shared" si="8"/>
        <v>0</v>
      </c>
      <c r="AF9" s="567"/>
      <c r="AG9" s="562"/>
      <c r="AH9" s="563">
        <f t="shared" si="9"/>
        <v>0</v>
      </c>
      <c r="AI9" s="564"/>
      <c r="AJ9" s="558"/>
      <c r="AK9" s="565"/>
      <c r="AL9" s="560">
        <f t="shared" si="10"/>
        <v>0</v>
      </c>
      <c r="AM9" s="567"/>
      <c r="AN9" s="562"/>
      <c r="AO9" s="563">
        <f t="shared" si="11"/>
        <v>0</v>
      </c>
      <c r="AP9" s="564"/>
      <c r="AQ9" s="573">
        <f t="shared" si="12"/>
        <v>0</v>
      </c>
      <c r="AR9" s="573">
        <f t="shared" si="13"/>
        <v>0</v>
      </c>
      <c r="AS9" s="564"/>
      <c r="AT9" s="573">
        <f t="shared" si="14"/>
        <v>0</v>
      </c>
      <c r="AU9" s="573">
        <f t="shared" si="15"/>
        <v>0</v>
      </c>
      <c r="AV9" s="564"/>
      <c r="AW9" s="573">
        <f t="shared" si="16"/>
        <v>0</v>
      </c>
      <c r="AX9" s="573">
        <f t="shared" si="17"/>
        <v>0</v>
      </c>
      <c r="AY9" s="564"/>
      <c r="AZ9" s="573">
        <f t="shared" si="18"/>
        <v>0</v>
      </c>
      <c r="BA9" s="573">
        <f t="shared" si="19"/>
        <v>0</v>
      </c>
      <c r="BB9" s="564"/>
      <c r="BC9" s="573">
        <f t="shared" si="20"/>
        <v>0</v>
      </c>
      <c r="BD9" s="573">
        <f t="shared" si="21"/>
        <v>0</v>
      </c>
      <c r="BE9" s="564"/>
      <c r="BF9" s="573">
        <f t="shared" si="22"/>
        <v>0</v>
      </c>
      <c r="BG9" s="573">
        <f t="shared" si="23"/>
        <v>0</v>
      </c>
      <c r="BH9" s="564"/>
    </row>
    <row r="10" spans="1:60" ht="14.25" customHeight="1">
      <c r="A10" s="572"/>
      <c r="B10" s="559"/>
      <c r="C10" s="560">
        <f t="shared" si="0"/>
        <v>0</v>
      </c>
      <c r="D10" s="567"/>
      <c r="E10" s="562"/>
      <c r="F10" s="563">
        <f t="shared" si="1"/>
        <v>0</v>
      </c>
      <c r="G10" s="564"/>
      <c r="H10" s="558"/>
      <c r="I10" s="565"/>
      <c r="J10" s="560">
        <f t="shared" si="2"/>
        <v>0</v>
      </c>
      <c r="K10" s="567"/>
      <c r="L10" s="562"/>
      <c r="M10" s="563">
        <f t="shared" si="3"/>
        <v>0</v>
      </c>
      <c r="N10" s="564"/>
      <c r="O10" s="572"/>
      <c r="P10" s="577"/>
      <c r="Q10" s="560">
        <f t="shared" si="4"/>
        <v>0</v>
      </c>
      <c r="R10" s="567"/>
      <c r="S10" s="562"/>
      <c r="T10" s="563">
        <f t="shared" si="5"/>
        <v>0</v>
      </c>
      <c r="U10" s="564"/>
      <c r="V10" s="558"/>
      <c r="W10" s="565"/>
      <c r="X10" s="560">
        <f t="shared" si="6"/>
        <v>0</v>
      </c>
      <c r="Y10" s="567"/>
      <c r="Z10" s="562"/>
      <c r="AA10" s="563">
        <f t="shared" si="7"/>
        <v>0</v>
      </c>
      <c r="AB10" s="564"/>
      <c r="AC10" s="558"/>
      <c r="AD10" s="565"/>
      <c r="AE10" s="560">
        <f t="shared" si="8"/>
        <v>0</v>
      </c>
      <c r="AF10" s="567"/>
      <c r="AG10" s="562"/>
      <c r="AH10" s="563">
        <f t="shared" si="9"/>
        <v>0</v>
      </c>
      <c r="AI10" s="564"/>
      <c r="AJ10" s="558"/>
      <c r="AK10" s="565"/>
      <c r="AL10" s="560">
        <f t="shared" si="10"/>
        <v>0</v>
      </c>
      <c r="AM10" s="567"/>
      <c r="AN10" s="562"/>
      <c r="AO10" s="563">
        <f t="shared" si="11"/>
        <v>0</v>
      </c>
      <c r="AP10" s="564"/>
      <c r="AQ10" s="573">
        <f t="shared" si="12"/>
        <v>0</v>
      </c>
      <c r="AR10" s="573">
        <f t="shared" si="13"/>
        <v>0</v>
      </c>
      <c r="AS10" s="564"/>
      <c r="AT10" s="573">
        <f t="shared" si="14"/>
        <v>0</v>
      </c>
      <c r="AU10" s="573">
        <f t="shared" si="15"/>
        <v>0</v>
      </c>
      <c r="AV10" s="564"/>
      <c r="AW10" s="573">
        <f t="shared" si="16"/>
        <v>0</v>
      </c>
      <c r="AX10" s="573">
        <f t="shared" si="17"/>
        <v>0</v>
      </c>
      <c r="AY10" s="564"/>
      <c r="AZ10" s="573">
        <f t="shared" si="18"/>
        <v>0</v>
      </c>
      <c r="BA10" s="573">
        <f t="shared" si="19"/>
        <v>0</v>
      </c>
      <c r="BB10" s="564"/>
      <c r="BC10" s="573">
        <f t="shared" si="20"/>
        <v>0</v>
      </c>
      <c r="BD10" s="573">
        <f t="shared" si="21"/>
        <v>0</v>
      </c>
      <c r="BE10" s="564"/>
      <c r="BF10" s="573">
        <f t="shared" si="22"/>
        <v>0</v>
      </c>
      <c r="BG10" s="573">
        <f t="shared" si="23"/>
        <v>0</v>
      </c>
      <c r="BH10" s="564"/>
    </row>
    <row r="11" spans="1:60" ht="14.25" customHeight="1">
      <c r="A11" s="558"/>
      <c r="B11" s="565"/>
      <c r="C11" s="560">
        <f t="shared" si="0"/>
        <v>0</v>
      </c>
      <c r="D11" s="561"/>
      <c r="E11" s="562"/>
      <c r="F11" s="563">
        <f t="shared" si="1"/>
        <v>0</v>
      </c>
      <c r="G11" s="564"/>
      <c r="H11" s="558"/>
      <c r="I11" s="565"/>
      <c r="J11" s="560">
        <f t="shared" si="2"/>
        <v>0</v>
      </c>
      <c r="K11" s="567"/>
      <c r="L11" s="562"/>
      <c r="M11" s="563">
        <f t="shared" si="3"/>
        <v>0</v>
      </c>
      <c r="N11" s="564"/>
      <c r="O11" s="572"/>
      <c r="P11" s="577"/>
      <c r="Q11" s="560">
        <f t="shared" si="4"/>
        <v>0</v>
      </c>
      <c r="R11" s="567"/>
      <c r="S11" s="562"/>
      <c r="T11" s="563">
        <f t="shared" si="5"/>
        <v>0</v>
      </c>
      <c r="U11" s="564"/>
      <c r="V11" s="558"/>
      <c r="W11" s="565"/>
      <c r="X11" s="560">
        <f t="shared" si="6"/>
        <v>0</v>
      </c>
      <c r="Y11" s="567"/>
      <c r="Z11" s="562"/>
      <c r="AA11" s="563">
        <f t="shared" si="7"/>
        <v>0</v>
      </c>
      <c r="AB11" s="564"/>
      <c r="AC11" s="558"/>
      <c r="AD11" s="565"/>
      <c r="AE11" s="560">
        <f t="shared" si="8"/>
        <v>0</v>
      </c>
      <c r="AF11" s="567"/>
      <c r="AG11" s="562"/>
      <c r="AH11" s="563">
        <f t="shared" si="9"/>
        <v>0</v>
      </c>
      <c r="AI11" s="564"/>
      <c r="AJ11" s="558"/>
      <c r="AK11" s="565"/>
      <c r="AL11" s="560">
        <f t="shared" si="10"/>
        <v>0</v>
      </c>
      <c r="AM11" s="567"/>
      <c r="AN11" s="562"/>
      <c r="AO11" s="563">
        <f t="shared" si="11"/>
        <v>0</v>
      </c>
      <c r="AP11" s="564"/>
      <c r="AQ11" s="573">
        <f t="shared" si="12"/>
        <v>0</v>
      </c>
      <c r="AR11" s="573">
        <f t="shared" si="13"/>
        <v>0</v>
      </c>
      <c r="AS11" s="564"/>
      <c r="AT11" s="573">
        <f t="shared" si="14"/>
        <v>0</v>
      </c>
      <c r="AU11" s="573">
        <f t="shared" si="15"/>
        <v>0</v>
      </c>
      <c r="AV11" s="564"/>
      <c r="AW11" s="573">
        <f t="shared" si="16"/>
        <v>0</v>
      </c>
      <c r="AX11" s="573">
        <f t="shared" si="17"/>
        <v>0</v>
      </c>
      <c r="AY11" s="564"/>
      <c r="AZ11" s="573">
        <f t="shared" si="18"/>
        <v>0</v>
      </c>
      <c r="BA11" s="573">
        <f t="shared" si="19"/>
        <v>0</v>
      </c>
      <c r="BB11" s="564"/>
      <c r="BC11" s="573">
        <f t="shared" si="20"/>
        <v>0</v>
      </c>
      <c r="BD11" s="573">
        <f t="shared" si="21"/>
        <v>0</v>
      </c>
      <c r="BE11" s="564"/>
      <c r="BF11" s="573">
        <f t="shared" si="22"/>
        <v>0</v>
      </c>
      <c r="BG11" s="573">
        <f t="shared" si="23"/>
        <v>0</v>
      </c>
      <c r="BH11" s="564"/>
    </row>
    <row r="12" spans="1:60" ht="14.25" customHeight="1">
      <c r="A12" s="558"/>
      <c r="B12" s="565"/>
      <c r="C12" s="560">
        <f t="shared" si="0"/>
        <v>0</v>
      </c>
      <c r="D12" s="567"/>
      <c r="E12" s="562"/>
      <c r="F12" s="563">
        <f t="shared" si="1"/>
        <v>0</v>
      </c>
      <c r="G12" s="564"/>
      <c r="H12" s="558"/>
      <c r="I12" s="565"/>
      <c r="J12" s="560">
        <f t="shared" si="2"/>
        <v>0</v>
      </c>
      <c r="K12" s="567"/>
      <c r="L12" s="562"/>
      <c r="M12" s="563">
        <f t="shared" si="3"/>
        <v>0</v>
      </c>
      <c r="N12" s="564"/>
      <c r="O12" s="558"/>
      <c r="P12" s="565"/>
      <c r="Q12" s="560">
        <f t="shared" si="4"/>
        <v>0</v>
      </c>
      <c r="R12" s="567"/>
      <c r="S12" s="562"/>
      <c r="T12" s="563">
        <f t="shared" si="5"/>
        <v>0</v>
      </c>
      <c r="U12" s="564"/>
      <c r="V12" s="558"/>
      <c r="W12" s="565"/>
      <c r="X12" s="560">
        <f t="shared" si="6"/>
        <v>0</v>
      </c>
      <c r="Y12" s="567"/>
      <c r="Z12" s="562"/>
      <c r="AA12" s="563">
        <f t="shared" si="7"/>
        <v>0</v>
      </c>
      <c r="AB12" s="564"/>
      <c r="AC12" s="558"/>
      <c r="AD12" s="565"/>
      <c r="AE12" s="560">
        <f t="shared" si="8"/>
        <v>0</v>
      </c>
      <c r="AF12" s="567"/>
      <c r="AG12" s="562"/>
      <c r="AH12" s="563">
        <f t="shared" si="9"/>
        <v>0</v>
      </c>
      <c r="AI12" s="564"/>
      <c r="AJ12" s="558"/>
      <c r="AK12" s="565"/>
      <c r="AL12" s="560">
        <f t="shared" si="10"/>
        <v>0</v>
      </c>
      <c r="AM12" s="567"/>
      <c r="AN12" s="562"/>
      <c r="AO12" s="563">
        <f t="shared" si="11"/>
        <v>0</v>
      </c>
      <c r="AP12" s="564"/>
      <c r="AQ12" s="573">
        <f t="shared" si="12"/>
        <v>0</v>
      </c>
      <c r="AR12" s="573">
        <f t="shared" si="13"/>
        <v>0</v>
      </c>
      <c r="AS12" s="564"/>
      <c r="AT12" s="573">
        <f t="shared" si="14"/>
        <v>0</v>
      </c>
      <c r="AU12" s="573">
        <f t="shared" si="15"/>
        <v>0</v>
      </c>
      <c r="AV12" s="564"/>
      <c r="AW12" s="573">
        <f t="shared" si="16"/>
        <v>0</v>
      </c>
      <c r="AX12" s="573">
        <f t="shared" si="17"/>
        <v>0</v>
      </c>
      <c r="AY12" s="564"/>
      <c r="AZ12" s="573">
        <f t="shared" si="18"/>
        <v>0</v>
      </c>
      <c r="BA12" s="573">
        <f t="shared" si="19"/>
        <v>0</v>
      </c>
      <c r="BB12" s="564"/>
      <c r="BC12" s="573">
        <f t="shared" si="20"/>
        <v>0</v>
      </c>
      <c r="BD12" s="573">
        <f t="shared" si="21"/>
        <v>0</v>
      </c>
      <c r="BE12" s="564"/>
      <c r="BF12" s="573">
        <f t="shared" si="22"/>
        <v>0</v>
      </c>
      <c r="BG12" s="573">
        <f t="shared" si="23"/>
        <v>0</v>
      </c>
      <c r="BH12" s="564"/>
    </row>
    <row r="13" spans="1:60" ht="14.25" customHeight="1">
      <c r="A13" s="558"/>
      <c r="B13" s="577"/>
      <c r="C13" s="560">
        <f t="shared" si="0"/>
        <v>0</v>
      </c>
      <c r="D13" s="567"/>
      <c r="E13" s="562"/>
      <c r="F13" s="563">
        <f t="shared" si="1"/>
        <v>0</v>
      </c>
      <c r="G13" s="564"/>
      <c r="H13" s="558"/>
      <c r="I13" s="565"/>
      <c r="J13" s="560">
        <f t="shared" si="2"/>
        <v>0</v>
      </c>
      <c r="K13" s="567"/>
      <c r="L13" s="562"/>
      <c r="M13" s="563">
        <f t="shared" si="3"/>
        <v>0</v>
      </c>
      <c r="N13" s="564"/>
      <c r="O13" s="558"/>
      <c r="P13" s="565"/>
      <c r="Q13" s="560">
        <f t="shared" si="4"/>
        <v>0</v>
      </c>
      <c r="R13" s="567"/>
      <c r="S13" s="562"/>
      <c r="T13" s="563">
        <f t="shared" si="5"/>
        <v>0</v>
      </c>
      <c r="U13" s="564"/>
      <c r="V13" s="558"/>
      <c r="W13" s="565"/>
      <c r="X13" s="560">
        <f t="shared" si="6"/>
        <v>0</v>
      </c>
      <c r="Y13" s="567"/>
      <c r="Z13" s="562"/>
      <c r="AA13" s="563">
        <f t="shared" si="7"/>
        <v>0</v>
      </c>
      <c r="AB13" s="564"/>
      <c r="AC13" s="558"/>
      <c r="AD13" s="565"/>
      <c r="AE13" s="560">
        <f t="shared" si="8"/>
        <v>0</v>
      </c>
      <c r="AF13" s="567"/>
      <c r="AG13" s="562"/>
      <c r="AH13" s="563">
        <f t="shared" si="9"/>
        <v>0</v>
      </c>
      <c r="AI13" s="564"/>
      <c r="AJ13" s="558"/>
      <c r="AK13" s="565"/>
      <c r="AL13" s="560">
        <f t="shared" si="10"/>
        <v>0</v>
      </c>
      <c r="AM13" s="567"/>
      <c r="AN13" s="562"/>
      <c r="AO13" s="563">
        <f t="shared" si="11"/>
        <v>0</v>
      </c>
      <c r="AP13" s="564"/>
      <c r="AQ13" s="573">
        <f t="shared" si="12"/>
        <v>0</v>
      </c>
      <c r="AR13" s="573">
        <f t="shared" si="13"/>
        <v>0</v>
      </c>
      <c r="AS13" s="564"/>
      <c r="AT13" s="573">
        <f t="shared" si="14"/>
        <v>0</v>
      </c>
      <c r="AU13" s="573">
        <f t="shared" si="15"/>
        <v>0</v>
      </c>
      <c r="AV13" s="564"/>
      <c r="AW13" s="573">
        <f t="shared" si="16"/>
        <v>0</v>
      </c>
      <c r="AX13" s="573">
        <f t="shared" si="17"/>
        <v>0</v>
      </c>
      <c r="AY13" s="564"/>
      <c r="AZ13" s="573">
        <f t="shared" si="18"/>
        <v>0</v>
      </c>
      <c r="BA13" s="573">
        <f t="shared" si="19"/>
        <v>0</v>
      </c>
      <c r="BB13" s="564"/>
      <c r="BC13" s="573">
        <f t="shared" si="20"/>
        <v>0</v>
      </c>
      <c r="BD13" s="573">
        <f t="shared" si="21"/>
        <v>0</v>
      </c>
      <c r="BE13" s="564"/>
      <c r="BF13" s="573">
        <f t="shared" si="22"/>
        <v>0</v>
      </c>
      <c r="BG13" s="573">
        <f t="shared" si="23"/>
        <v>0</v>
      </c>
      <c r="BH13" s="564"/>
    </row>
    <row r="14" spans="1:60" ht="14.25" customHeight="1">
      <c r="A14" s="578">
        <f>SUM(A3:A13)</f>
        <v>0</v>
      </c>
      <c r="B14" s="579" t="e">
        <f>ROUND(C14/A14,4)</f>
        <v>#DIV/0!</v>
      </c>
      <c r="C14" s="580">
        <f t="shared" ref="C14:D14" si="24">SUM(C3:C13)</f>
        <v>0</v>
      </c>
      <c r="D14" s="581">
        <f t="shared" si="24"/>
        <v>0</v>
      </c>
      <c r="E14" s="582" t="e">
        <f>ROUND(F14/D14,4)</f>
        <v>#DIV/0!</v>
      </c>
      <c r="F14" s="583">
        <f>SUM(F3:F13)</f>
        <v>0</v>
      </c>
      <c r="G14" s="564"/>
      <c r="H14" s="578">
        <f>SUM(H3:H13)</f>
        <v>0</v>
      </c>
      <c r="I14" s="579" t="e">
        <f>ROUND(J14/H14,4)</f>
        <v>#DIV/0!</v>
      </c>
      <c r="J14" s="580">
        <f t="shared" ref="J14:K14" si="25">SUM(J3:J13)</f>
        <v>0</v>
      </c>
      <c r="K14" s="581">
        <f t="shared" si="25"/>
        <v>0</v>
      </c>
      <c r="L14" s="582" t="e">
        <f>ROUND(M14/K14,4)</f>
        <v>#DIV/0!</v>
      </c>
      <c r="M14" s="583">
        <f>SUM(M3:M13)</f>
        <v>0</v>
      </c>
      <c r="N14" s="564"/>
      <c r="O14" s="578">
        <f>SUM(O3:O13)</f>
        <v>0</v>
      </c>
      <c r="P14" s="579" t="e">
        <f>ROUND(Q14/O14,4)</f>
        <v>#DIV/0!</v>
      </c>
      <c r="Q14" s="580">
        <f t="shared" ref="Q14:R14" si="26">SUM(Q3:Q13)</f>
        <v>0</v>
      </c>
      <c r="R14" s="581">
        <f t="shared" si="26"/>
        <v>0</v>
      </c>
      <c r="S14" s="582" t="e">
        <f>ROUND(T14/R14,4)</f>
        <v>#DIV/0!</v>
      </c>
      <c r="T14" s="583">
        <f>SUM(T3:T13)</f>
        <v>0</v>
      </c>
      <c r="U14" s="564"/>
      <c r="V14" s="578">
        <f>SUM(V3:V13)</f>
        <v>0</v>
      </c>
      <c r="W14" s="579" t="e">
        <f>ROUND(X14/V14,4)</f>
        <v>#DIV/0!</v>
      </c>
      <c r="X14" s="580">
        <f t="shared" ref="X14:Y14" si="27">SUM(X3:X13)</f>
        <v>0</v>
      </c>
      <c r="Y14" s="581">
        <f t="shared" si="27"/>
        <v>0</v>
      </c>
      <c r="Z14" s="582" t="e">
        <f>ROUND(AA14/Y14,4)</f>
        <v>#DIV/0!</v>
      </c>
      <c r="AA14" s="583">
        <f>SUM(AA3:AA13)</f>
        <v>0</v>
      </c>
      <c r="AB14" s="564"/>
      <c r="AC14" s="578">
        <f>SUM(AC3:AC13)</f>
        <v>0</v>
      </c>
      <c r="AD14" s="579" t="e">
        <f>ROUND(AE14/AC14,4)</f>
        <v>#DIV/0!</v>
      </c>
      <c r="AE14" s="580">
        <f t="shared" ref="AE14:AF14" si="28">SUM(AE3:AE13)</f>
        <v>0</v>
      </c>
      <c r="AF14" s="581">
        <f t="shared" si="28"/>
        <v>0</v>
      </c>
      <c r="AG14" s="582" t="e">
        <f>ROUND(AH14/AF14,4)</f>
        <v>#DIV/0!</v>
      </c>
      <c r="AH14" s="583">
        <f>SUM(AH3:AH13)</f>
        <v>0</v>
      </c>
      <c r="AI14" s="564"/>
      <c r="AJ14" s="578">
        <f>SUM(AJ3:AJ13)</f>
        <v>0</v>
      </c>
      <c r="AK14" s="579" t="e">
        <f>ROUND(AL14/AJ14,4)</f>
        <v>#DIV/0!</v>
      </c>
      <c r="AL14" s="580">
        <f t="shared" ref="AL14:AM14" si="29">SUM(AL3:AL13)</f>
        <v>0</v>
      </c>
      <c r="AM14" s="581">
        <f t="shared" si="29"/>
        <v>0</v>
      </c>
      <c r="AN14" s="582" t="e">
        <f>ROUND(AO14/AM14,4)</f>
        <v>#DIV/0!</v>
      </c>
      <c r="AO14" s="583">
        <f>SUM(AO3:AO13)</f>
        <v>0</v>
      </c>
      <c r="AP14" s="564"/>
      <c r="AQ14" s="584">
        <f t="shared" ref="AQ14:AR14" si="30">SUM(AQ3:AQ13)</f>
        <v>0</v>
      </c>
      <c r="AR14" s="584">
        <f t="shared" si="30"/>
        <v>0</v>
      </c>
      <c r="AS14" s="564"/>
      <c r="AT14" s="584">
        <f t="shared" ref="AT14:AU14" si="31">SUM(AT3:AT13)</f>
        <v>0</v>
      </c>
      <c r="AU14" s="584">
        <f t="shared" si="31"/>
        <v>0</v>
      </c>
      <c r="AV14" s="564"/>
      <c r="AW14" s="584">
        <f t="shared" ref="AW14:AX14" si="32">SUM(AW3:AW13)</f>
        <v>0</v>
      </c>
      <c r="AX14" s="584">
        <f t="shared" si="32"/>
        <v>0</v>
      </c>
      <c r="AY14" s="564"/>
      <c r="AZ14" s="584">
        <f t="shared" ref="AZ14:BA14" si="33">SUM(AZ3:AZ13)</f>
        <v>0</v>
      </c>
      <c r="BA14" s="584">
        <f t="shared" si="33"/>
        <v>0</v>
      </c>
      <c r="BB14" s="564"/>
      <c r="BC14" s="584">
        <f t="shared" ref="BC14:BD14" si="34">SUM(BC3:BC13)</f>
        <v>0</v>
      </c>
      <c r="BD14" s="584">
        <f t="shared" si="34"/>
        <v>0</v>
      </c>
      <c r="BE14" s="564"/>
      <c r="BF14" s="584">
        <f t="shared" ref="BF14:BG14" si="35">SUM(BF3:BF13)</f>
        <v>0</v>
      </c>
      <c r="BG14" s="584">
        <f t="shared" si="35"/>
        <v>0</v>
      </c>
      <c r="BH14" s="564"/>
    </row>
    <row r="15" spans="1:60" ht="14.25" customHeight="1">
      <c r="A15" s="585" t="e">
        <f t="array" aca="1" ref="A15" ca="1">sumcolor($A$43,A3:A13)</f>
        <v>#NAME?</v>
      </c>
      <c r="B15" s="724">
        <f>ROUND(F14-C14,2)</f>
        <v>0</v>
      </c>
      <c r="C15" s="676"/>
      <c r="D15" s="586" t="e">
        <f ca="1">sumcolor($A$43,D6:D13)</f>
        <v>#NAME?</v>
      </c>
      <c r="E15" s="725">
        <f>C14+F14</f>
        <v>0</v>
      </c>
      <c r="F15" s="676"/>
      <c r="G15" s="564"/>
      <c r="H15" s="585" t="e">
        <f ca="1">sumcolor($A$43,H3:H13)</f>
        <v>#NAME?</v>
      </c>
      <c r="I15" s="724">
        <f>ROUND(M14-J14,2)</f>
        <v>0</v>
      </c>
      <c r="J15" s="676"/>
      <c r="K15" s="586" t="e">
        <f ca="1">sumcolor($A$43,K3:K13)</f>
        <v>#NAME?</v>
      </c>
      <c r="L15" s="725">
        <f>J14+M14</f>
        <v>0</v>
      </c>
      <c r="M15" s="676"/>
      <c r="N15" s="564"/>
      <c r="O15" s="585" t="e">
        <f ca="1">sumcolor($A$43,O3:O13)</f>
        <v>#NAME?</v>
      </c>
      <c r="P15" s="724">
        <f>ROUND(T14-Q14,2)</f>
        <v>0</v>
      </c>
      <c r="Q15" s="676"/>
      <c r="R15" s="586" t="e">
        <f ca="1">sumcolor($A$43,R3:R13)</f>
        <v>#NAME?</v>
      </c>
      <c r="S15" s="725">
        <f>Q14+T14</f>
        <v>0</v>
      </c>
      <c r="T15" s="676"/>
      <c r="U15" s="564"/>
      <c r="V15" s="585" t="e">
        <f ca="1">sumcolor($A$43,V3:V13)</f>
        <v>#NAME?</v>
      </c>
      <c r="W15" s="724">
        <f>ROUND(AA14-X14,2)</f>
        <v>0</v>
      </c>
      <c r="X15" s="676"/>
      <c r="Y15" s="586" t="e">
        <f ca="1">sumcolor($A$43,Y3:Y13)</f>
        <v>#NAME?</v>
      </c>
      <c r="Z15" s="725">
        <f>X14+AA14</f>
        <v>0</v>
      </c>
      <c r="AA15" s="676"/>
      <c r="AB15" s="564"/>
      <c r="AC15" s="585" t="e">
        <f ca="1">sumcolor($A$43,AC3:AC13)</f>
        <v>#NAME?</v>
      </c>
      <c r="AD15" s="724">
        <f>ROUND(AH14-AE14,2)</f>
        <v>0</v>
      </c>
      <c r="AE15" s="676"/>
      <c r="AF15" s="586" t="e">
        <f ca="1">sumcolor($A$43,AF3:AF13)</f>
        <v>#NAME?</v>
      </c>
      <c r="AG15" s="725">
        <f>AE14+AH14</f>
        <v>0</v>
      </c>
      <c r="AH15" s="676"/>
      <c r="AI15" s="564"/>
      <c r="AJ15" s="585" t="e">
        <f ca="1">sumcolor($A$43,AJ3:AJ13)</f>
        <v>#NAME?</v>
      </c>
      <c r="AK15" s="724">
        <f>ROUND(AO14-AL14,2)</f>
        <v>0</v>
      </c>
      <c r="AL15" s="676"/>
      <c r="AM15" s="586" t="e">
        <f ca="1">sumcolor($A$43,AM3:AM13)</f>
        <v>#NAME?</v>
      </c>
      <c r="AN15" s="725">
        <f>AL14+AO14</f>
        <v>0</v>
      </c>
      <c r="AO15" s="676"/>
      <c r="AP15" s="564"/>
      <c r="AQ15" s="98" t="s">
        <v>1522</v>
      </c>
      <c r="AR15" s="181">
        <f>SUM(AQ14:AR14)*(1+$E$54)</f>
        <v>0</v>
      </c>
      <c r="AS15" s="557"/>
      <c r="AT15" s="98" t="s">
        <v>1522</v>
      </c>
      <c r="AU15" s="181">
        <f>SUM(AT14:AU14)*(1+$E$54)</f>
        <v>0</v>
      </c>
      <c r="AV15" s="557"/>
      <c r="AW15" s="98" t="s">
        <v>1522</v>
      </c>
      <c r="AX15" s="181">
        <f>SUM(AW14:AX14)*(1+$E$54)</f>
        <v>0</v>
      </c>
      <c r="AY15" s="557"/>
      <c r="AZ15" s="98" t="s">
        <v>1522</v>
      </c>
      <c r="BA15" s="181">
        <f>SUM(AZ14:BA14)*(1+$E$54)</f>
        <v>0</v>
      </c>
      <c r="BB15" s="557"/>
      <c r="BC15" s="98" t="s">
        <v>1522</v>
      </c>
      <c r="BD15" s="181">
        <f>SUM(BC14:BD14)*(1+$E$54)</f>
        <v>0</v>
      </c>
      <c r="BE15" s="557"/>
      <c r="BF15" s="98" t="s">
        <v>1522</v>
      </c>
      <c r="BG15" s="181">
        <f>SUM(BF14:BG14)*(1+$E$54)</f>
        <v>0</v>
      </c>
      <c r="BH15" s="557"/>
    </row>
    <row r="16" spans="1:60" ht="14.25" customHeight="1">
      <c r="A16" s="587">
        <f>A14-D14</f>
        <v>0</v>
      </c>
      <c r="B16" s="588">
        <f>AR15</f>
        <v>0</v>
      </c>
      <c r="C16" s="589">
        <f>AR16</f>
        <v>0</v>
      </c>
      <c r="D16" s="590">
        <f>COUNT(D3:D13,A3:A13)</f>
        <v>0</v>
      </c>
      <c r="E16" s="591">
        <f>AR17+AR18+AR19+AR20</f>
        <v>0</v>
      </c>
      <c r="F16" s="592">
        <f>SUM(B16+C16+E16)</f>
        <v>0</v>
      </c>
      <c r="G16" s="564"/>
      <c r="H16" s="587">
        <f>H14-K14</f>
        <v>0</v>
      </c>
      <c r="I16" s="588">
        <f>AU15</f>
        <v>0</v>
      </c>
      <c r="J16" s="589">
        <f>AU16</f>
        <v>0</v>
      </c>
      <c r="K16" s="590">
        <f>COUNT(K3:K13,H3:H13)</f>
        <v>0</v>
      </c>
      <c r="L16" s="591">
        <f>AU17+AU18+AU19+AU20</f>
        <v>0</v>
      </c>
      <c r="M16" s="592">
        <f>SUM(I16+J16+L16)</f>
        <v>0</v>
      </c>
      <c r="N16" s="564"/>
      <c r="O16" s="587">
        <f>O14-R14</f>
        <v>0</v>
      </c>
      <c r="P16" s="588">
        <f>AX15</f>
        <v>0</v>
      </c>
      <c r="Q16" s="589">
        <f>AX16</f>
        <v>0</v>
      </c>
      <c r="R16" s="590">
        <f>COUNT(R3:R13,O3:O13)</f>
        <v>0</v>
      </c>
      <c r="S16" s="591">
        <f>AX17+AX18+AX19+AX20</f>
        <v>0</v>
      </c>
      <c r="T16" s="592">
        <f>SUM(P16+Q16+S16)</f>
        <v>0</v>
      </c>
      <c r="U16" s="564"/>
      <c r="V16" s="587">
        <f>V14-Y14</f>
        <v>0</v>
      </c>
      <c r="W16" s="588">
        <f>BA15</f>
        <v>0</v>
      </c>
      <c r="X16" s="589">
        <f>BA16</f>
        <v>0</v>
      </c>
      <c r="Y16" s="590">
        <f>COUNT(Y3:Y13,V3:V13)</f>
        <v>0</v>
      </c>
      <c r="Z16" s="591">
        <f>BA17+BA18+BA19+BA20</f>
        <v>0</v>
      </c>
      <c r="AA16" s="592">
        <f>SUM(W16+X16+Z16)</f>
        <v>0</v>
      </c>
      <c r="AB16" s="564"/>
      <c r="AC16" s="587">
        <f>AC14-AF14</f>
        <v>0</v>
      </c>
      <c r="AD16" s="588">
        <f>BD15</f>
        <v>0</v>
      </c>
      <c r="AE16" s="589">
        <f>BD16</f>
        <v>0</v>
      </c>
      <c r="AF16" s="590">
        <f>COUNT(AF3:AF13,AC3:AC13)</f>
        <v>0</v>
      </c>
      <c r="AG16" s="591">
        <f>BD17+BD18+BD19+BD20</f>
        <v>0</v>
      </c>
      <c r="AH16" s="592">
        <f>SUM(AD16+AE16+AG16)</f>
        <v>0</v>
      </c>
      <c r="AI16" s="564"/>
      <c r="AJ16" s="587">
        <f>AJ14-AM14</f>
        <v>0</v>
      </c>
      <c r="AK16" s="588">
        <f>BG15</f>
        <v>0</v>
      </c>
      <c r="AL16" s="589">
        <f>BG16</f>
        <v>0</v>
      </c>
      <c r="AM16" s="590">
        <f>COUNT(AM3:AM13,AJ3:AJ13)</f>
        <v>0</v>
      </c>
      <c r="AN16" s="591">
        <f>BG17+BG18+BG19+BG20</f>
        <v>0</v>
      </c>
      <c r="AO16" s="592">
        <f>SUM(AK16+AL16+AN16)</f>
        <v>0</v>
      </c>
      <c r="AP16" s="564"/>
      <c r="AQ16" s="41" t="s">
        <v>447</v>
      </c>
      <c r="AR16" s="181">
        <f>IF(D17="FNO",F14*$E$49,F14*$E$48)</f>
        <v>0</v>
      </c>
      <c r="AS16" s="593"/>
      <c r="AT16" s="41" t="s">
        <v>447</v>
      </c>
      <c r="AU16" s="181">
        <f>IF(K17="FNO",M14*$E$49,M14*$E$48)</f>
        <v>0</v>
      </c>
      <c r="AV16" s="593"/>
      <c r="AW16" s="41" t="s">
        <v>447</v>
      </c>
      <c r="AX16" s="181">
        <f>IF(R17="FNO",T14*$E$49,T14*$E$48)</f>
        <v>0</v>
      </c>
      <c r="AY16" s="593"/>
      <c r="AZ16" s="41" t="s">
        <v>447</v>
      </c>
      <c r="BA16" s="181">
        <f>IF(Y17="FNO",AA14*$E$49,AA14*$E$48)</f>
        <v>0</v>
      </c>
      <c r="BB16" s="593"/>
      <c r="BC16" s="41" t="s">
        <v>447</v>
      </c>
      <c r="BD16" s="181">
        <f>IF(AF17="FNO",AH14*$E$49,AH14*$E$48)</f>
        <v>0</v>
      </c>
      <c r="BE16" s="593"/>
      <c r="BF16" s="41" t="s">
        <v>447</v>
      </c>
      <c r="BG16" s="181">
        <f>IF(AM17="FNO",AO14*$E$49,AO14*$E$48)</f>
        <v>0</v>
      </c>
      <c r="BH16" s="593"/>
    </row>
    <row r="17" spans="1:60" ht="14.25" customHeight="1">
      <c r="A17" s="43" t="s">
        <v>1523</v>
      </c>
      <c r="B17" s="588">
        <f>IF(D17="fno",D16*23.6,0)</f>
        <v>0</v>
      </c>
      <c r="C17" s="43">
        <v>79.02</v>
      </c>
      <c r="D17" s="594"/>
      <c r="E17" s="43"/>
      <c r="F17" s="595">
        <f>IF(D17="fno",B15-F16+B16-B17,B15-F16)</f>
        <v>0</v>
      </c>
      <c r="G17" s="593"/>
      <c r="H17" s="43" t="s">
        <v>1523</v>
      </c>
      <c r="I17" s="588">
        <f>IF(K17="fno",K16*23.6,0)</f>
        <v>0</v>
      </c>
      <c r="J17" s="43">
        <v>6.0651999999999999</v>
      </c>
      <c r="K17" s="594"/>
      <c r="L17" s="43"/>
      <c r="M17" s="595">
        <f>IF(K17="fno",I15-M16+I16-I17,I15-M16)</f>
        <v>0</v>
      </c>
      <c r="N17" s="593"/>
      <c r="O17" s="43" t="s">
        <v>1523</v>
      </c>
      <c r="P17" s="588">
        <f>IF(R17="fno",R16*23.6,0)</f>
        <v>0</v>
      </c>
      <c r="Q17" s="43"/>
      <c r="R17" s="594"/>
      <c r="S17" s="43"/>
      <c r="T17" s="595">
        <f>IF(R17="fno",P15-T16+P16-P17,P15-T16)</f>
        <v>0</v>
      </c>
      <c r="U17" s="593"/>
      <c r="V17" s="43"/>
      <c r="W17" s="588">
        <f>IF(Y17="fno",Y16*23.6,0)</f>
        <v>0</v>
      </c>
      <c r="X17" s="43"/>
      <c r="Y17" s="594"/>
      <c r="Z17" s="43"/>
      <c r="AA17" s="595">
        <f>IF(Y17="fno",W15-AA16+W16-W17,W15-AA16)</f>
        <v>0</v>
      </c>
      <c r="AB17" s="593"/>
      <c r="AC17" s="43"/>
      <c r="AD17" s="588">
        <f>IF(AF17="fno",AF16*23.6,0)</f>
        <v>0</v>
      </c>
      <c r="AE17" s="43"/>
      <c r="AF17" s="594"/>
      <c r="AG17" s="43"/>
      <c r="AH17" s="595">
        <f>IF(AF17="fno",AD15-AH16+AD16-AD17,AD15-AH16)</f>
        <v>0</v>
      </c>
      <c r="AI17" s="593"/>
      <c r="AJ17" s="43"/>
      <c r="AK17" s="588">
        <f>IF(AM17="fno",AM16*23.6,0)</f>
        <v>0</v>
      </c>
      <c r="AL17" s="43"/>
      <c r="AM17" s="594"/>
      <c r="AN17" s="43"/>
      <c r="AO17" s="595">
        <f>IF(AM17="fno",AK15-AO16+AK16-AK17,AK15-AO16)</f>
        <v>0</v>
      </c>
      <c r="AP17" s="593"/>
      <c r="AQ17" s="41" t="s">
        <v>449</v>
      </c>
      <c r="AR17" s="181">
        <f>IF(D17="FNO",E15*$E$51,E15*$E$50)</f>
        <v>0</v>
      </c>
      <c r="AS17" s="593"/>
      <c r="AT17" s="41" t="s">
        <v>449</v>
      </c>
      <c r="AU17" s="181">
        <f>IF(K17="FNO",L15*$E$51,L15*$E$50)</f>
        <v>0</v>
      </c>
      <c r="AV17" s="593"/>
      <c r="AW17" s="41" t="s">
        <v>449</v>
      </c>
      <c r="AX17" s="181">
        <f>S15*$E$50</f>
        <v>0</v>
      </c>
      <c r="AY17" s="593"/>
      <c r="AZ17" s="41" t="s">
        <v>449</v>
      </c>
      <c r="BA17" s="181">
        <f>Z15*$E$50</f>
        <v>0</v>
      </c>
      <c r="BB17" s="593"/>
      <c r="BC17" s="41" t="s">
        <v>449</v>
      </c>
      <c r="BD17" s="181">
        <f>AG15*$E$50</f>
        <v>0</v>
      </c>
      <c r="BE17" s="593"/>
      <c r="BF17" s="41" t="s">
        <v>449</v>
      </c>
      <c r="BG17" s="181">
        <f>AN15*$E$50</f>
        <v>0</v>
      </c>
      <c r="BH17" s="593"/>
    </row>
    <row r="18" spans="1:60" ht="15" hidden="1" customHeight="1">
      <c r="A18" s="40"/>
      <c r="B18" s="40"/>
      <c r="C18" s="40"/>
      <c r="D18" s="40"/>
      <c r="E18" s="40"/>
      <c r="F18" s="40"/>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c r="AN18" s="98"/>
      <c r="AO18" s="98"/>
      <c r="AP18" s="557"/>
      <c r="AQ18" s="41" t="s">
        <v>448</v>
      </c>
      <c r="AR18" s="181">
        <f>C14*$E$52</f>
        <v>0</v>
      </c>
      <c r="AS18" s="557"/>
      <c r="AT18" s="41" t="s">
        <v>448</v>
      </c>
      <c r="AU18" s="181">
        <f>J14*$E$52</f>
        <v>0</v>
      </c>
      <c r="AV18" s="557"/>
      <c r="AW18" s="41" t="s">
        <v>448</v>
      </c>
      <c r="AX18" s="181">
        <f>Q14*$E$52</f>
        <v>0</v>
      </c>
      <c r="AY18" s="557"/>
      <c r="AZ18" s="41" t="s">
        <v>448</v>
      </c>
      <c r="BA18" s="181">
        <f>X14*$E$52</f>
        <v>0</v>
      </c>
      <c r="BB18" s="593"/>
      <c r="BC18" s="41" t="s">
        <v>448</v>
      </c>
      <c r="BD18" s="181">
        <f>AE14*$E$52</f>
        <v>0</v>
      </c>
      <c r="BE18" s="557"/>
      <c r="BF18" s="41" t="s">
        <v>448</v>
      </c>
      <c r="BG18" s="181">
        <f>AL14*$E$52</f>
        <v>0</v>
      </c>
      <c r="BH18" s="557"/>
    </row>
    <row r="19" spans="1:60" ht="15" hidden="1" customHeight="1">
      <c r="A19" s="40"/>
      <c r="B19" s="40"/>
      <c r="C19" s="40"/>
      <c r="D19" s="40"/>
      <c r="E19" s="40"/>
      <c r="F19" s="40"/>
      <c r="G19" s="98"/>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557"/>
      <c r="AQ19" s="41" t="s">
        <v>1524</v>
      </c>
      <c r="AR19" s="181">
        <f>E15*$E$53</f>
        <v>0</v>
      </c>
      <c r="AS19" s="557"/>
      <c r="AT19" s="41" t="s">
        <v>1524</v>
      </c>
      <c r="AU19" s="181">
        <f>L15*$E$53</f>
        <v>0</v>
      </c>
      <c r="AV19" s="557"/>
      <c r="AW19" s="41" t="s">
        <v>1524</v>
      </c>
      <c r="AX19" s="181">
        <f>S15*$E$53</f>
        <v>0</v>
      </c>
      <c r="AY19" s="557"/>
      <c r="AZ19" s="41" t="s">
        <v>1524</v>
      </c>
      <c r="BA19" s="181">
        <f>Z15*$E$53</f>
        <v>0</v>
      </c>
      <c r="BB19" s="593"/>
      <c r="BC19" s="41" t="s">
        <v>1524</v>
      </c>
      <c r="BD19" s="181">
        <f>AG15*$E$53</f>
        <v>0</v>
      </c>
      <c r="BE19" s="557"/>
      <c r="BF19" s="41" t="s">
        <v>1524</v>
      </c>
      <c r="BG19" s="181">
        <f>AN15*$E$53</f>
        <v>0</v>
      </c>
      <c r="BH19" s="557"/>
    </row>
    <row r="20" spans="1:60" ht="15" hidden="1" customHeight="1">
      <c r="A20" s="40"/>
      <c r="B20" s="40"/>
      <c r="C20" s="40"/>
      <c r="D20" s="40"/>
      <c r="E20" s="40"/>
      <c r="F20" s="40"/>
      <c r="G20" s="98"/>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557"/>
      <c r="AQ20" s="41" t="s">
        <v>446</v>
      </c>
      <c r="AR20" s="182">
        <f>AR17*$E$54</f>
        <v>0</v>
      </c>
      <c r="AS20" s="557"/>
      <c r="AT20" s="41" t="s">
        <v>446</v>
      </c>
      <c r="AU20" s="181">
        <f>AU17*$E$54</f>
        <v>0</v>
      </c>
      <c r="AV20" s="557"/>
      <c r="AW20" s="41" t="s">
        <v>446</v>
      </c>
      <c r="AX20" s="181">
        <f>AX17*$E$54</f>
        <v>0</v>
      </c>
      <c r="AY20" s="557"/>
      <c r="AZ20" s="41" t="s">
        <v>446</v>
      </c>
      <c r="BA20" s="181">
        <f>BA17*$E$54</f>
        <v>0</v>
      </c>
      <c r="BB20" s="593"/>
      <c r="BC20" s="41" t="s">
        <v>446</v>
      </c>
      <c r="BD20" s="181">
        <f>BD17*$E$54</f>
        <v>0</v>
      </c>
      <c r="BE20" s="557"/>
      <c r="BF20" s="41" t="s">
        <v>446</v>
      </c>
      <c r="BG20" s="181">
        <f>BG17*$E$54</f>
        <v>0</v>
      </c>
      <c r="BH20" s="557"/>
    </row>
    <row r="21" spans="1:60" ht="4.5" customHeight="1">
      <c r="A21" s="557"/>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57"/>
      <c r="Z21" s="557"/>
      <c r="AA21" s="557"/>
      <c r="AB21" s="557"/>
      <c r="AC21" s="557"/>
      <c r="AD21" s="557"/>
      <c r="AE21" s="557"/>
      <c r="AF21" s="557"/>
      <c r="AG21" s="557"/>
      <c r="AH21" s="557"/>
      <c r="AI21" s="557"/>
      <c r="AJ21" s="557"/>
      <c r="AK21" s="557"/>
      <c r="AL21" s="557"/>
      <c r="AM21" s="557"/>
      <c r="AN21" s="557"/>
      <c r="AO21" s="557"/>
      <c r="AP21" s="557"/>
      <c r="AQ21" s="557"/>
      <c r="AR21" s="557"/>
      <c r="AS21" s="557"/>
      <c r="AT21" s="557"/>
      <c r="AU21" s="557"/>
      <c r="AV21" s="557"/>
      <c r="AW21" s="557"/>
      <c r="AX21" s="557"/>
      <c r="AY21" s="557"/>
      <c r="AZ21" s="557"/>
      <c r="BA21" s="557"/>
      <c r="BB21" s="557"/>
      <c r="BC21" s="557"/>
      <c r="BD21" s="557"/>
      <c r="BE21" s="557"/>
      <c r="BF21" s="557"/>
      <c r="BG21" s="557"/>
      <c r="BH21" s="557"/>
    </row>
    <row r="22" spans="1:60" ht="14.25" customHeight="1">
      <c r="A22" s="731" t="s">
        <v>1513</v>
      </c>
      <c r="B22" s="681"/>
      <c r="C22" s="732" t="s">
        <v>1525</v>
      </c>
      <c r="D22" s="680"/>
      <c r="E22" s="680"/>
      <c r="F22" s="681"/>
      <c r="G22" s="557"/>
      <c r="H22" s="731" t="s">
        <v>1513</v>
      </c>
      <c r="I22" s="681"/>
      <c r="J22" s="732" t="s">
        <v>1526</v>
      </c>
      <c r="K22" s="680"/>
      <c r="L22" s="680"/>
      <c r="M22" s="681"/>
      <c r="N22" s="557"/>
      <c r="O22" s="731" t="s">
        <v>1513</v>
      </c>
      <c r="P22" s="681"/>
      <c r="Q22" s="732" t="s">
        <v>1527</v>
      </c>
      <c r="R22" s="680"/>
      <c r="S22" s="680"/>
      <c r="T22" s="681"/>
      <c r="U22" s="557"/>
      <c r="V22" s="731" t="s">
        <v>1513</v>
      </c>
      <c r="W22" s="681"/>
      <c r="X22" s="732" t="s">
        <v>1528</v>
      </c>
      <c r="Y22" s="680"/>
      <c r="Z22" s="680"/>
      <c r="AA22" s="681"/>
      <c r="AB22" s="557"/>
      <c r="AC22" s="731" t="s">
        <v>1513</v>
      </c>
      <c r="AD22" s="681"/>
      <c r="AE22" s="732" t="s">
        <v>1529</v>
      </c>
      <c r="AF22" s="680"/>
      <c r="AG22" s="680"/>
      <c r="AH22" s="681"/>
      <c r="AI22" s="557"/>
      <c r="AJ22" s="731" t="s">
        <v>1513</v>
      </c>
      <c r="AK22" s="681"/>
      <c r="AL22" s="732" t="s">
        <v>1530</v>
      </c>
      <c r="AM22" s="680"/>
      <c r="AN22" s="680"/>
      <c r="AO22" s="681"/>
      <c r="AP22" s="557"/>
      <c r="AQ22" s="733" t="str">
        <f>C22</f>
        <v>nifty</v>
      </c>
      <c r="AR22" s="689"/>
      <c r="AS22" s="557"/>
      <c r="AT22" s="733" t="str">
        <f>J22</f>
        <v>H</v>
      </c>
      <c r="AU22" s="689"/>
      <c r="AV22" s="557"/>
      <c r="AW22" s="733" t="str">
        <f>Q22</f>
        <v>i</v>
      </c>
      <c r="AX22" s="689"/>
      <c r="AY22" s="557"/>
      <c r="AZ22" s="733" t="str">
        <f>X22</f>
        <v>j</v>
      </c>
      <c r="BA22" s="689"/>
      <c r="BB22" s="557"/>
      <c r="BC22" s="733" t="str">
        <f>AE22</f>
        <v>k</v>
      </c>
      <c r="BD22" s="689"/>
      <c r="BE22" s="557"/>
      <c r="BF22" s="733" t="str">
        <f>AL22</f>
        <v>l</v>
      </c>
      <c r="BG22" s="689"/>
      <c r="BH22" s="557"/>
    </row>
    <row r="23" spans="1:60" ht="14.25" customHeight="1">
      <c r="A23" s="726" t="s">
        <v>1531</v>
      </c>
      <c r="B23" s="678"/>
      <c r="C23" s="676"/>
      <c r="D23" s="727" t="s">
        <v>1521</v>
      </c>
      <c r="E23" s="678"/>
      <c r="F23" s="676"/>
      <c r="G23" s="557"/>
      <c r="H23" s="728" t="s">
        <v>1520</v>
      </c>
      <c r="I23" s="729"/>
      <c r="J23" s="673"/>
      <c r="K23" s="730" t="s">
        <v>1521</v>
      </c>
      <c r="L23" s="729"/>
      <c r="M23" s="673"/>
      <c r="N23" s="557"/>
      <c r="O23" s="728" t="s">
        <v>1520</v>
      </c>
      <c r="P23" s="729"/>
      <c r="Q23" s="673"/>
      <c r="R23" s="730" t="s">
        <v>1521</v>
      </c>
      <c r="S23" s="729"/>
      <c r="T23" s="673"/>
      <c r="U23" s="557"/>
      <c r="V23" s="728" t="s">
        <v>1520</v>
      </c>
      <c r="W23" s="729"/>
      <c r="X23" s="673"/>
      <c r="Y23" s="730" t="s">
        <v>1521</v>
      </c>
      <c r="Z23" s="729"/>
      <c r="AA23" s="673"/>
      <c r="AB23" s="557"/>
      <c r="AC23" s="728" t="s">
        <v>1520</v>
      </c>
      <c r="AD23" s="729"/>
      <c r="AE23" s="673"/>
      <c r="AF23" s="730" t="s">
        <v>1521</v>
      </c>
      <c r="AG23" s="729"/>
      <c r="AH23" s="673"/>
      <c r="AI23" s="557"/>
      <c r="AJ23" s="728" t="s">
        <v>1520</v>
      </c>
      <c r="AK23" s="729"/>
      <c r="AL23" s="673"/>
      <c r="AM23" s="730" t="s">
        <v>1521</v>
      </c>
      <c r="AN23" s="729"/>
      <c r="AO23" s="673"/>
      <c r="AP23" s="557"/>
      <c r="AQ23" s="41" t="s">
        <v>467</v>
      </c>
      <c r="AR23" s="41" t="s">
        <v>461</v>
      </c>
      <c r="AS23" s="557"/>
      <c r="AT23" s="41" t="s">
        <v>467</v>
      </c>
      <c r="AU23" s="41" t="s">
        <v>461</v>
      </c>
      <c r="AV23" s="557"/>
      <c r="AW23" s="41" t="s">
        <v>467</v>
      </c>
      <c r="AX23" s="41" t="s">
        <v>461</v>
      </c>
      <c r="AY23" s="557"/>
      <c r="AZ23" s="41" t="s">
        <v>467</v>
      </c>
      <c r="BA23" s="41" t="s">
        <v>461</v>
      </c>
      <c r="BB23" s="557"/>
      <c r="BC23" s="41" t="s">
        <v>467</v>
      </c>
      <c r="BD23" s="41" t="s">
        <v>461</v>
      </c>
      <c r="BE23" s="557"/>
      <c r="BF23" s="41" t="s">
        <v>467</v>
      </c>
      <c r="BG23" s="41" t="s">
        <v>461</v>
      </c>
      <c r="BH23" s="557"/>
    </row>
    <row r="24" spans="1:60" ht="14.25" customHeight="1">
      <c r="A24" s="558"/>
      <c r="B24" s="559"/>
      <c r="C24" s="560">
        <f t="shared" ref="C24:C34" si="36">ROUND(A24*B24,2)</f>
        <v>0</v>
      </c>
      <c r="D24" s="561"/>
      <c r="E24" s="562"/>
      <c r="F24" s="563">
        <f t="shared" ref="F24:F34" si="37">ROUND(D24*E24,2)</f>
        <v>0</v>
      </c>
      <c r="G24" s="564"/>
      <c r="H24" s="572"/>
      <c r="I24" s="565"/>
      <c r="J24" s="566">
        <f t="shared" ref="J24:J34" si="38">ROUND(H24*I24,4)</f>
        <v>0</v>
      </c>
      <c r="K24" s="567"/>
      <c r="L24" s="562"/>
      <c r="M24" s="568">
        <f t="shared" ref="M24:M34" si="39">ROUND(K24*L24,4)</f>
        <v>0</v>
      </c>
      <c r="N24" s="564"/>
      <c r="O24" s="572"/>
      <c r="P24" s="559"/>
      <c r="Q24" s="566">
        <f t="shared" ref="Q24:Q34" si="40">ROUND(O24*P24,2)</f>
        <v>0</v>
      </c>
      <c r="R24" s="567"/>
      <c r="S24" s="562"/>
      <c r="T24" s="568">
        <f t="shared" ref="T24:T34" si="41">ROUND(R24*S24,4)</f>
        <v>0</v>
      </c>
      <c r="U24" s="564"/>
      <c r="V24" s="572"/>
      <c r="W24" s="559"/>
      <c r="X24" s="566">
        <f t="shared" ref="X24:X34" si="42">ROUND(V24*W24,4)</f>
        <v>0</v>
      </c>
      <c r="Y24" s="561"/>
      <c r="Z24" s="571"/>
      <c r="AA24" s="568">
        <f t="shared" ref="AA24:AA34" si="43">ROUND(Y24*Z24,4)</f>
        <v>0</v>
      </c>
      <c r="AB24" s="564"/>
      <c r="AC24" s="572"/>
      <c r="AD24" s="559"/>
      <c r="AE24" s="566">
        <f t="shared" ref="AE24:AE34" si="44">ROUND(AC24*AD24,4)</f>
        <v>0</v>
      </c>
      <c r="AF24" s="561"/>
      <c r="AG24" s="571"/>
      <c r="AH24" s="568">
        <f t="shared" ref="AH24:AH34" si="45">ROUND(AF24*AG24,4)</f>
        <v>0</v>
      </c>
      <c r="AI24" s="564"/>
      <c r="AJ24" s="572"/>
      <c r="AK24" s="559"/>
      <c r="AL24" s="566">
        <f t="shared" ref="AL24:AL34" si="46">ROUND(AJ24*AK24,4)</f>
        <v>0</v>
      </c>
      <c r="AM24" s="561"/>
      <c r="AN24" s="571"/>
      <c r="AO24" s="568">
        <f t="shared" ref="AO24:AO34" si="47">ROUND(AM24*AN24,4)</f>
        <v>0</v>
      </c>
      <c r="AP24" s="564"/>
      <c r="AQ24" s="573">
        <f t="shared" ref="AQ24:AQ34" si="48">IF(C24*$E$47&lt;20,ROUND(C24*$E$47,2),20)</f>
        <v>0</v>
      </c>
      <c r="AR24" s="573">
        <f t="shared" ref="AR24:AR34" si="49">IF(F24*$E$47&lt;20,ROUND(F24*$E$47,2),20)</f>
        <v>0</v>
      </c>
      <c r="AS24" s="564"/>
      <c r="AT24" s="573">
        <f t="shared" ref="AT24:AT34" si="50">IF(J24*$E$47&lt;20,ROUND(J24*$E$47,2),20)</f>
        <v>0</v>
      </c>
      <c r="AU24" s="573">
        <f t="shared" ref="AU24:AU34" si="51">IF(M24*$E$47&lt;20,ROUND(M24*$E$47,2),20)</f>
        <v>0</v>
      </c>
      <c r="AV24" s="564"/>
      <c r="AW24" s="573">
        <f t="shared" ref="AW24:AW34" si="52">IF(Q24*$E$47&lt;20,ROUND(Q24*$E$47,2),20)</f>
        <v>0</v>
      </c>
      <c r="AX24" s="573">
        <f t="shared" ref="AX24:AX34" si="53">IF(T24*$E$47&lt;20,ROUND(T24*$E$47,2),20)</f>
        <v>0</v>
      </c>
      <c r="AY24" s="564"/>
      <c r="AZ24" s="573">
        <f t="shared" ref="AZ24:AZ34" si="54">IF(X24*$E$47&lt;20,ROUND(X24*$E$47,2),20)</f>
        <v>0</v>
      </c>
      <c r="BA24" s="573">
        <f t="shared" ref="BA24:BA34" si="55">IF(AA24*$E$47&lt;20,ROUND(AA24*$E$47,2),20)</f>
        <v>0</v>
      </c>
      <c r="BB24" s="564"/>
      <c r="BC24" s="573">
        <f t="shared" ref="BC24:BC34" si="56">IF(AE24*$E$47&lt;20,ROUND(AE24*$E$47,2),20)</f>
        <v>0</v>
      </c>
      <c r="BD24" s="573">
        <f t="shared" ref="BD24:BD34" si="57">IF(AH24*$E$47&lt;20,ROUND(AH24*$E$47,2),20)</f>
        <v>0</v>
      </c>
      <c r="BE24" s="564"/>
      <c r="BF24" s="573">
        <f t="shared" ref="BF24:BF34" si="58">IF(AL24*$E$47&lt;20,ROUND(AL24*$E$47,2),20)</f>
        <v>0</v>
      </c>
      <c r="BG24" s="573">
        <f t="shared" ref="BG24:BG34" si="59">IF(AO24*$E$47&lt;20,ROUND(AO24*$E$47,2),20)</f>
        <v>0</v>
      </c>
      <c r="BH24" s="564"/>
    </row>
    <row r="25" spans="1:60" ht="14.25" customHeight="1">
      <c r="A25" s="558"/>
      <c r="B25" s="559"/>
      <c r="C25" s="560">
        <f t="shared" si="36"/>
        <v>0</v>
      </c>
      <c r="D25" s="561"/>
      <c r="E25" s="562"/>
      <c r="F25" s="563">
        <f t="shared" si="37"/>
        <v>0</v>
      </c>
      <c r="G25" s="564"/>
      <c r="H25" s="558"/>
      <c r="I25" s="565"/>
      <c r="J25" s="560">
        <f t="shared" si="38"/>
        <v>0</v>
      </c>
      <c r="K25" s="567"/>
      <c r="L25" s="562"/>
      <c r="M25" s="563">
        <f t="shared" si="39"/>
        <v>0</v>
      </c>
      <c r="N25" s="564"/>
      <c r="O25" s="558"/>
      <c r="P25" s="565"/>
      <c r="Q25" s="560">
        <f t="shared" si="40"/>
        <v>0</v>
      </c>
      <c r="R25" s="567"/>
      <c r="S25" s="562"/>
      <c r="T25" s="563">
        <f t="shared" si="41"/>
        <v>0</v>
      </c>
      <c r="U25" s="564"/>
      <c r="V25" s="558"/>
      <c r="W25" s="565"/>
      <c r="X25" s="560">
        <f t="shared" si="42"/>
        <v>0</v>
      </c>
      <c r="Y25" s="567"/>
      <c r="Z25" s="562"/>
      <c r="AA25" s="563">
        <f t="shared" si="43"/>
        <v>0</v>
      </c>
      <c r="AB25" s="564"/>
      <c r="AC25" s="558"/>
      <c r="AD25" s="565"/>
      <c r="AE25" s="560">
        <f t="shared" si="44"/>
        <v>0</v>
      </c>
      <c r="AF25" s="567"/>
      <c r="AG25" s="562"/>
      <c r="AH25" s="563">
        <f t="shared" si="45"/>
        <v>0</v>
      </c>
      <c r="AI25" s="564"/>
      <c r="AJ25" s="558"/>
      <c r="AK25" s="565"/>
      <c r="AL25" s="560">
        <f t="shared" si="46"/>
        <v>0</v>
      </c>
      <c r="AM25" s="567"/>
      <c r="AN25" s="562"/>
      <c r="AO25" s="563">
        <f t="shared" si="47"/>
        <v>0</v>
      </c>
      <c r="AP25" s="564"/>
      <c r="AQ25" s="573">
        <f t="shared" si="48"/>
        <v>0</v>
      </c>
      <c r="AR25" s="573">
        <f t="shared" si="49"/>
        <v>0</v>
      </c>
      <c r="AS25" s="564"/>
      <c r="AT25" s="573">
        <f t="shared" si="50"/>
        <v>0</v>
      </c>
      <c r="AU25" s="573">
        <f t="shared" si="51"/>
        <v>0</v>
      </c>
      <c r="AV25" s="564"/>
      <c r="AW25" s="573">
        <f t="shared" si="52"/>
        <v>0</v>
      </c>
      <c r="AX25" s="573">
        <f t="shared" si="53"/>
        <v>0</v>
      </c>
      <c r="AY25" s="564"/>
      <c r="AZ25" s="573">
        <f t="shared" si="54"/>
        <v>0</v>
      </c>
      <c r="BA25" s="573">
        <f t="shared" si="55"/>
        <v>0</v>
      </c>
      <c r="BB25" s="564"/>
      <c r="BC25" s="573">
        <f t="shared" si="56"/>
        <v>0</v>
      </c>
      <c r="BD25" s="573">
        <f t="shared" si="57"/>
        <v>0</v>
      </c>
      <c r="BE25" s="564"/>
      <c r="BF25" s="573">
        <f t="shared" si="58"/>
        <v>0</v>
      </c>
      <c r="BG25" s="573">
        <f t="shared" si="59"/>
        <v>0</v>
      </c>
      <c r="BH25" s="564"/>
    </row>
    <row r="26" spans="1:60" ht="14.25" customHeight="1">
      <c r="A26" s="558"/>
      <c r="B26" s="559"/>
      <c r="C26" s="560">
        <f t="shared" si="36"/>
        <v>0</v>
      </c>
      <c r="D26" s="561"/>
      <c r="E26" s="562"/>
      <c r="F26" s="563">
        <f t="shared" si="37"/>
        <v>0</v>
      </c>
      <c r="G26" s="564"/>
      <c r="H26" s="558"/>
      <c r="I26" s="565"/>
      <c r="J26" s="560">
        <f t="shared" si="38"/>
        <v>0</v>
      </c>
      <c r="K26" s="567"/>
      <c r="L26" s="562"/>
      <c r="M26" s="563">
        <f t="shared" si="39"/>
        <v>0</v>
      </c>
      <c r="N26" s="564"/>
      <c r="O26" s="558"/>
      <c r="P26" s="565"/>
      <c r="Q26" s="560">
        <f t="shared" si="40"/>
        <v>0</v>
      </c>
      <c r="R26" s="567"/>
      <c r="S26" s="562"/>
      <c r="T26" s="563">
        <f t="shared" si="41"/>
        <v>0</v>
      </c>
      <c r="U26" s="564"/>
      <c r="V26" s="558"/>
      <c r="W26" s="565"/>
      <c r="X26" s="560">
        <f t="shared" si="42"/>
        <v>0</v>
      </c>
      <c r="Y26" s="567"/>
      <c r="Z26" s="562"/>
      <c r="AA26" s="563">
        <f t="shared" si="43"/>
        <v>0</v>
      </c>
      <c r="AB26" s="564"/>
      <c r="AC26" s="558"/>
      <c r="AD26" s="565"/>
      <c r="AE26" s="560">
        <f t="shared" si="44"/>
        <v>0</v>
      </c>
      <c r="AF26" s="567"/>
      <c r="AG26" s="562"/>
      <c r="AH26" s="563">
        <f t="shared" si="45"/>
        <v>0</v>
      </c>
      <c r="AI26" s="564"/>
      <c r="AJ26" s="558"/>
      <c r="AK26" s="565"/>
      <c r="AL26" s="560">
        <f t="shared" si="46"/>
        <v>0</v>
      </c>
      <c r="AM26" s="567"/>
      <c r="AN26" s="562"/>
      <c r="AO26" s="563">
        <f t="shared" si="47"/>
        <v>0</v>
      </c>
      <c r="AP26" s="564"/>
      <c r="AQ26" s="573">
        <f t="shared" si="48"/>
        <v>0</v>
      </c>
      <c r="AR26" s="573">
        <f t="shared" si="49"/>
        <v>0</v>
      </c>
      <c r="AS26" s="564"/>
      <c r="AT26" s="573">
        <f t="shared" si="50"/>
        <v>0</v>
      </c>
      <c r="AU26" s="573">
        <f t="shared" si="51"/>
        <v>0</v>
      </c>
      <c r="AV26" s="564"/>
      <c r="AW26" s="573">
        <f t="shared" si="52"/>
        <v>0</v>
      </c>
      <c r="AX26" s="573">
        <f t="shared" si="53"/>
        <v>0</v>
      </c>
      <c r="AY26" s="564"/>
      <c r="AZ26" s="573">
        <f t="shared" si="54"/>
        <v>0</v>
      </c>
      <c r="BA26" s="573">
        <f t="shared" si="55"/>
        <v>0</v>
      </c>
      <c r="BB26" s="564"/>
      <c r="BC26" s="573">
        <f t="shared" si="56"/>
        <v>0</v>
      </c>
      <c r="BD26" s="573">
        <f t="shared" si="57"/>
        <v>0</v>
      </c>
      <c r="BE26" s="564"/>
      <c r="BF26" s="573">
        <f t="shared" si="58"/>
        <v>0</v>
      </c>
      <c r="BG26" s="573">
        <f t="shared" si="59"/>
        <v>0</v>
      </c>
      <c r="BH26" s="564"/>
    </row>
    <row r="27" spans="1:60" ht="14.25" customHeight="1">
      <c r="A27" s="572"/>
      <c r="B27" s="559"/>
      <c r="C27" s="560">
        <f t="shared" si="36"/>
        <v>0</v>
      </c>
      <c r="D27" s="561"/>
      <c r="E27" s="562"/>
      <c r="F27" s="563">
        <f t="shared" si="37"/>
        <v>0</v>
      </c>
      <c r="G27" s="564"/>
      <c r="H27" s="558"/>
      <c r="I27" s="565"/>
      <c r="J27" s="560">
        <f t="shared" si="38"/>
        <v>0</v>
      </c>
      <c r="K27" s="567"/>
      <c r="L27" s="562"/>
      <c r="M27" s="563">
        <f t="shared" si="39"/>
        <v>0</v>
      </c>
      <c r="N27" s="564"/>
      <c r="O27" s="558"/>
      <c r="P27" s="565"/>
      <c r="Q27" s="560">
        <f t="shared" si="40"/>
        <v>0</v>
      </c>
      <c r="R27" s="567"/>
      <c r="S27" s="562"/>
      <c r="T27" s="563">
        <f t="shared" si="41"/>
        <v>0</v>
      </c>
      <c r="U27" s="564"/>
      <c r="V27" s="558"/>
      <c r="W27" s="565"/>
      <c r="X27" s="560">
        <f t="shared" si="42"/>
        <v>0</v>
      </c>
      <c r="Y27" s="567"/>
      <c r="Z27" s="562"/>
      <c r="AA27" s="563">
        <f t="shared" si="43"/>
        <v>0</v>
      </c>
      <c r="AB27" s="564"/>
      <c r="AC27" s="558"/>
      <c r="AD27" s="565"/>
      <c r="AE27" s="560">
        <f t="shared" si="44"/>
        <v>0</v>
      </c>
      <c r="AF27" s="567"/>
      <c r="AG27" s="562"/>
      <c r="AH27" s="563">
        <f t="shared" si="45"/>
        <v>0</v>
      </c>
      <c r="AI27" s="564"/>
      <c r="AJ27" s="558"/>
      <c r="AK27" s="565"/>
      <c r="AL27" s="560">
        <f t="shared" si="46"/>
        <v>0</v>
      </c>
      <c r="AM27" s="567"/>
      <c r="AN27" s="562"/>
      <c r="AO27" s="563">
        <f t="shared" si="47"/>
        <v>0</v>
      </c>
      <c r="AP27" s="564"/>
      <c r="AQ27" s="573">
        <f t="shared" si="48"/>
        <v>0</v>
      </c>
      <c r="AR27" s="573">
        <f t="shared" si="49"/>
        <v>0</v>
      </c>
      <c r="AS27" s="564"/>
      <c r="AT27" s="573">
        <f t="shared" si="50"/>
        <v>0</v>
      </c>
      <c r="AU27" s="573">
        <f t="shared" si="51"/>
        <v>0</v>
      </c>
      <c r="AV27" s="564"/>
      <c r="AW27" s="573">
        <f t="shared" si="52"/>
        <v>0</v>
      </c>
      <c r="AX27" s="573">
        <f t="shared" si="53"/>
        <v>0</v>
      </c>
      <c r="AY27" s="564"/>
      <c r="AZ27" s="573">
        <f t="shared" si="54"/>
        <v>0</v>
      </c>
      <c r="BA27" s="573">
        <f t="shared" si="55"/>
        <v>0</v>
      </c>
      <c r="BB27" s="564"/>
      <c r="BC27" s="573">
        <f t="shared" si="56"/>
        <v>0</v>
      </c>
      <c r="BD27" s="573">
        <f t="shared" si="57"/>
        <v>0</v>
      </c>
      <c r="BE27" s="564"/>
      <c r="BF27" s="573">
        <f t="shared" si="58"/>
        <v>0</v>
      </c>
      <c r="BG27" s="573">
        <f t="shared" si="59"/>
        <v>0</v>
      </c>
      <c r="BH27" s="564"/>
    </row>
    <row r="28" spans="1:60" ht="14.25" customHeight="1">
      <c r="A28" s="572"/>
      <c r="B28" s="559"/>
      <c r="C28" s="560">
        <f t="shared" si="36"/>
        <v>0</v>
      </c>
      <c r="D28" s="561"/>
      <c r="E28" s="562"/>
      <c r="F28" s="563">
        <f t="shared" si="37"/>
        <v>0</v>
      </c>
      <c r="G28" s="564"/>
      <c r="H28" s="558"/>
      <c r="I28" s="565"/>
      <c r="J28" s="560">
        <f t="shared" si="38"/>
        <v>0</v>
      </c>
      <c r="K28" s="567"/>
      <c r="L28" s="562"/>
      <c r="M28" s="563">
        <f t="shared" si="39"/>
        <v>0</v>
      </c>
      <c r="N28" s="564"/>
      <c r="O28" s="558"/>
      <c r="P28" s="565"/>
      <c r="Q28" s="560">
        <f t="shared" si="40"/>
        <v>0</v>
      </c>
      <c r="R28" s="567"/>
      <c r="S28" s="562"/>
      <c r="T28" s="563">
        <f t="shared" si="41"/>
        <v>0</v>
      </c>
      <c r="U28" s="564"/>
      <c r="V28" s="558"/>
      <c r="W28" s="565"/>
      <c r="X28" s="560">
        <f t="shared" si="42"/>
        <v>0</v>
      </c>
      <c r="Y28" s="567"/>
      <c r="Z28" s="562"/>
      <c r="AA28" s="563">
        <f t="shared" si="43"/>
        <v>0</v>
      </c>
      <c r="AB28" s="564"/>
      <c r="AC28" s="558"/>
      <c r="AD28" s="565"/>
      <c r="AE28" s="560">
        <f t="shared" si="44"/>
        <v>0</v>
      </c>
      <c r="AF28" s="567"/>
      <c r="AG28" s="562"/>
      <c r="AH28" s="563">
        <f t="shared" si="45"/>
        <v>0</v>
      </c>
      <c r="AI28" s="564"/>
      <c r="AJ28" s="558"/>
      <c r="AK28" s="565"/>
      <c r="AL28" s="560">
        <f t="shared" si="46"/>
        <v>0</v>
      </c>
      <c r="AM28" s="567"/>
      <c r="AN28" s="562"/>
      <c r="AO28" s="563">
        <f t="shared" si="47"/>
        <v>0</v>
      </c>
      <c r="AP28" s="564"/>
      <c r="AQ28" s="573">
        <f t="shared" si="48"/>
        <v>0</v>
      </c>
      <c r="AR28" s="573">
        <f t="shared" si="49"/>
        <v>0</v>
      </c>
      <c r="AS28" s="564"/>
      <c r="AT28" s="573">
        <f t="shared" si="50"/>
        <v>0</v>
      </c>
      <c r="AU28" s="573">
        <f t="shared" si="51"/>
        <v>0</v>
      </c>
      <c r="AV28" s="564"/>
      <c r="AW28" s="573">
        <f t="shared" si="52"/>
        <v>0</v>
      </c>
      <c r="AX28" s="573">
        <f t="shared" si="53"/>
        <v>0</v>
      </c>
      <c r="AY28" s="564"/>
      <c r="AZ28" s="573">
        <f t="shared" si="54"/>
        <v>0</v>
      </c>
      <c r="BA28" s="573">
        <f t="shared" si="55"/>
        <v>0</v>
      </c>
      <c r="BB28" s="564"/>
      <c r="BC28" s="573">
        <f t="shared" si="56"/>
        <v>0</v>
      </c>
      <c r="BD28" s="573">
        <f t="shared" si="57"/>
        <v>0</v>
      </c>
      <c r="BE28" s="564"/>
      <c r="BF28" s="573">
        <f t="shared" si="58"/>
        <v>0</v>
      </c>
      <c r="BG28" s="573">
        <f t="shared" si="59"/>
        <v>0</v>
      </c>
      <c r="BH28" s="564"/>
    </row>
    <row r="29" spans="1:60" ht="14.25" customHeight="1">
      <c r="A29" s="572"/>
      <c r="B29" s="559"/>
      <c r="C29" s="560">
        <f t="shared" si="36"/>
        <v>0</v>
      </c>
      <c r="D29" s="561"/>
      <c r="E29" s="562"/>
      <c r="F29" s="563">
        <f t="shared" si="37"/>
        <v>0</v>
      </c>
      <c r="G29" s="564"/>
      <c r="H29" s="558"/>
      <c r="I29" s="565"/>
      <c r="J29" s="560">
        <f t="shared" si="38"/>
        <v>0</v>
      </c>
      <c r="K29" s="567"/>
      <c r="L29" s="562"/>
      <c r="M29" s="563">
        <f t="shared" si="39"/>
        <v>0</v>
      </c>
      <c r="N29" s="564"/>
      <c r="O29" s="558"/>
      <c r="P29" s="565"/>
      <c r="Q29" s="560">
        <f t="shared" si="40"/>
        <v>0</v>
      </c>
      <c r="R29" s="567"/>
      <c r="S29" s="562"/>
      <c r="T29" s="563">
        <f t="shared" si="41"/>
        <v>0</v>
      </c>
      <c r="U29" s="564"/>
      <c r="V29" s="558"/>
      <c r="W29" s="565"/>
      <c r="X29" s="560">
        <f t="shared" si="42"/>
        <v>0</v>
      </c>
      <c r="Y29" s="567"/>
      <c r="Z29" s="562"/>
      <c r="AA29" s="563">
        <f t="shared" si="43"/>
        <v>0</v>
      </c>
      <c r="AB29" s="564"/>
      <c r="AC29" s="558"/>
      <c r="AD29" s="565"/>
      <c r="AE29" s="560">
        <f t="shared" si="44"/>
        <v>0</v>
      </c>
      <c r="AF29" s="567"/>
      <c r="AG29" s="562"/>
      <c r="AH29" s="563">
        <f t="shared" si="45"/>
        <v>0</v>
      </c>
      <c r="AI29" s="564"/>
      <c r="AJ29" s="558"/>
      <c r="AK29" s="565"/>
      <c r="AL29" s="560">
        <f t="shared" si="46"/>
        <v>0</v>
      </c>
      <c r="AM29" s="567"/>
      <c r="AN29" s="562"/>
      <c r="AO29" s="563">
        <f t="shared" si="47"/>
        <v>0</v>
      </c>
      <c r="AP29" s="564"/>
      <c r="AQ29" s="573">
        <f t="shared" si="48"/>
        <v>0</v>
      </c>
      <c r="AR29" s="573">
        <f t="shared" si="49"/>
        <v>0</v>
      </c>
      <c r="AS29" s="564"/>
      <c r="AT29" s="573">
        <f t="shared" si="50"/>
        <v>0</v>
      </c>
      <c r="AU29" s="573">
        <f t="shared" si="51"/>
        <v>0</v>
      </c>
      <c r="AV29" s="564"/>
      <c r="AW29" s="573">
        <f t="shared" si="52"/>
        <v>0</v>
      </c>
      <c r="AX29" s="573">
        <f t="shared" si="53"/>
        <v>0</v>
      </c>
      <c r="AY29" s="564"/>
      <c r="AZ29" s="573">
        <f t="shared" si="54"/>
        <v>0</v>
      </c>
      <c r="BA29" s="573">
        <f t="shared" si="55"/>
        <v>0</v>
      </c>
      <c r="BB29" s="564"/>
      <c r="BC29" s="573">
        <f t="shared" si="56"/>
        <v>0</v>
      </c>
      <c r="BD29" s="573">
        <f t="shared" si="57"/>
        <v>0</v>
      </c>
      <c r="BE29" s="564"/>
      <c r="BF29" s="573">
        <f t="shared" si="58"/>
        <v>0</v>
      </c>
      <c r="BG29" s="573">
        <f t="shared" si="59"/>
        <v>0</v>
      </c>
      <c r="BH29" s="564"/>
    </row>
    <row r="30" spans="1:60" ht="14.25" customHeight="1">
      <c r="A30" s="572"/>
      <c r="B30" s="565"/>
      <c r="C30" s="560">
        <f t="shared" si="36"/>
        <v>0</v>
      </c>
      <c r="D30" s="561"/>
      <c r="E30" s="562"/>
      <c r="F30" s="563">
        <f t="shared" si="37"/>
        <v>0</v>
      </c>
      <c r="G30" s="564"/>
      <c r="H30" s="558"/>
      <c r="I30" s="565"/>
      <c r="J30" s="560">
        <f t="shared" si="38"/>
        <v>0</v>
      </c>
      <c r="K30" s="567"/>
      <c r="L30" s="562"/>
      <c r="M30" s="563">
        <f t="shared" si="39"/>
        <v>0</v>
      </c>
      <c r="N30" s="564"/>
      <c r="O30" s="558"/>
      <c r="P30" s="565"/>
      <c r="Q30" s="560">
        <f t="shared" si="40"/>
        <v>0</v>
      </c>
      <c r="R30" s="567"/>
      <c r="S30" s="562"/>
      <c r="T30" s="563">
        <f t="shared" si="41"/>
        <v>0</v>
      </c>
      <c r="U30" s="564"/>
      <c r="V30" s="558"/>
      <c r="W30" s="565"/>
      <c r="X30" s="560">
        <f t="shared" si="42"/>
        <v>0</v>
      </c>
      <c r="Y30" s="567"/>
      <c r="Z30" s="562"/>
      <c r="AA30" s="563">
        <f t="shared" si="43"/>
        <v>0</v>
      </c>
      <c r="AB30" s="564"/>
      <c r="AC30" s="558"/>
      <c r="AD30" s="565"/>
      <c r="AE30" s="560">
        <f t="shared" si="44"/>
        <v>0</v>
      </c>
      <c r="AF30" s="567"/>
      <c r="AG30" s="562"/>
      <c r="AH30" s="563">
        <f t="shared" si="45"/>
        <v>0</v>
      </c>
      <c r="AI30" s="564"/>
      <c r="AJ30" s="558"/>
      <c r="AK30" s="565"/>
      <c r="AL30" s="560">
        <f t="shared" si="46"/>
        <v>0</v>
      </c>
      <c r="AM30" s="567"/>
      <c r="AN30" s="562"/>
      <c r="AO30" s="563">
        <f t="shared" si="47"/>
        <v>0</v>
      </c>
      <c r="AP30" s="564"/>
      <c r="AQ30" s="573">
        <f t="shared" si="48"/>
        <v>0</v>
      </c>
      <c r="AR30" s="573">
        <f t="shared" si="49"/>
        <v>0</v>
      </c>
      <c r="AS30" s="564"/>
      <c r="AT30" s="573">
        <f t="shared" si="50"/>
        <v>0</v>
      </c>
      <c r="AU30" s="573">
        <f t="shared" si="51"/>
        <v>0</v>
      </c>
      <c r="AV30" s="564"/>
      <c r="AW30" s="573">
        <f t="shared" si="52"/>
        <v>0</v>
      </c>
      <c r="AX30" s="573">
        <f t="shared" si="53"/>
        <v>0</v>
      </c>
      <c r="AY30" s="564"/>
      <c r="AZ30" s="573">
        <f t="shared" si="54"/>
        <v>0</v>
      </c>
      <c r="BA30" s="573">
        <f t="shared" si="55"/>
        <v>0</v>
      </c>
      <c r="BB30" s="564"/>
      <c r="BC30" s="573">
        <f t="shared" si="56"/>
        <v>0</v>
      </c>
      <c r="BD30" s="573">
        <f t="shared" si="57"/>
        <v>0</v>
      </c>
      <c r="BE30" s="564"/>
      <c r="BF30" s="573">
        <f t="shared" si="58"/>
        <v>0</v>
      </c>
      <c r="BG30" s="573">
        <f t="shared" si="59"/>
        <v>0</v>
      </c>
      <c r="BH30" s="564"/>
    </row>
    <row r="31" spans="1:60" ht="14.25" customHeight="1">
      <c r="A31" s="572"/>
      <c r="B31" s="577"/>
      <c r="C31" s="560">
        <f t="shared" si="36"/>
        <v>0</v>
      </c>
      <c r="D31" s="561"/>
      <c r="E31" s="562"/>
      <c r="F31" s="563">
        <f t="shared" si="37"/>
        <v>0</v>
      </c>
      <c r="G31" s="564"/>
      <c r="H31" s="558"/>
      <c r="I31" s="565"/>
      <c r="J31" s="560">
        <f t="shared" si="38"/>
        <v>0</v>
      </c>
      <c r="K31" s="567"/>
      <c r="L31" s="562"/>
      <c r="M31" s="563">
        <f t="shared" si="39"/>
        <v>0</v>
      </c>
      <c r="N31" s="564"/>
      <c r="O31" s="558"/>
      <c r="P31" s="565"/>
      <c r="Q31" s="560">
        <f t="shared" si="40"/>
        <v>0</v>
      </c>
      <c r="R31" s="567"/>
      <c r="S31" s="562"/>
      <c r="T31" s="563">
        <f t="shared" si="41"/>
        <v>0</v>
      </c>
      <c r="U31" s="564"/>
      <c r="V31" s="558"/>
      <c r="W31" s="565"/>
      <c r="X31" s="560">
        <f t="shared" si="42"/>
        <v>0</v>
      </c>
      <c r="Y31" s="567"/>
      <c r="Z31" s="562"/>
      <c r="AA31" s="563">
        <f t="shared" si="43"/>
        <v>0</v>
      </c>
      <c r="AB31" s="564"/>
      <c r="AC31" s="558"/>
      <c r="AD31" s="565"/>
      <c r="AE31" s="560">
        <f t="shared" si="44"/>
        <v>0</v>
      </c>
      <c r="AF31" s="567"/>
      <c r="AG31" s="562"/>
      <c r="AH31" s="563">
        <f t="shared" si="45"/>
        <v>0</v>
      </c>
      <c r="AI31" s="564"/>
      <c r="AJ31" s="558"/>
      <c r="AK31" s="565"/>
      <c r="AL31" s="560">
        <f t="shared" si="46"/>
        <v>0</v>
      </c>
      <c r="AM31" s="567"/>
      <c r="AN31" s="562"/>
      <c r="AO31" s="563">
        <f t="shared" si="47"/>
        <v>0</v>
      </c>
      <c r="AP31" s="564"/>
      <c r="AQ31" s="573">
        <f t="shared" si="48"/>
        <v>0</v>
      </c>
      <c r="AR31" s="573">
        <f t="shared" si="49"/>
        <v>0</v>
      </c>
      <c r="AS31" s="564"/>
      <c r="AT31" s="573">
        <f t="shared" si="50"/>
        <v>0</v>
      </c>
      <c r="AU31" s="573">
        <f t="shared" si="51"/>
        <v>0</v>
      </c>
      <c r="AV31" s="564"/>
      <c r="AW31" s="573">
        <f t="shared" si="52"/>
        <v>0</v>
      </c>
      <c r="AX31" s="573">
        <f t="shared" si="53"/>
        <v>0</v>
      </c>
      <c r="AY31" s="564"/>
      <c r="AZ31" s="573">
        <f t="shared" si="54"/>
        <v>0</v>
      </c>
      <c r="BA31" s="573">
        <f t="shared" si="55"/>
        <v>0</v>
      </c>
      <c r="BB31" s="564"/>
      <c r="BC31" s="573">
        <f t="shared" si="56"/>
        <v>0</v>
      </c>
      <c r="BD31" s="573">
        <f t="shared" si="57"/>
        <v>0</v>
      </c>
      <c r="BE31" s="564"/>
      <c r="BF31" s="573">
        <f t="shared" si="58"/>
        <v>0</v>
      </c>
      <c r="BG31" s="573">
        <f t="shared" si="59"/>
        <v>0</v>
      </c>
      <c r="BH31" s="564"/>
    </row>
    <row r="32" spans="1:60" ht="14.25" customHeight="1">
      <c r="A32" s="558"/>
      <c r="B32" s="559"/>
      <c r="C32" s="560">
        <f t="shared" si="36"/>
        <v>0</v>
      </c>
      <c r="D32" s="561"/>
      <c r="E32" s="596"/>
      <c r="F32" s="563">
        <f t="shared" si="37"/>
        <v>0</v>
      </c>
      <c r="G32" s="564"/>
      <c r="H32" s="558"/>
      <c r="I32" s="565"/>
      <c r="J32" s="560">
        <f t="shared" si="38"/>
        <v>0</v>
      </c>
      <c r="K32" s="567"/>
      <c r="L32" s="562"/>
      <c r="M32" s="563">
        <f t="shared" si="39"/>
        <v>0</v>
      </c>
      <c r="N32" s="564"/>
      <c r="O32" s="558"/>
      <c r="P32" s="565"/>
      <c r="Q32" s="560">
        <f t="shared" si="40"/>
        <v>0</v>
      </c>
      <c r="R32" s="567"/>
      <c r="S32" s="562"/>
      <c r="T32" s="563">
        <f t="shared" si="41"/>
        <v>0</v>
      </c>
      <c r="U32" s="564"/>
      <c r="V32" s="558"/>
      <c r="W32" s="565"/>
      <c r="X32" s="560">
        <f t="shared" si="42"/>
        <v>0</v>
      </c>
      <c r="Y32" s="567"/>
      <c r="Z32" s="562"/>
      <c r="AA32" s="563">
        <f t="shared" si="43"/>
        <v>0</v>
      </c>
      <c r="AB32" s="564"/>
      <c r="AC32" s="558"/>
      <c r="AD32" s="565"/>
      <c r="AE32" s="560">
        <f t="shared" si="44"/>
        <v>0</v>
      </c>
      <c r="AF32" s="567"/>
      <c r="AG32" s="562"/>
      <c r="AH32" s="563">
        <f t="shared" si="45"/>
        <v>0</v>
      </c>
      <c r="AI32" s="564"/>
      <c r="AJ32" s="558"/>
      <c r="AK32" s="565"/>
      <c r="AL32" s="560">
        <f t="shared" si="46"/>
        <v>0</v>
      </c>
      <c r="AM32" s="567"/>
      <c r="AN32" s="562"/>
      <c r="AO32" s="563">
        <f t="shared" si="47"/>
        <v>0</v>
      </c>
      <c r="AP32" s="564"/>
      <c r="AQ32" s="573">
        <f t="shared" si="48"/>
        <v>0</v>
      </c>
      <c r="AR32" s="573">
        <f t="shared" si="49"/>
        <v>0</v>
      </c>
      <c r="AS32" s="564"/>
      <c r="AT32" s="573">
        <f t="shared" si="50"/>
        <v>0</v>
      </c>
      <c r="AU32" s="573">
        <f t="shared" si="51"/>
        <v>0</v>
      </c>
      <c r="AV32" s="564"/>
      <c r="AW32" s="573">
        <f t="shared" si="52"/>
        <v>0</v>
      </c>
      <c r="AX32" s="573">
        <f t="shared" si="53"/>
        <v>0</v>
      </c>
      <c r="AY32" s="564"/>
      <c r="AZ32" s="573">
        <f t="shared" si="54"/>
        <v>0</v>
      </c>
      <c r="BA32" s="573">
        <f t="shared" si="55"/>
        <v>0</v>
      </c>
      <c r="BB32" s="564"/>
      <c r="BC32" s="573">
        <f t="shared" si="56"/>
        <v>0</v>
      </c>
      <c r="BD32" s="573">
        <f t="shared" si="57"/>
        <v>0</v>
      </c>
      <c r="BE32" s="564"/>
      <c r="BF32" s="573">
        <f t="shared" si="58"/>
        <v>0</v>
      </c>
      <c r="BG32" s="573">
        <f t="shared" si="59"/>
        <v>0</v>
      </c>
      <c r="BH32" s="564"/>
    </row>
    <row r="33" spans="1:60" ht="14.25" customHeight="1">
      <c r="A33" s="572"/>
      <c r="B33" s="577"/>
      <c r="C33" s="560">
        <f t="shared" si="36"/>
        <v>0</v>
      </c>
      <c r="D33" s="567"/>
      <c r="E33" s="562"/>
      <c r="F33" s="563">
        <f t="shared" si="37"/>
        <v>0</v>
      </c>
      <c r="G33" s="564"/>
      <c r="H33" s="558"/>
      <c r="I33" s="565"/>
      <c r="J33" s="560">
        <f t="shared" si="38"/>
        <v>0</v>
      </c>
      <c r="K33" s="567"/>
      <c r="L33" s="562"/>
      <c r="M33" s="563">
        <f t="shared" si="39"/>
        <v>0</v>
      </c>
      <c r="N33" s="564"/>
      <c r="O33" s="558"/>
      <c r="P33" s="565"/>
      <c r="Q33" s="560">
        <f t="shared" si="40"/>
        <v>0</v>
      </c>
      <c r="R33" s="567"/>
      <c r="S33" s="562"/>
      <c r="T33" s="563">
        <f t="shared" si="41"/>
        <v>0</v>
      </c>
      <c r="U33" s="564"/>
      <c r="V33" s="558"/>
      <c r="W33" s="565"/>
      <c r="X33" s="560">
        <f t="shared" si="42"/>
        <v>0</v>
      </c>
      <c r="Y33" s="567"/>
      <c r="Z33" s="562"/>
      <c r="AA33" s="563">
        <f t="shared" si="43"/>
        <v>0</v>
      </c>
      <c r="AB33" s="564"/>
      <c r="AC33" s="558"/>
      <c r="AD33" s="565"/>
      <c r="AE33" s="560">
        <f t="shared" si="44"/>
        <v>0</v>
      </c>
      <c r="AF33" s="567"/>
      <c r="AG33" s="562"/>
      <c r="AH33" s="563">
        <f t="shared" si="45"/>
        <v>0</v>
      </c>
      <c r="AI33" s="564"/>
      <c r="AJ33" s="558"/>
      <c r="AK33" s="565"/>
      <c r="AL33" s="560">
        <f t="shared" si="46"/>
        <v>0</v>
      </c>
      <c r="AM33" s="567"/>
      <c r="AN33" s="562"/>
      <c r="AO33" s="563">
        <f t="shared" si="47"/>
        <v>0</v>
      </c>
      <c r="AP33" s="564"/>
      <c r="AQ33" s="573">
        <f t="shared" si="48"/>
        <v>0</v>
      </c>
      <c r="AR33" s="573">
        <f t="shared" si="49"/>
        <v>0</v>
      </c>
      <c r="AS33" s="564"/>
      <c r="AT33" s="573">
        <f t="shared" si="50"/>
        <v>0</v>
      </c>
      <c r="AU33" s="573">
        <f t="shared" si="51"/>
        <v>0</v>
      </c>
      <c r="AV33" s="564"/>
      <c r="AW33" s="573">
        <f t="shared" si="52"/>
        <v>0</v>
      </c>
      <c r="AX33" s="573">
        <f t="shared" si="53"/>
        <v>0</v>
      </c>
      <c r="AY33" s="564"/>
      <c r="AZ33" s="573">
        <f t="shared" si="54"/>
        <v>0</v>
      </c>
      <c r="BA33" s="573">
        <f t="shared" si="55"/>
        <v>0</v>
      </c>
      <c r="BB33" s="564"/>
      <c r="BC33" s="573">
        <f t="shared" si="56"/>
        <v>0</v>
      </c>
      <c r="BD33" s="573">
        <f t="shared" si="57"/>
        <v>0</v>
      </c>
      <c r="BE33" s="564"/>
      <c r="BF33" s="573">
        <f t="shared" si="58"/>
        <v>0</v>
      </c>
      <c r="BG33" s="573">
        <f t="shared" si="59"/>
        <v>0</v>
      </c>
      <c r="BH33" s="564"/>
    </row>
    <row r="34" spans="1:60" ht="14.25" customHeight="1">
      <c r="A34" s="572"/>
      <c r="B34" s="559"/>
      <c r="C34" s="560">
        <f t="shared" si="36"/>
        <v>0</v>
      </c>
      <c r="D34" s="567"/>
      <c r="E34" s="562"/>
      <c r="F34" s="563">
        <f t="shared" si="37"/>
        <v>0</v>
      </c>
      <c r="G34" s="564"/>
      <c r="H34" s="558"/>
      <c r="I34" s="565"/>
      <c r="J34" s="560">
        <f t="shared" si="38"/>
        <v>0</v>
      </c>
      <c r="K34" s="567"/>
      <c r="L34" s="562"/>
      <c r="M34" s="563">
        <f t="shared" si="39"/>
        <v>0</v>
      </c>
      <c r="N34" s="564"/>
      <c r="O34" s="558"/>
      <c r="P34" s="565"/>
      <c r="Q34" s="560">
        <f t="shared" si="40"/>
        <v>0</v>
      </c>
      <c r="R34" s="567"/>
      <c r="S34" s="562"/>
      <c r="T34" s="563">
        <f t="shared" si="41"/>
        <v>0</v>
      </c>
      <c r="U34" s="564"/>
      <c r="V34" s="558"/>
      <c r="W34" s="565"/>
      <c r="X34" s="560">
        <f t="shared" si="42"/>
        <v>0</v>
      </c>
      <c r="Y34" s="567"/>
      <c r="Z34" s="562"/>
      <c r="AA34" s="563">
        <f t="shared" si="43"/>
        <v>0</v>
      </c>
      <c r="AB34" s="564"/>
      <c r="AC34" s="558"/>
      <c r="AD34" s="565"/>
      <c r="AE34" s="560">
        <f t="shared" si="44"/>
        <v>0</v>
      </c>
      <c r="AF34" s="567"/>
      <c r="AG34" s="562"/>
      <c r="AH34" s="563">
        <f t="shared" si="45"/>
        <v>0</v>
      </c>
      <c r="AI34" s="564"/>
      <c r="AJ34" s="558"/>
      <c r="AK34" s="565"/>
      <c r="AL34" s="560">
        <f t="shared" si="46"/>
        <v>0</v>
      </c>
      <c r="AM34" s="567"/>
      <c r="AN34" s="562"/>
      <c r="AO34" s="563">
        <f t="shared" si="47"/>
        <v>0</v>
      </c>
      <c r="AP34" s="564"/>
      <c r="AQ34" s="573">
        <f t="shared" si="48"/>
        <v>0</v>
      </c>
      <c r="AR34" s="573">
        <f t="shared" si="49"/>
        <v>0</v>
      </c>
      <c r="AS34" s="564"/>
      <c r="AT34" s="573">
        <f t="shared" si="50"/>
        <v>0</v>
      </c>
      <c r="AU34" s="573">
        <f t="shared" si="51"/>
        <v>0</v>
      </c>
      <c r="AV34" s="564"/>
      <c r="AW34" s="573">
        <f t="shared" si="52"/>
        <v>0</v>
      </c>
      <c r="AX34" s="573">
        <f t="shared" si="53"/>
        <v>0</v>
      </c>
      <c r="AY34" s="564"/>
      <c r="AZ34" s="573">
        <f t="shared" si="54"/>
        <v>0</v>
      </c>
      <c r="BA34" s="573">
        <f t="shared" si="55"/>
        <v>0</v>
      </c>
      <c r="BB34" s="564"/>
      <c r="BC34" s="573">
        <f t="shared" si="56"/>
        <v>0</v>
      </c>
      <c r="BD34" s="573">
        <f t="shared" si="57"/>
        <v>0</v>
      </c>
      <c r="BE34" s="564"/>
      <c r="BF34" s="573">
        <f t="shared" si="58"/>
        <v>0</v>
      </c>
      <c r="BG34" s="573">
        <f t="shared" si="59"/>
        <v>0</v>
      </c>
      <c r="BH34" s="564"/>
    </row>
    <row r="35" spans="1:60" ht="14.25" customHeight="1">
      <c r="A35" s="578">
        <f>SUM(A24:A34)</f>
        <v>0</v>
      </c>
      <c r="B35" s="579" t="e">
        <f>ROUND(C35/A35,4)</f>
        <v>#DIV/0!</v>
      </c>
      <c r="C35" s="580">
        <f t="shared" ref="C35:D35" si="60">SUM(C24:C34)</f>
        <v>0</v>
      </c>
      <c r="D35" s="581">
        <f t="shared" si="60"/>
        <v>0</v>
      </c>
      <c r="E35" s="582" t="e">
        <f>ROUND(F35/D35,4)</f>
        <v>#DIV/0!</v>
      </c>
      <c r="F35" s="583">
        <f>SUM(F24:F34)</f>
        <v>0</v>
      </c>
      <c r="G35" s="564"/>
      <c r="H35" s="578">
        <f>SUM(H24:H34)</f>
        <v>0</v>
      </c>
      <c r="I35" s="579" t="e">
        <f>ROUND(J35/H35,4)</f>
        <v>#DIV/0!</v>
      </c>
      <c r="J35" s="580">
        <f t="shared" ref="J35:K35" si="61">SUM(J24:J34)</f>
        <v>0</v>
      </c>
      <c r="K35" s="581">
        <f t="shared" si="61"/>
        <v>0</v>
      </c>
      <c r="L35" s="582" t="e">
        <f>ROUND(M35/K35,4)</f>
        <v>#DIV/0!</v>
      </c>
      <c r="M35" s="583">
        <f>SUM(M24:M34)</f>
        <v>0</v>
      </c>
      <c r="N35" s="564"/>
      <c r="O35" s="578">
        <f>SUM(O24:O34)</f>
        <v>0</v>
      </c>
      <c r="P35" s="579" t="e">
        <f>ROUND(Q35/O35,4)</f>
        <v>#DIV/0!</v>
      </c>
      <c r="Q35" s="580">
        <f t="shared" ref="Q35:R35" si="62">SUM(Q24:Q34)</f>
        <v>0</v>
      </c>
      <c r="R35" s="581">
        <f t="shared" si="62"/>
        <v>0</v>
      </c>
      <c r="S35" s="582" t="e">
        <f>ROUND(T35/R35,4)</f>
        <v>#DIV/0!</v>
      </c>
      <c r="T35" s="583">
        <f>SUM(T24:T34)</f>
        <v>0</v>
      </c>
      <c r="U35" s="564"/>
      <c r="V35" s="578">
        <f>SUM(V24:V34)</f>
        <v>0</v>
      </c>
      <c r="W35" s="579" t="e">
        <f>ROUND(X35/V35,4)</f>
        <v>#DIV/0!</v>
      </c>
      <c r="X35" s="580">
        <f t="shared" ref="X35:Y35" si="63">SUM(X24:X34)</f>
        <v>0</v>
      </c>
      <c r="Y35" s="581">
        <f t="shared" si="63"/>
        <v>0</v>
      </c>
      <c r="Z35" s="582" t="e">
        <f>ROUND(AA35/Y35,4)</f>
        <v>#DIV/0!</v>
      </c>
      <c r="AA35" s="583">
        <f>SUM(AA24:AA34)</f>
        <v>0</v>
      </c>
      <c r="AB35" s="564"/>
      <c r="AC35" s="578">
        <f>SUM(AC24:AC34)</f>
        <v>0</v>
      </c>
      <c r="AD35" s="579" t="e">
        <f>ROUND(AE35/AC35,4)</f>
        <v>#DIV/0!</v>
      </c>
      <c r="AE35" s="580">
        <f t="shared" ref="AE35:AF35" si="64">SUM(AE24:AE34)</f>
        <v>0</v>
      </c>
      <c r="AF35" s="581">
        <f t="shared" si="64"/>
        <v>0</v>
      </c>
      <c r="AG35" s="582" t="e">
        <f>ROUND(AH35/AF35,4)</f>
        <v>#DIV/0!</v>
      </c>
      <c r="AH35" s="583">
        <f>SUM(AH24:AH34)</f>
        <v>0</v>
      </c>
      <c r="AI35" s="564"/>
      <c r="AJ35" s="578">
        <f>SUM(AJ24:AJ34)</f>
        <v>0</v>
      </c>
      <c r="AK35" s="579" t="e">
        <f>ROUND(AL35/AJ35,4)</f>
        <v>#DIV/0!</v>
      </c>
      <c r="AL35" s="580">
        <f t="shared" ref="AL35:AM35" si="65">SUM(AL24:AL34)</f>
        <v>0</v>
      </c>
      <c r="AM35" s="581">
        <f t="shared" si="65"/>
        <v>0</v>
      </c>
      <c r="AN35" s="582" t="e">
        <f>ROUND(AO35/AM35,4)</f>
        <v>#DIV/0!</v>
      </c>
      <c r="AO35" s="583">
        <f>SUM(AO24:AO34)</f>
        <v>0</v>
      </c>
      <c r="AP35" s="564"/>
      <c r="AQ35" s="584">
        <f t="shared" ref="AQ35:AR35" si="66">SUM(AQ24:AQ34)</f>
        <v>0</v>
      </c>
      <c r="AR35" s="584">
        <f t="shared" si="66"/>
        <v>0</v>
      </c>
      <c r="AS35" s="564"/>
      <c r="AT35" s="584">
        <f t="shared" ref="AT35:AU35" si="67">SUM(AT24:AT34)</f>
        <v>0</v>
      </c>
      <c r="AU35" s="584">
        <f t="shared" si="67"/>
        <v>0</v>
      </c>
      <c r="AV35" s="564"/>
      <c r="AW35" s="584">
        <f t="shared" ref="AW35:AX35" si="68">SUM(AW24:AW34)</f>
        <v>0</v>
      </c>
      <c r="AX35" s="584">
        <f t="shared" si="68"/>
        <v>0</v>
      </c>
      <c r="AY35" s="564"/>
      <c r="AZ35" s="584">
        <f t="shared" ref="AZ35:BA35" si="69">SUM(AZ24:AZ34)</f>
        <v>0</v>
      </c>
      <c r="BA35" s="584">
        <f t="shared" si="69"/>
        <v>0</v>
      </c>
      <c r="BB35" s="564"/>
      <c r="BC35" s="584">
        <f t="shared" ref="BC35:BD35" si="70">SUM(BC24:BC34)</f>
        <v>0</v>
      </c>
      <c r="BD35" s="584">
        <f t="shared" si="70"/>
        <v>0</v>
      </c>
      <c r="BE35" s="564"/>
      <c r="BF35" s="584">
        <f t="shared" ref="BF35:BG35" si="71">SUM(BF24:BF34)</f>
        <v>0</v>
      </c>
      <c r="BG35" s="584">
        <f t="shared" si="71"/>
        <v>0</v>
      </c>
      <c r="BH35" s="564"/>
    </row>
    <row r="36" spans="1:60" ht="14.25" customHeight="1">
      <c r="A36" s="585" t="e">
        <f t="array" aca="1" ref="A36" ca="1">sumcolor($A$43,A24:A34)</f>
        <v>#NAME?</v>
      </c>
      <c r="B36" s="724">
        <f>ROUND(F35-C35,2)</f>
        <v>0</v>
      </c>
      <c r="C36" s="676"/>
      <c r="D36" s="586" t="e">
        <f ca="1">sumcolor($A$43,D24:D34)</f>
        <v>#NAME?</v>
      </c>
      <c r="E36" s="725">
        <f>C35+F35</f>
        <v>0</v>
      </c>
      <c r="F36" s="676"/>
      <c r="G36" s="564"/>
      <c r="H36" s="585" t="e">
        <f ca="1">sumcolor($A$43,H24:H34)</f>
        <v>#NAME?</v>
      </c>
      <c r="I36" s="724">
        <f>ROUND(M35-J35,2)</f>
        <v>0</v>
      </c>
      <c r="J36" s="676"/>
      <c r="K36" s="586" t="e">
        <f ca="1">sumcolor($A$43,K24:K34)</f>
        <v>#NAME?</v>
      </c>
      <c r="L36" s="725">
        <f>J35+M35</f>
        <v>0</v>
      </c>
      <c r="M36" s="676"/>
      <c r="N36" s="564"/>
      <c r="O36" s="585" t="e">
        <f ca="1">sumcolor($A$43,O24:O34)</f>
        <v>#NAME?</v>
      </c>
      <c r="P36" s="724">
        <f>ROUND(T35-Q35,2)</f>
        <v>0</v>
      </c>
      <c r="Q36" s="676"/>
      <c r="R36" s="586" t="e">
        <f ca="1">sumcolor($A$43,R24:R34)</f>
        <v>#NAME?</v>
      </c>
      <c r="S36" s="725">
        <f>Q35+T35</f>
        <v>0</v>
      </c>
      <c r="T36" s="676"/>
      <c r="U36" s="564"/>
      <c r="V36" s="585" t="e">
        <f ca="1">sumcolor($A$43,V24:V34)</f>
        <v>#NAME?</v>
      </c>
      <c r="W36" s="724">
        <f>ROUND(AA35-X35,2)</f>
        <v>0</v>
      </c>
      <c r="X36" s="676"/>
      <c r="Y36" s="586" t="e">
        <f ca="1">sumcolor($A$43,Y24:Y34)</f>
        <v>#NAME?</v>
      </c>
      <c r="Z36" s="725">
        <f>X35+AA35</f>
        <v>0</v>
      </c>
      <c r="AA36" s="676"/>
      <c r="AB36" s="564"/>
      <c r="AC36" s="585" t="e">
        <f ca="1">sumcolor($A$43,AC24:AC34)</f>
        <v>#NAME?</v>
      </c>
      <c r="AD36" s="724">
        <f>ROUND(AH35-AE35,2)</f>
        <v>0</v>
      </c>
      <c r="AE36" s="676"/>
      <c r="AF36" s="586" t="e">
        <f ca="1">sumcolor($A$43,AF24:AF34)</f>
        <v>#NAME?</v>
      </c>
      <c r="AG36" s="725">
        <f>AE35+AH35</f>
        <v>0</v>
      </c>
      <c r="AH36" s="676"/>
      <c r="AI36" s="564"/>
      <c r="AJ36" s="585" t="e">
        <f ca="1">sumcolor($A$43,AJ24:AJ34)</f>
        <v>#NAME?</v>
      </c>
      <c r="AK36" s="724">
        <f>ROUND(AO35-AL35,2)</f>
        <v>0</v>
      </c>
      <c r="AL36" s="676"/>
      <c r="AM36" s="586" t="e">
        <f ca="1">sumcolor($A$43,AM24:AM34)</f>
        <v>#NAME?</v>
      </c>
      <c r="AN36" s="725">
        <f>AL35+AO35</f>
        <v>0</v>
      </c>
      <c r="AO36" s="676"/>
      <c r="AP36" s="564"/>
      <c r="AQ36" s="98" t="s">
        <v>1522</v>
      </c>
      <c r="AR36" s="181">
        <f>SUM(AQ35:AR35)*(1+$E$54)</f>
        <v>0</v>
      </c>
      <c r="AS36" s="557"/>
      <c r="AT36" s="98" t="s">
        <v>1522</v>
      </c>
      <c r="AU36" s="181">
        <f>SUM(AT35:AU35)*(1+$E$54)</f>
        <v>0</v>
      </c>
      <c r="AV36" s="557"/>
      <c r="AW36" s="98" t="s">
        <v>1522</v>
      </c>
      <c r="AX36" s="181">
        <f>SUM(AW35:AX35)*(1+$E$54)</f>
        <v>0</v>
      </c>
      <c r="AY36" s="557"/>
      <c r="AZ36" s="98" t="s">
        <v>1522</v>
      </c>
      <c r="BA36" s="181">
        <f>SUM(AZ35:BA35)*(1+$E$54)</f>
        <v>0</v>
      </c>
      <c r="BB36" s="557"/>
      <c r="BC36" s="98" t="s">
        <v>1522</v>
      </c>
      <c r="BD36" s="181">
        <f>SUM(BC35:BD35)*(1+$E$54)</f>
        <v>0</v>
      </c>
      <c r="BE36" s="557"/>
      <c r="BF36" s="98" t="s">
        <v>1522</v>
      </c>
      <c r="BG36" s="181">
        <f>SUM(BF35:BG35)*(1+$E$54)</f>
        <v>0</v>
      </c>
      <c r="BH36" s="557"/>
    </row>
    <row r="37" spans="1:60" ht="14.25" customHeight="1">
      <c r="A37" s="587">
        <f>A35-D35</f>
        <v>0</v>
      </c>
      <c r="B37" s="588">
        <f>AR36</f>
        <v>0</v>
      </c>
      <c r="C37" s="589">
        <f>AR37</f>
        <v>0</v>
      </c>
      <c r="D37" s="590">
        <f>COUNT(D24:D34,A24:A34)</f>
        <v>0</v>
      </c>
      <c r="E37" s="591">
        <f>AR38+AR39+AR40+AR41</f>
        <v>0</v>
      </c>
      <c r="F37" s="592">
        <f>SUM(B37+C37+E37)</f>
        <v>0</v>
      </c>
      <c r="G37" s="564"/>
      <c r="H37" s="587">
        <f>H35-K35</f>
        <v>0</v>
      </c>
      <c r="I37" s="588">
        <f>AU36</f>
        <v>0</v>
      </c>
      <c r="J37" s="589">
        <f>AU37</f>
        <v>0</v>
      </c>
      <c r="K37" s="590">
        <f>COUNT(K24:K34,H24:H34)</f>
        <v>0</v>
      </c>
      <c r="L37" s="591">
        <f>AU38+AU39+AU40+AU41</f>
        <v>0</v>
      </c>
      <c r="M37" s="592">
        <f>SUM(I37+J37+L37)</f>
        <v>0</v>
      </c>
      <c r="N37" s="564"/>
      <c r="O37" s="587">
        <f>O35-R35</f>
        <v>0</v>
      </c>
      <c r="P37" s="588">
        <f>AX36</f>
        <v>0</v>
      </c>
      <c r="Q37" s="589">
        <f>AX37</f>
        <v>0</v>
      </c>
      <c r="R37" s="590">
        <f>COUNT(R24:R34,O24:O34)</f>
        <v>0</v>
      </c>
      <c r="S37" s="591">
        <f>AX38+AX39+AX40+AX41</f>
        <v>0</v>
      </c>
      <c r="T37" s="592">
        <f>SUM(P37+Q37+S37)</f>
        <v>0</v>
      </c>
      <c r="U37" s="564"/>
      <c r="V37" s="587">
        <f>V35-Y35</f>
        <v>0</v>
      </c>
      <c r="W37" s="588">
        <f>BA36</f>
        <v>0</v>
      </c>
      <c r="X37" s="589">
        <f>BA37</f>
        <v>0</v>
      </c>
      <c r="Y37" s="590">
        <f>COUNT(Y24:Y34,V24:V34)</f>
        <v>0</v>
      </c>
      <c r="Z37" s="591">
        <f>BA38+BA39+BA40+BA41</f>
        <v>0</v>
      </c>
      <c r="AA37" s="592">
        <f>SUM(W37+X37+Z37)</f>
        <v>0</v>
      </c>
      <c r="AB37" s="564"/>
      <c r="AC37" s="587">
        <f>AC35-AF35</f>
        <v>0</v>
      </c>
      <c r="AD37" s="588">
        <f>BD36</f>
        <v>0</v>
      </c>
      <c r="AE37" s="589">
        <f>BD37</f>
        <v>0</v>
      </c>
      <c r="AF37" s="590">
        <f>COUNT(AF24:AF34,AC24:AC34)</f>
        <v>0</v>
      </c>
      <c r="AG37" s="591">
        <f>BD38+BD39+BD40+BD41</f>
        <v>0</v>
      </c>
      <c r="AH37" s="592">
        <f>SUM(AD37+AE37+AG37)</f>
        <v>0</v>
      </c>
      <c r="AI37" s="564"/>
      <c r="AJ37" s="587">
        <f>AJ35-AM35</f>
        <v>0</v>
      </c>
      <c r="AK37" s="588">
        <f>BG36</f>
        <v>0</v>
      </c>
      <c r="AL37" s="589">
        <f>BG37</f>
        <v>0</v>
      </c>
      <c r="AM37" s="590">
        <f>COUNT(AM24:AM34,AJ24:AJ34)</f>
        <v>0</v>
      </c>
      <c r="AN37" s="591">
        <f>BG38+BG39+BG40+BG41</f>
        <v>0</v>
      </c>
      <c r="AO37" s="592">
        <f>SUM(AK37+AL37+AN37)</f>
        <v>0</v>
      </c>
      <c r="AP37" s="564"/>
      <c r="AQ37" s="41" t="s">
        <v>447</v>
      </c>
      <c r="AR37" s="181">
        <f>IF(D38="FNO",F35*$E$49,F35*$E$48)</f>
        <v>0</v>
      </c>
      <c r="AS37" s="593"/>
      <c r="AT37" s="41" t="s">
        <v>447</v>
      </c>
      <c r="AU37" s="181">
        <f>IF(K38="FNO",M35*$E$49,M35*$E$48)</f>
        <v>0</v>
      </c>
      <c r="AV37" s="593"/>
      <c r="AW37" s="41" t="s">
        <v>447</v>
      </c>
      <c r="AX37" s="181">
        <f>IF(R38="FNO",T35*$E$49,T35*$E$48)</f>
        <v>0</v>
      </c>
      <c r="AY37" s="593"/>
      <c r="AZ37" s="41" t="s">
        <v>447</v>
      </c>
      <c r="BA37" s="181">
        <f>IF(Y38="FNO",AA35*$E$49,AA35*$E$48)</f>
        <v>0</v>
      </c>
      <c r="BB37" s="593"/>
      <c r="BC37" s="41" t="s">
        <v>447</v>
      </c>
      <c r="BD37" s="181">
        <f>IF(AF38="FNO",AH35*$E$49,AH35*$E$48)</f>
        <v>0</v>
      </c>
      <c r="BE37" s="593"/>
      <c r="BF37" s="41" t="s">
        <v>447</v>
      </c>
      <c r="BG37" s="181">
        <f>IF(AM38="FNO",AO35*$E$49,AO35*$E$48)</f>
        <v>0</v>
      </c>
      <c r="BH37" s="593"/>
    </row>
    <row r="38" spans="1:60" ht="14.25" customHeight="1">
      <c r="A38" s="43" t="s">
        <v>1523</v>
      </c>
      <c r="B38" s="588">
        <f>IF(D38="fno",D37*23.6,0)</f>
        <v>0</v>
      </c>
      <c r="C38" s="43"/>
      <c r="D38" s="594"/>
      <c r="E38" s="43"/>
      <c r="F38" s="595">
        <f>IF(D38="fno",B36-F37+B37-B38,B36-F37)</f>
        <v>0</v>
      </c>
      <c r="G38" s="593"/>
      <c r="H38" s="43" t="s">
        <v>1523</v>
      </c>
      <c r="I38" s="588">
        <f>IF(K38="fno",K37*23.6,0)</f>
        <v>0</v>
      </c>
      <c r="J38" s="43"/>
      <c r="K38" s="594"/>
      <c r="L38" s="43"/>
      <c r="M38" s="595">
        <f>IF(K38="fno",I36-M37+I37-I38,I36-M37)</f>
        <v>0</v>
      </c>
      <c r="N38" s="593"/>
      <c r="O38" s="43" t="s">
        <v>1523</v>
      </c>
      <c r="P38" s="588">
        <f>IF(R38="fno",R37*23.6,0)</f>
        <v>0</v>
      </c>
      <c r="Q38" s="43"/>
      <c r="R38" s="594"/>
      <c r="S38" s="43"/>
      <c r="T38" s="595">
        <f>IF(R38="fno",P36-T37+P37-P38,P36-T37)</f>
        <v>0</v>
      </c>
      <c r="U38" s="593"/>
      <c r="V38" s="43"/>
      <c r="W38" s="588">
        <f>IF(Y38="fno",Y37*23.6,0)</f>
        <v>0</v>
      </c>
      <c r="X38" s="43"/>
      <c r="Y38" s="594"/>
      <c r="Z38" s="43"/>
      <c r="AA38" s="595">
        <f>IF(Y38="fno",W36-AA37+W37-W38,W36-AA37)</f>
        <v>0</v>
      </c>
      <c r="AB38" s="593"/>
      <c r="AC38" s="43"/>
      <c r="AD38" s="588">
        <f>IF(AF38="fno",AF37*23.6,0)</f>
        <v>0</v>
      </c>
      <c r="AE38" s="43"/>
      <c r="AF38" s="594"/>
      <c r="AG38" s="43"/>
      <c r="AH38" s="595">
        <f>IF(AF38="fno",AD36-AH37+AD37-AD38,AD36-AH37)</f>
        <v>0</v>
      </c>
      <c r="AI38" s="593"/>
      <c r="AJ38" s="43"/>
      <c r="AK38" s="588">
        <f>IF(AM38="fno",AM37*23.6,0)</f>
        <v>0</v>
      </c>
      <c r="AL38" s="43"/>
      <c r="AM38" s="594"/>
      <c r="AN38" s="43"/>
      <c r="AO38" s="595">
        <f>IF(AM38="fno",AK36-AO37+AK37-AK38,AK36-AO37)</f>
        <v>0</v>
      </c>
      <c r="AP38" s="593"/>
      <c r="AQ38" s="41" t="s">
        <v>449</v>
      </c>
      <c r="AR38" s="181">
        <f>IF(D38="FNO",E36*$E$51,E36*$E$50)</f>
        <v>0</v>
      </c>
      <c r="AS38" s="593"/>
      <c r="AT38" s="41" t="s">
        <v>449</v>
      </c>
      <c r="AU38" s="181">
        <f>IF(K38="FNO",L36*$E$51,L36*$E$50)</f>
        <v>0</v>
      </c>
      <c r="AV38" s="593"/>
      <c r="AW38" s="41" t="s">
        <v>449</v>
      </c>
      <c r="AX38" s="181">
        <f>S36*$E$50</f>
        <v>0</v>
      </c>
      <c r="AY38" s="593"/>
      <c r="AZ38" s="41" t="s">
        <v>449</v>
      </c>
      <c r="BA38" s="181">
        <f>Z36*$E$50</f>
        <v>0</v>
      </c>
      <c r="BB38" s="593"/>
      <c r="BC38" s="41" t="s">
        <v>449</v>
      </c>
      <c r="BD38" s="181">
        <f>AG36*$E$50</f>
        <v>0</v>
      </c>
      <c r="BE38" s="593"/>
      <c r="BF38" s="41" t="s">
        <v>449</v>
      </c>
      <c r="BG38" s="181">
        <f>AN36*$E$50</f>
        <v>0</v>
      </c>
      <c r="BH38" s="593"/>
    </row>
    <row r="39" spans="1:60" ht="15" customHeight="1">
      <c r="A39" s="40"/>
      <c r="B39" s="40"/>
      <c r="C39" s="40"/>
      <c r="D39" s="40"/>
      <c r="E39" s="40"/>
      <c r="F39" s="40"/>
      <c r="G39" s="98"/>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c r="AL39" s="98"/>
      <c r="AM39" s="98"/>
      <c r="AN39" s="98"/>
      <c r="AO39" s="98"/>
      <c r="AP39" s="557"/>
      <c r="AQ39" s="41" t="s">
        <v>448</v>
      </c>
      <c r="AR39" s="181">
        <f>C35*$E$52</f>
        <v>0</v>
      </c>
      <c r="AS39" s="557"/>
      <c r="AT39" s="41" t="s">
        <v>448</v>
      </c>
      <c r="AU39" s="181">
        <f>J35*$E$52</f>
        <v>0</v>
      </c>
      <c r="AV39" s="557"/>
      <c r="AW39" s="41" t="s">
        <v>448</v>
      </c>
      <c r="AX39" s="181">
        <f>Q35*$E$52</f>
        <v>0</v>
      </c>
      <c r="AY39" s="557"/>
      <c r="AZ39" s="41" t="s">
        <v>448</v>
      </c>
      <c r="BA39" s="181">
        <f>X35*$E$52</f>
        <v>0</v>
      </c>
      <c r="BB39" s="557"/>
      <c r="BC39" s="41" t="s">
        <v>448</v>
      </c>
      <c r="BD39" s="181">
        <f>AE35*$E$52</f>
        <v>0</v>
      </c>
      <c r="BE39" s="557"/>
      <c r="BF39" s="41" t="s">
        <v>448</v>
      </c>
      <c r="BG39" s="181">
        <f>AL35*$E$52</f>
        <v>0</v>
      </c>
      <c r="BH39" s="557"/>
    </row>
    <row r="40" spans="1:60" ht="15" customHeight="1">
      <c r="A40" s="40"/>
      <c r="B40" s="40"/>
      <c r="C40" s="40"/>
      <c r="D40" s="40"/>
      <c r="E40" s="40"/>
      <c r="F40" s="40"/>
      <c r="G40" s="98"/>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557"/>
      <c r="AQ40" s="41" t="s">
        <v>1524</v>
      </c>
      <c r="AR40" s="181">
        <f>E36*$E$53</f>
        <v>0</v>
      </c>
      <c r="AS40" s="557"/>
      <c r="AT40" s="41" t="s">
        <v>1524</v>
      </c>
      <c r="AU40" s="181">
        <f>L36*$E$53</f>
        <v>0</v>
      </c>
      <c r="AV40" s="557"/>
      <c r="AW40" s="41" t="s">
        <v>1524</v>
      </c>
      <c r="AX40" s="181">
        <f>S36*$E$53</f>
        <v>0</v>
      </c>
      <c r="AY40" s="557"/>
      <c r="AZ40" s="41" t="s">
        <v>1524</v>
      </c>
      <c r="BA40" s="181">
        <f>Z36*$E$53</f>
        <v>0</v>
      </c>
      <c r="BB40" s="557"/>
      <c r="BC40" s="41" t="s">
        <v>1524</v>
      </c>
      <c r="BD40" s="181">
        <f>AG36*$E$53</f>
        <v>0</v>
      </c>
      <c r="BE40" s="557"/>
      <c r="BF40" s="41" t="s">
        <v>1524</v>
      </c>
      <c r="BG40" s="181">
        <f>AN36*$E$53</f>
        <v>0</v>
      </c>
      <c r="BH40" s="557"/>
    </row>
    <row r="41" spans="1:60" ht="15" customHeight="1">
      <c r="A41" s="40"/>
      <c r="B41" s="40"/>
      <c r="C41" s="40"/>
      <c r="D41" s="40"/>
      <c r="E41" s="40"/>
      <c r="F41" s="40"/>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557"/>
      <c r="AQ41" s="41" t="s">
        <v>446</v>
      </c>
      <c r="AR41" s="182">
        <f>AR38*$E$54</f>
        <v>0</v>
      </c>
      <c r="AS41" s="557"/>
      <c r="AT41" s="41" t="s">
        <v>446</v>
      </c>
      <c r="AU41" s="181">
        <f>AU38*$E$54</f>
        <v>0</v>
      </c>
      <c r="AV41" s="557"/>
      <c r="AW41" s="41" t="s">
        <v>446</v>
      </c>
      <c r="AX41" s="181">
        <f>AX38*$E$54</f>
        <v>0</v>
      </c>
      <c r="AY41" s="557"/>
      <c r="AZ41" s="41" t="s">
        <v>446</v>
      </c>
      <c r="BA41" s="181">
        <f>BA38*$E$54</f>
        <v>0</v>
      </c>
      <c r="BB41" s="557"/>
      <c r="BC41" s="41" t="s">
        <v>446</v>
      </c>
      <c r="BD41" s="181">
        <f>BD38*$E$54</f>
        <v>0</v>
      </c>
      <c r="BE41" s="557"/>
      <c r="BF41" s="41" t="s">
        <v>446</v>
      </c>
      <c r="BG41" s="181">
        <f>BG38*$E$54</f>
        <v>0</v>
      </c>
      <c r="BH41" s="557"/>
    </row>
    <row r="42" spans="1:60" ht="15.75" customHeight="1">
      <c r="A42" s="40"/>
      <c r="B42" s="40"/>
      <c r="C42" s="40"/>
      <c r="D42" s="40"/>
      <c r="E42" s="40"/>
      <c r="F42" s="40"/>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row>
    <row r="43" spans="1:60" ht="15" customHeight="1">
      <c r="A43" s="587"/>
      <c r="B43" s="594" t="s">
        <v>1532</v>
      </c>
      <c r="C43" s="736" t="s">
        <v>1533</v>
      </c>
      <c r="D43" s="689"/>
      <c r="E43" s="590">
        <f>D16+D37+K16+K37+R16+R37+Y16+Y37+AF16+AF37+AM16+AM37+D73+D63</f>
        <v>0</v>
      </c>
      <c r="F43" s="597">
        <f>E36+L36+S36+Z36+AG36+AN36+E15+L15+S15+Z15+AG15+AN15+C73+C63</f>
        <v>0</v>
      </c>
      <c r="G43" s="98"/>
      <c r="H43" s="98"/>
      <c r="I43" s="98"/>
      <c r="J43" s="598"/>
      <c r="K43" s="5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row>
    <row r="44" spans="1:60" ht="15.75" customHeight="1">
      <c r="A44" s="98"/>
      <c r="B44" s="98"/>
      <c r="C44" s="736" t="s">
        <v>1534</v>
      </c>
      <c r="D44" s="689"/>
      <c r="E44" s="40"/>
      <c r="F44" s="597">
        <f>B36+I36+P36+W36+AD36+AK36+B15+I15+P15+W15+AD15+AK15</f>
        <v>0</v>
      </c>
      <c r="G44" s="98"/>
      <c r="H44" s="98"/>
      <c r="I44" s="98"/>
      <c r="J44" s="598"/>
      <c r="K44" s="5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row>
    <row r="45" spans="1:60" ht="15.75" customHeight="1">
      <c r="A45" s="98"/>
      <c r="B45" s="98"/>
      <c r="C45" s="736" t="s">
        <v>1535</v>
      </c>
      <c r="D45" s="689"/>
      <c r="E45" s="587">
        <f>A37+A16</f>
        <v>0</v>
      </c>
      <c r="F45" s="597">
        <f>F17+M17+T17+AA17+AH17+AO17+F38+M38+T38+AA38+AH38+AO38</f>
        <v>0</v>
      </c>
      <c r="G45" s="98"/>
      <c r="H45" s="98"/>
      <c r="I45" s="98"/>
      <c r="J45" s="598"/>
      <c r="K45" s="5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row>
    <row r="46" spans="1:60" ht="15.75" customHeight="1">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row>
    <row r="47" spans="1:60" ht="15.75" hidden="1" customHeight="1" outlineLevel="1">
      <c r="A47" s="98"/>
      <c r="B47" s="599" t="s">
        <v>1536</v>
      </c>
      <c r="C47" s="599"/>
      <c r="D47" s="599"/>
      <c r="E47" s="737">
        <v>2.9999999999999997E-4</v>
      </c>
      <c r="F47" s="681"/>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row>
    <row r="48" spans="1:60" ht="15.75" hidden="1" customHeight="1" outlineLevel="1">
      <c r="A48" s="98"/>
      <c r="B48" s="600" t="s">
        <v>1537</v>
      </c>
      <c r="C48" s="600"/>
      <c r="D48" s="600"/>
      <c r="E48" s="738">
        <v>2.5000000000000001E-4</v>
      </c>
      <c r="F48" s="681"/>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row>
    <row r="49" spans="1:60" ht="15.75" hidden="1" customHeight="1" outlineLevel="1">
      <c r="A49" s="98"/>
      <c r="B49" s="600" t="s">
        <v>1538</v>
      </c>
      <c r="C49" s="600"/>
      <c r="D49" s="600"/>
      <c r="E49" s="738">
        <v>5.0000000000000001E-4</v>
      </c>
      <c r="F49" s="681"/>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row>
    <row r="50" spans="1:60" ht="15.75" hidden="1" customHeight="1" outlineLevel="1">
      <c r="A50" s="98"/>
      <c r="B50" s="601" t="s">
        <v>1539</v>
      </c>
      <c r="C50" s="601"/>
      <c r="D50" s="601"/>
      <c r="E50" s="739">
        <v>3.0000000000000001E-5</v>
      </c>
      <c r="F50" s="681"/>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row>
    <row r="51" spans="1:60" ht="15.75" hidden="1" customHeight="1" outlineLevel="1">
      <c r="A51" s="98"/>
      <c r="B51" s="601" t="s">
        <v>1540</v>
      </c>
      <c r="C51" s="601"/>
      <c r="D51" s="601"/>
      <c r="E51" s="739">
        <v>5.2999999999999998E-4</v>
      </c>
      <c r="F51" s="681"/>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row>
    <row r="52" spans="1:60" ht="15.75" hidden="1" customHeight="1" outlineLevel="1">
      <c r="A52" s="98"/>
      <c r="B52" s="602" t="s">
        <v>1541</v>
      </c>
      <c r="C52" s="602"/>
      <c r="D52" s="603"/>
      <c r="E52" s="740">
        <v>3.0000000000000001E-5</v>
      </c>
      <c r="F52" s="681"/>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row>
    <row r="53" spans="1:60" ht="15.75" hidden="1" customHeight="1" outlineLevel="1">
      <c r="A53" s="98"/>
      <c r="B53" s="600" t="s">
        <v>1542</v>
      </c>
      <c r="C53" s="600"/>
      <c r="D53" s="604"/>
      <c r="E53" s="741">
        <v>4.9999999999999998E-7</v>
      </c>
      <c r="F53" s="681"/>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row>
    <row r="54" spans="1:60" ht="15.75" hidden="1" customHeight="1" outlineLevel="1">
      <c r="A54" s="98"/>
      <c r="B54" s="605" t="s">
        <v>1543</v>
      </c>
      <c r="C54" s="605"/>
      <c r="D54" s="606"/>
      <c r="E54" s="734">
        <v>0.18</v>
      </c>
      <c r="F54" s="681"/>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row>
    <row r="55" spans="1:60" ht="15.75" hidden="1" customHeight="1" outlineLevel="1">
      <c r="A55" s="40"/>
      <c r="B55" s="40"/>
      <c r="C55" s="40"/>
      <c r="D55" s="40"/>
      <c r="E55" s="40"/>
      <c r="F55" s="40"/>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row>
    <row r="56" spans="1:60" ht="15.75" customHeight="1" collapsed="1">
      <c r="A56" s="735" t="s">
        <v>1544</v>
      </c>
      <c r="B56" s="689"/>
      <c r="C56" s="689"/>
      <c r="D56" s="40"/>
      <c r="E56" s="607"/>
      <c r="F56" s="608"/>
      <c r="G56" s="98"/>
      <c r="H56" s="98"/>
      <c r="I56" s="98" t="s">
        <v>1545</v>
      </c>
      <c r="J56" s="98" t="s">
        <v>937</v>
      </c>
      <c r="K56" s="98" t="s">
        <v>1546</v>
      </c>
      <c r="L56" s="98" t="s">
        <v>1547</v>
      </c>
      <c r="M56" s="98"/>
      <c r="N56" s="98"/>
      <c r="O56" s="40"/>
      <c r="P56" s="40"/>
      <c r="Q56" s="40"/>
      <c r="R56" s="40"/>
      <c r="S56" s="40"/>
      <c r="T56" s="40"/>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row>
    <row r="57" spans="1:60" ht="15.75" customHeight="1">
      <c r="A57" s="567"/>
      <c r="B57" s="562"/>
      <c r="C57" s="563">
        <f t="shared" ref="C57:C62" si="72">ROUND(A57*B57,2)</f>
        <v>0</v>
      </c>
      <c r="D57" s="43"/>
      <c r="E57" s="563">
        <f>C57+B15</f>
        <v>0</v>
      </c>
      <c r="F57" s="609" t="str">
        <f>C1</f>
        <v>banknifty</v>
      </c>
      <c r="G57" s="98"/>
      <c r="H57" s="98" t="s">
        <v>447</v>
      </c>
      <c r="I57" s="608" t="e">
        <f>(E15+E57)/(A14+D14+A57)</f>
        <v>#DIV/0!</v>
      </c>
      <c r="J57" s="98" t="e">
        <f>D14*I57*E$48</f>
        <v>#DIV/0!</v>
      </c>
      <c r="K57" s="98" t="e">
        <f t="shared" ref="K57:K62" si="73">I57*A57*0.1%</f>
        <v>#DIV/0!</v>
      </c>
      <c r="L57" s="98" t="e">
        <f t="shared" ref="L57:L62" si="74">J57+K57</f>
        <v>#DIV/0!</v>
      </c>
      <c r="M57" s="98"/>
      <c r="N57" s="98"/>
      <c r="O57" s="40"/>
      <c r="P57" s="40"/>
      <c r="Q57" s="40"/>
      <c r="R57" s="40"/>
      <c r="S57" s="40"/>
      <c r="T57" s="40"/>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row>
    <row r="58" spans="1:60" ht="15.75" customHeight="1">
      <c r="A58" s="567"/>
      <c r="B58" s="562"/>
      <c r="C58" s="563">
        <f t="shared" si="72"/>
        <v>0</v>
      </c>
      <c r="D58" s="43"/>
      <c r="E58" s="563">
        <f>C58+I15</f>
        <v>0</v>
      </c>
      <c r="F58" s="609" t="str">
        <f>J1</f>
        <v>b</v>
      </c>
      <c r="G58" s="98"/>
      <c r="H58" s="98" t="s">
        <v>447</v>
      </c>
      <c r="I58" s="608" t="e">
        <f>(L15+E58)/(H14+K14+A58)</f>
        <v>#DIV/0!</v>
      </c>
      <c r="J58" s="98" t="e">
        <f>K14*I58*E$48</f>
        <v>#DIV/0!</v>
      </c>
      <c r="K58" s="98" t="e">
        <f t="shared" si="73"/>
        <v>#DIV/0!</v>
      </c>
      <c r="L58" s="98" t="e">
        <f t="shared" si="74"/>
        <v>#DIV/0!</v>
      </c>
      <c r="M58" s="98"/>
      <c r="N58" s="98"/>
      <c r="O58" s="40"/>
      <c r="P58" s="40"/>
      <c r="Q58" s="40"/>
      <c r="R58" s="40"/>
      <c r="S58" s="40"/>
      <c r="T58" s="40"/>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row>
    <row r="59" spans="1:60" ht="15.75" customHeight="1">
      <c r="A59" s="567"/>
      <c r="B59" s="562"/>
      <c r="C59" s="563">
        <f t="shared" si="72"/>
        <v>0</v>
      </c>
      <c r="D59" s="43"/>
      <c r="E59" s="563">
        <f>C59+P15</f>
        <v>0</v>
      </c>
      <c r="F59" s="609" t="str">
        <f>Q1</f>
        <v>c</v>
      </c>
      <c r="G59" s="98"/>
      <c r="H59" s="98" t="s">
        <v>447</v>
      </c>
      <c r="I59" s="608" t="e">
        <f>(S15+E59)/(O14+R14+A59)</f>
        <v>#DIV/0!</v>
      </c>
      <c r="J59" s="98" t="e">
        <f>R14*I59*E$48</f>
        <v>#DIV/0!</v>
      </c>
      <c r="K59" s="98" t="e">
        <f t="shared" si="73"/>
        <v>#DIV/0!</v>
      </c>
      <c r="L59" s="98" t="e">
        <f t="shared" si="74"/>
        <v>#DIV/0!</v>
      </c>
      <c r="M59" s="98"/>
      <c r="N59" s="98"/>
      <c r="O59" s="40"/>
      <c r="P59" s="40"/>
      <c r="Q59" s="40"/>
      <c r="R59" s="40"/>
      <c r="S59" s="40"/>
      <c r="T59" s="40"/>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row>
    <row r="60" spans="1:60" ht="15.75" customHeight="1">
      <c r="A60" s="567"/>
      <c r="B60" s="562"/>
      <c r="C60" s="563">
        <f t="shared" si="72"/>
        <v>0</v>
      </c>
      <c r="D60" s="43"/>
      <c r="E60" s="563">
        <f>C60+W15</f>
        <v>0</v>
      </c>
      <c r="F60" s="609" t="str">
        <f>X1</f>
        <v>d</v>
      </c>
      <c r="G60" s="98"/>
      <c r="H60" s="98" t="s">
        <v>447</v>
      </c>
      <c r="I60" s="608" t="e">
        <f>(Z15+E60)/(V14+Y14+A60)</f>
        <v>#DIV/0!</v>
      </c>
      <c r="J60" s="98" t="e">
        <f>Y14*I60*E$48</f>
        <v>#DIV/0!</v>
      </c>
      <c r="K60" s="98" t="e">
        <f t="shared" si="73"/>
        <v>#DIV/0!</v>
      </c>
      <c r="L60" s="98" t="e">
        <f t="shared" si="74"/>
        <v>#DIV/0!</v>
      </c>
      <c r="M60" s="98"/>
      <c r="N60" s="98"/>
      <c r="O60" s="40"/>
      <c r="P60" s="40"/>
      <c r="Q60" s="40"/>
      <c r="R60" s="40"/>
      <c r="S60" s="40"/>
      <c r="T60" s="40"/>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row>
    <row r="61" spans="1:60" ht="15.75" customHeight="1">
      <c r="A61" s="567"/>
      <c r="B61" s="562"/>
      <c r="C61" s="563">
        <f t="shared" si="72"/>
        <v>0</v>
      </c>
      <c r="D61" s="43"/>
      <c r="E61" s="563">
        <f>C61+AD15</f>
        <v>0</v>
      </c>
      <c r="F61" s="609" t="str">
        <f>AE1</f>
        <v>e</v>
      </c>
      <c r="G61" s="98"/>
      <c r="H61" s="98" t="s">
        <v>447</v>
      </c>
      <c r="I61" s="608" t="e">
        <f>(AG15+E61)/(AC14+AF14+A61)</f>
        <v>#DIV/0!</v>
      </c>
      <c r="J61" s="98" t="e">
        <f>AF14*I61*E$48</f>
        <v>#DIV/0!</v>
      </c>
      <c r="K61" s="98" t="e">
        <f t="shared" si="73"/>
        <v>#DIV/0!</v>
      </c>
      <c r="L61" s="98" t="e">
        <f t="shared" si="74"/>
        <v>#DIV/0!</v>
      </c>
      <c r="M61" s="98"/>
      <c r="N61" s="98"/>
      <c r="O61" s="40"/>
      <c r="P61" s="40"/>
      <c r="Q61" s="40"/>
      <c r="R61" s="40"/>
      <c r="S61" s="40"/>
      <c r="T61" s="40"/>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c r="BH61" s="98"/>
    </row>
    <row r="62" spans="1:60" ht="15.75" customHeight="1">
      <c r="A62" s="567"/>
      <c r="B62" s="562"/>
      <c r="C62" s="563">
        <f t="shared" si="72"/>
        <v>0</v>
      </c>
      <c r="D62" s="43"/>
      <c r="E62" s="563">
        <f>C62+AK15</f>
        <v>0</v>
      </c>
      <c r="F62" s="609" t="str">
        <f>AL1</f>
        <v>f</v>
      </c>
      <c r="G62" s="98"/>
      <c r="H62" s="98" t="s">
        <v>447</v>
      </c>
      <c r="I62" s="608" t="e">
        <f>(AN15+E62)/(AJ14+AM14+A62)</f>
        <v>#DIV/0!</v>
      </c>
      <c r="J62" s="98" t="e">
        <f>AM14*I62*E$48</f>
        <v>#DIV/0!</v>
      </c>
      <c r="K62" s="98" t="e">
        <f t="shared" si="73"/>
        <v>#DIV/0!</v>
      </c>
      <c r="L62" s="98" t="e">
        <f t="shared" si="74"/>
        <v>#DIV/0!</v>
      </c>
      <c r="M62" s="98"/>
      <c r="N62" s="98"/>
      <c r="O62" s="40"/>
      <c r="P62" s="40"/>
      <c r="Q62" s="40"/>
      <c r="R62" s="40"/>
      <c r="S62" s="40"/>
      <c r="T62" s="40"/>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c r="BH62" s="98"/>
    </row>
    <row r="63" spans="1:60" ht="15.75" customHeight="1">
      <c r="A63" s="581">
        <f>SUM(A57:A62)</f>
        <v>0</v>
      </c>
      <c r="B63" s="582" t="e">
        <f>C63/A63</f>
        <v>#DIV/0!</v>
      </c>
      <c r="C63" s="583">
        <f>SUM(C57:C62)</f>
        <v>0</v>
      </c>
      <c r="D63" s="590">
        <f>COUNT(A57:A62)</f>
        <v>0</v>
      </c>
      <c r="E63" s="40"/>
      <c r="F63" s="40"/>
      <c r="G63" s="40"/>
      <c r="H63" s="98"/>
      <c r="I63" s="98"/>
      <c r="J63" s="98"/>
      <c r="K63" s="98"/>
      <c r="L63" s="98"/>
      <c r="M63" s="98"/>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row>
    <row r="64" spans="1:60" ht="15.75" customHeight="1">
      <c r="A64" s="40"/>
      <c r="B64" s="610" t="e">
        <f>(B63-C64)*A63</f>
        <v>#DIV/0!</v>
      </c>
      <c r="C64" s="611">
        <v>986.15</v>
      </c>
      <c r="D64" s="40"/>
      <c r="E64" s="40"/>
      <c r="F64" s="40"/>
      <c r="G64" s="40"/>
      <c r="H64" s="98"/>
      <c r="I64" s="98"/>
      <c r="J64" s="98"/>
      <c r="K64" s="98"/>
      <c r="L64" s="98"/>
      <c r="M64" s="98"/>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row>
    <row r="65" spans="1:60" ht="15.75" customHeight="1">
      <c r="A65" s="40"/>
      <c r="B65" s="40"/>
      <c r="C65" s="40"/>
      <c r="D65" s="40"/>
      <c r="E65" s="40"/>
      <c r="F65" s="40"/>
      <c r="G65" s="40"/>
      <c r="H65" s="98"/>
      <c r="I65" s="98"/>
      <c r="J65" s="98"/>
      <c r="K65" s="98"/>
      <c r="L65" s="98"/>
      <c r="M65" s="98"/>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row>
    <row r="66" spans="1:60" ht="15.75" customHeight="1">
      <c r="A66" s="735" t="s">
        <v>1548</v>
      </c>
      <c r="B66" s="689"/>
      <c r="C66" s="689"/>
      <c r="D66" s="40"/>
      <c r="E66" s="40"/>
      <c r="F66" s="40"/>
      <c r="G66" s="98"/>
      <c r="H66" s="98"/>
      <c r="I66" s="98" t="s">
        <v>1545</v>
      </c>
      <c r="J66" s="98" t="s">
        <v>937</v>
      </c>
      <c r="K66" s="98" t="s">
        <v>1546</v>
      </c>
      <c r="L66" s="98" t="s">
        <v>1547</v>
      </c>
      <c r="M66" s="98"/>
      <c r="N66" s="98"/>
      <c r="O66" s="40"/>
      <c r="P66" s="40"/>
      <c r="Q66" s="40"/>
      <c r="R66" s="40"/>
      <c r="S66" s="40"/>
      <c r="T66" s="40"/>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c r="BH66" s="98"/>
    </row>
    <row r="67" spans="1:60" ht="15.75" customHeight="1">
      <c r="A67" s="558"/>
      <c r="B67" s="565"/>
      <c r="C67" s="560">
        <f t="shared" ref="C67:C72" si="75">ROUND(A67*B67,2)</f>
        <v>0</v>
      </c>
      <c r="D67" s="43"/>
      <c r="E67" s="560">
        <f>C67-B36</f>
        <v>0</v>
      </c>
      <c r="F67" s="609" t="str">
        <f>C22</f>
        <v>nifty</v>
      </c>
      <c r="G67" s="98"/>
      <c r="H67" s="98" t="s">
        <v>447</v>
      </c>
      <c r="I67" s="608" t="e">
        <f>(E36+E67)/(A35+D35+A67)</f>
        <v>#DIV/0!</v>
      </c>
      <c r="J67" s="98" t="e">
        <f>D35*I67*E$48</f>
        <v>#DIV/0!</v>
      </c>
      <c r="K67" s="98" t="e">
        <f t="shared" ref="K67:K72" si="76">I67*A67*0.1%</f>
        <v>#DIV/0!</v>
      </c>
      <c r="L67" s="98" t="e">
        <f t="shared" ref="L67:L72" si="77">J67+K67</f>
        <v>#DIV/0!</v>
      </c>
      <c r="M67" s="98"/>
      <c r="N67" s="98"/>
      <c r="O67" s="40"/>
      <c r="P67" s="40"/>
      <c r="Q67" s="40"/>
      <c r="R67" s="40"/>
      <c r="S67" s="40"/>
      <c r="T67" s="40"/>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c r="BH67" s="98"/>
    </row>
    <row r="68" spans="1:60" ht="15.75" customHeight="1">
      <c r="A68" s="558"/>
      <c r="B68" s="565"/>
      <c r="C68" s="560">
        <f t="shared" si="75"/>
        <v>0</v>
      </c>
      <c r="D68" s="43"/>
      <c r="E68" s="560">
        <f>C68-I36</f>
        <v>0</v>
      </c>
      <c r="F68" s="609" t="str">
        <f>J22</f>
        <v>H</v>
      </c>
      <c r="G68" s="98"/>
      <c r="H68" s="98" t="s">
        <v>447</v>
      </c>
      <c r="I68" s="608" t="e">
        <f>(L36+E68)/(H35+K35+A68)</f>
        <v>#DIV/0!</v>
      </c>
      <c r="J68" s="98" t="e">
        <f>K35*I68*E$48</f>
        <v>#DIV/0!</v>
      </c>
      <c r="K68" s="98" t="e">
        <f t="shared" si="76"/>
        <v>#DIV/0!</v>
      </c>
      <c r="L68" s="98" t="e">
        <f t="shared" si="77"/>
        <v>#DIV/0!</v>
      </c>
      <c r="M68" s="98"/>
      <c r="N68" s="98"/>
      <c r="O68" s="40"/>
      <c r="P68" s="40"/>
      <c r="Q68" s="40"/>
      <c r="R68" s="40"/>
      <c r="S68" s="40"/>
      <c r="T68" s="40"/>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c r="BH68" s="98"/>
    </row>
    <row r="69" spans="1:60" ht="15.75" customHeight="1">
      <c r="A69" s="558"/>
      <c r="B69" s="565"/>
      <c r="C69" s="560">
        <f t="shared" si="75"/>
        <v>0</v>
      </c>
      <c r="D69" s="43"/>
      <c r="E69" s="560">
        <f>C69-P36</f>
        <v>0</v>
      </c>
      <c r="F69" s="609" t="str">
        <f>Q22</f>
        <v>i</v>
      </c>
      <c r="G69" s="98"/>
      <c r="H69" s="98" t="s">
        <v>447</v>
      </c>
      <c r="I69" s="608" t="e">
        <f>(S36+E69)/(O35+R35+A69)</f>
        <v>#DIV/0!</v>
      </c>
      <c r="J69" s="98" t="e">
        <f>R35*I69*E$48</f>
        <v>#DIV/0!</v>
      </c>
      <c r="K69" s="98" t="e">
        <f t="shared" si="76"/>
        <v>#DIV/0!</v>
      </c>
      <c r="L69" s="98" t="e">
        <f t="shared" si="77"/>
        <v>#DIV/0!</v>
      </c>
      <c r="M69" s="98"/>
      <c r="N69" s="98"/>
      <c r="O69" s="40"/>
      <c r="P69" s="40"/>
      <c r="Q69" s="40"/>
      <c r="R69" s="40"/>
      <c r="S69" s="40"/>
      <c r="T69" s="40"/>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c r="BH69" s="98"/>
    </row>
    <row r="70" spans="1:60" ht="15.75" customHeight="1">
      <c r="A70" s="558"/>
      <c r="B70" s="565"/>
      <c r="C70" s="560">
        <f t="shared" si="75"/>
        <v>0</v>
      </c>
      <c r="D70" s="43"/>
      <c r="E70" s="560">
        <f>C70-W36</f>
        <v>0</v>
      </c>
      <c r="F70" s="609" t="str">
        <f>X22</f>
        <v>j</v>
      </c>
      <c r="G70" s="98"/>
      <c r="H70" s="98" t="s">
        <v>447</v>
      </c>
      <c r="I70" s="608" t="e">
        <f>(Z36+E70)/(V35+Y35+A70)</f>
        <v>#DIV/0!</v>
      </c>
      <c r="J70" s="98" t="e">
        <f>Y35*I70*E$48</f>
        <v>#DIV/0!</v>
      </c>
      <c r="K70" s="98" t="e">
        <f t="shared" si="76"/>
        <v>#DIV/0!</v>
      </c>
      <c r="L70" s="98" t="e">
        <f t="shared" si="77"/>
        <v>#DIV/0!</v>
      </c>
      <c r="M70" s="98"/>
      <c r="N70" s="98"/>
      <c r="O70" s="40"/>
      <c r="P70" s="40"/>
      <c r="Q70" s="40"/>
      <c r="R70" s="40"/>
      <c r="S70" s="40"/>
      <c r="T70" s="40"/>
      <c r="U70" s="98"/>
      <c r="V70" s="98"/>
      <c r="W70" s="98"/>
      <c r="X70" s="98"/>
      <c r="Y70" s="98"/>
      <c r="Z70" s="98"/>
      <c r="AA70" s="98"/>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c r="BH70" s="98"/>
    </row>
    <row r="71" spans="1:60" ht="15.75" customHeight="1">
      <c r="A71" s="558"/>
      <c r="B71" s="565"/>
      <c r="C71" s="560">
        <f t="shared" si="75"/>
        <v>0</v>
      </c>
      <c r="D71" s="43"/>
      <c r="E71" s="560">
        <f>C71-AD36</f>
        <v>0</v>
      </c>
      <c r="F71" s="609" t="str">
        <f>AE22</f>
        <v>k</v>
      </c>
      <c r="G71" s="98"/>
      <c r="H71" s="98" t="s">
        <v>447</v>
      </c>
      <c r="I71" s="608" t="e">
        <f>(AG36+E71)/(AC35+AF35+A71)</f>
        <v>#DIV/0!</v>
      </c>
      <c r="J71" s="98" t="e">
        <f>AF35*I71*E$48</f>
        <v>#DIV/0!</v>
      </c>
      <c r="K71" s="98" t="e">
        <f t="shared" si="76"/>
        <v>#DIV/0!</v>
      </c>
      <c r="L71" s="98" t="e">
        <f t="shared" si="77"/>
        <v>#DIV/0!</v>
      </c>
      <c r="M71" s="98"/>
      <c r="N71" s="98"/>
      <c r="O71" s="40"/>
      <c r="P71" s="40"/>
      <c r="Q71" s="40"/>
      <c r="R71" s="40"/>
      <c r="S71" s="40"/>
      <c r="T71" s="40"/>
      <c r="U71" s="98"/>
      <c r="V71" s="98"/>
      <c r="W71" s="98"/>
      <c r="X71" s="98"/>
      <c r="Y71" s="98"/>
      <c r="Z71" s="98"/>
      <c r="AA71" s="98"/>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c r="BH71" s="98"/>
    </row>
    <row r="72" spans="1:60" ht="15.75" customHeight="1">
      <c r="A72" s="558"/>
      <c r="B72" s="565"/>
      <c r="C72" s="560">
        <f t="shared" si="75"/>
        <v>0</v>
      </c>
      <c r="D72" s="43"/>
      <c r="E72" s="560">
        <f>C72-AK36</f>
        <v>0</v>
      </c>
      <c r="F72" s="609" t="str">
        <f>AL22</f>
        <v>l</v>
      </c>
      <c r="G72" s="98"/>
      <c r="H72" s="98" t="s">
        <v>447</v>
      </c>
      <c r="I72" s="608" t="e">
        <f>(AN36+E72)/(AJ35+AM35+A72)</f>
        <v>#DIV/0!</v>
      </c>
      <c r="J72" s="98" t="e">
        <f>AM$35*I72*E$48</f>
        <v>#DIV/0!</v>
      </c>
      <c r="K72" s="98" t="e">
        <f t="shared" si="76"/>
        <v>#DIV/0!</v>
      </c>
      <c r="L72" s="98" t="e">
        <f t="shared" si="77"/>
        <v>#DIV/0!</v>
      </c>
      <c r="M72" s="98"/>
      <c r="N72" s="98"/>
      <c r="O72" s="40"/>
      <c r="P72" s="40"/>
      <c r="Q72" s="40"/>
      <c r="R72" s="40"/>
      <c r="S72" s="40"/>
      <c r="T72" s="40"/>
      <c r="U72" s="98"/>
      <c r="V72" s="98"/>
      <c r="W72" s="98"/>
      <c r="X72" s="98"/>
      <c r="Y72" s="98"/>
      <c r="Z72" s="98"/>
      <c r="AA72" s="98"/>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c r="BH72" s="98"/>
    </row>
    <row r="73" spans="1:60" ht="15.75" customHeight="1">
      <c r="A73" s="578">
        <f>SUM(A67:A72)</f>
        <v>0</v>
      </c>
      <c r="B73" s="579" t="e">
        <f>C73/A73</f>
        <v>#DIV/0!</v>
      </c>
      <c r="C73" s="580">
        <f>SUM(C67:C72)</f>
        <v>0</v>
      </c>
      <c r="D73" s="590">
        <f>COUNT(A67:A72)</f>
        <v>0</v>
      </c>
      <c r="E73" s="607"/>
      <c r="F73" s="608"/>
      <c r="G73" s="98"/>
      <c r="H73" s="98"/>
      <c r="I73" s="98"/>
      <c r="J73" s="98"/>
      <c r="K73" s="98"/>
      <c r="L73" s="98"/>
      <c r="M73" s="98"/>
      <c r="N73" s="98"/>
      <c r="O73" s="40"/>
      <c r="P73" s="40"/>
      <c r="Q73" s="40"/>
      <c r="R73" s="40"/>
      <c r="S73" s="40"/>
      <c r="T73" s="40"/>
      <c r="U73" s="98"/>
      <c r="V73" s="98"/>
      <c r="W73" s="98"/>
      <c r="X73" s="98"/>
      <c r="Y73" s="98"/>
      <c r="Z73" s="98"/>
      <c r="AA73" s="98"/>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c r="BH73" s="98"/>
    </row>
    <row r="74" spans="1:60">
      <c r="A74" s="40"/>
      <c r="B74" s="612" t="e">
        <f>(B73-C74)*A73</f>
        <v>#DIV/0!</v>
      </c>
      <c r="C74" s="611">
        <v>946.8</v>
      </c>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row>
    <row r="75" spans="1:60">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row>
    <row r="76" spans="1:60">
      <c r="A76" s="40"/>
      <c r="B76" s="98" t="e">
        <f>B36+B64-B74</f>
        <v>#DIV/0!</v>
      </c>
      <c r="C76" s="613">
        <v>-7302.4</v>
      </c>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row>
    <row r="77" spans="1:60">
      <c r="A77" s="40"/>
      <c r="B77" s="40"/>
      <c r="C77" s="98" t="e">
        <f>C76-B76</f>
        <v>#DIV/0!</v>
      </c>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row>
    <row r="78" spans="1:60">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row>
    <row r="79" spans="1:60">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row>
  </sheetData>
  <mergeCells count="97">
    <mergeCell ref="AW1:AX1"/>
    <mergeCell ref="AZ1:BA1"/>
    <mergeCell ref="BC1:BD1"/>
    <mergeCell ref="BF1:BG1"/>
    <mergeCell ref="X1:AA1"/>
    <mergeCell ref="AC1:AD1"/>
    <mergeCell ref="AE1:AH1"/>
    <mergeCell ref="AJ1:AK1"/>
    <mergeCell ref="AL1:AO1"/>
    <mergeCell ref="AQ1:AR1"/>
    <mergeCell ref="AT1:AU1"/>
    <mergeCell ref="A1:B1"/>
    <mergeCell ref="C1:F1"/>
    <mergeCell ref="H1:I1"/>
    <mergeCell ref="J1:M1"/>
    <mergeCell ref="O1:P1"/>
    <mergeCell ref="Q1:T1"/>
    <mergeCell ref="V1:W1"/>
    <mergeCell ref="Y2:AA2"/>
    <mergeCell ref="AC2:AE2"/>
    <mergeCell ref="AF2:AH2"/>
    <mergeCell ref="AJ2:AL2"/>
    <mergeCell ref="AM2:AO2"/>
    <mergeCell ref="A2:C2"/>
    <mergeCell ref="D2:F2"/>
    <mergeCell ref="H2:J2"/>
    <mergeCell ref="K2:M2"/>
    <mergeCell ref="O2:Q2"/>
    <mergeCell ref="R2:T2"/>
    <mergeCell ref="V2:X2"/>
    <mergeCell ref="Z15:AA15"/>
    <mergeCell ref="AD15:AE15"/>
    <mergeCell ref="AG15:AH15"/>
    <mergeCell ref="AK15:AL15"/>
    <mergeCell ref="AN15:AO15"/>
    <mergeCell ref="B15:C15"/>
    <mergeCell ref="E15:F15"/>
    <mergeCell ref="I15:J15"/>
    <mergeCell ref="L15:M15"/>
    <mergeCell ref="P15:Q15"/>
    <mergeCell ref="S15:T15"/>
    <mergeCell ref="W15:X15"/>
    <mergeCell ref="E51:F51"/>
    <mergeCell ref="E52:F52"/>
    <mergeCell ref="E53:F53"/>
    <mergeCell ref="Q22:T22"/>
    <mergeCell ref="V22:W22"/>
    <mergeCell ref="R23:T23"/>
    <mergeCell ref="V23:X23"/>
    <mergeCell ref="S36:T36"/>
    <mergeCell ref="W36:X36"/>
    <mergeCell ref="E54:F54"/>
    <mergeCell ref="A56:C56"/>
    <mergeCell ref="A66:C66"/>
    <mergeCell ref="C43:D43"/>
    <mergeCell ref="C44:D44"/>
    <mergeCell ref="C45:D45"/>
    <mergeCell ref="E47:F47"/>
    <mergeCell ref="E48:F48"/>
    <mergeCell ref="E49:F49"/>
    <mergeCell ref="E50:F50"/>
    <mergeCell ref="AW22:AX22"/>
    <mergeCell ref="AZ22:BA22"/>
    <mergeCell ref="BC22:BD22"/>
    <mergeCell ref="BF22:BG22"/>
    <mergeCell ref="X22:AA22"/>
    <mergeCell ref="AC22:AD22"/>
    <mergeCell ref="AE22:AH22"/>
    <mergeCell ref="AJ22:AK22"/>
    <mergeCell ref="AL22:AO22"/>
    <mergeCell ref="AQ22:AR22"/>
    <mergeCell ref="AT22:AU22"/>
    <mergeCell ref="A22:B22"/>
    <mergeCell ref="C22:F22"/>
    <mergeCell ref="H22:I22"/>
    <mergeCell ref="J22:M22"/>
    <mergeCell ref="O22:P22"/>
    <mergeCell ref="Y23:AA23"/>
    <mergeCell ref="AC23:AE23"/>
    <mergeCell ref="AF23:AH23"/>
    <mergeCell ref="AJ23:AL23"/>
    <mergeCell ref="AM23:AO23"/>
    <mergeCell ref="A23:C23"/>
    <mergeCell ref="D23:F23"/>
    <mergeCell ref="H23:J23"/>
    <mergeCell ref="K23:M23"/>
    <mergeCell ref="O23:Q23"/>
    <mergeCell ref="Z36:AA36"/>
    <mergeCell ref="AD36:AE36"/>
    <mergeCell ref="AG36:AH36"/>
    <mergeCell ref="AK36:AL36"/>
    <mergeCell ref="AN36:AO36"/>
    <mergeCell ref="B36:C36"/>
    <mergeCell ref="E36:F36"/>
    <mergeCell ref="I36:J36"/>
    <mergeCell ref="L36:M36"/>
    <mergeCell ref="P36:Q36"/>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Dhan</vt:lpstr>
      <vt:lpstr>Zerodha</vt:lpstr>
      <vt:lpstr>Kotak</vt:lpstr>
      <vt:lpstr>Master Data</vt:lpstr>
      <vt:lpstr>Trade</vt:lpstr>
      <vt:lpstr>Old Transactions</vt:lpstr>
      <vt:lpstr>Holding</vt:lpstr>
      <vt:lpstr>P&amp;L Sunita</vt:lpstr>
      <vt:lpstr>Avg Rate</vt:lpstr>
      <vt:lpstr>Options</vt:lpstr>
      <vt:lpstr>RECO</vt:lpstr>
      <vt:lpstr>F&amp;O Lots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Satya Gupta</dc:creator>
  <cp:lastModifiedBy>Oliver Scheurich</cp:lastModifiedBy>
  <dcterms:created xsi:type="dcterms:W3CDTF">2021-05-08T11:47:47Z</dcterms:created>
  <dcterms:modified xsi:type="dcterms:W3CDTF">2023-05-03T13:29:42Z</dcterms:modified>
</cp:coreProperties>
</file>